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324" tabRatio="932" firstSheet="11" activeTab="11"/>
  </bookViews>
  <sheets>
    <sheet name="目录" sheetId="2" state="hidden" r:id="rId1"/>
    <sheet name="指标分析" sheetId="6" state="hidden" r:id="rId2"/>
    <sheet name="工程量清单A建筑工程" sheetId="9" state="hidden" r:id="rId3"/>
    <sheet name="调价基础" sheetId="28" state="hidden" r:id="rId4"/>
    <sheet name="工程量清单B安装工程" sheetId="11" state="hidden" r:id="rId5"/>
    <sheet name="工程量清单D措施费用" sheetId="15" state="hidden" r:id="rId6"/>
    <sheet name="工程量清单-18F装配式" sheetId="17" state="hidden" r:id="rId7"/>
    <sheet name="工程量清单-11F被动式" sheetId="19" state="hidden" r:id="rId8"/>
    <sheet name="工程量清单-11F装配式" sheetId="21" state="hidden" r:id="rId9"/>
    <sheet name="工程量清单-配套被动" sheetId="23" state="hidden" r:id="rId10"/>
    <sheet name="工程量清单-配套装配式" sheetId="38" state="hidden" r:id="rId11"/>
    <sheet name="工程量清单C其他工程 (2)" sheetId="40" r:id="rId12"/>
  </sheets>
  <definedNames>
    <definedName name="_xlnm._FilterDatabase" localSheetId="2" hidden="1">工程量清单A建筑工程!$A$1:$AB$906</definedName>
    <definedName name="_xlnm._FilterDatabase" localSheetId="3" hidden="1">调价基础!$A$1:$U$907</definedName>
    <definedName name="_xlnm._FilterDatabase" localSheetId="4" hidden="1">工程量清单B安装工程!$A$1:$AB$856</definedName>
    <definedName name="_xlnm._FilterDatabase" localSheetId="5" hidden="1">工程量清单D措施费用!$A$1:$AD$103</definedName>
    <definedName name="_xlnm.Print_Area" localSheetId="2">工程量清单A建筑工程!$A$1:$AB$906</definedName>
    <definedName name="_xlnm.Print_Area" localSheetId="3">调价基础!$A$1:$N$907</definedName>
    <definedName name="_xlnm.Print_Area" localSheetId="5">工程量清单D措施费用!$A$1:$AB$102</definedName>
    <definedName name="_xlnm.Print_Area" localSheetId="0">目录!$A$1:$I$71</definedName>
    <definedName name="_xlnm.Print_Area" localSheetId="6">'工程量清单-18F装配式'!$A$1:$J$1916</definedName>
    <definedName name="_xlnm.Print_Area" localSheetId="7">'工程量清单-11F被动式'!$A$1:$J$1916</definedName>
    <definedName name="_xlnm.Print_Area" localSheetId="8">'工程量清单-11F装配式'!$A$1:$J$1916</definedName>
    <definedName name="_xlnm.Print_Area" localSheetId="9">'工程量清单-配套被动'!$A$1:$J$1916</definedName>
    <definedName name="_xlnm.Print_Area" localSheetId="10">'工程量清单-配套装配式'!$A$1:$J$1916</definedName>
    <definedName name="_xlnm._FilterDatabase" localSheetId="11" hidden="1">'工程量清单C其他工程 (2)'!$A$1:$J$18</definedName>
    <definedName name="_xlnm.Print_Area" localSheetId="11">'工程量清单C其他工程 (2)'!$A$1:$J$18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 name="ID_410C2F40C41F4FEC899A1686C91EFD45"/>
        <xdr:cNvPicPr>
          <a:picLocks noChangeAspect="1"/>
        </xdr:cNvPicPr>
      </xdr:nvPicPr>
      <xdr:blipFill>
        <a:blip r:embed="rId1"/>
        <a:stretch>
          <a:fillRect/>
        </a:stretch>
      </xdr:blipFill>
      <xdr:spPr>
        <a:xfrm>
          <a:off x="10511790" y="738505"/>
          <a:ext cx="5981700" cy="11650980"/>
        </a:xfrm>
        <a:prstGeom prst="rect">
          <a:avLst/>
        </a:prstGeom>
        <a:noFill/>
        <a:ln w="9525">
          <a:noFill/>
        </a:ln>
      </xdr:spPr>
    </xdr:pic>
  </etc:cellImage>
</etc:cellImages>
</file>

<file path=xl/sharedStrings.xml><?xml version="1.0" encoding="utf-8"?>
<sst xmlns="http://schemas.openxmlformats.org/spreadsheetml/2006/main" count="5529" uniqueCount="2393">
  <si>
    <t>天正地产集团总承包工程模拟清单目录</t>
  </si>
  <si>
    <t>专业工程
序号对照表</t>
  </si>
  <si>
    <t>序号</t>
  </si>
  <si>
    <t>名称</t>
  </si>
  <si>
    <t>投标填报</t>
  </si>
  <si>
    <t>内容</t>
  </si>
  <si>
    <t>一级分类</t>
  </si>
  <si>
    <t>二级分类</t>
  </si>
  <si>
    <t>三级分类</t>
  </si>
  <si>
    <t>封面</t>
  </si>
  <si>
    <r>
      <rPr>
        <sz val="11"/>
        <rFont val="楷体"/>
        <charset val="134"/>
      </rPr>
      <t>投标单位</t>
    </r>
    <r>
      <rPr>
        <sz val="12"/>
        <color rgb="FFFF0000"/>
        <rFont val="楷体"/>
        <charset val="134"/>
      </rPr>
      <t>填报</t>
    </r>
    <r>
      <rPr>
        <sz val="11"/>
        <rFont val="楷体"/>
        <charset val="134"/>
      </rPr>
      <t>时间、单位名称</t>
    </r>
  </si>
  <si>
    <t>投标清单封面，加盖公章</t>
  </si>
  <si>
    <t>A 建筑工程</t>
  </si>
  <si>
    <t>A.01地下基础工程</t>
  </si>
  <si>
    <t>A.01.01土石方工程</t>
  </si>
  <si>
    <t>投标须知</t>
  </si>
  <si>
    <t>仔细阅读，充分理解，无需填报</t>
  </si>
  <si>
    <t>《编制说明》《报价说明》《计量计价原则》</t>
  </si>
  <si>
    <t>A.01.02地基处理工程</t>
  </si>
  <si>
    <t>投标汇总表</t>
  </si>
  <si>
    <r>
      <rPr>
        <sz val="11"/>
        <rFont val="楷体"/>
        <charset val="134"/>
      </rPr>
      <t>投标单位</t>
    </r>
    <r>
      <rPr>
        <sz val="12"/>
        <color rgb="FFFF0000"/>
        <rFont val="楷体"/>
        <charset val="134"/>
      </rPr>
      <t>填报</t>
    </r>
    <r>
      <rPr>
        <sz val="11"/>
        <rFont val="楷体"/>
        <charset val="134"/>
      </rPr>
      <t>投标系数并复核</t>
    </r>
  </si>
  <si>
    <r>
      <rPr>
        <sz val="11"/>
        <color theme="1"/>
        <rFont val="楷体"/>
        <charset val="134"/>
      </rPr>
      <t>发包人</t>
    </r>
    <r>
      <rPr>
        <sz val="11"/>
        <rFont val="楷体"/>
        <charset val="134"/>
      </rPr>
      <t>填报</t>
    </r>
    <r>
      <rPr>
        <sz val="11"/>
        <color theme="1"/>
        <rFont val="楷体"/>
        <charset val="134"/>
      </rPr>
      <t>项目</t>
    </r>
    <r>
      <rPr>
        <sz val="11"/>
        <color rgb="FFFF0000"/>
        <rFont val="楷体"/>
        <charset val="134"/>
      </rPr>
      <t>规划指标</t>
    </r>
    <r>
      <rPr>
        <sz val="11"/>
        <color theme="1"/>
        <rFont val="楷体"/>
        <charset val="134"/>
      </rPr>
      <t>，投标人填报</t>
    </r>
    <r>
      <rPr>
        <sz val="11"/>
        <color rgb="FFFF0000"/>
        <rFont val="楷体"/>
        <charset val="134"/>
      </rPr>
      <t>投标系数</t>
    </r>
  </si>
  <si>
    <t>A.02主体结构工程</t>
  </si>
  <si>
    <t>A.02.01混凝土工程</t>
  </si>
  <si>
    <t>造价汇总表</t>
  </si>
  <si>
    <t>无需填报</t>
  </si>
  <si>
    <t>各业态单方造价汇总，业主方专人定期维护</t>
  </si>
  <si>
    <t>A.02.02钢筋工程</t>
  </si>
  <si>
    <t>指标分析</t>
  </si>
  <si>
    <t>各业态单方指标汇总，业主方专人定期维护</t>
  </si>
  <si>
    <t>A.03二次结构工程</t>
  </si>
  <si>
    <t>A.03.01砌筑工程</t>
  </si>
  <si>
    <t>清单-A建筑工程</t>
  </si>
  <si>
    <t>工程量清单明细，禁止调整，业主方专人定期维护</t>
  </si>
  <si>
    <t>A.03.02混凝土工程</t>
  </si>
  <si>
    <t>清单-B安装工程</t>
  </si>
  <si>
    <t>A.03.03钢筋工程</t>
  </si>
  <si>
    <t>清单-C其他工程</t>
  </si>
  <si>
    <r>
      <rPr>
        <sz val="11"/>
        <color theme="1"/>
        <rFont val="楷体"/>
        <charset val="134"/>
      </rPr>
      <t>工程量清单明细，发包前主责人根据项目特征</t>
    </r>
    <r>
      <rPr>
        <sz val="11"/>
        <color rgb="FFFF0000"/>
        <rFont val="楷体"/>
        <charset val="134"/>
      </rPr>
      <t>调整工程量</t>
    </r>
  </si>
  <si>
    <t>A.03.04金属工程</t>
  </si>
  <si>
    <t>清单-D措施项目</t>
  </si>
  <si>
    <t>A.04隔热防水工程</t>
  </si>
  <si>
    <t>A.04.01保温隔热工程</t>
  </si>
  <si>
    <t>附件E-措施明细</t>
  </si>
  <si>
    <t>对清单-E措施项目的补充说明</t>
  </si>
  <si>
    <t>A.04.02屋面与防水工程</t>
  </si>
  <si>
    <t>清单F-零星工程</t>
  </si>
  <si>
    <t>零星施工，计日工，零星用工，零星机械</t>
  </si>
  <si>
    <t>A.04.03保温一体化工程</t>
  </si>
  <si>
    <t>组价逻辑</t>
  </si>
  <si>
    <t>清单基础价格逻辑，禁止调整，业主方专人定期维护</t>
  </si>
  <si>
    <t>A.05简易装修工程</t>
  </si>
  <si>
    <t>A.05.01地面装饰工程</t>
  </si>
  <si>
    <t>调价基础</t>
  </si>
  <si>
    <r>
      <rPr>
        <b/>
        <sz val="11"/>
        <color theme="1"/>
        <rFont val="楷体"/>
        <charset val="134"/>
      </rPr>
      <t>单价调整逻辑基础，发包前</t>
    </r>
    <r>
      <rPr>
        <b/>
        <sz val="11"/>
        <color rgb="FFFF0000"/>
        <rFont val="楷体"/>
        <charset val="134"/>
      </rPr>
      <t>必须校核单价</t>
    </r>
  </si>
  <si>
    <t>A.05.02墙柱装饰工程</t>
  </si>
  <si>
    <t>品牌限定一览表</t>
  </si>
  <si>
    <t>品牌限定清单，禁止调整，业主方专人定期维护</t>
  </si>
  <si>
    <t>A.05.03天棚装饰工程</t>
  </si>
  <si>
    <t>甲供材料一览表</t>
  </si>
  <si>
    <t>甲供材料类别与损耗，禁止调整，业主方专人定期维护</t>
  </si>
  <si>
    <t>A.05.04白水泥工程</t>
  </si>
  <si>
    <t>认质认价一览表</t>
  </si>
  <si>
    <t>认质认价材料预览表，禁止调整，业主方专人定期维护</t>
  </si>
  <si>
    <t>A.06外墙装饰工程</t>
  </si>
  <si>
    <t>A.06.01保温隔热工程</t>
  </si>
  <si>
    <t>污水泵一览表</t>
  </si>
  <si>
    <t>排污泵规格与价格清单，禁止调整，业主方专人定期维护</t>
  </si>
  <si>
    <t>A.06.02线条装饰工程</t>
  </si>
  <si>
    <t>总包服务费一览表</t>
  </si>
  <si>
    <t>总包服务费计取明细，禁止调整，业主方专人定期维护</t>
  </si>
  <si>
    <t>A.06.03外墙饰面工程</t>
  </si>
  <si>
    <t>可视化设备一览表</t>
  </si>
  <si>
    <t>可视化设备清单，包括规格、型号、数量与示意图片</t>
  </si>
  <si>
    <t>A.06.04外墙措施工程</t>
  </si>
  <si>
    <t/>
  </si>
  <si>
    <t>各业态专项清单</t>
  </si>
  <si>
    <t>18F装配式</t>
  </si>
  <si>
    <t>自动链接，可忽略</t>
  </si>
  <si>
    <t>仅发标汇报阶段使用，禁止调整，业主方专人定期维护</t>
  </si>
  <si>
    <t>B 安装工程</t>
  </si>
  <si>
    <t>18F非装配式</t>
  </si>
  <si>
    <t>11F被动式</t>
  </si>
  <si>
    <t>11F非装配式</t>
  </si>
  <si>
    <t>配套</t>
  </si>
  <si>
    <t>配套被动式</t>
  </si>
  <si>
    <t>人防地下车库</t>
  </si>
  <si>
    <t>非人防地下车库</t>
  </si>
  <si>
    <t>C 其他工程</t>
  </si>
  <si>
    <t>C.01土石方工程</t>
  </si>
  <si>
    <t>C.02基坑支护工程</t>
  </si>
  <si>
    <t>C.03大区围墙工程</t>
  </si>
  <si>
    <t>C.04虹吸排水工程</t>
  </si>
  <si>
    <t>C.05消防铁艺门工程</t>
  </si>
  <si>
    <t>C.06家庭财产险</t>
  </si>
  <si>
    <t>C.07总包服务费</t>
  </si>
  <si>
    <t>E 措施费用</t>
  </si>
  <si>
    <t>E.01单价措施费</t>
  </si>
  <si>
    <t>E.01.01模板工程</t>
  </si>
  <si>
    <t>E.01.02脚手架工程</t>
  </si>
  <si>
    <t>E.02总价措施费（整体措施费）</t>
  </si>
  <si>
    <t>整体措施费之
E.02.01组织措施费</t>
  </si>
  <si>
    <t>E.02.01.01安全文明措施费</t>
  </si>
  <si>
    <t>E.02.01.02环境保护措施费</t>
  </si>
  <si>
    <t>E.02.01.03其他组织措施费</t>
  </si>
  <si>
    <t>整体措施费之
E.02.02技术措施费</t>
  </si>
  <si>
    <t>E02.02.01大型机械设备进出场与安拆</t>
  </si>
  <si>
    <t>E02.02.02施工排水、降水</t>
  </si>
  <si>
    <t>E02.02.03闭水试验</t>
  </si>
  <si>
    <t>E02.02.04质量保证</t>
  </si>
  <si>
    <t>E02.02.05其他技术措施</t>
  </si>
  <si>
    <t>E.03垂直运输</t>
  </si>
  <si>
    <t>F 零星工程</t>
  </si>
  <si>
    <t>F.01修补拆改</t>
  </si>
  <si>
    <t>F.02计日台班</t>
  </si>
  <si>
    <t xml:space="preserve">天正地产集团-总包工程重点指标统计分析表                     </t>
  </si>
  <si>
    <t>返回目录</t>
  </si>
  <si>
    <t>项目名称：</t>
  </si>
  <si>
    <t>楼栋号</t>
  </si>
  <si>
    <t>部位</t>
  </si>
  <si>
    <t>结构形式</t>
  </si>
  <si>
    <t>层数</t>
  </si>
  <si>
    <t>层高
（m）</t>
  </si>
  <si>
    <t>地上交付方式，楼基座临土面</t>
  </si>
  <si>
    <t>报规建筑面积（m2）</t>
  </si>
  <si>
    <t>实际建筑面积（m2）</t>
  </si>
  <si>
    <t>报规面积单方合计（m2）</t>
  </si>
  <si>
    <t>砼工程</t>
  </si>
  <si>
    <t>钢筋工程</t>
  </si>
  <si>
    <t>褥垫层</t>
  </si>
  <si>
    <t>模板</t>
  </si>
  <si>
    <t>砌体</t>
  </si>
  <si>
    <t>屋面</t>
  </si>
  <si>
    <t>楼地面</t>
  </si>
  <si>
    <t>内墙装修</t>
  </si>
  <si>
    <t>天棚装修</t>
  </si>
  <si>
    <t>外墙工程</t>
  </si>
  <si>
    <t>防水施工费</t>
  </si>
  <si>
    <t>综合脚手架</t>
  </si>
  <si>
    <t>总价措施费</t>
  </si>
  <si>
    <t>强电</t>
  </si>
  <si>
    <t>弱电、消防预留预埋</t>
  </si>
  <si>
    <t>给排水</t>
  </si>
  <si>
    <t>公区采暖</t>
  </si>
  <si>
    <t>地暖</t>
  </si>
  <si>
    <t>主体结构砼</t>
  </si>
  <si>
    <t>基础垫层砼</t>
  </si>
  <si>
    <t>二次结构砼</t>
  </si>
  <si>
    <t>PC构件砼</t>
  </si>
  <si>
    <t>主体结构钢筋</t>
  </si>
  <si>
    <t>措施钢筋</t>
  </si>
  <si>
    <t>二次结构钢筋</t>
  </si>
  <si>
    <t>PC构件钢筋</t>
  </si>
  <si>
    <t>清单量
（m3）</t>
  </si>
  <si>
    <t>工程量指标
（m3/m2）</t>
  </si>
  <si>
    <t>造价
（元）</t>
  </si>
  <si>
    <t>造价指标
（元/m2)</t>
  </si>
  <si>
    <t>清单量
（t）</t>
  </si>
  <si>
    <t>工程量指标
（t/m2）</t>
  </si>
  <si>
    <t>工程量
（m3）</t>
  </si>
  <si>
    <t>指标
（m3/m2）</t>
  </si>
  <si>
    <t>工程量
（m2）</t>
  </si>
  <si>
    <t>指标
（m2/m2）</t>
  </si>
  <si>
    <t>地上</t>
  </si>
  <si>
    <t>装配式</t>
  </si>
  <si>
    <t>18F</t>
  </si>
  <si>
    <t>毛坯</t>
  </si>
  <si>
    <t>地下</t>
  </si>
  <si>
    <t>非人防</t>
  </si>
  <si>
    <t>-1F</t>
  </si>
  <si>
    <t>1面临土</t>
  </si>
  <si>
    <t>非装配式</t>
  </si>
  <si>
    <t>11F</t>
  </si>
  <si>
    <t>11F非被动式</t>
  </si>
  <si>
    <t>···</t>
  </si>
  <si>
    <t>精装</t>
  </si>
  <si>
    <t>2F</t>
  </si>
  <si>
    <t>配套-被动式</t>
  </si>
  <si>
    <t>人防</t>
  </si>
  <si>
    <t>/</t>
  </si>
  <si>
    <t>合计</t>
  </si>
  <si>
    <t>指标口径</t>
  </si>
  <si>
    <t>地上主体结构砼</t>
  </si>
  <si>
    <t>地下主体结构砼</t>
  </si>
  <si>
    <t>地下基础垫层砼</t>
  </si>
  <si>
    <t>地上二次结构砼</t>
  </si>
  <si>
    <t>地下二次结构砼</t>
  </si>
  <si>
    <t>地上PC构件砼</t>
  </si>
  <si>
    <t>地下PC构件砼</t>
  </si>
  <si>
    <t>地上主体结构钢筋</t>
  </si>
  <si>
    <t>地下主体结构钢筋</t>
  </si>
  <si>
    <t>地上二次结构钢筋</t>
  </si>
  <si>
    <t>地下二次结构钢筋</t>
  </si>
  <si>
    <t>地上PC构件钢筋</t>
  </si>
  <si>
    <t>地下PC构件钢筋</t>
  </si>
  <si>
    <t>地上措施钢筋</t>
  </si>
  <si>
    <t>地下措施钢筋</t>
  </si>
  <si>
    <t>地下褥垫层</t>
  </si>
  <si>
    <t>地上模板</t>
  </si>
  <si>
    <t>地下模板</t>
  </si>
  <si>
    <t>地上砌体</t>
  </si>
  <si>
    <t>地下砌体</t>
  </si>
  <si>
    <t>地下楼地面</t>
  </si>
  <si>
    <t>地上楼地面</t>
  </si>
  <si>
    <t>地上内墙装修</t>
  </si>
  <si>
    <t>地下内墙装修</t>
  </si>
  <si>
    <t>地上天棚装修</t>
  </si>
  <si>
    <t>地下天棚装修</t>
  </si>
  <si>
    <t>地上外墙工程</t>
  </si>
  <si>
    <t>地下外墙工程</t>
  </si>
  <si>
    <t>地上防水施工费</t>
  </si>
  <si>
    <t>地下防水施工费</t>
  </si>
  <si>
    <t>地上综合脚手架</t>
  </si>
  <si>
    <t>地下综合脚手架</t>
  </si>
  <si>
    <t>地上总价措施费</t>
  </si>
  <si>
    <t>地下总价措施费</t>
  </si>
  <si>
    <t>地上强电</t>
  </si>
  <si>
    <t>地下强电</t>
  </si>
  <si>
    <t>地上弱电、消防预留预埋</t>
  </si>
  <si>
    <t>地下弱电、消防预留预埋</t>
  </si>
  <si>
    <t>地上给排水</t>
  </si>
  <si>
    <t>地下给排水</t>
  </si>
  <si>
    <t>地上公区采暖</t>
  </si>
  <si>
    <t>地上地暖</t>
  </si>
  <si>
    <t>总承包工程模拟清单-建筑工程清单</t>
  </si>
  <si>
    <t>工程量</t>
  </si>
  <si>
    <t>综合总价（不含税）</t>
  </si>
  <si>
    <t>项目名称</t>
  </si>
  <si>
    <t>项目特征</t>
  </si>
  <si>
    <t>指标特征</t>
  </si>
  <si>
    <t>计量单位</t>
  </si>
  <si>
    <t>综合单价
不含税</t>
  </si>
  <si>
    <t>住宅业态</t>
  </si>
  <si>
    <t>配套业态</t>
  </si>
  <si>
    <t>地下车库</t>
  </si>
  <si>
    <t>备注</t>
  </si>
  <si>
    <t>量</t>
  </si>
  <si>
    <t>价</t>
  </si>
  <si>
    <t>11F装配式</t>
  </si>
  <si>
    <t>配套-装配式</t>
  </si>
  <si>
    <t>地下工程</t>
  </si>
  <si>
    <t>人工清理基底</t>
  </si>
  <si>
    <t>挖基坑（电梯井.集水坑）</t>
  </si>
  <si>
    <t>房心素土回填</t>
  </si>
  <si>
    <t>其他素土回填</t>
  </si>
  <si>
    <t>3:7灰土回填灰土</t>
  </si>
  <si>
    <t>2:8灰土回填灰土</t>
  </si>
  <si>
    <t>砖胎膜</t>
  </si>
  <si>
    <t>砖胎膜抹灰</t>
  </si>
  <si>
    <t>实心砖墙</t>
  </si>
  <si>
    <t>非级配砂石回填</t>
  </si>
  <si>
    <t>级配砂石回填</t>
  </si>
  <si>
    <t>地基钎探</t>
  </si>
  <si>
    <t>垫层C15</t>
  </si>
  <si>
    <t>垫层C20</t>
  </si>
  <si>
    <t>砼保护层-50厚C20细石砼</t>
  </si>
  <si>
    <t>基础梁C35</t>
  </si>
  <si>
    <t>独立基础C35</t>
  </si>
  <si>
    <t>满堂基础C30抗渗P6/P8</t>
  </si>
  <si>
    <t>满堂基础C30</t>
  </si>
  <si>
    <t>矩形柱C30</t>
  </si>
  <si>
    <t>矩形柱C35</t>
  </si>
  <si>
    <t>矩形柱C40</t>
  </si>
  <si>
    <t>矩形柱C30P6/P8</t>
  </si>
  <si>
    <t>矩形柱C40P6/P8</t>
  </si>
  <si>
    <t>矩形梁C30</t>
  </si>
  <si>
    <t>矩形梁C35</t>
  </si>
  <si>
    <t>矩形梁C30P6/P8</t>
  </si>
  <si>
    <t>矩形梁C40P6/P8</t>
  </si>
  <si>
    <t>直形墙C30抗渗P6/P8</t>
  </si>
  <si>
    <t>直形墙C30</t>
  </si>
  <si>
    <t>电梯井壁C30</t>
  </si>
  <si>
    <t>人防预制梁C40抗渗P6/P8</t>
  </si>
  <si>
    <t>斜梁C40抗渗P6/P8</t>
  </si>
  <si>
    <t>电梯井壁C30P6/P8</t>
  </si>
  <si>
    <t>平板C30</t>
  </si>
  <si>
    <t>天沟(檐沟）挑檐板C30</t>
  </si>
  <si>
    <t>直形墙C40</t>
  </si>
  <si>
    <t>直形墙C40抗渗P6/P8</t>
  </si>
  <si>
    <t>弧形墙C40抗渗P6/P8</t>
  </si>
  <si>
    <t>直形楼梯C30</t>
  </si>
  <si>
    <t>梁后浇带C35</t>
  </si>
  <si>
    <t>板后浇带C35</t>
  </si>
  <si>
    <t>墙后浇带C40抗渗P6/P8</t>
  </si>
  <si>
    <t>满堂基础后浇带C35抗渗P6/P8</t>
  </si>
  <si>
    <t>预制板C30</t>
  </si>
  <si>
    <t>无梁板C40抗渗P6/P8</t>
  </si>
  <si>
    <t>斜板C40抗渗P6/P8</t>
  </si>
  <si>
    <t>栏板C35</t>
  </si>
  <si>
    <t>平板C35</t>
  </si>
  <si>
    <t>平板C40抗渗P6/P8</t>
  </si>
  <si>
    <t>沟盖板C30抗渗P6/P8</t>
  </si>
  <si>
    <t>梁后浇带C45抗渗P6/P8</t>
  </si>
  <si>
    <t>板后浇带C45抗渗P6/P8</t>
  </si>
  <si>
    <t>墙后浇带C45抗渗P6/P8</t>
  </si>
  <si>
    <t>消防水池池底C30抗渗P6/P8</t>
  </si>
  <si>
    <t>消防水池池壁C30抗渗P6/P8</t>
  </si>
  <si>
    <t>设备基础C25</t>
  </si>
  <si>
    <t>地下现浇构件钢筋-φ10以内</t>
  </si>
  <si>
    <t>地下现浇构件钢筋-三级钢筋 Φ6</t>
  </si>
  <si>
    <t>地下现浇构件钢筋-三级钢筋 Φ8</t>
  </si>
  <si>
    <t>地下现浇构件钢筋-三级钢筋 Φ10</t>
  </si>
  <si>
    <t>地下现浇构件钢筋-三级钢筋 Φ12</t>
  </si>
  <si>
    <t>地下现浇构件钢筋-三级钢筋 Φ14</t>
  </si>
  <si>
    <t>地下现浇构件钢筋-三级钢筋 Φ16</t>
  </si>
  <si>
    <t>地下现浇构件钢筋-三级钢筋 Φ18</t>
  </si>
  <si>
    <t>地下现浇构件钢筋-三级钢筋 Φ20</t>
  </si>
  <si>
    <t>地下现浇构件钢筋-三级钢筋 Φ22</t>
  </si>
  <si>
    <t>地下现浇构件钢筋-三级钢筋 Φ25</t>
  </si>
  <si>
    <t>地下现浇构件措施钢筋-三级钢筋 Φ10</t>
  </si>
  <si>
    <t>地下现浇构件措施钢筋-三级钢筋 Φ16</t>
  </si>
  <si>
    <t>钢筋接头-直螺纹连接-φ20以内</t>
  </si>
  <si>
    <t>钢筋接头-直螺纹连接-Φ30以内</t>
  </si>
  <si>
    <t>钢筋接头-电渣压力焊</t>
  </si>
  <si>
    <t>小型砼空心砌块</t>
  </si>
  <si>
    <t>砖台阶</t>
  </si>
  <si>
    <t>圈梁C25</t>
  </si>
  <si>
    <t>构造柱C25</t>
  </si>
  <si>
    <t>过梁C25</t>
  </si>
  <si>
    <t>门槛C20细石</t>
  </si>
  <si>
    <t>压顶C25</t>
  </si>
  <si>
    <t>散水</t>
  </si>
  <si>
    <t>散水-40厚C20细石</t>
  </si>
  <si>
    <t>150厚3:7灰土</t>
  </si>
  <si>
    <t>散水-素土夯实</t>
  </si>
  <si>
    <t>坡道</t>
  </si>
  <si>
    <t>坡道-100厚C15</t>
  </si>
  <si>
    <t>300厚3:7灰土</t>
  </si>
  <si>
    <t>坡道-素土夯实</t>
  </si>
  <si>
    <t>地下砌体加筋-三级钢筋 Φ6</t>
  </si>
  <si>
    <t>不同材质墙体交接处挂钢丝网</t>
  </si>
  <si>
    <t>砌块墙钢丝网满挂</t>
  </si>
  <si>
    <t>钢爬梯-屋面检修</t>
  </si>
  <si>
    <t>地面排水沟</t>
  </si>
  <si>
    <t>筏板排水沟</t>
  </si>
  <si>
    <t>铸铁篦子</t>
  </si>
  <si>
    <t>排水井</t>
  </si>
  <si>
    <t>成品镀锌雨水篦子（车库坡道入口）</t>
  </si>
  <si>
    <t>成品镀锌雨水篦子（车库排水沟）</t>
  </si>
  <si>
    <t>排水井篦子</t>
  </si>
  <si>
    <t>保温隔热天棚</t>
  </si>
  <si>
    <t>天棚-55厚岩棉板</t>
  </si>
  <si>
    <t>天棚-50厚岩棉板</t>
  </si>
  <si>
    <t>天棚-镀锌钢丝网</t>
  </si>
  <si>
    <t>天棚-3厚抗裂砂浆</t>
  </si>
  <si>
    <t>天棚-网格布</t>
  </si>
  <si>
    <t>地下室外墙保温</t>
  </si>
  <si>
    <t>外墙-220厚XPS</t>
  </si>
  <si>
    <t>外墙面-3厚抗裂砂浆</t>
  </si>
  <si>
    <t>外墙面-网格布</t>
  </si>
  <si>
    <t>地下室外墙保温（合用前室与车库外侧）</t>
  </si>
  <si>
    <t>外墙-160厚岩棉板</t>
  </si>
  <si>
    <t>内墙面-聚合物水泥</t>
  </si>
  <si>
    <t>被动区与非被动区保温隔热</t>
  </si>
  <si>
    <t>内墙面-界面剂</t>
  </si>
  <si>
    <t>内墙保温-100厚岩棉板</t>
  </si>
  <si>
    <t>内墙面-5厚抗裂砂浆</t>
  </si>
  <si>
    <t>内墙面-网格布</t>
  </si>
  <si>
    <t>地下室外墙1</t>
  </si>
  <si>
    <t>外墙-50厚EPS</t>
  </si>
  <si>
    <t>外墙防水-1.5厚双面粘</t>
  </si>
  <si>
    <t>外墙-1.5厚水泥凝胶</t>
  </si>
  <si>
    <t>地下室外墙2</t>
  </si>
  <si>
    <t>外墙防水-1.5厚单面粘</t>
  </si>
  <si>
    <t>地下室外墙3</t>
  </si>
  <si>
    <t>外墙-30厚EPS</t>
  </si>
  <si>
    <t>地下室外墙4</t>
  </si>
  <si>
    <t>独立楼梯间、坡道、进排风井外墙面于混凝土墙</t>
  </si>
  <si>
    <t>外墙面-界面剂</t>
  </si>
  <si>
    <t>外墙面-15厚M7.5</t>
  </si>
  <si>
    <t>独立楼梯间、坡道、进排风井外墙面于砌筑墙</t>
  </si>
  <si>
    <t>地下室顶板1</t>
  </si>
  <si>
    <t>顶板防水-1.5厚单面粘（阻根型）</t>
  </si>
  <si>
    <t>顶板防水-1.5厚双面粘</t>
  </si>
  <si>
    <t>地下室顶板2</t>
  </si>
  <si>
    <t>顶板防水-1.5厚沥青涂料</t>
  </si>
  <si>
    <t>顶板-100厚XPS</t>
  </si>
  <si>
    <t>顶板-C20细石砼找坡</t>
  </si>
  <si>
    <t>地下室底板</t>
  </si>
  <si>
    <t>底板防水-1.2厚预铺反粘（单面粘）</t>
  </si>
  <si>
    <t>底板防水-1.5厚反粘（双面粘）</t>
  </si>
  <si>
    <t>沟坑内壁-20厚聚合物防水砂浆</t>
  </si>
  <si>
    <t>电梯基坑1</t>
  </si>
  <si>
    <t>基坑-M20水泥砂浆</t>
  </si>
  <si>
    <t>基坑-1.5厚聚氨酯涂料</t>
  </si>
  <si>
    <t>基坑-40厚C20细石砼</t>
  </si>
  <si>
    <t>基坑-φ4@100钢筋网片</t>
  </si>
  <si>
    <t>基坑-塑料膜</t>
  </si>
  <si>
    <t>基坑-120厚XPS</t>
  </si>
  <si>
    <t>基坑-素水泥浆</t>
  </si>
  <si>
    <t>基坑-20厚真空绝热板</t>
  </si>
  <si>
    <t>基坑-1.2厚聚氨酯涂料</t>
  </si>
  <si>
    <t>遇水膨胀止水条</t>
  </si>
  <si>
    <t>钢板止水条</t>
  </si>
  <si>
    <t>橡胶止水带</t>
  </si>
  <si>
    <t>非上人屋面（楼梯间.门厅.水箱间等）</t>
  </si>
  <si>
    <t>屋面-20厚M15水泥砂浆保护层</t>
  </si>
  <si>
    <t>屋面-土工布</t>
  </si>
  <si>
    <t>屋面-3+3SBS</t>
  </si>
  <si>
    <t>屋面-30厚C20细石砼</t>
  </si>
  <si>
    <t>屋面-最薄处30厚焦渣找坡</t>
  </si>
  <si>
    <t>屋面-190厚EPS</t>
  </si>
  <si>
    <t>非上人屋面（楼梯间.门厅.水箱间等）与主楼相连</t>
  </si>
  <si>
    <t>屋面-4厚SBS</t>
  </si>
  <si>
    <t>屋面-200厚EPS</t>
  </si>
  <si>
    <t>非上人屋面（楼梯间.门厅.水箱间等）不与主楼相连</t>
  </si>
  <si>
    <t>屋面-风井窗井</t>
  </si>
  <si>
    <t>屋面-顶板后浇带找平层</t>
  </si>
  <si>
    <t>水簸箕-C20细石砼</t>
  </si>
  <si>
    <t>屋面-Φ110UPVC雨水管</t>
  </si>
  <si>
    <t>楼地面-热计量间</t>
  </si>
  <si>
    <t>楼地面-地下走道进线间机房</t>
  </si>
  <si>
    <t>楼地面-电信间</t>
  </si>
  <si>
    <t>楼地面-40厚C20细石砼</t>
  </si>
  <si>
    <t>楼地面-风井</t>
  </si>
  <si>
    <t>楼地面-水暖电井</t>
  </si>
  <si>
    <t>楼地面-独立车库</t>
  </si>
  <si>
    <t>踢脚线-100mm灰色涂料</t>
  </si>
  <si>
    <t>踢脚线-50mm灰色涂料</t>
  </si>
  <si>
    <t>踢脚线-150mm灰色涂料</t>
  </si>
  <si>
    <t>楼地面-楼梯间（30厚）</t>
  </si>
  <si>
    <t>楼地面-筏板（坡道）</t>
  </si>
  <si>
    <t>地下室底板（含坡道）防水板</t>
  </si>
  <si>
    <t>楼地面-150厚C25细石砼</t>
  </si>
  <si>
    <t>楼地面-塑料膜</t>
  </si>
  <si>
    <t>楼地面-素土夯实</t>
  </si>
  <si>
    <t>楼地面-φ4@200钢筋网片</t>
  </si>
  <si>
    <t>楼地面-自行车坡道</t>
  </si>
  <si>
    <t>水泵房地面（有/无覆土）</t>
  </si>
  <si>
    <t>楼地面-60厚C15细石砼找坡</t>
  </si>
  <si>
    <t>楼地面-20厚C20细石砼找坡</t>
  </si>
  <si>
    <t>楼地面-20厚M20水泥砂浆找坡</t>
  </si>
  <si>
    <t>楼地面-柴油电站</t>
  </si>
  <si>
    <t>变配电室地面</t>
  </si>
  <si>
    <t>楼地面-60厚C20细石砼</t>
  </si>
  <si>
    <t>楼地面-竖井</t>
  </si>
  <si>
    <t>楼地面-自行车斜道</t>
  </si>
  <si>
    <t>楼地面-聚氨酯防水涂料</t>
  </si>
  <si>
    <t>地下室内墙（二次结构墙体）</t>
  </si>
  <si>
    <t>内墙面-7厚M5石灰砂浆</t>
  </si>
  <si>
    <t>内墙面-6厚M7.5水泥砂浆</t>
  </si>
  <si>
    <t>地下室内墙（二次结构墙体）1</t>
  </si>
  <si>
    <t>内墙面-15厚M5水泥砂浆</t>
  </si>
  <si>
    <t>独立车库（带卷帘门）内墙（二次结构墙体）</t>
  </si>
  <si>
    <t>楼梯间内墙</t>
  </si>
  <si>
    <t>水暖电井内墙（二次结构墙体）</t>
  </si>
  <si>
    <t>窗井.风井、竖井内墙（二次结构墙体）</t>
  </si>
  <si>
    <t>内墙面-15厚M20水泥砂浆</t>
  </si>
  <si>
    <t>内墙面-地下室柱面</t>
  </si>
  <si>
    <t>消防水池内壁</t>
  </si>
  <si>
    <t>内墙面-1.5厚RG涂料</t>
  </si>
  <si>
    <t>内墙面-10厚M15水泥砂浆</t>
  </si>
  <si>
    <t>内墙面-地下白水泥</t>
  </si>
  <si>
    <t>内墙面-独立车库白水泥</t>
  </si>
  <si>
    <t>内墙面-楼梯间白水泥</t>
  </si>
  <si>
    <t>天棚-地下室白水泥</t>
  </si>
  <si>
    <t>天棚-楼梯间白水泥</t>
  </si>
  <si>
    <t>内墙面-人防扩散室集气室滤尘室白水泥</t>
  </si>
  <si>
    <t>天棚-人防扩散室集气室滤尘室白水泥</t>
  </si>
  <si>
    <t>天棚-地下车道白水泥</t>
  </si>
  <si>
    <t>天棚-地下白水泥</t>
  </si>
  <si>
    <t>天棚-水泵房白水泥</t>
  </si>
  <si>
    <t>地上工程</t>
  </si>
  <si>
    <t>柱C30</t>
  </si>
  <si>
    <t>梁C30</t>
  </si>
  <si>
    <t>拱形梁C30</t>
  </si>
  <si>
    <t>墙C30</t>
  </si>
  <si>
    <t>墙C35</t>
  </si>
  <si>
    <t>电梯井壁墙C30</t>
  </si>
  <si>
    <t>电梯井壁墙C35</t>
  </si>
  <si>
    <t>斜板C30</t>
  </si>
  <si>
    <t>拱板C30</t>
  </si>
  <si>
    <t>叠合板现浇部位C30</t>
  </si>
  <si>
    <t>PC板补板缝C30</t>
  </si>
  <si>
    <t>雨篷C30</t>
  </si>
  <si>
    <t>栏板C30</t>
  </si>
  <si>
    <t>自密实混凝土-50厚C30</t>
  </si>
  <si>
    <t>预制钢筋混凝土叠合楼板</t>
  </si>
  <si>
    <t>预制钢筋混凝土空调板</t>
  </si>
  <si>
    <t>预制钢筋混凝土楼梯</t>
  </si>
  <si>
    <t>地上现浇构件钢筋-φ10以内</t>
  </si>
  <si>
    <t>地上现浇构件钢筋-三级钢筋 Φ6</t>
  </si>
  <si>
    <t>地上现浇构件钢筋-三级钢筋 Φ8</t>
  </si>
  <si>
    <t>地上现浇构件钢筋-三级钢筋 Φ10</t>
  </si>
  <si>
    <t>地上现浇构件钢筋-三级钢筋 Φ12</t>
  </si>
  <si>
    <t>地上现浇构件钢筋-三级钢筋 Φ14</t>
  </si>
  <si>
    <t>地上现浇构件钢筋-三级钢筋 Φ16</t>
  </si>
  <si>
    <t>地上现浇构件钢筋-三级钢筋 Φ18</t>
  </si>
  <si>
    <t>地上现浇构件钢筋-三级钢筋 Φ20</t>
  </si>
  <si>
    <t>地上现浇构件钢筋-三级钢筋 Φ22</t>
  </si>
  <si>
    <t>地上现浇构件钢筋-三级钢筋 Φ25</t>
  </si>
  <si>
    <t>地上现浇构件措施钢筋-三级钢筋 Φ10</t>
  </si>
  <si>
    <t>出屋面砖台阶</t>
  </si>
  <si>
    <t>加气混凝土砌块</t>
  </si>
  <si>
    <t>管道包封砌筑</t>
  </si>
  <si>
    <t>轻集料混凝土条板-100mm以内</t>
  </si>
  <si>
    <t>轻集料混凝土条板-200mm以内</t>
  </si>
  <si>
    <t>AAC内墙板-180mm以内</t>
  </si>
  <si>
    <t>AAC外墙板-100mm以内</t>
  </si>
  <si>
    <t>AAC外墙板-180mm以内</t>
  </si>
  <si>
    <t>AAC外墙板-280mm以内</t>
  </si>
  <si>
    <t>AAC自保温砌块</t>
  </si>
  <si>
    <t>反坎C20</t>
  </si>
  <si>
    <t>散水-150厚3:7灰土</t>
  </si>
  <si>
    <t>成品明沟</t>
  </si>
  <si>
    <t>成品排水沟（含结构篦子）</t>
  </si>
  <si>
    <t>明沟</t>
  </si>
  <si>
    <t>明沟-雨水篦子</t>
  </si>
  <si>
    <t>明沟-20厚M20水泥砂浆</t>
  </si>
  <si>
    <t>明沟-20厚C20细石砼找坡</t>
  </si>
  <si>
    <t>明沟-80厚C20砼</t>
  </si>
  <si>
    <t>明沟-100厚3:7灰土</t>
  </si>
  <si>
    <t>台阶（参12J1-155-台6，结构面交付）</t>
  </si>
  <si>
    <t>台阶-60厚C15砼</t>
  </si>
  <si>
    <t>台阶-300厚3:7灰土</t>
  </si>
  <si>
    <t>台阶-素土夯实</t>
  </si>
  <si>
    <t>坡道（参12J12-25-3，结构面交付）</t>
  </si>
  <si>
    <t>坡道-300厚3:7灰土</t>
  </si>
  <si>
    <t>卫生间排气道</t>
  </si>
  <si>
    <t>厨房排气道</t>
  </si>
  <si>
    <t>地上砌体加筋-三级钢筋 Φ6</t>
  </si>
  <si>
    <t>机房钢梯</t>
  </si>
  <si>
    <t>预埋铁件</t>
  </si>
  <si>
    <t>住宅上人屋面</t>
  </si>
  <si>
    <t>屋面-40厚C20细石砼</t>
  </si>
  <si>
    <t>屋面-φ4@200钢筋网</t>
  </si>
  <si>
    <t>屋面-110厚XPS</t>
  </si>
  <si>
    <t>被动式住宅屋面</t>
  </si>
  <si>
    <t>屋面-M7.5水泥砂浆</t>
  </si>
  <si>
    <t>屋面-4厚PE玻纤加强聚酯胎卷材</t>
  </si>
  <si>
    <t>屋面-3厚PE玻纤胎卷材</t>
  </si>
  <si>
    <t>屋面-250厚石墨聚苯板</t>
  </si>
  <si>
    <t>屋面-1.2铝箔面玻纤胎卷材</t>
  </si>
  <si>
    <t>屋面-30厚C20细石砼找坡</t>
  </si>
  <si>
    <t>住宅非上人屋面（楼梯间.门厅.水箱间等）</t>
  </si>
  <si>
    <t>住宅非上人屋面（楼梯间.门厅.水箱间等）与主楼相连</t>
  </si>
  <si>
    <t>住宅非上人屋面（楼梯间.门厅.水箱间等）不与主楼相连</t>
  </si>
  <si>
    <t>住宅屋面挑檐</t>
  </si>
  <si>
    <t>屋面-20厚M20水泥砂浆找坡</t>
  </si>
  <si>
    <t>住宅坡屋面</t>
  </si>
  <si>
    <t>屋面-45厚C20细石砼</t>
  </si>
  <si>
    <t>屋面-190厚EPS聚苯板</t>
  </si>
  <si>
    <t>住宅坡女儿墙（法式）</t>
  </si>
  <si>
    <t>屋面-屋面瓦</t>
  </si>
  <si>
    <t>屋面-20厚无机保温砂浆I型</t>
  </si>
  <si>
    <t>屋面-雨棚上</t>
  </si>
  <si>
    <t>墙面防水-墙基防潮层</t>
  </si>
  <si>
    <t>屋面-出屋面风道保温</t>
  </si>
  <si>
    <t>后贴保温层</t>
  </si>
  <si>
    <t>外墙面-180厚XPS</t>
  </si>
  <si>
    <t>屋面-Φ50泄水口</t>
  </si>
  <si>
    <t>外墙（屋面）面-变形缝</t>
  </si>
  <si>
    <t>130厚轻质发泡复合保温板-浇筑施工</t>
  </si>
  <si>
    <t>130厚轻质发泡复合保温板-后贴施工</t>
  </si>
  <si>
    <t>120厚轻质发泡复合保温板-浇筑施工</t>
  </si>
  <si>
    <t>120厚轻质发泡复合保温板-后贴施工</t>
  </si>
  <si>
    <t>110厚轻质发泡复合保温板-浇筑施工</t>
  </si>
  <si>
    <t>110厚轻质发泡复合保温板-后贴施工</t>
  </si>
  <si>
    <t>100厚轻质发泡复合保温板-浇筑施工</t>
  </si>
  <si>
    <t>100厚轻质发泡复合保温板-后贴施工</t>
  </si>
  <si>
    <t>90厚轻质发泡复合保温板-浇筑施工</t>
  </si>
  <si>
    <t>90厚轻质发泡复合保温板后贴施工</t>
  </si>
  <si>
    <t>80厚轻质发泡复合保温板-浇筑施工</t>
  </si>
  <si>
    <t>80厚轻质发泡复合保温板-后贴施工</t>
  </si>
  <si>
    <t>70厚轻质发泡复合保温板-浇筑施工</t>
  </si>
  <si>
    <t>70厚轻质发泡复合保温板-后贴施工</t>
  </si>
  <si>
    <t>保温隔热墙面（被动式）</t>
  </si>
  <si>
    <t>外墙保温-260厚石墨聚苯板</t>
  </si>
  <si>
    <t>外墙保温-界面修补</t>
  </si>
  <si>
    <t>外墙保温-5厚干粉聚合物砂浆</t>
  </si>
  <si>
    <t>自密实混凝土墙保温</t>
  </si>
  <si>
    <t>外墙保温-320厚石墨聚苯板（单层网）</t>
  </si>
  <si>
    <t>外墙保温-320厚石墨聚苯板（双层网）</t>
  </si>
  <si>
    <t>楼地面-楼梯间（20厚）</t>
  </si>
  <si>
    <t>装配式干法地暖楼地面</t>
  </si>
  <si>
    <t>楼地面-7厚抗裂砂浆</t>
  </si>
  <si>
    <t>楼地面-玻纤网</t>
  </si>
  <si>
    <t>楼地面-干法地暖薄粘结剂</t>
  </si>
  <si>
    <t>楼地面-干法地暖厚粘结剂</t>
  </si>
  <si>
    <t>楼地面-砂浆粘结层</t>
  </si>
  <si>
    <t>湿法地暖楼地面（通用做法）</t>
  </si>
  <si>
    <t>楼地面-单层Φ3@50钢筋网</t>
  </si>
  <si>
    <t>楼地面-铝箔纸</t>
  </si>
  <si>
    <t>楼地面-20厚XPS</t>
  </si>
  <si>
    <t>卫生间地面（有覆土）</t>
  </si>
  <si>
    <t>楼地面-60厚C15豆石砼找坡</t>
  </si>
  <si>
    <t>楼地面-15厚M20水泥砂浆</t>
  </si>
  <si>
    <t>楼地面-60厚C15细石砼</t>
  </si>
  <si>
    <t>楼地面-150厚3:7灰土夯实</t>
  </si>
  <si>
    <t>楼地面-60厚C15砼</t>
  </si>
  <si>
    <t>楼地面-双层Φ3@50钢筋网</t>
  </si>
  <si>
    <t>卫生间地面（无覆土）</t>
  </si>
  <si>
    <t>楼地面-65厚C15豆石砼找坡</t>
  </si>
  <si>
    <t>户内除卫生间楼面（有覆土）</t>
  </si>
  <si>
    <t>楼地面-50厚C15细石砼（毛坯）</t>
  </si>
  <si>
    <t>卫生间楼面（有覆土）用于售楼部</t>
  </si>
  <si>
    <t>楼地面-100厚C20砼</t>
  </si>
  <si>
    <t>楼地面-50厚C15豆石砼</t>
  </si>
  <si>
    <t>有覆土房间，地库以上，地面素土以下做法</t>
  </si>
  <si>
    <t>楼地面-20厚M20水泥砂浆</t>
  </si>
  <si>
    <t>楼地面-15厚水泥基自流平</t>
  </si>
  <si>
    <t>楼地面-20厚水泥基自流平</t>
  </si>
  <si>
    <t>楼地面-15厚石膏基自流平</t>
  </si>
  <si>
    <t>楼地面-20厚石膏基自流平</t>
  </si>
  <si>
    <t>其他房间</t>
  </si>
  <si>
    <t>楼地面-50厚C20细石砼</t>
  </si>
  <si>
    <t>楼地面-180厚XPS</t>
  </si>
  <si>
    <t>阳台楼面（无覆土）</t>
  </si>
  <si>
    <t>楼地面-50厚C15豆石砼找坡</t>
  </si>
  <si>
    <t>阳台地面-聚氨酯防水涂料</t>
  </si>
  <si>
    <t>楼地面-30厚C15豆石砼找坡</t>
  </si>
  <si>
    <t>一层有覆土的阳台地漏一米范围内</t>
  </si>
  <si>
    <t>厨房楼面（有覆土）</t>
  </si>
  <si>
    <t>厨房、阳台楼面（有覆土）</t>
  </si>
  <si>
    <t>厨房楼面（无覆土）</t>
  </si>
  <si>
    <t>其他房间-用于其他配套</t>
  </si>
  <si>
    <t>其他房间-用于售楼处</t>
  </si>
  <si>
    <t>楼地面-70厚C15豆石砼</t>
  </si>
  <si>
    <t>电井、进线间、热计量间</t>
  </si>
  <si>
    <t>住宅室外连廊楼面</t>
  </si>
  <si>
    <t>楼地面-30厚水泥砂浆找坡</t>
  </si>
  <si>
    <t>楼地面-电梯机房地面</t>
  </si>
  <si>
    <t>屋顶加压送风机房地面</t>
  </si>
  <si>
    <t>楼地面-50厚C20砼</t>
  </si>
  <si>
    <t>楼地面-190厚EPS</t>
  </si>
  <si>
    <t>水箱间地面</t>
  </si>
  <si>
    <t>楼地面-土工布</t>
  </si>
  <si>
    <t>楼地面-3+3厚SBS</t>
  </si>
  <si>
    <t>楼地面-20厚M15水泥砂浆</t>
  </si>
  <si>
    <t>消防控制室</t>
  </si>
  <si>
    <t>分户墙(其他）</t>
  </si>
  <si>
    <t>内墙面-15厚无机保温砂浆</t>
  </si>
  <si>
    <t>内墙面-10厚无机保温砂浆</t>
  </si>
  <si>
    <t>内墙面-3厚抗裂砂浆</t>
  </si>
  <si>
    <t>内墙面-玻纤网</t>
  </si>
  <si>
    <t>内墙面-交接处玻纤网</t>
  </si>
  <si>
    <t>采暖与不采暖房间的隔墙</t>
  </si>
  <si>
    <t>内墙面-20厚无机保温砂浆</t>
  </si>
  <si>
    <t>分户墙处卫生间内墙</t>
  </si>
  <si>
    <t>内墙面-镀锌钢丝网</t>
  </si>
  <si>
    <t>交通核非精装区域与住宅相邻内墙（交通核侧）</t>
  </si>
  <si>
    <t>内墙面-30厚MPC</t>
  </si>
  <si>
    <t>交通核非精装区域不与住宅相邻内墙（交通核侧）</t>
  </si>
  <si>
    <t>一层与户内相邻的门厅.合用前室的隔墙的一侧,及一层楼梯间</t>
  </si>
  <si>
    <t>不与户内相邻的门厅.合用前室的隔墙的一侧</t>
  </si>
  <si>
    <t>内墙面-9厚M7.5水泥砂浆</t>
  </si>
  <si>
    <t>不与户内相邻的门厅.合用前室的隔墙的一侧/配套电井、进线间、热计量间或其他</t>
  </si>
  <si>
    <t>内墙面-6厚M7.5石灰砂浆</t>
  </si>
  <si>
    <t>内墙面-3-5厚砂浆打底</t>
  </si>
  <si>
    <t>二层及以上合用前室不与住宅户内相邻的隔墙</t>
  </si>
  <si>
    <t>二层及以上楼梯间与住宅户内相邻的隔墙的楼梯间一侧 及一层楼梯间</t>
  </si>
  <si>
    <t>二层及以上合用前室、电梯厅不与住宅户内相邻隔墙的
合用前室、电梯厅一侧</t>
  </si>
  <si>
    <t>卫生间.厨房内墙</t>
  </si>
  <si>
    <t>内墙面-10厚M20水泥砂浆</t>
  </si>
  <si>
    <t>卫生间、厨房内墙</t>
  </si>
  <si>
    <t>内墙面-15厚M7.5水泥砂浆</t>
  </si>
  <si>
    <t>用于客厅.餐厅.卧室.书房内墙</t>
  </si>
  <si>
    <t>内墙面-9厚M5石灰砂浆</t>
  </si>
  <si>
    <t>户内除厨房.卫生间外的房间</t>
  </si>
  <si>
    <t>内墙面-15厚粉刷石膏</t>
  </si>
  <si>
    <t>通风道真空绝热板</t>
  </si>
  <si>
    <t>内墙面-15厚M7.5石灰砂浆</t>
  </si>
  <si>
    <t>内墙面-13厚M7.5石灰砂浆</t>
  </si>
  <si>
    <t>内墙面-13厚M7.5水泥砂浆</t>
  </si>
  <si>
    <t>内墙面-15厚M5石灰砂浆</t>
  </si>
  <si>
    <t>内墙面-13厚M5水泥砂浆</t>
  </si>
  <si>
    <t>内墙面-13厚M5石灰砂浆</t>
  </si>
  <si>
    <t>内墙面-12厚M5水泥砂浆</t>
  </si>
  <si>
    <t>内墙面-12厚M5石灰砂浆</t>
  </si>
  <si>
    <t>水箱间.电梯机房内墙（二次结构墙）</t>
  </si>
  <si>
    <t>内墙面-7厚M5水泥砂浆</t>
  </si>
  <si>
    <t>内墙面-窗井风井</t>
  </si>
  <si>
    <t>天棚-腻子两遍</t>
  </si>
  <si>
    <t>内墙面-地上白水泥</t>
  </si>
  <si>
    <t>天棚-地上白水泥</t>
  </si>
  <si>
    <t>外墙面-5厚防水抗裂砂浆</t>
  </si>
  <si>
    <t>外墙保温-200厚AEPS</t>
  </si>
  <si>
    <t>外墙保温-100厚AEPS</t>
  </si>
  <si>
    <t>外墙保温-20厚无机保温砂浆</t>
  </si>
  <si>
    <t>外墙保温-20厚胶粉聚苯颗粒</t>
  </si>
  <si>
    <t>外墙保温-30厚无机保温砂浆</t>
  </si>
  <si>
    <t>被动式墙保温</t>
  </si>
  <si>
    <t>外墙保温-260厚石墨聚苯板（双层网）</t>
  </si>
  <si>
    <t>自密实混凝土-50厚C35</t>
  </si>
  <si>
    <t>外墙保温-50厚C35细石砼</t>
  </si>
  <si>
    <t>外墙保温-50厚C30细石砼</t>
  </si>
  <si>
    <t>外墙保温-50厚C25细石砼</t>
  </si>
  <si>
    <t>外墙保温-50厚C20细石砼</t>
  </si>
  <si>
    <t>外墙保温-20厚真空绝热板</t>
  </si>
  <si>
    <t>外墙保温-10厚真空绝热板</t>
  </si>
  <si>
    <t>外保温-连廊设备平台100厚岩棉保温</t>
  </si>
  <si>
    <t>外保温-连廊设备平台100厚石墨聚苯板保温</t>
  </si>
  <si>
    <t>复合岩棉板外墙保温</t>
  </si>
  <si>
    <t>外墙面-5厚防水砂浆</t>
  </si>
  <si>
    <t>外墙保温-250厚复合岩棉板</t>
  </si>
  <si>
    <t>外墙保温-150厚复合岩棉板</t>
  </si>
  <si>
    <t>外墙保温-100厚复合岩棉板</t>
  </si>
  <si>
    <t>复合保温砂浆墙面</t>
  </si>
  <si>
    <t>外墙保温-20厚MPC</t>
  </si>
  <si>
    <t>外墙保温-15厚MPC</t>
  </si>
  <si>
    <t>外墙保温-30厚MPC</t>
  </si>
  <si>
    <t>AAC保温条</t>
  </si>
  <si>
    <t>岩棉线条</t>
  </si>
  <si>
    <t>外墙面-岩棉线条150*150</t>
  </si>
  <si>
    <t>EPS线条</t>
  </si>
  <si>
    <t>外墙EPS线条-线条100*50</t>
  </si>
  <si>
    <t>外墙EPS线条-线条120*100</t>
  </si>
  <si>
    <t>外墙EPS线条-线条70*30</t>
  </si>
  <si>
    <t>外墙EPS线条-线条120*240</t>
  </si>
  <si>
    <t>外墙EPS线条-线条120*70</t>
  </si>
  <si>
    <t>外墙EPS线条-线条50*50</t>
  </si>
  <si>
    <t>外墙EPS线条-线条L型800*220</t>
  </si>
  <si>
    <t>外墙EPS线条-线条100*70</t>
  </si>
  <si>
    <t>外墙EPS线条-线条L型240*120</t>
  </si>
  <si>
    <t>外墙EPS线条-线条120*50</t>
  </si>
  <si>
    <t>外墙EPS线条-线条70*100</t>
  </si>
  <si>
    <t>外墙EPS线条-线条30*50</t>
  </si>
  <si>
    <t>外墙EPS线条-线条L型220*100</t>
  </si>
  <si>
    <t>外墙EPS线条-线条30*70</t>
  </si>
  <si>
    <t>外墙EPS线条-线条70*70</t>
  </si>
  <si>
    <t>外墙EPS线条-线条70*210</t>
  </si>
  <si>
    <t>外墙EPS线条-线条70*390</t>
  </si>
  <si>
    <t>外墙EPS线条-线条50*100</t>
  </si>
  <si>
    <t>外墙EPS线条-线条160*100</t>
  </si>
  <si>
    <t>外墙EPS线条-线条120*40</t>
  </si>
  <si>
    <t>外墙EPS线条-线条100*280</t>
  </si>
  <si>
    <t>外墙EPS线条-线条100*140</t>
  </si>
  <si>
    <t>外墙EPS线条-线条130*100</t>
  </si>
  <si>
    <t>外墙EPS线条-线条130*240</t>
  </si>
  <si>
    <t>外墙EPS线条-线条80*50</t>
  </si>
  <si>
    <t>外墙EPS线条-线条60*50</t>
  </si>
  <si>
    <t>外墙EPS线条-线条35*50</t>
  </si>
  <si>
    <t>外墙EPS线条-线条120*500</t>
  </si>
  <si>
    <t>外墙EPS线条-线条1082*140</t>
  </si>
  <si>
    <t>外墙EPS线条-不规则EPS线条410*100</t>
  </si>
  <si>
    <t>外墙EPS线条-线条150*80</t>
  </si>
  <si>
    <t>外墙EPS线条-线条480*170</t>
  </si>
  <si>
    <t>外墙EPS线条-线条1840*150</t>
  </si>
  <si>
    <t>外墙EPS线条-线条450*50</t>
  </si>
  <si>
    <t>外墙EPS线条-线条695*150</t>
  </si>
  <si>
    <t>外墙EPS线条-线条70*50</t>
  </si>
  <si>
    <t>外墙EPS线条-线条300*100</t>
  </si>
  <si>
    <t>外墙EPS线条-线条200*100</t>
  </si>
  <si>
    <t>外墙EPS线条-不规则EPS线条1750*420（顶层挑檐下）</t>
  </si>
  <si>
    <t>外墙EPS线条-不规则EPS线条1250*300（顶层挑檐下）</t>
  </si>
  <si>
    <t>外墙EPS线条-L型120*100</t>
  </si>
  <si>
    <t>柱头1</t>
  </si>
  <si>
    <t>柱头2</t>
  </si>
  <si>
    <t>柱头3</t>
  </si>
  <si>
    <t>方柱1</t>
  </si>
  <si>
    <t>方柱2</t>
  </si>
  <si>
    <t>方柱3</t>
  </si>
  <si>
    <t>扶手墩1</t>
  </si>
  <si>
    <t>顶部EPS装饰檐线</t>
  </si>
  <si>
    <t>顶部EPS檐线内造型</t>
  </si>
  <si>
    <t>柱身突出造型EPS439*480</t>
  </si>
  <si>
    <t>上扶手线（含砼及埋件）</t>
  </si>
  <si>
    <t>下扶手线</t>
  </si>
  <si>
    <t>车库出入口成品宝瓶栏杆柱</t>
  </si>
  <si>
    <t>外墙大面涂料</t>
  </si>
  <si>
    <t>外墙涂料-米黄色水包水</t>
  </si>
  <si>
    <t>外墙涂料-水包砂</t>
  </si>
  <si>
    <t>外墙涂料-米黄色质感涂料</t>
  </si>
  <si>
    <t>外墙涂料-深褐色质感涂料</t>
  </si>
  <si>
    <t>外墙涂料-咖色质感涂料</t>
  </si>
  <si>
    <t>外墙涂料-仿葡萄牙米黄水包水</t>
  </si>
  <si>
    <t>外墙涂料-古典棕水包水</t>
  </si>
  <si>
    <t>外墙涂料-米黄色真石漆</t>
  </si>
  <si>
    <t>外墙涂料-仿葡萄牙米黄真石漆</t>
  </si>
  <si>
    <t>外墙涂料-米白色真石漆</t>
  </si>
  <si>
    <t>外墙涂料-深咖色真石漆</t>
  </si>
  <si>
    <t>外墙涂料-弹涂</t>
  </si>
  <si>
    <t>外墙涂料</t>
  </si>
  <si>
    <t>外墙涂料-管线涂料</t>
  </si>
  <si>
    <t>外墙外挑构件涂料</t>
  </si>
  <si>
    <t>外墙外挑涂料-米黄色水包水</t>
  </si>
  <si>
    <t>外墙外挑涂料-米黄色质感涂料</t>
  </si>
  <si>
    <t>外墙外挑涂料-深褐色质感涂料</t>
  </si>
  <si>
    <t>外墙涂料-空调仓</t>
  </si>
  <si>
    <t>外墙防水-空调仓</t>
  </si>
  <si>
    <t>外墙面-空调仓保护层</t>
  </si>
  <si>
    <t>外墙面-空调板防水</t>
  </si>
  <si>
    <t>外墙面-15厚聚合物M15水泥（防水）砂浆</t>
  </si>
  <si>
    <t>外墙保温与普通砂浆找平层</t>
  </si>
  <si>
    <t>外墙面-12厚轻质砂浆</t>
  </si>
  <si>
    <t>外墙面-15厚轻质砂浆</t>
  </si>
  <si>
    <t>外墙保温-20厚有机保温砂浆</t>
  </si>
  <si>
    <t>外墙面-12厚M5水泥砂浆</t>
  </si>
  <si>
    <t>外墙面-13厚M5水泥砂浆</t>
  </si>
  <si>
    <t>外墙面-15厚M5水泥砂浆</t>
  </si>
  <si>
    <t>外墙面-12厚M7.5水泥砂浆</t>
  </si>
  <si>
    <t>外墙面-13厚M7.5水泥砂浆</t>
  </si>
  <si>
    <t>外墙面-15厚M7.5水泥砂浆</t>
  </si>
  <si>
    <t>吊篮（脚手架）</t>
  </si>
  <si>
    <t>检测费</t>
  </si>
  <si>
    <r>
      <rPr>
        <sz val="16"/>
        <color theme="1"/>
        <rFont val="楷体"/>
        <charset val="134"/>
      </rPr>
      <t>总承包工程模拟清单-</t>
    </r>
    <r>
      <rPr>
        <sz val="16"/>
        <color rgb="FFFF0000"/>
        <rFont val="楷体"/>
        <charset val="134"/>
      </rPr>
      <t>调价基础表</t>
    </r>
  </si>
  <si>
    <t>钢筋费率</t>
  </si>
  <si>
    <t>综合取费</t>
  </si>
  <si>
    <t>辅助列</t>
  </si>
  <si>
    <t>一级类别</t>
  </si>
  <si>
    <t>二级类别</t>
  </si>
  <si>
    <t>材料名称</t>
  </si>
  <si>
    <t>主材</t>
  </si>
  <si>
    <t>人工</t>
  </si>
  <si>
    <t>机械辅材</t>
  </si>
  <si>
    <t>砂浆容重</t>
  </si>
  <si>
    <t>增值税金</t>
  </si>
  <si>
    <t>不显示人工名称</t>
  </si>
  <si>
    <t>对应人工单价</t>
  </si>
  <si>
    <t>是否认质认价</t>
  </si>
  <si>
    <t>是否甲供</t>
  </si>
  <si>
    <t>市场价</t>
  </si>
  <si>
    <t>税率</t>
  </si>
  <si>
    <t>计入价</t>
  </si>
  <si>
    <t>抓取内容</t>
  </si>
  <si>
    <t>施工费用</t>
  </si>
  <si>
    <t>施工消耗</t>
  </si>
  <si>
    <t>计入单价</t>
  </si>
  <si>
    <t>调节</t>
  </si>
  <si>
    <t>单位</t>
  </si>
  <si>
    <t>金属</t>
  </si>
  <si>
    <t>钢筋</t>
  </si>
  <si>
    <t>Φ10以内钢筋</t>
  </si>
  <si>
    <t>t</t>
  </si>
  <si>
    <t>地上结构钢筋</t>
  </si>
  <si>
    <t>三级钢筋 Φ6</t>
  </si>
  <si>
    <t>地下结构钢筋</t>
  </si>
  <si>
    <t>钢铁网没有三级6，按照直径8计入</t>
  </si>
  <si>
    <t>三级钢筋 Φ8</t>
  </si>
  <si>
    <t>三级钢筋 Φ10</t>
  </si>
  <si>
    <t>三级钢筋 Φ12</t>
  </si>
  <si>
    <t>三级钢筋 Φ14</t>
  </si>
  <si>
    <t>三级钢筋 Φ16</t>
  </si>
  <si>
    <t>三级钢筋 Φ18</t>
  </si>
  <si>
    <t>三级钢筋 Φ20</t>
  </si>
  <si>
    <t>三级钢筋 Φ22</t>
  </si>
  <si>
    <t>三级钢筋 Φ25</t>
  </si>
  <si>
    <t>φ20以内直螺纹接头</t>
  </si>
  <si>
    <t>个</t>
  </si>
  <si>
    <t>直螺纹接头</t>
  </si>
  <si>
    <t>φ30以内直螺纹接头</t>
  </si>
  <si>
    <t>电渣压力焊接头</t>
  </si>
  <si>
    <t>压力焊接头</t>
  </si>
  <si>
    <t>钢/铁丝网</t>
  </si>
  <si>
    <t>Φ4@100钢筋网</t>
  </si>
  <si>
    <t>㎡</t>
  </si>
  <si>
    <t>天棚钢丝网</t>
  </si>
  <si>
    <t>公区镀锌钢丝网</t>
  </si>
  <si>
    <t>墙面钢丝网</t>
  </si>
  <si>
    <t>户内镀锌钢丝网</t>
  </si>
  <si>
    <t>Φ4@200钢筋网</t>
  </si>
  <si>
    <t>地面单层钢丝网</t>
  </si>
  <si>
    <t>单层Φ3@50钢筋网</t>
  </si>
  <si>
    <t>双层Φ3@50钢筋网</t>
  </si>
  <si>
    <t>地面双层钢丝网</t>
  </si>
  <si>
    <t>型钢</t>
  </si>
  <si>
    <t>槽钢</t>
  </si>
  <si>
    <t>槽钢腰梁</t>
  </si>
  <si>
    <t>按照不同规格平均价计入</t>
  </si>
  <si>
    <t>参考钢筋增加200提货、运费、卸车等费用</t>
  </si>
  <si>
    <t>工字钢</t>
  </si>
  <si>
    <t>型钢支护桩</t>
  </si>
  <si>
    <t>钢管桩</t>
  </si>
  <si>
    <t>按照1cm厚中厚板材料价格计入</t>
  </si>
  <si>
    <t>零星铁件</t>
  </si>
  <si>
    <t>水泥产物</t>
  </si>
  <si>
    <t>砂浆</t>
  </si>
  <si>
    <t>有机保温砂浆</t>
  </si>
  <si>
    <t>m³</t>
  </si>
  <si>
    <t>内墙抹灰</t>
  </si>
  <si>
    <t>元/t</t>
  </si>
  <si>
    <t>胶粉聚苯颗粒</t>
  </si>
  <si>
    <t>内墙抹灰-无机保温砂浆</t>
  </si>
  <si>
    <t>无机保温砂浆</t>
  </si>
  <si>
    <t>外墙抹灰</t>
  </si>
  <si>
    <t>抗裂砂浆</t>
  </si>
  <si>
    <t>天棚抹灰</t>
  </si>
  <si>
    <t>聚合物防水砂浆</t>
  </si>
  <si>
    <t>地面抹灰</t>
  </si>
  <si>
    <t>MPC砂浆</t>
  </si>
  <si>
    <t>内墙薄抹灰</t>
  </si>
  <si>
    <t>M7.5水泥砂浆</t>
  </si>
  <si>
    <t>外墙薄抹灰</t>
  </si>
  <si>
    <t>M7.5石灰砂浆</t>
  </si>
  <si>
    <t>天棚薄抹灰</t>
  </si>
  <si>
    <t>M5水泥砂浆</t>
  </si>
  <si>
    <t>砖胎模抹灰</t>
  </si>
  <si>
    <t>M5石灰砂浆</t>
  </si>
  <si>
    <t>地下外墙抹灰</t>
  </si>
  <si>
    <t>M20水泥砂浆</t>
  </si>
  <si>
    <t>地下内墙抹灰</t>
  </si>
  <si>
    <t>M20水泥砂浆(防水粉）</t>
  </si>
  <si>
    <t>M15水泥砂浆</t>
  </si>
  <si>
    <t>1:4石灰砂浆</t>
  </si>
  <si>
    <t>1:3水泥砂浆</t>
  </si>
  <si>
    <t>1:2水泥砂浆</t>
  </si>
  <si>
    <t>1:2.5水泥砂浆(防水粉）</t>
  </si>
  <si>
    <t>1:2.5水泥砂浆</t>
  </si>
  <si>
    <t>粉刷石膏</t>
  </si>
  <si>
    <t>商砼</t>
  </si>
  <si>
    <t>C15豆石砼</t>
  </si>
  <si>
    <t>C15砼</t>
  </si>
  <si>
    <t>c15细石砼</t>
  </si>
  <si>
    <t>地面构造砼</t>
  </si>
  <si>
    <t>C20砼</t>
  </si>
  <si>
    <t>外墙抹面砼</t>
  </si>
  <si>
    <t>C20细石砼</t>
  </si>
  <si>
    <t>零星构件砼</t>
  </si>
  <si>
    <t>C25砼</t>
  </si>
  <si>
    <t>后浇带砼</t>
  </si>
  <si>
    <t>C25细石砼</t>
  </si>
  <si>
    <t>筏板后浇带砼</t>
  </si>
  <si>
    <t>C30P6砼</t>
  </si>
  <si>
    <t>地面面层砼</t>
  </si>
  <si>
    <t>C30砼</t>
  </si>
  <si>
    <t>C30细石砼</t>
  </si>
  <si>
    <t>C30自密实砼</t>
  </si>
  <si>
    <t>C35P6砼</t>
  </si>
  <si>
    <t>C35砼</t>
  </si>
  <si>
    <t>C35微膨胀砼</t>
  </si>
  <si>
    <t>C35细石砼</t>
  </si>
  <si>
    <t>C35自密实砼</t>
  </si>
  <si>
    <t>C40砼</t>
  </si>
  <si>
    <t>C40P6砼</t>
  </si>
  <si>
    <t>C45P6砼</t>
  </si>
  <si>
    <t>干法地暖粘结剂</t>
  </si>
  <si>
    <t>地面粘结剂</t>
  </si>
  <si>
    <t>防腐绝热</t>
  </si>
  <si>
    <t>防水</t>
  </si>
  <si>
    <t>1.2聚氨酯</t>
  </si>
  <si>
    <t>刷防水涂料</t>
  </si>
  <si>
    <t>是</t>
  </si>
  <si>
    <t>1.2铝箔面玻纤胎卷材</t>
  </si>
  <si>
    <t>单层自粘卷材</t>
  </si>
  <si>
    <t>1.2预铺反粘</t>
  </si>
  <si>
    <t>1.5单面粘</t>
  </si>
  <si>
    <t>1.5厚RG</t>
  </si>
  <si>
    <t>1.5厚沥青涂料</t>
  </si>
  <si>
    <t>1.5聚氨酯</t>
  </si>
  <si>
    <t>1.5双面粘</t>
  </si>
  <si>
    <t>3+3SBS</t>
  </si>
  <si>
    <t>双层SBS卷材</t>
  </si>
  <si>
    <t>3厚PE玻纤胎卷材</t>
  </si>
  <si>
    <t>4SBS</t>
  </si>
  <si>
    <t>单层SBS卷材</t>
  </si>
  <si>
    <t>4厚PE玻纤加强聚酯胎卷材</t>
  </si>
  <si>
    <t>JS</t>
  </si>
  <si>
    <t>土工布</t>
  </si>
  <si>
    <t>保温</t>
  </si>
  <si>
    <t>10厚真空绝热板</t>
  </si>
  <si>
    <t>外墙保温粘贴</t>
  </si>
  <si>
    <t>30-32kgXPS</t>
  </si>
  <si>
    <t>天棚保温粘贴</t>
  </si>
  <si>
    <t>20厚真空绝热板</t>
  </si>
  <si>
    <t>内墙保温满粘</t>
  </si>
  <si>
    <t>屋面保温粘贴</t>
  </si>
  <si>
    <t>AEPS保温</t>
  </si>
  <si>
    <t>保温一体化浇筑</t>
  </si>
  <si>
    <t>EPS聚苯板</t>
  </si>
  <si>
    <t>保温一体化后贴</t>
  </si>
  <si>
    <t>EPS</t>
  </si>
  <si>
    <t>被动式保温</t>
  </si>
  <si>
    <t>保温一体化</t>
  </si>
  <si>
    <t>110厚模泡强力复合保温板</t>
  </si>
  <si>
    <t>100厚模泡强力复合保温板</t>
  </si>
  <si>
    <t>90厚模泡强力复合保温板</t>
  </si>
  <si>
    <t>石墨聚苯板</t>
  </si>
  <si>
    <r>
      <rPr>
        <sz val="9"/>
        <rFont val="楷体"/>
        <charset val="134"/>
      </rPr>
      <t>m</t>
    </r>
    <r>
      <rPr>
        <sz val="9"/>
        <rFont val="宋体"/>
        <charset val="134"/>
      </rPr>
      <t>³</t>
    </r>
  </si>
  <si>
    <t>外墙岩棉粘贴</t>
  </si>
  <si>
    <t>260厚单层网石墨聚苯板</t>
  </si>
  <si>
    <t>260厚双层网石墨聚苯板</t>
  </si>
  <si>
    <t>320厚单层网石墨聚苯板</t>
  </si>
  <si>
    <t>地面岩棉粘贴</t>
  </si>
  <si>
    <t>320厚双层网石墨聚苯板</t>
  </si>
  <si>
    <t>真空绝热板粘贴</t>
  </si>
  <si>
    <t>180mm厚石墨聚苯板+25mm厚珍珠岩+镀锌钢丝网片</t>
  </si>
  <si>
    <t>440mm厚石墨聚苯板+25mm厚珍珠岩+镀锌钢丝网</t>
  </si>
  <si>
    <t>345mm厚石墨聚苯板+25mm厚珍珠岩+镀锌钢丝网</t>
  </si>
  <si>
    <t>镀锌钢丝网片+25mm厚珍珠岩+320mm厚石墨聚苯板+25mm厚珍珠岩+镀锌钢丝网</t>
  </si>
  <si>
    <t>珍珠岩板50mm厚</t>
  </si>
  <si>
    <t>珍珠岩板后贴</t>
  </si>
  <si>
    <t>珍珠岩板25mm厚</t>
  </si>
  <si>
    <t>140-160kg岩棉</t>
  </si>
  <si>
    <t>外墙AEPS粘贴</t>
  </si>
  <si>
    <t>复合岩棉板（岩棉条）</t>
  </si>
  <si>
    <r>
      <rPr>
        <sz val="9"/>
        <color rgb="FFFF0000"/>
        <rFont val="楷体"/>
        <charset val="134"/>
      </rPr>
      <t>m</t>
    </r>
    <r>
      <rPr>
        <sz val="9"/>
        <color rgb="FFFF0000"/>
        <rFont val="宋体"/>
        <charset val="134"/>
      </rPr>
      <t>³</t>
    </r>
  </si>
  <si>
    <t>措施</t>
  </si>
  <si>
    <t>预制过梁模板</t>
  </si>
  <si>
    <t>收口网</t>
  </si>
  <si>
    <t>地下外墙模板</t>
  </si>
  <si>
    <t>地上外墙模板</t>
  </si>
  <si>
    <t>楼梯模板</t>
  </si>
  <si>
    <t>脚手架</t>
  </si>
  <si>
    <t>脚手架-地下外墙双排</t>
  </si>
  <si>
    <t>脚手架-外墙双排</t>
  </si>
  <si>
    <t>脚手架-主楼基础满堂</t>
  </si>
  <si>
    <t>脚手架-车库基础满堂</t>
  </si>
  <si>
    <t>脚手架-内墙砌筑</t>
  </si>
  <si>
    <t>脚手架-装饰满堂</t>
  </si>
  <si>
    <t>脚手架-简易墙面</t>
  </si>
  <si>
    <t>脚手架-简易天棚</t>
  </si>
  <si>
    <t>脚手架-外墙悬挑</t>
  </si>
  <si>
    <t>脚手架-50m以内电梯井字</t>
  </si>
  <si>
    <t>座</t>
  </si>
  <si>
    <t>脚手架-70m以内电梯井字</t>
  </si>
  <si>
    <t>总价措施</t>
  </si>
  <si>
    <t>总包服务</t>
  </si>
  <si>
    <t>垂运-装配式</t>
  </si>
  <si>
    <t>垂运-非装配式</t>
  </si>
  <si>
    <t>垂运-配套</t>
  </si>
  <si>
    <t>垂运-地下车库</t>
  </si>
  <si>
    <t>构造面层</t>
  </si>
  <si>
    <t>PC构件</t>
  </si>
  <si>
    <t>PC构件-叠合板</t>
  </si>
  <si>
    <t>PC构件安装</t>
  </si>
  <si>
    <t>PC构件-空调板</t>
  </si>
  <si>
    <t>PC构件-楼梯</t>
  </si>
  <si>
    <t>砌筑</t>
  </si>
  <si>
    <t>AAC条板</t>
  </si>
  <si>
    <t>AAC墙板</t>
  </si>
  <si>
    <t>AAC自保温</t>
  </si>
  <si>
    <t>保温砌块</t>
  </si>
  <si>
    <t>加气块</t>
  </si>
  <si>
    <t>砌块砌筑</t>
  </si>
  <si>
    <t>空心砌块</t>
  </si>
  <si>
    <t>实心砖</t>
  </si>
  <si>
    <t>砼条板</t>
  </si>
  <si>
    <t>条板砌筑</t>
  </si>
  <si>
    <t>构造</t>
  </si>
  <si>
    <t>0.4厚聚乙烯膜</t>
  </si>
  <si>
    <t>塑料膜</t>
  </si>
  <si>
    <t>1.5水泥凝胶</t>
  </si>
  <si>
    <t>甩浆</t>
  </si>
  <si>
    <t>1:6水泥焦渣</t>
  </si>
  <si>
    <t>30mm焦渣</t>
  </si>
  <si>
    <t>外购土源</t>
  </si>
  <si>
    <t>28灰土</t>
  </si>
  <si>
    <t>灰土综合夯填</t>
  </si>
  <si>
    <t>37灰土</t>
  </si>
  <si>
    <t>φ110UPVC</t>
  </si>
  <si>
    <t>m</t>
  </si>
  <si>
    <t>雨水管</t>
  </si>
  <si>
    <t>φ50泄水口</t>
  </si>
  <si>
    <t>泄水口</t>
  </si>
  <si>
    <t>玻纤网</t>
  </si>
  <si>
    <t>排气道</t>
  </si>
  <si>
    <t>非级配砂石</t>
  </si>
  <si>
    <t>非级配砂石综合夯填</t>
  </si>
  <si>
    <t>钢板止水带</t>
  </si>
  <si>
    <t>级配砂石</t>
  </si>
  <si>
    <t>天棚玻纤网</t>
  </si>
  <si>
    <t>界面剂</t>
  </si>
  <si>
    <t>内界面剂</t>
  </si>
  <si>
    <t>界面修补</t>
  </si>
  <si>
    <t>外界面剂</t>
  </si>
  <si>
    <t>聚合物素浆</t>
  </si>
  <si>
    <t>沟篦子</t>
  </si>
  <si>
    <t>成品排水沟（含篦子）</t>
  </si>
  <si>
    <t>井篦子</t>
  </si>
  <si>
    <t>成品镀锌雨水篦子</t>
  </si>
  <si>
    <t>膨胀止水条</t>
  </si>
  <si>
    <t>橡胶止水条</t>
  </si>
  <si>
    <t>清底</t>
  </si>
  <si>
    <t>级配砂石综合夯填</t>
  </si>
  <si>
    <t>石膏基自流平</t>
  </si>
  <si>
    <t>自流平</t>
  </si>
  <si>
    <t>水泥基自流平</t>
  </si>
  <si>
    <t>素水泥浆</t>
  </si>
  <si>
    <t>素土夯实</t>
  </si>
  <si>
    <t>综合夯土</t>
  </si>
  <si>
    <t>素土回填</t>
  </si>
  <si>
    <t>素土综合夯填</t>
  </si>
  <si>
    <t>屋面钢爬梯</t>
  </si>
  <si>
    <t>台阶</t>
  </si>
  <si>
    <t>土方开挖</t>
  </si>
  <si>
    <t>综合挖土</t>
  </si>
  <si>
    <t>铝箔纸</t>
  </si>
  <si>
    <t>饰面面层</t>
  </si>
  <si>
    <t>100mm涂料踢脚线</t>
  </si>
  <si>
    <t>100mm踢脚涂料</t>
  </si>
  <si>
    <t>50mm涂料踢脚线</t>
  </si>
  <si>
    <t>50mm踢脚涂料</t>
  </si>
  <si>
    <t>150mm涂料踢脚线</t>
  </si>
  <si>
    <t>150mm踢脚涂料</t>
  </si>
  <si>
    <t>白水泥</t>
  </si>
  <si>
    <t>喷黑/灰涂料</t>
  </si>
  <si>
    <t>变形缝</t>
  </si>
  <si>
    <t>60kg岩棉板填缝</t>
  </si>
  <si>
    <t>岩棉板填缝</t>
  </si>
  <si>
    <t>20kg苯板填缝</t>
  </si>
  <si>
    <t>苯板填缝</t>
  </si>
  <si>
    <t>不规则1250*300（顶层挑檐下）</t>
  </si>
  <si>
    <t>异形线条</t>
  </si>
  <si>
    <t>不规则1750*420（顶层挑檐下）</t>
  </si>
  <si>
    <t>不规则线条410*100</t>
  </si>
  <si>
    <t>不规则线条480*170</t>
  </si>
  <si>
    <t>花瓶柱</t>
  </si>
  <si>
    <t>防霉涂料</t>
  </si>
  <si>
    <t>普通涂料</t>
  </si>
  <si>
    <t>上扶手线</t>
  </si>
  <si>
    <t>水包水</t>
  </si>
  <si>
    <t>水包砂</t>
  </si>
  <si>
    <t>天棚腻子</t>
  </si>
  <si>
    <t>涂料</t>
  </si>
  <si>
    <t>涂料-女儿墙</t>
  </si>
  <si>
    <t>普通涂料-女儿墙</t>
  </si>
  <si>
    <t>屋面瓦</t>
  </si>
  <si>
    <t>线条100*140</t>
  </si>
  <si>
    <t>普通线条</t>
  </si>
  <si>
    <t>线条100*280</t>
  </si>
  <si>
    <t>线条100*50</t>
  </si>
  <si>
    <t>线条100*70</t>
  </si>
  <si>
    <t>线条1082*140</t>
  </si>
  <si>
    <t>线条120*100</t>
  </si>
  <si>
    <t>线条120*240</t>
  </si>
  <si>
    <t>线条120*50</t>
  </si>
  <si>
    <t>线条120*40</t>
  </si>
  <si>
    <t>线条120*500</t>
  </si>
  <si>
    <t>线条120*70</t>
  </si>
  <si>
    <t>线条130*100</t>
  </si>
  <si>
    <t>线条130*240</t>
  </si>
  <si>
    <t>线条150*80</t>
  </si>
  <si>
    <t>线条160*100</t>
  </si>
  <si>
    <t>线条1840*150</t>
  </si>
  <si>
    <t>线条200*100</t>
  </si>
  <si>
    <t>线条30*50</t>
  </si>
  <si>
    <t>线条30*70</t>
  </si>
  <si>
    <t>线条300*100</t>
  </si>
  <si>
    <t>线条35*50</t>
  </si>
  <si>
    <t>线条450*50</t>
  </si>
  <si>
    <t>线条50*100</t>
  </si>
  <si>
    <t>线条50*50</t>
  </si>
  <si>
    <t>线条60*50</t>
  </si>
  <si>
    <t>线条695*150</t>
  </si>
  <si>
    <t>线条70*100</t>
  </si>
  <si>
    <t>线条70*210</t>
  </si>
  <si>
    <t>线条70*30</t>
  </si>
  <si>
    <t>线条70*390</t>
  </si>
  <si>
    <t>线条70*50</t>
  </si>
  <si>
    <t>线条70*70</t>
  </si>
  <si>
    <t>线条80*50</t>
  </si>
  <si>
    <t>线条L型120*100</t>
  </si>
  <si>
    <t>线条L型220*100</t>
  </si>
  <si>
    <t>线条L型240*120</t>
  </si>
  <si>
    <t>线条L型800*220</t>
  </si>
  <si>
    <t>岩棉线条150*150</t>
  </si>
  <si>
    <t>真石漆</t>
  </si>
  <si>
    <t>质感涂料</t>
  </si>
  <si>
    <t>1.5水泥防水浆料</t>
  </si>
  <si>
    <t>防水砂浆甩浆</t>
  </si>
  <si>
    <t>其他工程</t>
  </si>
  <si>
    <t>土石方</t>
  </si>
  <si>
    <t>肥槽土方回填</t>
  </si>
  <si>
    <t>库顶土方回填</t>
  </si>
  <si>
    <t>截桩头</t>
  </si>
  <si>
    <t>根</t>
  </si>
  <si>
    <t>锯桩头</t>
  </si>
  <si>
    <t>挖桩间土</t>
  </si>
  <si>
    <t>基坑支护</t>
  </si>
  <si>
    <t>护坡-C20砼</t>
  </si>
  <si>
    <t>PF2@50*50</t>
  </si>
  <si>
    <t>Φ8@200钢筋网</t>
  </si>
  <si>
    <t>100KNΦS15.2钢绞线*1</t>
  </si>
  <si>
    <t>100KNΦS15.2钢绞线*2</t>
  </si>
  <si>
    <t>100KNΦS15.2钢绞线*3</t>
  </si>
  <si>
    <t>注浆砂浆</t>
  </si>
  <si>
    <t>锚杆-C8</t>
  </si>
  <si>
    <t>土钉-C16</t>
  </si>
  <si>
    <t>土钉-C18</t>
  </si>
  <si>
    <t>土钉-C20</t>
  </si>
  <si>
    <t>土钉-C22</t>
  </si>
  <si>
    <t>土钉-C25</t>
  </si>
  <si>
    <t>冠梁</t>
  </si>
  <si>
    <t>C25支护桩</t>
  </si>
  <si>
    <t>挡水墙</t>
  </si>
  <si>
    <t>集水井</t>
  </si>
  <si>
    <t>盲沟</t>
  </si>
  <si>
    <t>单头水泥土搅拌桩机-单轴</t>
  </si>
  <si>
    <t>单头水泥土搅拌桩机-双轴</t>
  </si>
  <si>
    <t>单头水泥土搅拌桩机-三轴</t>
  </si>
  <si>
    <t>围墙</t>
  </si>
  <si>
    <t>围墙-平整场地</t>
  </si>
  <si>
    <t>围墙-挖土</t>
  </si>
  <si>
    <t>围墙-回填土</t>
  </si>
  <si>
    <t>围墙-MU10砖墙</t>
  </si>
  <si>
    <t>围墙-预制砼帽</t>
  </si>
  <si>
    <t>围墙-钢筋20以内</t>
  </si>
  <si>
    <t>围墙-M20水泥砂浆</t>
  </si>
  <si>
    <t>围墙-M20水泥砂浆（掺防水粉）</t>
  </si>
  <si>
    <t>围墙-真石漆</t>
  </si>
  <si>
    <t>围墙-栏杆</t>
  </si>
  <si>
    <t>围墙EPS造型-255*80</t>
  </si>
  <si>
    <t>围墙EPS造型-异形400高</t>
  </si>
  <si>
    <t>围墙EPS造型-50*70</t>
  </si>
  <si>
    <t>围墙EPS造型-50*40</t>
  </si>
  <si>
    <t>围墙EPS造型</t>
  </si>
  <si>
    <t>围墙-排水篦子</t>
  </si>
  <si>
    <t>围墙-排水管110mm</t>
  </si>
  <si>
    <t>电气</t>
  </si>
  <si>
    <t>配电箱</t>
  </si>
  <si>
    <t>AL1户箱</t>
  </si>
  <si>
    <t>台</t>
  </si>
  <si>
    <t>AL2户箱</t>
  </si>
  <si>
    <t>落地配电柜</t>
  </si>
  <si>
    <t>消防应急主机（3000以上）</t>
  </si>
  <si>
    <t>消防应急主机（2000~3000点）</t>
  </si>
  <si>
    <t>消防应急主机（2000点以下）</t>
  </si>
  <si>
    <t>应急电源配电箱</t>
  </si>
  <si>
    <t>公区电源箱（半周长0.5m以内）</t>
  </si>
  <si>
    <t>公区电源箱（半周长1.0m以内）</t>
  </si>
  <si>
    <t>公区电源箱（半周长1.5m以内）</t>
  </si>
  <si>
    <t>公区电源箱（半周长2m以内）</t>
  </si>
  <si>
    <t>应急照明配电箱-0.15KW DC36V</t>
  </si>
  <si>
    <t>应急照明配电箱-0.3KW DC36V</t>
  </si>
  <si>
    <t>应急照明配电箱-0.6KW DC36V</t>
  </si>
  <si>
    <t>应急照明配电箱-0.9KW DC36V</t>
  </si>
  <si>
    <t>应急照明配电箱-1KW DC36V</t>
  </si>
  <si>
    <t>应急照明集中配电箱-0.15KW DC36V</t>
  </si>
  <si>
    <t>应急照明集中配电箱-0.3KW DC36V</t>
  </si>
  <si>
    <t>应急照明集中配电箱-0.6KW DC36V</t>
  </si>
  <si>
    <t>应急照明集中配电箱-0.9KW DC36V</t>
  </si>
  <si>
    <t>应急照明集中配电箱-1KW DC36V</t>
  </si>
  <si>
    <t>接线箱（半周长700mm以内）</t>
  </si>
  <si>
    <t>弱电户箱</t>
  </si>
  <si>
    <t>防火桥架-100*100</t>
  </si>
  <si>
    <t>防火桥架-150*100</t>
  </si>
  <si>
    <t>防火桥架-200*100</t>
  </si>
  <si>
    <t>防火桥架-200*150</t>
  </si>
  <si>
    <t>防火桥架-200*200</t>
  </si>
  <si>
    <t>防火桥架-250*100</t>
  </si>
  <si>
    <t>防火桥架-250*200</t>
  </si>
  <si>
    <t>防火桥架-300*100</t>
  </si>
  <si>
    <t>防火桥架-300*150</t>
  </si>
  <si>
    <t>防火桥架-300*200</t>
  </si>
  <si>
    <t>防火桥架-350*200</t>
  </si>
  <si>
    <t>防火桥架-400*150</t>
  </si>
  <si>
    <t>防火桥架-400*200</t>
  </si>
  <si>
    <t>防火桥架-450*200</t>
  </si>
  <si>
    <t>防火桥架-500*250</t>
  </si>
  <si>
    <t>防火桥架-550*200</t>
  </si>
  <si>
    <t>防火桥架-700*200</t>
  </si>
  <si>
    <t>金属桥架-50*50</t>
  </si>
  <si>
    <t>金属桥架-80*50</t>
  </si>
  <si>
    <t>金属桥架-100*50</t>
  </si>
  <si>
    <t>金属桥架-100*100</t>
  </si>
  <si>
    <t>金属桥架-150*100</t>
  </si>
  <si>
    <t>金属桥架-200*100</t>
  </si>
  <si>
    <t>金属桥架-200*150</t>
  </si>
  <si>
    <t>金属桥架-200*200</t>
  </si>
  <si>
    <t>金属桥架-300*100</t>
  </si>
  <si>
    <t>金属桥架-300*150</t>
  </si>
  <si>
    <t>金属桥架-300*200</t>
  </si>
  <si>
    <t>金属桥架-350*200</t>
  </si>
  <si>
    <t>金属桥架-400*100</t>
  </si>
  <si>
    <t>金属桥架-400*150</t>
  </si>
  <si>
    <t>金属桥架-400*200</t>
  </si>
  <si>
    <t>金属桥架-450*200</t>
  </si>
  <si>
    <t>金属桥架-500*150</t>
  </si>
  <si>
    <t>金属桥架-500*200</t>
  </si>
  <si>
    <t>金属桥架-600*150</t>
  </si>
  <si>
    <t>金属桥架-600*200</t>
  </si>
  <si>
    <t>金属桥架-750*200</t>
  </si>
  <si>
    <t>金属桥架-800*150</t>
  </si>
  <si>
    <t>防火堵洞</t>
  </si>
  <si>
    <t>处</t>
  </si>
  <si>
    <t>配管</t>
  </si>
  <si>
    <t>JDG15-暗配</t>
  </si>
  <si>
    <t>JDG20-暗配</t>
  </si>
  <si>
    <t>JDG25-暗配</t>
  </si>
  <si>
    <t>JDG32-暗配</t>
  </si>
  <si>
    <t>JDG40-暗配</t>
  </si>
  <si>
    <t>JDG15-明配</t>
  </si>
  <si>
    <t>JDG20-明配</t>
  </si>
  <si>
    <t>JDG25-明配</t>
  </si>
  <si>
    <t>JDG32-明配</t>
  </si>
  <si>
    <t>JDG40-明配</t>
  </si>
  <si>
    <t>SC15-暗配</t>
  </si>
  <si>
    <t>SC20-暗配</t>
  </si>
  <si>
    <t>SC25-暗配</t>
  </si>
  <si>
    <t>SC32-暗配</t>
  </si>
  <si>
    <t>SC40-暗配</t>
  </si>
  <si>
    <t>SC50-暗配</t>
  </si>
  <si>
    <t>SC70-暗配</t>
  </si>
  <si>
    <t>SC75-暗配</t>
  </si>
  <si>
    <t>SC80-暗配</t>
  </si>
  <si>
    <t>SC100-暗配</t>
  </si>
  <si>
    <t>SC150-暗配</t>
  </si>
  <si>
    <t>SC15-明配</t>
  </si>
  <si>
    <t>SC20-明配</t>
  </si>
  <si>
    <t>SC25-明配</t>
  </si>
  <si>
    <t>SC32-明配</t>
  </si>
  <si>
    <t>SC40-明配</t>
  </si>
  <si>
    <t>SC50-明配</t>
  </si>
  <si>
    <t>SC70-明配</t>
  </si>
  <si>
    <t>SC75-明配</t>
  </si>
  <si>
    <t>SC80-明配</t>
  </si>
  <si>
    <t>SC100-明配</t>
  </si>
  <si>
    <t>SC150-明配</t>
  </si>
  <si>
    <t>RC15-暗配</t>
  </si>
  <si>
    <t>RC20-暗配</t>
  </si>
  <si>
    <t>RC25-暗配</t>
  </si>
  <si>
    <t>RC32-暗配</t>
  </si>
  <si>
    <t>RC40-暗配</t>
  </si>
  <si>
    <t>RC50-暗配</t>
  </si>
  <si>
    <t>RC15-明配</t>
  </si>
  <si>
    <t>RC20-明配</t>
  </si>
  <si>
    <t>RC25-明配</t>
  </si>
  <si>
    <t>RC32-明配</t>
  </si>
  <si>
    <t>RC40-明配</t>
  </si>
  <si>
    <t>RC50-明配</t>
  </si>
  <si>
    <t>PC16-暗配（重型）</t>
  </si>
  <si>
    <t>PC20-暗配（重型）</t>
  </si>
  <si>
    <t>PC25-暗配（重型）</t>
  </si>
  <si>
    <t>PC32-暗配（重型）</t>
  </si>
  <si>
    <t>PC40-暗配（重型）</t>
  </si>
  <si>
    <t>PC16-明配（重型）</t>
  </si>
  <si>
    <t>PC20-明配（重型）</t>
  </si>
  <si>
    <t>PC25-明配（重型）</t>
  </si>
  <si>
    <t>PC32-明配（重型）</t>
  </si>
  <si>
    <t>PC40-明配（重型）</t>
  </si>
  <si>
    <t>PC16-暗配（中型）</t>
  </si>
  <si>
    <t>PC20-暗配（中型）</t>
  </si>
  <si>
    <t>PC25-暗配（中型）</t>
  </si>
  <si>
    <t>PC32-暗配（中型）</t>
  </si>
  <si>
    <t>PC40-暗配（中型）</t>
  </si>
  <si>
    <t>PC16-明配（中型）</t>
  </si>
  <si>
    <t>PC20-明配（中型）</t>
  </si>
  <si>
    <t>PC25-明配（中型）</t>
  </si>
  <si>
    <t>PC32-明配（中型）</t>
  </si>
  <si>
    <t>PC40-明配（中型）</t>
  </si>
  <si>
    <t>管内穿铁丝</t>
  </si>
  <si>
    <t>金属软管-DN20</t>
  </si>
  <si>
    <t>金属软管-DN25</t>
  </si>
  <si>
    <t>金属软管-DN32</t>
  </si>
  <si>
    <t>配线</t>
  </si>
  <si>
    <t>BV1.5</t>
  </si>
  <si>
    <t>BV2.5</t>
  </si>
  <si>
    <t>BV4</t>
  </si>
  <si>
    <t>BV6</t>
  </si>
  <si>
    <t>BV10</t>
  </si>
  <si>
    <t>BV16</t>
  </si>
  <si>
    <t>BV25</t>
  </si>
  <si>
    <t>ZRBV1.5</t>
  </si>
  <si>
    <t>ZRBV2.5</t>
  </si>
  <si>
    <t>ZRBV4</t>
  </si>
  <si>
    <t>ZRBV6</t>
  </si>
  <si>
    <t>ZRBV10</t>
  </si>
  <si>
    <t>ZRBV16</t>
  </si>
  <si>
    <t>ZRBV25</t>
  </si>
  <si>
    <t>NHBV1.5</t>
  </si>
  <si>
    <t>NHBV2.5</t>
  </si>
  <si>
    <t>NHBV4</t>
  </si>
  <si>
    <t>NHBV6</t>
  </si>
  <si>
    <t>NHBV10</t>
  </si>
  <si>
    <t>NHBV16</t>
  </si>
  <si>
    <t>NHBV25</t>
  </si>
  <si>
    <t>WDZNBYJ2.5</t>
  </si>
  <si>
    <t>WDZNBYJ4</t>
  </si>
  <si>
    <t>WDZNBYJ6</t>
  </si>
  <si>
    <t>WDZNBYJ10</t>
  </si>
  <si>
    <t>WDZNBYJ16</t>
  </si>
  <si>
    <t>WDZNBYJ25</t>
  </si>
  <si>
    <t>WDZBYJ2.5</t>
  </si>
  <si>
    <t>WDZBYJ4</t>
  </si>
  <si>
    <t>WDZBYJ6</t>
  </si>
  <si>
    <t>WDZBYJ10</t>
  </si>
  <si>
    <t>WDZBYJ16</t>
  </si>
  <si>
    <t>WDZBYJ25</t>
  </si>
  <si>
    <t>排污泵防水电缆</t>
  </si>
  <si>
    <t>NHRVS2*1.5</t>
  </si>
  <si>
    <t>NHRVS2*2.5</t>
  </si>
  <si>
    <t>NHRVS2*4</t>
  </si>
  <si>
    <t>WDZNRYJS2*2.5</t>
  </si>
  <si>
    <t>RVV-3*1.0</t>
  </si>
  <si>
    <t>RVV-4*1.0</t>
  </si>
  <si>
    <t>RVV-5*1.0</t>
  </si>
  <si>
    <t>BVR4</t>
  </si>
  <si>
    <t>WDZN-RYYSP-2X2.5</t>
  </si>
  <si>
    <t>WDZN-RYYSP-2X1.5</t>
  </si>
  <si>
    <t>灯具</t>
  </si>
  <si>
    <t>单管荧光灯（吊杆或吊链）</t>
  </si>
  <si>
    <t>套</t>
  </si>
  <si>
    <t>双管荧光灯（吊杆或吊链）</t>
  </si>
  <si>
    <t>单管雷达波感应荧光灯</t>
  </si>
  <si>
    <t>双管雷达波感应荧光灯</t>
  </si>
  <si>
    <t>LED铝合金线槽灯带（10*10mm）</t>
  </si>
  <si>
    <t>LED铝合金线槽灯带（30*10mm）</t>
  </si>
  <si>
    <t>LED铝合金线槽灯带（50*20mm）</t>
  </si>
  <si>
    <t>应急单管荧光灯（吊杆或吊链）</t>
  </si>
  <si>
    <t>密闭或防爆单管荧光灯（吊杆或吊链）</t>
  </si>
  <si>
    <t>密闭或防爆双管荧光灯（吊杆或吊链）</t>
  </si>
  <si>
    <t>密闭或防爆应急单管荧光灯（吊杆或吊链）</t>
  </si>
  <si>
    <t>密闭或防爆灯罩吸顶灯</t>
  </si>
  <si>
    <t>防水防尘灯罩吸顶灯</t>
  </si>
  <si>
    <t>灯罩吸顶灯</t>
  </si>
  <si>
    <t xml:space="preserve">吸顶灯(自带声光控开关) </t>
  </si>
  <si>
    <t>紧凑型节能日光灯</t>
  </si>
  <si>
    <t>普通座灯头</t>
  </si>
  <si>
    <t>普通LED节能座灯头</t>
  </si>
  <si>
    <t>门上LED节能座灯（电井、水暖井）</t>
  </si>
  <si>
    <t>壁灯</t>
  </si>
  <si>
    <t>安全出口标志灯</t>
  </si>
  <si>
    <t>多信息复合标志灯</t>
  </si>
  <si>
    <t>火灾禁入标志灯</t>
  </si>
  <si>
    <t>楼层指示标志灯</t>
  </si>
  <si>
    <t>单向单面疏散指示标志灯</t>
  </si>
  <si>
    <t>单向双面疏散指示标志灯</t>
  </si>
  <si>
    <t>消防应急壁灯</t>
  </si>
  <si>
    <t>消防应急照明灯</t>
  </si>
  <si>
    <t>消防应急壁灯（防护等级IP67）</t>
  </si>
  <si>
    <t>单向、双向疏散出口指示灯（防护等级IP67）</t>
  </si>
  <si>
    <t>疏散出口标志灯-带蓄电池</t>
  </si>
  <si>
    <t>疏散出口标志灯（防护等级IP67）带蓄电池</t>
  </si>
  <si>
    <t>楼层指示标志灯-带蓄电池</t>
  </si>
  <si>
    <t>单向单面疏散指示标志灯-带蓄电池</t>
  </si>
  <si>
    <t>单向双面疏散指示标志灯-带蓄电池</t>
  </si>
  <si>
    <t>双向单面疏散指示标志灯-带蓄电池</t>
  </si>
  <si>
    <t>安全出口标志灯-带蓄电池</t>
  </si>
  <si>
    <t>E-X带禁止入内的安全出口标志灯-带蓄电池</t>
  </si>
  <si>
    <t>火灾禁入标志灯-带蓄电池</t>
  </si>
  <si>
    <t>E1消防应急壁灯-带蓄电池</t>
  </si>
  <si>
    <t>消防应急吸顶灯-带蓄电池</t>
  </si>
  <si>
    <t>消防应急吸顶灯（防护等级IP67）带蓄电池</t>
  </si>
  <si>
    <t>消防应急吸顶灯-附微波感应（防护等级IP67）带蓄电池</t>
  </si>
  <si>
    <t>消防应急壁灯（微波感应）带蓄电池</t>
  </si>
  <si>
    <t>消防应急吸顶灯-附微波感应带蓄电池</t>
  </si>
  <si>
    <t>开关插座</t>
  </si>
  <si>
    <t>单联单控开关</t>
  </si>
  <si>
    <t>单联双控开关</t>
  </si>
  <si>
    <t>双联单控开关</t>
  </si>
  <si>
    <t>三联单控开关</t>
  </si>
  <si>
    <t>四联单控开关</t>
  </si>
  <si>
    <t>声光控开关</t>
  </si>
  <si>
    <t>红外感应开关</t>
  </si>
  <si>
    <t>热力温控开关</t>
  </si>
  <si>
    <t>残疾人呼叫按钮</t>
  </si>
  <si>
    <t>残疾人呼叫声光</t>
  </si>
  <si>
    <t>油烟机插座</t>
  </si>
  <si>
    <t>五孔插座</t>
  </si>
  <si>
    <t>滤毒室插座</t>
  </si>
  <si>
    <t>七孔插座</t>
  </si>
  <si>
    <t>燃气插座</t>
  </si>
  <si>
    <t>热水器插座</t>
  </si>
  <si>
    <t>剃须刀插座</t>
  </si>
  <si>
    <t>五孔插座（IP54）</t>
  </si>
  <si>
    <t>洗衣机插座</t>
  </si>
  <si>
    <t>智能马桶插座</t>
  </si>
  <si>
    <t>冰箱插座</t>
  </si>
  <si>
    <t>电伴热插座</t>
  </si>
  <si>
    <t>电磁阀五孔插座（IP54）</t>
  </si>
  <si>
    <t>电动门五孔插座</t>
  </si>
  <si>
    <t>电辅热插座</t>
  </si>
  <si>
    <t>电梯检修插座</t>
  </si>
  <si>
    <t>警报插座</t>
  </si>
  <si>
    <t>空调插座（带开关）</t>
  </si>
  <si>
    <t>电话插孔</t>
  </si>
  <si>
    <t>人防呼叫按钮</t>
  </si>
  <si>
    <t>接线盒</t>
  </si>
  <si>
    <t>钢制接线盒</t>
  </si>
  <si>
    <t>排气扇接线盒（含面板）</t>
  </si>
  <si>
    <t>塑料接线盒</t>
  </si>
  <si>
    <t>塑料开关盒</t>
  </si>
  <si>
    <t>密闭接线盒</t>
  </si>
  <si>
    <t>防爆接线盒</t>
  </si>
  <si>
    <t>防护单元密闭接线箱</t>
  </si>
  <si>
    <t>防溅盒</t>
  </si>
  <si>
    <t>空白面板</t>
  </si>
  <si>
    <t>低压熔断器</t>
  </si>
  <si>
    <t>低压交流异步电动机（6KW）</t>
  </si>
  <si>
    <t>低压交流异步电动机（12KW）</t>
  </si>
  <si>
    <t>风扇或风机（电梯机房）</t>
  </si>
  <si>
    <t>防雷接地</t>
  </si>
  <si>
    <t>接地极</t>
  </si>
  <si>
    <t>避雷引下线（绑扎或机械连接时）</t>
  </si>
  <si>
    <t>避雷引下线（对焊连接时）</t>
  </si>
  <si>
    <t>避雷网φ10</t>
  </si>
  <si>
    <t>避雷网φ12</t>
  </si>
  <si>
    <t>接地母线扁钢25*4</t>
  </si>
  <si>
    <t>接地母线扁钢40*4</t>
  </si>
  <si>
    <t>接地母线扁钢50*5</t>
  </si>
  <si>
    <t>卫生间等电位接地</t>
  </si>
  <si>
    <t>间</t>
  </si>
  <si>
    <t>卫生间等电位箱</t>
  </si>
  <si>
    <t>室外测试端子箱（含测试板）</t>
  </si>
  <si>
    <t>等电位端子箱</t>
  </si>
  <si>
    <t>总等电位端子箱</t>
  </si>
  <si>
    <t>均压环</t>
  </si>
  <si>
    <t>接地端子板</t>
  </si>
  <si>
    <t>块</t>
  </si>
  <si>
    <t>钢铝窗接地</t>
  </si>
  <si>
    <t>进出户管道、突出金属物接地</t>
  </si>
  <si>
    <t>接地跨接线</t>
  </si>
  <si>
    <t>接地装置调试</t>
  </si>
  <si>
    <t>单体</t>
  </si>
  <si>
    <t>电气系统调试</t>
  </si>
  <si>
    <t>送配电装置系统调试</t>
  </si>
  <si>
    <t>单元</t>
  </si>
  <si>
    <t>系统</t>
  </si>
  <si>
    <t>穿梁或墙套管</t>
  </si>
  <si>
    <t>穿梁或墙套管-DN15~32</t>
  </si>
  <si>
    <t>穿梁或墙套管-DN40~50</t>
  </si>
  <si>
    <t>穿梁或墙套管-DN65~70</t>
  </si>
  <si>
    <t>穿梁或墙套管-DN80~100</t>
  </si>
  <si>
    <t>穿梁或墙套管-DN125~150</t>
  </si>
  <si>
    <t>人防区域防护单元密闭肋及密闭肋穿墙套管（含穿墙套管管道）</t>
  </si>
  <si>
    <t>密闭肋套管-DN15~32</t>
  </si>
  <si>
    <t>密闭肋套管-DN40~50</t>
  </si>
  <si>
    <t>密闭肋套管-DN65~70</t>
  </si>
  <si>
    <t>密闭肋套管-DN80~100</t>
  </si>
  <si>
    <t>密闭肋套管-DN125~150</t>
  </si>
  <si>
    <t>电缆出户保护管止水钢板</t>
  </si>
  <si>
    <t>电缆保护管出户1cm厚阻水钢板供应加工制作安装</t>
  </si>
  <si>
    <t>电缆保护管出户0.8cm厚阻水钢板供应加工制作安装</t>
  </si>
  <si>
    <t>电缆保护管出户0.6cm厚阻水钢板供应加工制作安装</t>
  </si>
  <si>
    <t>电缆保护管止水翼环供应加工制作安装DN50以内</t>
  </si>
  <si>
    <t>电缆保护管止水翼环供应加工制作安装DN65~80以内</t>
  </si>
  <si>
    <t>电缆保护管止水翼环供应加工制作安装DN100以内</t>
  </si>
  <si>
    <t>电缆保护管止水翼环供应加工制作安装125以内</t>
  </si>
  <si>
    <t>电缆保护管止水翼环供应加工制作安装DN150以内</t>
  </si>
  <si>
    <t>电缆保护管-RC50</t>
  </si>
  <si>
    <t>电缆保护管-RC80</t>
  </si>
  <si>
    <t>电缆保护管-RC100</t>
  </si>
  <si>
    <t>电缆保护管-RC125</t>
  </si>
  <si>
    <t>电缆保护管-RC150</t>
  </si>
  <si>
    <t>水暖管网系统</t>
  </si>
  <si>
    <t>给水管</t>
  </si>
  <si>
    <t>内衬塑镀锌钢塑复合管-DN15-螺纹</t>
  </si>
  <si>
    <t>内衬塑镀锌钢塑复合管-DN20-螺纹</t>
  </si>
  <si>
    <t>内衬塑镀锌钢塑复合管-DN25-螺纹</t>
  </si>
  <si>
    <t>内衬塑镀锌钢塑复合管-DN32-螺纹</t>
  </si>
  <si>
    <t>内衬塑镀锌钢塑复合管-DN40-螺纹</t>
  </si>
  <si>
    <t>内衬塑镀锌钢塑复合管-DN50-螺纹</t>
  </si>
  <si>
    <t>内衬塑镀锌钢塑复合管-DN65-螺纹</t>
  </si>
  <si>
    <t>内衬塑镀锌钢塑复合管-DN80-螺纹或沟槽连接</t>
  </si>
  <si>
    <t>内衬塑镀锌钢塑复合管-DN100-沟槽连接</t>
  </si>
  <si>
    <t>内衬塑镀锌钢塑复合管-DN125-沟槽连接</t>
  </si>
  <si>
    <t>内衬塑镀锌钢塑复合管-DN150-沟槽连接</t>
  </si>
  <si>
    <t>薄壁不锈钢管-DN15-卡压式连接</t>
  </si>
  <si>
    <t>薄壁不锈钢管-DN20-卡压式连接</t>
  </si>
  <si>
    <t>薄壁不锈钢管-DN25-卡压式连接</t>
  </si>
  <si>
    <t>薄壁不锈钢管-DN32-卡压式连接</t>
  </si>
  <si>
    <t>薄壁不锈钢管-DN40-卡压式连接</t>
  </si>
  <si>
    <t>薄壁不锈钢管-DN50-卡压式连接</t>
  </si>
  <si>
    <t>薄壁不锈钢管-DN65-卡压式连接</t>
  </si>
  <si>
    <t>PPR-De20（S5）-热熔</t>
  </si>
  <si>
    <t>PPR-De25（S5）-热熔</t>
  </si>
  <si>
    <t>PPR-De32(S5)-热熔</t>
  </si>
  <si>
    <t>PPR-De40（S5）-热熔</t>
  </si>
  <si>
    <t>PPR-De50（S5）-热熔</t>
  </si>
  <si>
    <t>PPR-De63（S5）-热熔</t>
  </si>
  <si>
    <t>PPR-De20（S3.2）-热熔</t>
  </si>
  <si>
    <t>PPR-De25（S3.2）-热熔</t>
  </si>
  <si>
    <t>PPR-De32（S3.2）-热熔</t>
  </si>
  <si>
    <t>压力排污室内</t>
  </si>
  <si>
    <t>镀锌钢管-DN50-螺纹或沟槽连接</t>
  </si>
  <si>
    <t>镀锌钢管-DN65-螺纹或沟槽连接</t>
  </si>
  <si>
    <t>镀锌钢管-DN80-螺纹或沟槽连接</t>
  </si>
  <si>
    <t>镀锌钢管-DN100-沟槽连接</t>
  </si>
  <si>
    <t>镀锌钢管-DN125-沟槽连接</t>
  </si>
  <si>
    <t>镀锌钢管-DN150-沟槽连接</t>
  </si>
  <si>
    <t>压力排污室外或埋地</t>
  </si>
  <si>
    <t>室外或埋地镀锌钢管-DN50-螺纹或沟槽连接</t>
  </si>
  <si>
    <t>室外或埋地镀锌钢管-DN65-螺纹或沟槽连接</t>
  </si>
  <si>
    <t>室外或埋地镀锌钢管-DN80-螺纹或沟槽连接</t>
  </si>
  <si>
    <t>室外或埋地镀锌钢管-DN100-沟槽连接</t>
  </si>
  <si>
    <t>室外或埋地镀锌钢管-DN125-沟槽连接</t>
  </si>
  <si>
    <t>室外或埋地镀锌钢管-DN150-沟槽连接</t>
  </si>
  <si>
    <t>室内排水管</t>
  </si>
  <si>
    <t>W型铸铁管-DN200</t>
  </si>
  <si>
    <t>W型铸铁管-DN150</t>
  </si>
  <si>
    <t>W型铸铁管-DN100</t>
  </si>
  <si>
    <t>W型铸铁管-DN75</t>
  </si>
  <si>
    <t>W型铸铁管-DN50</t>
  </si>
  <si>
    <t>A型铸铁管-DN200</t>
  </si>
  <si>
    <t>A型铸铁管-DN150</t>
  </si>
  <si>
    <t>A型铸铁管-DN100</t>
  </si>
  <si>
    <t>A型铸铁管-DN75</t>
  </si>
  <si>
    <t>A型铸铁管-DN50</t>
  </si>
  <si>
    <t>排水支管UPVC-De50</t>
  </si>
  <si>
    <t>排水支管UPVC-De75</t>
  </si>
  <si>
    <t>排水支管UPVC-De110</t>
  </si>
  <si>
    <t>加厚UPVC-De75</t>
  </si>
  <si>
    <t>加厚UPVC-De110</t>
  </si>
  <si>
    <t>加厚UPVC-De160</t>
  </si>
  <si>
    <t>透气立管UPVC-De110</t>
  </si>
  <si>
    <t>冷凝水UPVC-De50</t>
  </si>
  <si>
    <t>冷凝水UPVC-De75</t>
  </si>
  <si>
    <t>消音UPVC-De75</t>
  </si>
  <si>
    <t>消音UPVC-De110</t>
  </si>
  <si>
    <t>室外或埋地排水管</t>
  </si>
  <si>
    <t>室外或埋地W型铸铁管-DN200</t>
  </si>
  <si>
    <t>室外或埋地W型铸铁管-DN150</t>
  </si>
  <si>
    <t>室外或埋地W型铸铁管-DN100</t>
  </si>
  <si>
    <t>室外或埋地W型铸铁管-DN75</t>
  </si>
  <si>
    <t>室外或埋地W型铸铁管-DN50</t>
  </si>
  <si>
    <t>室外或埋地A型铸铁管-DN200</t>
  </si>
  <si>
    <t>室外或埋地A型铸铁管-DN150</t>
  </si>
  <si>
    <t>室外或埋地A型铸铁管-DN100</t>
  </si>
  <si>
    <t>室外或埋地A型铸铁管-DN75</t>
  </si>
  <si>
    <t>室外或埋地A型铸铁管-DN50</t>
  </si>
  <si>
    <t>室外或埋地加厚UPVC-De50</t>
  </si>
  <si>
    <t>室外或埋地加厚UPVC-De75</t>
  </si>
  <si>
    <t>室外或埋地加厚UPVC-De110</t>
  </si>
  <si>
    <t>室外或埋地加厚UPVC-De160</t>
  </si>
  <si>
    <t>水暖螺纹阀部件</t>
  </si>
  <si>
    <t>塑料铜止回阀-De20</t>
  </si>
  <si>
    <t>塑料铜止回阀-De25</t>
  </si>
  <si>
    <t>塑料铜倒流防止器-De25</t>
  </si>
  <si>
    <t>塑料铜截止阀-De20</t>
  </si>
  <si>
    <t>塑料铜截止阀-De25</t>
  </si>
  <si>
    <t>塑料铜截止阀-De32</t>
  </si>
  <si>
    <t>塑料铜截止阀-De40</t>
  </si>
  <si>
    <t>塑料铜截止阀-De50</t>
  </si>
  <si>
    <t>塑料铜截止阀-De63</t>
  </si>
  <si>
    <t>铜截止阀-DN15</t>
  </si>
  <si>
    <t>铜截止阀-DN20</t>
  </si>
  <si>
    <t>铜截止阀-DN25</t>
  </si>
  <si>
    <t>铜截止阀-DN32</t>
  </si>
  <si>
    <t>铜截止阀-DN40</t>
  </si>
  <si>
    <t>铜截止阀-DN50</t>
  </si>
  <si>
    <t>铜闸阀-DN25</t>
  </si>
  <si>
    <t>铜闸阀-DN32</t>
  </si>
  <si>
    <t>铜闸阀-DN40</t>
  </si>
  <si>
    <t>铜闸阀-DN50</t>
  </si>
  <si>
    <t>铜球阀-DN25</t>
  </si>
  <si>
    <t>铜球阀-DN32</t>
  </si>
  <si>
    <t>铜止回阀-DN20</t>
  </si>
  <si>
    <t>铜止回阀-DN25</t>
  </si>
  <si>
    <t>铜止回阀-DN32</t>
  </si>
  <si>
    <t>铜止回阀-DN40</t>
  </si>
  <si>
    <t>铜止回阀-DN50</t>
  </si>
  <si>
    <t>铜过滤器-DN20</t>
  </si>
  <si>
    <t>铜过滤器-DN25</t>
  </si>
  <si>
    <t>铜过滤器-DN32</t>
  </si>
  <si>
    <t>铜过滤器-DN40</t>
  </si>
  <si>
    <t>铜过滤器-DN50</t>
  </si>
  <si>
    <t>铜静态水力平衡阀-DN20</t>
  </si>
  <si>
    <t>铜静态水力平衡阀-DN25</t>
  </si>
  <si>
    <t>铜静态水力平衡阀-DN32</t>
  </si>
  <si>
    <t>铜静态水力平衡阀-DN40</t>
  </si>
  <si>
    <t>铜静态水力平衡阀-DN50</t>
  </si>
  <si>
    <t>铜锁闭阀-DN20</t>
  </si>
  <si>
    <t>铜锁闭阀-DN25</t>
  </si>
  <si>
    <t>铜锁闭阀-DN32</t>
  </si>
  <si>
    <t>铜锁闭阀-DN40</t>
  </si>
  <si>
    <t>铜锁闭阀-DN50</t>
  </si>
  <si>
    <t>铜手动调节阀-DN25</t>
  </si>
  <si>
    <t>铜手动调节阀-DN32</t>
  </si>
  <si>
    <t>铜手动调节阀-DN50</t>
  </si>
  <si>
    <t>铜减压稳压阀-DN20</t>
  </si>
  <si>
    <t>铜减压稳压阀-DN25</t>
  </si>
  <si>
    <t>铜减压稳压阀-DN32</t>
  </si>
  <si>
    <t>电动温控阀-DN20</t>
  </si>
  <si>
    <t>电动温控阀-DN25</t>
  </si>
  <si>
    <t>铜测温球阀-DN20</t>
  </si>
  <si>
    <t>铜测温球阀-DN25</t>
  </si>
  <si>
    <t>铜自动放气阀-DN15</t>
  </si>
  <si>
    <t>铜自动放气阀-DN20</t>
  </si>
  <si>
    <t>可曲挠橡胶接头-DN25</t>
  </si>
  <si>
    <t>软接头-De50</t>
  </si>
  <si>
    <t>波纹补偿器-DN32</t>
  </si>
  <si>
    <t>波纹补偿器-DN40</t>
  </si>
  <si>
    <t>波纹补偿器-DN50</t>
  </si>
  <si>
    <t>水暖法兰阀部件</t>
  </si>
  <si>
    <t>法兰闸阀-DN50</t>
  </si>
  <si>
    <t>法兰闸阀-DN65</t>
  </si>
  <si>
    <t>法兰闸阀-DN80</t>
  </si>
  <si>
    <t>法兰闸阀-DN100</t>
  </si>
  <si>
    <t>Y型过滤器-DN65</t>
  </si>
  <si>
    <t>Y型过滤器-DN80</t>
  </si>
  <si>
    <t>Y型过滤器-DN100</t>
  </si>
  <si>
    <t>法兰止回阀-DN50</t>
  </si>
  <si>
    <t>法兰止回阀-DN65</t>
  </si>
  <si>
    <t>法兰止回阀-DN80</t>
  </si>
  <si>
    <t>法兰止回阀-DN100</t>
  </si>
  <si>
    <t>对夹式蝶阀-DN40</t>
  </si>
  <si>
    <t>对夹式蝶阀-DN50</t>
  </si>
  <si>
    <t>对夹式蝶阀-DN65</t>
  </si>
  <si>
    <t>对夹式蝶阀-DN80</t>
  </si>
  <si>
    <t>对夹式蝶阀-DN100</t>
  </si>
  <si>
    <t>对夹式蝶阀-DN125</t>
  </si>
  <si>
    <t>对夹式蝶阀-DN150</t>
  </si>
  <si>
    <t>对夹式蝶阀-DN200</t>
  </si>
  <si>
    <t>对夹式蝶阀-DN250</t>
  </si>
  <si>
    <t>法兰静态水力平衡阀-DN65</t>
  </si>
  <si>
    <t>法兰静态水力平衡阀-DN80</t>
  </si>
  <si>
    <t>可曲挠橡胶接头-DN50</t>
  </si>
  <si>
    <t>可曲挠橡胶接头-DN65</t>
  </si>
  <si>
    <t>可曲挠橡胶接头-DN80</t>
  </si>
  <si>
    <t>可曲挠橡胶接头-DN100</t>
  </si>
  <si>
    <t>波纹补偿器-DN65</t>
  </si>
  <si>
    <t>波纹补偿器-DN80</t>
  </si>
  <si>
    <t>波纹补偿器-DN100</t>
  </si>
  <si>
    <t>波纹补偿器-DN125</t>
  </si>
  <si>
    <t>波纹补偿器-DN150</t>
  </si>
  <si>
    <t>波纹补偿器-DN200</t>
  </si>
  <si>
    <t>法兰活塞式电动浮球阀-DN100</t>
  </si>
  <si>
    <t>法兰浮球阀-DN40</t>
  </si>
  <si>
    <t>倒流防止器-De50</t>
  </si>
  <si>
    <t>仪表配置</t>
  </si>
  <si>
    <t>IC卡热水表(DN15)</t>
  </si>
  <si>
    <t>组</t>
  </si>
  <si>
    <t>IC卡热水表(DN20)</t>
  </si>
  <si>
    <t>热量表-DN15（甲供）</t>
  </si>
  <si>
    <t>热量表-DN15</t>
  </si>
  <si>
    <t>水表-DN20（机械或IC卡）</t>
  </si>
  <si>
    <t>水表-DN32（机械或IC卡）</t>
  </si>
  <si>
    <t>水表-DN40（机械或IC卡）</t>
  </si>
  <si>
    <t>水表-DN50（机械或IC卡）</t>
  </si>
  <si>
    <t>水表-DN65（机械或IC卡）</t>
  </si>
  <si>
    <t>水表-DN80（机械或IC卡）</t>
  </si>
  <si>
    <t>水表-DN250（机械或IC卡）</t>
  </si>
  <si>
    <t>压力表（含表弯、旋塞阀、仪表接头）-泵阀组</t>
  </si>
  <si>
    <t>压力表-减压阀组</t>
  </si>
  <si>
    <t>温度仪表</t>
  </si>
  <si>
    <t>支</t>
  </si>
  <si>
    <t>卫生器具</t>
  </si>
  <si>
    <t>地面铸铁清扫口-DN80</t>
  </si>
  <si>
    <t>地面铸铁清扫口-De110</t>
  </si>
  <si>
    <t>地面塑料清扫口-DN80</t>
  </si>
  <si>
    <t>地面塑料清扫口-De110</t>
  </si>
  <si>
    <t>铸铁地漏-DN50</t>
  </si>
  <si>
    <t>铸铁地漏-DN75</t>
  </si>
  <si>
    <t>铸铁地漏-DN100</t>
  </si>
  <si>
    <t>防爆地漏-DN80</t>
  </si>
  <si>
    <t>普通地漏-De50</t>
  </si>
  <si>
    <t>塑料地漏-DN100</t>
  </si>
  <si>
    <t>洗衣机地漏-De50</t>
  </si>
  <si>
    <t>雨水塑料地漏-DN75</t>
  </si>
  <si>
    <t>水龙头DN15</t>
  </si>
  <si>
    <t>水龙头-DN20</t>
  </si>
  <si>
    <t>套管（含填料封堵）</t>
  </si>
  <si>
    <t>刚性防水套管成套采购-DN50</t>
  </si>
  <si>
    <t>刚性防水套管成套采购-DN65</t>
  </si>
  <si>
    <t>刚性防水套管成套采购-DN80</t>
  </si>
  <si>
    <t>刚性防水套管成套采购-DN100</t>
  </si>
  <si>
    <t>刚性防水套管成套采购-DN125</t>
  </si>
  <si>
    <t>刚性防水套管成套采购-DN150</t>
  </si>
  <si>
    <t>刚性防水套管成套采购-DN200</t>
  </si>
  <si>
    <t>刚性防水套管成套采购-DN250</t>
  </si>
  <si>
    <t>刚性防水套管成套采购-DN300</t>
  </si>
  <si>
    <t>柔性防水套管成套采购-DN50</t>
  </si>
  <si>
    <t>柔性防水套管成套采购-DN65</t>
  </si>
  <si>
    <t>柔性防水套管成套采购-DN80</t>
  </si>
  <si>
    <t>柔性防水套管成套采购-DN100</t>
  </si>
  <si>
    <t>柔性防水套管成套采购-DN125</t>
  </si>
  <si>
    <t>柔性防水套管成套采购-DN150</t>
  </si>
  <si>
    <t>柔性防水套管成套采购-DN200</t>
  </si>
  <si>
    <t>柔性防水套管成套采购-DN250</t>
  </si>
  <si>
    <t>柔性防水套管成套采购-DN300</t>
  </si>
  <si>
    <t>柔性防水套管成套采购-DN350</t>
  </si>
  <si>
    <t>柔性防水套管成套采购-DN400</t>
  </si>
  <si>
    <t>消防预留套管（不含封堵）</t>
  </si>
  <si>
    <t>消防钢套管-DN65</t>
  </si>
  <si>
    <t>消防钢套管-DN100</t>
  </si>
  <si>
    <t>消防钢套管-DN150</t>
  </si>
  <si>
    <t>消防钢套管-DN250</t>
  </si>
  <si>
    <t>绝热及保护层</t>
  </si>
  <si>
    <t>B1橡塑保温</t>
  </si>
  <si>
    <t>阻燃塑料带保护层</t>
  </si>
  <si>
    <t>玻璃丝布</t>
  </si>
  <si>
    <t>电伴热</t>
  </si>
  <si>
    <t>电伴热控制箱</t>
  </si>
  <si>
    <t>防火漆</t>
  </si>
  <si>
    <t>防火胶带</t>
  </si>
  <si>
    <t>采暖管</t>
  </si>
  <si>
    <t>采暖镀锌钢管-DN15-螺纹连接</t>
  </si>
  <si>
    <t>采暖镀锌钢管-DN20-螺纹连接</t>
  </si>
  <si>
    <t>采暖镀锌钢管-DN25-螺纹连接</t>
  </si>
  <si>
    <t>采暖镀锌钢管-DN32-螺纹连接</t>
  </si>
  <si>
    <t>采暖镀锌钢管-DN40-螺纹连接</t>
  </si>
  <si>
    <t>采暖镀锌钢管-DN50-螺纹连接</t>
  </si>
  <si>
    <t>采暖镀锌钢管-DN65-螺纹连接</t>
  </si>
  <si>
    <t>采暖镀锌钢管-DN80-螺纹连接</t>
  </si>
  <si>
    <t>采暖无缝镀锌钢管-DN108*4.5-焊接</t>
  </si>
  <si>
    <t>采暖无缝镀锌钢管-DN133*5-焊接</t>
  </si>
  <si>
    <t>采暖无缝镀锌钢管-DN159*5-焊接</t>
  </si>
  <si>
    <t>采暖无缝镀锌钢管-DN219*8-焊接</t>
  </si>
  <si>
    <t>采暖无缝镀锌钢管-DN273*9-焊接</t>
  </si>
  <si>
    <t>人防通风密闭套管</t>
  </si>
  <si>
    <t>密闭套管成套采购 D250mm以内</t>
  </si>
  <si>
    <t>密闭套管成套采购 D310mm以内</t>
  </si>
  <si>
    <t>密闭套管成套采购D450mm以内</t>
  </si>
  <si>
    <t>密闭套管成套采购 D570mm以内</t>
  </si>
  <si>
    <t>密闭套管成套采购 D680mm以内</t>
  </si>
  <si>
    <t>密闭套管成套采购 D820mm以内</t>
  </si>
  <si>
    <t>密闭套管成套采购D1100mm以内</t>
  </si>
  <si>
    <t>空调及燃气套管</t>
  </si>
  <si>
    <t>套管DN80</t>
  </si>
  <si>
    <t>套管DN100</t>
  </si>
  <si>
    <t>套管DN150</t>
  </si>
  <si>
    <t>设备</t>
  </si>
  <si>
    <t xml:space="preserve">污水泵50WQ/D242-1.5-Z型  </t>
  </si>
  <si>
    <t xml:space="preserve">污水泵50JYWQ15-15-1200-1.5型 </t>
  </si>
  <si>
    <t xml:space="preserve">污水泵50JYWQ-23-15-1200-2.2型 
</t>
  </si>
  <si>
    <t xml:space="preserve">污水泵50JYWQ10-13-2.2型
</t>
  </si>
  <si>
    <t>污水泵65WQ/D251-3-Z型</t>
  </si>
  <si>
    <t xml:space="preserve">污水泵65JYWQ-40-15-1600-4型
</t>
  </si>
  <si>
    <t xml:space="preserve">污水泵80JYWQ-40-15-1600-4型
</t>
  </si>
  <si>
    <t>污水泵80JYWQ40-15-1600-4.0型</t>
  </si>
  <si>
    <t xml:space="preserve">污水泵80WQ/EC55-16-4-Y型 </t>
  </si>
  <si>
    <t xml:space="preserve">污水泵80WQ/D260-4-Z型 </t>
  </si>
  <si>
    <t xml:space="preserve">污水泵100JYWQ65-20-2000-7.5型 </t>
  </si>
  <si>
    <t>自耦装置（含导杆、起吊提升链、耦合等全套装置）</t>
  </si>
  <si>
    <t>采暖入口装置</t>
  </si>
  <si>
    <t>入口装置-DN25</t>
  </si>
  <si>
    <t>入口装置-DN32</t>
  </si>
  <si>
    <t>入口装置-DN40</t>
  </si>
  <si>
    <t>入口装置-DN50</t>
  </si>
  <si>
    <t>入口装置-DN65</t>
  </si>
  <si>
    <t>入口装置-DN80</t>
  </si>
  <si>
    <t>入口装置-DN100</t>
  </si>
  <si>
    <t>集分水器</t>
  </si>
  <si>
    <t>2路集水器</t>
  </si>
  <si>
    <t>3路集水器</t>
  </si>
  <si>
    <t>4路集水器</t>
  </si>
  <si>
    <t>5路集水器</t>
  </si>
  <si>
    <t>6路集水器</t>
  </si>
  <si>
    <t>7路集水器</t>
  </si>
  <si>
    <t>8路集水器</t>
  </si>
  <si>
    <t>散热器</t>
  </si>
  <si>
    <t>钢制散热器（10片/组）</t>
  </si>
  <si>
    <t>钢制散热器（20片/组）</t>
  </si>
  <si>
    <t>干法、湿法地暖</t>
  </si>
  <si>
    <t>干法地暖区</t>
  </si>
  <si>
    <t>干法PE-RT管De20*2.0  S5系列 P=0.6Mpa</t>
  </si>
  <si>
    <t>干法PE-RT管De20*2.3  S4系列 P=0.8Mpa</t>
  </si>
  <si>
    <t>25mm厚石膏基自流找平层</t>
  </si>
  <si>
    <t>20mm厚地面砂浆，压入一层网格布</t>
  </si>
  <si>
    <t>30mm厚800Kpa压缩强度XPS沟槽板模块涂层型（地暖管槽深20mm）</t>
  </si>
  <si>
    <t>平均10mm厚粘接砂浆</t>
  </si>
  <si>
    <t>基层处理</t>
  </si>
  <si>
    <t>湿式地暖
精装交付
卫生间、厨房、阳台、客厅、卧室区</t>
  </si>
  <si>
    <t xml:space="preserve">湿法PE-RT管De20*2.0；S5系列；P=0.6Mpa </t>
  </si>
  <si>
    <t>湿法PE-RT管De20*2.3  S4系列 P=0.8Mpa</t>
  </si>
  <si>
    <t>单层φ3双向@50钢丝网片</t>
  </si>
  <si>
    <t>双层φ3双向@50钢丝网片</t>
  </si>
  <si>
    <t>一道玻纤网格布（160g/㎡）</t>
  </si>
  <si>
    <t>铝箔纸一层</t>
  </si>
  <si>
    <t>20厚XPS挤塑板（含沿墙体内侧贴20*50聚苯乙烯泡沫塑料保温板，高于垫层上平齐）</t>
  </si>
  <si>
    <t>沟槽板等级调整</t>
  </si>
  <si>
    <t>30mm厚1000Kpa压缩强度XPS沟槽板模块涂层型（地暖管槽深20mm）</t>
  </si>
  <si>
    <t>30mm厚1200Kpa压缩强度XPS沟槽板模块涂层型（地暖管槽深20mm）</t>
  </si>
  <si>
    <t>30mm厚1250Kpa压缩强度XPS沟槽板模块涂层型（地暖管槽深20mm）</t>
  </si>
  <si>
    <t>采暖系统调试</t>
  </si>
  <si>
    <t>采暖调试</t>
  </si>
  <si>
    <t>其他</t>
  </si>
  <si>
    <t>减震垫与土方</t>
  </si>
  <si>
    <t>土方开挖回填</t>
  </si>
  <si>
    <t>橡胶减震垫-5厚单面凹发泡</t>
  </si>
  <si>
    <t>聚乙烯减震垫-5厚单面凹发泡</t>
  </si>
  <si>
    <t>聚乙烯减震垫-5厚单面平发泡</t>
  </si>
  <si>
    <t>总承包工程模拟清单-安装工程清单</t>
  </si>
  <si>
    <t>B.01地下给水</t>
  </si>
  <si>
    <t>B.01.1阀部件</t>
  </si>
  <si>
    <t>螺纹阀门-自动放气阀-DN15</t>
  </si>
  <si>
    <t>螺纹阀门-截止阀-DN15</t>
  </si>
  <si>
    <t>螺纹阀门-截止阀-DN25</t>
  </si>
  <si>
    <t>螺纹阀门-截止阀-DN32</t>
  </si>
  <si>
    <t>螺纹阀门-截止阀-De20</t>
  </si>
  <si>
    <t>螺纹阀门-截止阀-De25</t>
  </si>
  <si>
    <t>螺纹阀门-截止阀-De32</t>
  </si>
  <si>
    <t>螺纹阀门-截止阀-De40</t>
  </si>
  <si>
    <t>螺纹阀门-截止阀-De50</t>
  </si>
  <si>
    <t>螺纹阀门-截止阀-De63</t>
  </si>
  <si>
    <t>螺纹阀门-止回阀-DN32</t>
  </si>
  <si>
    <t>螺纹阀门-闸阀-DN25</t>
  </si>
  <si>
    <t>螺纹阀门-闸阀-DN32</t>
  </si>
  <si>
    <t>螺纹阀门-闸阀-DN40</t>
  </si>
  <si>
    <t>螺纹阀门-闸阀-DN50</t>
  </si>
  <si>
    <t>螺纹阀门-过滤器-De50</t>
  </si>
  <si>
    <t>螺纹阀门-过滤器-DN50</t>
  </si>
  <si>
    <t>法兰阀门-过滤器-DN100</t>
  </si>
  <si>
    <t>螺纹阀门-软接头-De50</t>
  </si>
  <si>
    <t>法兰阀门-软接头-DN100</t>
  </si>
  <si>
    <t>法兰阀门-闸阀-DN65</t>
  </si>
  <si>
    <t>对夹式蝶阀-De50</t>
  </si>
  <si>
    <t>浮球阀-DN40</t>
  </si>
  <si>
    <t>活塞式电动浮球阀-DN100</t>
  </si>
  <si>
    <t>水表安装-DN32</t>
  </si>
  <si>
    <t>水表安装-DN40</t>
  </si>
  <si>
    <t>水表安装-DN50</t>
  </si>
  <si>
    <t>水表安装-DN70</t>
  </si>
  <si>
    <t>水表安装-DN80</t>
  </si>
  <si>
    <t>水表安装-DN250</t>
  </si>
  <si>
    <t>水龙头-De20</t>
  </si>
  <si>
    <t>给排水压力仪表-DN15</t>
  </si>
  <si>
    <t>B.01.2给水管道</t>
  </si>
  <si>
    <t>室内给水内衬塑镀锌钢塑复合管-DN15</t>
  </si>
  <si>
    <t>室内给水内衬塑镀锌钢塑复合管-DN20</t>
  </si>
  <si>
    <t>室内给水内衬塑镀锌钢塑复合管-DN25</t>
  </si>
  <si>
    <t>室内给水内衬塑镀锌钢塑复合管-DN32</t>
  </si>
  <si>
    <t>室内给水内衬塑镀锌钢塑复合管-DN40</t>
  </si>
  <si>
    <t>室内给水内衬塑镀锌钢塑复合管-DN50</t>
  </si>
  <si>
    <t>室内给水内衬塑镀锌钢塑复合管-DN65</t>
  </si>
  <si>
    <t>室内给水内衬塑镀锌钢塑复合管-DN80</t>
  </si>
  <si>
    <t>室内给水内衬塑镀锌钢塑复合管-DN100</t>
  </si>
  <si>
    <t>室内给水内衬塑镀锌钢塑复合管-DN125</t>
  </si>
  <si>
    <t>室内给水内衬塑镀锌钢塑复合管-DN150</t>
  </si>
  <si>
    <t>室内给水塑料管-PPR-De20-热熔</t>
  </si>
  <si>
    <t>室内给水塑料管-PPR-De25-热熔</t>
  </si>
  <si>
    <t>室内给水塑料管-PPR-De32-热熔</t>
  </si>
  <si>
    <t>室内给水塑料管-PPR-De40-热熔</t>
  </si>
  <si>
    <t>室内给水塑料管-PPR-De50-热熔</t>
  </si>
  <si>
    <t>室内给水塑料管-PPR-De63-热熔</t>
  </si>
  <si>
    <t>B.01.3绝热</t>
  </si>
  <si>
    <t>管道绝热</t>
  </si>
  <si>
    <t>塑料带保护层</t>
  </si>
  <si>
    <t>B.02地下排水</t>
  </si>
  <si>
    <t>B.02.1阀部件</t>
  </si>
  <si>
    <t>法兰阀门-闸阀-DN50</t>
  </si>
  <si>
    <t>法兰阀门-闸阀-DN80</t>
  </si>
  <si>
    <t>法兰阀门-闸阀-DN100</t>
  </si>
  <si>
    <t>法兰阀门-止回阀-DN50</t>
  </si>
  <si>
    <t>法兰阀门-止回阀-DN65</t>
  </si>
  <si>
    <t>法兰阀门-止回阀-DN80</t>
  </si>
  <si>
    <t>法兰阀门-止回阀-DN100</t>
  </si>
  <si>
    <t>法兰阀门-软接头-DN50</t>
  </si>
  <si>
    <t>法兰阀门-软接头-DN65</t>
  </si>
  <si>
    <t>法兰阀门-软接头-DN80</t>
  </si>
  <si>
    <t>B.02.2排水管道</t>
  </si>
  <si>
    <t>室外排水塑料管-加厚UPVC-De160</t>
  </si>
  <si>
    <t>室外排水塑料管-加厚UPVC-De110</t>
  </si>
  <si>
    <t>室外排水塑料管-加厚UPVC-De75</t>
  </si>
  <si>
    <t>室外塑料管-UPVC-De50</t>
  </si>
  <si>
    <t>室外排水镀锌钢管-DN50</t>
  </si>
  <si>
    <t>室外排水镀锌钢管-DN65</t>
  </si>
  <si>
    <t>室外排水镀锌钢管-DN80</t>
  </si>
  <si>
    <t>室外排水镀锌钢管-DN100</t>
  </si>
  <si>
    <t>室外排水镀锌钢管-DN125</t>
  </si>
  <si>
    <t>室外排水镀锌钢管-DN150</t>
  </si>
  <si>
    <t>室外或埋地排水管-铸铁管-DN50</t>
  </si>
  <si>
    <t>室外或埋地排水管-铸铁管-DN75</t>
  </si>
  <si>
    <t>室外或埋地排水管-铸铁管-DN100</t>
  </si>
  <si>
    <t>室外或埋地排水管-铸铁管-DN150</t>
  </si>
  <si>
    <t>室内排水塑料管-加厚UPVC-De160</t>
  </si>
  <si>
    <t>室内排水塑料管-加厚UPVC-De110</t>
  </si>
  <si>
    <t>室内排水塑料管-加厚UPVC-De75</t>
  </si>
  <si>
    <t>室内排水塑料管-消音UPVC-De110</t>
  </si>
  <si>
    <t>室内排水塑料管-消音UPVC-De75</t>
  </si>
  <si>
    <t>室内排水塑料管-UPVC-De110</t>
  </si>
  <si>
    <t>室内排水塑料管-UPVC-De75</t>
  </si>
  <si>
    <t>室内排水塑料管-UPVC-De50</t>
  </si>
  <si>
    <t>室内排水镀锌钢管-DN100</t>
  </si>
  <si>
    <t>室内排水镀锌钢管-DN80</t>
  </si>
  <si>
    <t>室内排水镀锌钢管-DN65</t>
  </si>
  <si>
    <t>室内排水镀锌钢管-DN50</t>
  </si>
  <si>
    <t>室内排水管-铸铁管-DN50</t>
  </si>
  <si>
    <t>室内排水管-铸铁管-DN75</t>
  </si>
  <si>
    <t>室内排水管-铸铁管-DN100</t>
  </si>
  <si>
    <t>室内排水管-铸铁管-DN150</t>
  </si>
  <si>
    <t>室内排水管-铸铁管-DN200</t>
  </si>
  <si>
    <t>车库内埋地排水管-铸铁管-DN200</t>
  </si>
  <si>
    <t>B.02.3绝热</t>
  </si>
  <si>
    <t>B.02.4设备</t>
  </si>
  <si>
    <t>潜水排污泵1</t>
  </si>
  <si>
    <t>潜水排污泵2</t>
  </si>
  <si>
    <t>潜水排污泵3</t>
  </si>
  <si>
    <t>潜水排污泵4</t>
  </si>
  <si>
    <t>潜水排污泵5</t>
  </si>
  <si>
    <t>潜水排污泵6</t>
  </si>
  <si>
    <t>潜水排污泵7</t>
  </si>
  <si>
    <t>潜水排污泵8</t>
  </si>
  <si>
    <t>潜水排污泵9</t>
  </si>
  <si>
    <t>潜水排污泵10</t>
  </si>
  <si>
    <t>潜水排污泵11</t>
  </si>
  <si>
    <t>自耦装置</t>
  </si>
  <si>
    <t>B.02.5卫生器具</t>
  </si>
  <si>
    <t>地面铸铁扫除口-DN80</t>
  </si>
  <si>
    <t>B.03地下预留预埋</t>
  </si>
  <si>
    <t>B.03.1给排水预留预埋</t>
  </si>
  <si>
    <t>刚性防水套管-DN20</t>
  </si>
  <si>
    <t>刚性防水套管-DN50</t>
  </si>
  <si>
    <t>刚性防水套管-De63</t>
  </si>
  <si>
    <t>刚性防水套管-De75</t>
  </si>
  <si>
    <t>刚性防水套管-DN80</t>
  </si>
  <si>
    <t>刚性防水套管-De110</t>
  </si>
  <si>
    <t>刚性防水套管-DN100</t>
  </si>
  <si>
    <t>刚性防水套管-De160</t>
  </si>
  <si>
    <t>刚性防水套管-DN125</t>
  </si>
  <si>
    <t>刚性防水套管-DN150</t>
  </si>
  <si>
    <t>刚性防水套管-DN200</t>
  </si>
  <si>
    <t>刚性防水套管-DN250</t>
  </si>
  <si>
    <t>刚性防水套管-DN300</t>
  </si>
  <si>
    <t>B.03.2消防预留预埋</t>
  </si>
  <si>
    <t>柔性防水套管-DN50</t>
  </si>
  <si>
    <t>柔性防水套管-DN65</t>
  </si>
  <si>
    <t>柔性防水套管-DN80</t>
  </si>
  <si>
    <t>柔性防水套管-DN100</t>
  </si>
  <si>
    <t>柔性防水套管-DN125</t>
  </si>
  <si>
    <t>柔性防水套管-DN150</t>
  </si>
  <si>
    <t>柔性防水套管-DN200</t>
  </si>
  <si>
    <t>柔性防水套管-DN250</t>
  </si>
  <si>
    <t>柔性防水套管-DN300</t>
  </si>
  <si>
    <t>柔性防水套管-DN350</t>
  </si>
  <si>
    <t>柔性防水套管-DN400</t>
  </si>
  <si>
    <t>B.04地上户内给水</t>
  </si>
  <si>
    <t>B.04.1阀部件</t>
  </si>
  <si>
    <t>倒流防止器-De25</t>
  </si>
  <si>
    <t>螺纹阀门-止回阀-De20</t>
  </si>
  <si>
    <t>B.04.2给水管道</t>
  </si>
  <si>
    <t>室内给水塑料管-PPR-De20（S3.2）-热熔</t>
  </si>
  <si>
    <t>室内给水塑料管-PPR-De25（S3.2）-热熔</t>
  </si>
  <si>
    <t>室内给水塑料管-PPR-De32（S3.2）-热熔</t>
  </si>
  <si>
    <t>B.05地上户内排水</t>
  </si>
  <si>
    <t>B.05.1排水管道</t>
  </si>
  <si>
    <t>室外排水塑料管-UPVC-De110</t>
  </si>
  <si>
    <t>室外排水塑料管-UPVC-De75</t>
  </si>
  <si>
    <t>室内透气塑料立管-UPVC-De110</t>
  </si>
  <si>
    <t>B.05.2卫生器具</t>
  </si>
  <si>
    <t>卫生间防臭地漏-De50</t>
  </si>
  <si>
    <t>洗衣机防臭地漏-De50</t>
  </si>
  <si>
    <t>雨水地漏-DN75</t>
  </si>
  <si>
    <t>清扫口-De110</t>
  </si>
  <si>
    <t>阳台水龙头-DN20</t>
  </si>
  <si>
    <t>洗衣机龙头-DN20</t>
  </si>
  <si>
    <t>B.06地上公区给水</t>
  </si>
  <si>
    <t>B.06.1阀部件</t>
  </si>
  <si>
    <t>螺纹阀门-减压稳压阀-DN25</t>
  </si>
  <si>
    <t>螺纹阀门-减压稳压阀-DN32</t>
  </si>
  <si>
    <t>螺纹阀门-减压稳压阀-DN20</t>
  </si>
  <si>
    <t>螺纹阀门-截止阀-DN20</t>
  </si>
  <si>
    <t>螺纹阀门-截止阀-DN50</t>
  </si>
  <si>
    <t>螺纹阀门-止回阀-De25</t>
  </si>
  <si>
    <t>螺纹阀门-锁闭阀-DN20</t>
  </si>
  <si>
    <t>螺纹阀门-锁闭阀-DN25</t>
  </si>
  <si>
    <t>螺纹阀门-锁闭阀-DN50</t>
  </si>
  <si>
    <t>螺纹阀门-锁闭阀-De63</t>
  </si>
  <si>
    <t>螺纹阀门-Y型过滤器-DN20</t>
  </si>
  <si>
    <t>螺纹阀门-Y型过滤器-DN25</t>
  </si>
  <si>
    <t>螺纹阀门-Y型过滤器-DN32</t>
  </si>
  <si>
    <t>水表安装-DN20</t>
  </si>
  <si>
    <t>减压阀组压力表-DN15</t>
  </si>
  <si>
    <t>螺纹阀门-波纹补偿器-DN32</t>
  </si>
  <si>
    <t>螺纹阀门-波纹补偿器-DN40</t>
  </si>
  <si>
    <t>螺纹阀门-波纹补偿器-DN50</t>
  </si>
  <si>
    <t>B.06.2给水管道</t>
  </si>
  <si>
    <t>室内薄壁不锈钢管-DN15</t>
  </si>
  <si>
    <t>室内薄壁不锈钢管-DN20</t>
  </si>
  <si>
    <t>室内薄壁不锈钢管-DN25</t>
  </si>
  <si>
    <t>室内薄壁不锈钢管-DN32</t>
  </si>
  <si>
    <t>室内薄壁不锈钢管-DN40</t>
  </si>
  <si>
    <t>室内薄壁不锈钢管-DN50</t>
  </si>
  <si>
    <t>室内薄壁不锈钢管-DN65</t>
  </si>
  <si>
    <t>B.06.3绝热</t>
  </si>
  <si>
    <t>B.07地上公区排水</t>
  </si>
  <si>
    <t>B.07.1排水管道</t>
  </si>
  <si>
    <t>室内冷凝水塑料管-UPVC-De75</t>
  </si>
  <si>
    <t>室内冷凝水塑料管-UPVC-De50</t>
  </si>
  <si>
    <t>B.07.1卫生器具</t>
  </si>
  <si>
    <t>公区塑料地漏-De50</t>
  </si>
  <si>
    <t>地漏-De110</t>
  </si>
  <si>
    <t>B.08地上预留预埋</t>
  </si>
  <si>
    <t>B.08.1给排水预留预埋</t>
  </si>
  <si>
    <t>空调套管DN80</t>
  </si>
  <si>
    <t>燃气套管DN100</t>
  </si>
  <si>
    <t>刚性防水套管-DN65</t>
  </si>
  <si>
    <t>B.08.1消防预留预埋</t>
  </si>
  <si>
    <t>地下采暖</t>
  </si>
  <si>
    <t>B.09采暖入口装置</t>
  </si>
  <si>
    <t>采暖入口装置-DN25</t>
  </si>
  <si>
    <t>采暖入口装置-DN32</t>
  </si>
  <si>
    <t>采暖入口装置-DN40</t>
  </si>
  <si>
    <t>采暖入口装置-DN50</t>
  </si>
  <si>
    <t>采暖入口装置-DN65</t>
  </si>
  <si>
    <t>采暖入口装置-DN80</t>
  </si>
  <si>
    <t>采暖入口装置-DN100</t>
  </si>
  <si>
    <t>B.10采暖管道</t>
  </si>
  <si>
    <t>室内供暖镀锌钢管-DN15</t>
  </si>
  <si>
    <t>室内供暖镀锌钢管-DN20</t>
  </si>
  <si>
    <t>室内供暖镀锌钢管-DN25</t>
  </si>
  <si>
    <t>室内供暖镀锌钢管-DN32</t>
  </si>
  <si>
    <t>室内供暖镀锌钢管-DN40</t>
  </si>
  <si>
    <t>室内供暖镀锌钢管-DN50</t>
  </si>
  <si>
    <t>室内供暖镀锌钢管-DN65</t>
  </si>
  <si>
    <t>室内供暖镀锌钢管-DN80</t>
  </si>
  <si>
    <t>室内供暖无缝镀锌钢管-DN100</t>
  </si>
  <si>
    <t>室内供暖无缝镀锌钢管-DN125</t>
  </si>
  <si>
    <t>室内供暖无缝镀锌钢管-DN150</t>
  </si>
  <si>
    <t>室内供暖无缝镀锌钢管-DN200</t>
  </si>
  <si>
    <t>室内供暖无缝镀锌钢管-DN250</t>
  </si>
  <si>
    <t>B.11采暖套管及阀部件</t>
  </si>
  <si>
    <t>人防通风密闭套管-D250</t>
  </si>
  <si>
    <t>人防通风密闭套管-D310</t>
  </si>
  <si>
    <t>人防通风密闭套管-D450</t>
  </si>
  <si>
    <t>人防通风密闭套管-D570</t>
  </si>
  <si>
    <t>人防通风密闭套管-D680</t>
  </si>
  <si>
    <t>人防通风密闭套管-D820</t>
  </si>
  <si>
    <t>人防通风密闭套管-D1100</t>
  </si>
  <si>
    <t>螺纹阀门-自动放气阀-DN20</t>
  </si>
  <si>
    <t>自动放气阀下截止阀-DN15</t>
  </si>
  <si>
    <t>自动放气阀下截止阀-DN20</t>
  </si>
  <si>
    <t>螺纹阀门-球阀-DN25</t>
  </si>
  <si>
    <t>螺纹阀门-球阀-DN32</t>
  </si>
  <si>
    <t>螺纹阀门-截止阀-DN40</t>
  </si>
  <si>
    <t>螺纹阀门-静态水力平衡阀-DN20</t>
  </si>
  <si>
    <t>螺纹阀门-静态水力平衡阀-DN40</t>
  </si>
  <si>
    <t>螺纹阀门-静态水力平衡阀-DN50</t>
  </si>
  <si>
    <t>法兰阀门-静态水力平衡阀-DN65</t>
  </si>
  <si>
    <t>法兰阀门-静态水力平衡阀-DN80</t>
  </si>
  <si>
    <t>法兰阀门-Y型过滤器-DN65</t>
  </si>
  <si>
    <t>法兰阀门-Y型过滤器-DN80</t>
  </si>
  <si>
    <t>采暖压力仪表</t>
  </si>
  <si>
    <t>B.12绝热</t>
  </si>
  <si>
    <t>防火胶带保护层</t>
  </si>
  <si>
    <t>地上采暖</t>
  </si>
  <si>
    <t>B.13户内采暖</t>
  </si>
  <si>
    <t>室内采暖塑料管-PPR-De32</t>
  </si>
  <si>
    <t>户内湿式地暖塑料管-PERT-De20(S5）</t>
  </si>
  <si>
    <t>户内湿式地暖塑料管-PERT-De20(S4）</t>
  </si>
  <si>
    <t>户内湿法-玻纤网格布</t>
  </si>
  <si>
    <t>户内湿法-单层钢丝网</t>
  </si>
  <si>
    <t>户内湿法-双层钢丝网</t>
  </si>
  <si>
    <t>户内湿法-铝箔纸</t>
  </si>
  <si>
    <t>户内湿法-挤塑板</t>
  </si>
  <si>
    <t>户内干法采暖塑料管-PERT-De20(S5）</t>
  </si>
  <si>
    <t>户内干法采暖塑料管-PERT-De20(S4）</t>
  </si>
  <si>
    <t>户内干法-地面砂浆</t>
  </si>
  <si>
    <t>户内干法-沟槽板</t>
  </si>
  <si>
    <t>户内干法-粘接砂浆</t>
  </si>
  <si>
    <t>户内干法-石膏自流平</t>
  </si>
  <si>
    <t>户内干法-基层处理</t>
  </si>
  <si>
    <t>30mm厚1000Kpa压缩强度</t>
  </si>
  <si>
    <t>30mm厚1200Kpa压缩强度</t>
  </si>
  <si>
    <t>30mm厚1250Kpa压缩强度</t>
  </si>
  <si>
    <t>2回路分/集水器</t>
  </si>
  <si>
    <t>3回路分/集水器</t>
  </si>
  <si>
    <t>4回路分/集水器</t>
  </si>
  <si>
    <t>5回路分/集水器</t>
  </si>
  <si>
    <t>6回路分/集水器</t>
  </si>
  <si>
    <t>7回路分/集水器</t>
  </si>
  <si>
    <t>8回路分/集水器</t>
  </si>
  <si>
    <t>螺纹阀门-全铜截止阀-De32</t>
  </si>
  <si>
    <t>B.14采暖管道</t>
  </si>
  <si>
    <t>室内采暖塑料管-PPR-De25</t>
  </si>
  <si>
    <t>B.15阀部件</t>
  </si>
  <si>
    <t>螺纹阀门-手动调节阀-DN25</t>
  </si>
  <si>
    <t>螺纹阀门-手动调节阀-DN32</t>
  </si>
  <si>
    <t>螺纹阀门-手动调节阀-DN50</t>
  </si>
  <si>
    <t>螺纹阀门-铜测温球阀-DN20</t>
  </si>
  <si>
    <t>螺纹阀门-铜测温球阀-DN25</t>
  </si>
  <si>
    <t>螺纹阀门-静态水力平衡阀-DN25</t>
  </si>
  <si>
    <t>螺纹阀门-电动温控阀-DN20</t>
  </si>
  <si>
    <t>螺纹阀门-电动温控阀-DN25</t>
  </si>
  <si>
    <t>螺纹阀门-泄水球阀-DN25</t>
  </si>
  <si>
    <t>螺纹阀门-连通阀-DN25</t>
  </si>
  <si>
    <t>风扇</t>
  </si>
  <si>
    <t>B.16绝热</t>
  </si>
  <si>
    <t>B.17系统调试</t>
  </si>
  <si>
    <t>采暖工程系统调试</t>
  </si>
  <si>
    <t>地下电气</t>
  </si>
  <si>
    <t>B.18强电工程</t>
  </si>
  <si>
    <t>B.18.1配电箱</t>
  </si>
  <si>
    <t>低压交流异步电动机6kw以内</t>
  </si>
  <si>
    <t>B.18.2电力桥架</t>
  </si>
  <si>
    <t>电业桥架-750*200</t>
  </si>
  <si>
    <t>电业桥架-500*200</t>
  </si>
  <si>
    <t>电业桥架-450*200</t>
  </si>
  <si>
    <t>电业桥架-400*200</t>
  </si>
  <si>
    <t>电业桥架-350*200</t>
  </si>
  <si>
    <t>电业桥架-300*200</t>
  </si>
  <si>
    <t>电业桥架-200*200</t>
  </si>
  <si>
    <t>电业桥架-200*150</t>
  </si>
  <si>
    <t>电业桥架-150*100</t>
  </si>
  <si>
    <t>B.18.3配管配线</t>
  </si>
  <si>
    <t>阻燃塑料管配管-PC16-暗配</t>
  </si>
  <si>
    <t>阻燃塑料管配管-PC20-暗配</t>
  </si>
  <si>
    <t>阻燃塑料管配管-PC25-暗配</t>
  </si>
  <si>
    <t>阻燃塑料管配管-PC32-暗配</t>
  </si>
  <si>
    <t>阻燃塑料管配管-PC40-暗配</t>
  </si>
  <si>
    <t>阻燃塑料管配管-PC16-明配</t>
  </si>
  <si>
    <t>阻燃塑料管配管-PC20-明配</t>
  </si>
  <si>
    <t>阻燃塑料管配管-PC25-明配</t>
  </si>
  <si>
    <t>阻燃塑料管配管-PC32-明配</t>
  </si>
  <si>
    <t>阻燃塑料管配管-PC40-明配</t>
  </si>
  <si>
    <t>薄壁钢导管配管-JDG15-暗配</t>
  </si>
  <si>
    <t>薄壁钢导管配管-JDG20-暗配</t>
  </si>
  <si>
    <t>薄壁钢导管配管-JDG25-暗配</t>
  </si>
  <si>
    <t>薄壁钢导管配管-JDG32-暗配</t>
  </si>
  <si>
    <t>薄壁钢导管配管-JDG40-暗配</t>
  </si>
  <si>
    <t>电缆保护管-阻水钢板1</t>
  </si>
  <si>
    <t>电缆保护管-阻水钢板2</t>
  </si>
  <si>
    <t>电缆保护管-阻水钢板3</t>
  </si>
  <si>
    <t>电缆保护管-止水翼环1</t>
  </si>
  <si>
    <t>电缆保护管-止水翼环2</t>
  </si>
  <si>
    <t>电缆保护管-止水翼环3</t>
  </si>
  <si>
    <t>电缆保护管-止水翼环4</t>
  </si>
  <si>
    <t>电缆保护管-止水翼环5</t>
  </si>
  <si>
    <t>密闭肋套管-DN15至32</t>
  </si>
  <si>
    <t>密闭肋套管-DN50</t>
  </si>
  <si>
    <t>密闭肋套管-DN65至70</t>
  </si>
  <si>
    <t>密闭肋套管-DN80至100</t>
  </si>
  <si>
    <t>综合配线-BV2.5</t>
  </si>
  <si>
    <t>综合配线-BV4</t>
  </si>
  <si>
    <t>综合配线-BV6</t>
  </si>
  <si>
    <t>综合配线-BV10</t>
  </si>
  <si>
    <t>综合配线-BV16</t>
  </si>
  <si>
    <t>综合配线-BV25</t>
  </si>
  <si>
    <t>综合配线-ZRBV2.5</t>
  </si>
  <si>
    <t>综合配线-ZRBV4</t>
  </si>
  <si>
    <t>综合配线-NHBV1.5</t>
  </si>
  <si>
    <t>综合配线-NHBV2.5</t>
  </si>
  <si>
    <t>综合配线-NHBV4</t>
  </si>
  <si>
    <t>综合配线-WDZNBYJ2.5</t>
  </si>
  <si>
    <t>综合配线-WDZNBYJ4</t>
  </si>
  <si>
    <t>综合配线-WDZBYJ2.5</t>
  </si>
  <si>
    <t>综合配线-WDZBYJ4</t>
  </si>
  <si>
    <t>综合配线-WDZBYJ6</t>
  </si>
  <si>
    <t>综合配线-WDZBYJ10</t>
  </si>
  <si>
    <t>综合配线-WDZNRYJS2*2.5</t>
  </si>
  <si>
    <t>综合配线-NHRVS2*2.5</t>
  </si>
  <si>
    <t>B.18.4照明器具</t>
  </si>
  <si>
    <t>灯具-门上座灯</t>
  </si>
  <si>
    <t>灯具-节能座灯头</t>
  </si>
  <si>
    <t>灯具-普通座灯头</t>
  </si>
  <si>
    <t>灯具-壁灯</t>
  </si>
  <si>
    <t>灯具-吸顶灯</t>
  </si>
  <si>
    <t xml:space="preserve">灯具-吸顶灯(自带声光控开关) </t>
  </si>
  <si>
    <t>灯具-半圆球吸顶灯 灯罩直径(300mm以内)</t>
  </si>
  <si>
    <t>灯具-半圆球吸顶灯 灯罩直径(350mm以内)</t>
  </si>
  <si>
    <t>灯具-紧凑型节能日光灯</t>
  </si>
  <si>
    <t>灯具-单管荧光灯-吊链安装</t>
  </si>
  <si>
    <t>灯具-单管荧光灯-壁装</t>
  </si>
  <si>
    <t>灯具-单管荧光灯-吊杆安装</t>
  </si>
  <si>
    <t>灯具-单管荧光灯-吸顶安装</t>
  </si>
  <si>
    <t>灯具-安全出口标志灯</t>
  </si>
  <si>
    <t>灯具-多信息复合标志灯</t>
  </si>
  <si>
    <t>灯具-楼层指示标志灯</t>
  </si>
  <si>
    <t>灯具-疏散出口标志灯</t>
  </si>
  <si>
    <t>灯具-单向双面疏散指示标志灯</t>
  </si>
  <si>
    <t>灯具-消防应急壁灯（微波感应）带蓄电池</t>
  </si>
  <si>
    <t>灯具-消防应急吸顶灯-附微波感应带蓄电池</t>
  </si>
  <si>
    <t>灯具-单向单面疏散指示标志灯</t>
  </si>
  <si>
    <t>灯具-消防应急壁灯</t>
  </si>
  <si>
    <t>灯具-应急单管荧光灯</t>
  </si>
  <si>
    <t>B.18.5开关插座</t>
  </si>
  <si>
    <t>卫生间五孔插座（IP54）</t>
  </si>
  <si>
    <t>空调挂机、柜机三孔插座-（带开关）</t>
  </si>
  <si>
    <t>人防呼唤按钮</t>
  </si>
  <si>
    <t>暗装排气扇接线盒（含面板）</t>
  </si>
  <si>
    <t>暗装塑料接线盒</t>
  </si>
  <si>
    <t>暗装钢制接线盒</t>
  </si>
  <si>
    <t>B.18.6防雷接地</t>
  </si>
  <si>
    <t>避雷引下线1</t>
  </si>
  <si>
    <t>局部等电位端子箱</t>
  </si>
  <si>
    <t>总等电位连接端子箱</t>
  </si>
  <si>
    <t>接地连接板</t>
  </si>
  <si>
    <t>镀锌钢板接地极</t>
  </si>
  <si>
    <t>接地母线-40*4（室外）</t>
  </si>
  <si>
    <t>接地母线-50*5</t>
  </si>
  <si>
    <t>接地母线-40*4</t>
  </si>
  <si>
    <t>接地装置</t>
  </si>
  <si>
    <t>B.19弱电工程</t>
  </si>
  <si>
    <t>B.20消防工程</t>
  </si>
  <si>
    <t>地上电气</t>
  </si>
  <si>
    <t>B.21强电工程</t>
  </si>
  <si>
    <t>B.21.1配电箱</t>
  </si>
  <si>
    <t>AL1配电箱</t>
  </si>
  <si>
    <t>AL2配电箱</t>
  </si>
  <si>
    <t>B.21.2电力桥架</t>
  </si>
  <si>
    <t>电业桥架-300*150</t>
  </si>
  <si>
    <t>B.21.3配管配线</t>
  </si>
  <si>
    <t>薄壁钢导管配管-JDG15-明配</t>
  </si>
  <si>
    <t>薄壁钢导管配管-JDG20-明配</t>
  </si>
  <si>
    <t>薄壁钢导管配管-JDG25-明配</t>
  </si>
  <si>
    <t>薄壁钢导管配管-JDG32-明配</t>
  </si>
  <si>
    <t>薄壁钢导管配管-JDG40-明配</t>
  </si>
  <si>
    <t>金属软管配管-DN20</t>
  </si>
  <si>
    <t>金属软管配管-DN25</t>
  </si>
  <si>
    <t>金属软管配管-DN32</t>
  </si>
  <si>
    <t>综合配线-BVR4</t>
  </si>
  <si>
    <t>综合配线-RVV-3*1.0</t>
  </si>
  <si>
    <t>综合配线-RVV-4*1.0</t>
  </si>
  <si>
    <t>综合配线-RVV-5*1.0</t>
  </si>
  <si>
    <t>钢套管DN15-32</t>
  </si>
  <si>
    <t>钢套管DN40-50</t>
  </si>
  <si>
    <t>钢套管DN65-70</t>
  </si>
  <si>
    <t>钢套管DN80-100</t>
  </si>
  <si>
    <t>B.21.4照明器具</t>
  </si>
  <si>
    <t>灯具-火灾禁入标志灯</t>
  </si>
  <si>
    <t>B.21.5开关插座</t>
  </si>
  <si>
    <t>安全型燃气插座</t>
  </si>
  <si>
    <t>厨房五孔插座</t>
  </si>
  <si>
    <t>B.21.6防雷接地</t>
  </si>
  <si>
    <t>避雷引下线2</t>
  </si>
  <si>
    <t>接地母线-25*4</t>
  </si>
  <si>
    <t>避雷网1</t>
  </si>
  <si>
    <t>B.22弱电工程</t>
  </si>
  <si>
    <t>弱电箱</t>
  </si>
  <si>
    <t>B.23消防工程</t>
  </si>
  <si>
    <t>总承包工程模拟清单-措施费用清单</t>
  </si>
  <si>
    <t>主体结构</t>
  </si>
  <si>
    <t>一</t>
  </si>
  <si>
    <t>人工费 勿删除</t>
  </si>
  <si>
    <t>垫层模板</t>
  </si>
  <si>
    <t>满堂基础模板</t>
  </si>
  <si>
    <t>独立基础模板</t>
  </si>
  <si>
    <t>矩形柱模板</t>
  </si>
  <si>
    <t>矩形梁模板</t>
  </si>
  <si>
    <t>预制梁模板</t>
  </si>
  <si>
    <t>斜梁模板</t>
  </si>
  <si>
    <t>剪力墙内墙模板</t>
  </si>
  <si>
    <t>地下剪力墙外墙模.板</t>
  </si>
  <si>
    <t>电梯井壁模板</t>
  </si>
  <si>
    <t>平板模板</t>
  </si>
  <si>
    <t>无梁板模板</t>
  </si>
  <si>
    <t>斜板模板</t>
  </si>
  <si>
    <t>天沟、檐沟模板</t>
  </si>
  <si>
    <t>楼梯模.板</t>
  </si>
  <si>
    <t>预制板模板</t>
  </si>
  <si>
    <t>梁后浇带模板</t>
  </si>
  <si>
    <t>板后浇带模板</t>
  </si>
  <si>
    <t>墙后浇带模板</t>
  </si>
  <si>
    <t>基础后浇带模板</t>
  </si>
  <si>
    <t>后浇带收口网</t>
  </si>
  <si>
    <t>排水沟模板</t>
  </si>
  <si>
    <t>消防水池池底模板</t>
  </si>
  <si>
    <t>消防水池池壁模板</t>
  </si>
  <si>
    <t>设备基础模板</t>
  </si>
  <si>
    <t>地下室顶板找坡模板</t>
  </si>
  <si>
    <t>散水及坡道模板</t>
  </si>
  <si>
    <t>栏板模板</t>
  </si>
  <si>
    <t>二</t>
  </si>
  <si>
    <t>地下外墙双排脚手架</t>
  </si>
  <si>
    <t>主楼基础满堂脚手架</t>
  </si>
  <si>
    <t>地库基础满堂脚手架</t>
  </si>
  <si>
    <t>二次结构</t>
  </si>
  <si>
    <t>圈梁模板</t>
  </si>
  <si>
    <t>构造柱模板</t>
  </si>
  <si>
    <t>过梁模板</t>
  </si>
  <si>
    <t>压顶模板</t>
  </si>
  <si>
    <t>内墙砌筑脚手架</t>
  </si>
  <si>
    <t>装饰满堂脚手架</t>
  </si>
  <si>
    <t>简易墙面脚手架</t>
  </si>
  <si>
    <t>简易天棚脚手架</t>
  </si>
  <si>
    <t>弧形、拱形梁模板</t>
  </si>
  <si>
    <t>地上剪力墙外墙模.板</t>
  </si>
  <si>
    <t>拱板模板</t>
  </si>
  <si>
    <t>PC板补板缝模板</t>
  </si>
  <si>
    <t>雨篷模板</t>
  </si>
  <si>
    <t>外墙双排脚手架</t>
  </si>
  <si>
    <t>外墙悬挑脚手架</t>
  </si>
  <si>
    <t>电梯井字脚手架-70m以内</t>
  </si>
  <si>
    <t>电梯井字脚手架-50m以内</t>
  </si>
  <si>
    <t>门槛模板</t>
  </si>
  <si>
    <t>卫生间、厨房、分户墙、电井翻沿模板</t>
  </si>
  <si>
    <t>散水模板</t>
  </si>
  <si>
    <t>坡道模板</t>
  </si>
  <si>
    <t>台阶模板</t>
  </si>
  <si>
    <t>水簸箕模板</t>
  </si>
  <si>
    <r>
      <rPr>
        <b/>
        <sz val="22"/>
        <color theme="1"/>
        <rFont val="楷体"/>
        <charset val="134"/>
      </rPr>
      <t>总承包工程模拟清单-</t>
    </r>
    <r>
      <rPr>
        <b/>
        <sz val="22"/>
        <color rgb="FFFF0000"/>
        <rFont val="楷体"/>
        <charset val="134"/>
      </rPr>
      <t>18F装配式</t>
    </r>
  </si>
  <si>
    <t>工程量清单A建筑工程</t>
  </si>
  <si>
    <t>综合总价
（不含税）</t>
  </si>
  <si>
    <t>工程量清单B安装工程</t>
  </si>
  <si>
    <t>工程量清单D措施费用</t>
  </si>
  <si>
    <t>建筑工程</t>
  </si>
  <si>
    <t>安装工程</t>
  </si>
  <si>
    <t>措施项目</t>
  </si>
  <si>
    <r>
      <rPr>
        <b/>
        <sz val="22"/>
        <color theme="1"/>
        <rFont val="楷体"/>
        <charset val="134"/>
      </rPr>
      <t>总承包工程模拟清单-</t>
    </r>
    <r>
      <rPr>
        <b/>
        <sz val="22"/>
        <color rgb="FFFF0000"/>
        <rFont val="楷体"/>
        <charset val="134"/>
      </rPr>
      <t>11F被动式</t>
    </r>
  </si>
  <si>
    <r>
      <rPr>
        <b/>
        <sz val="22"/>
        <color theme="1"/>
        <rFont val="楷体"/>
        <charset val="134"/>
      </rPr>
      <t>总承包工程模拟清单-</t>
    </r>
    <r>
      <rPr>
        <b/>
        <sz val="22"/>
        <color rgb="FFFF0000"/>
        <rFont val="楷体"/>
        <charset val="134"/>
      </rPr>
      <t>11F装配式</t>
    </r>
  </si>
  <si>
    <r>
      <rPr>
        <b/>
        <sz val="22"/>
        <color theme="1"/>
        <rFont val="楷体"/>
        <charset val="134"/>
      </rPr>
      <t>总承包工程模拟清单-</t>
    </r>
    <r>
      <rPr>
        <b/>
        <sz val="22"/>
        <color rgb="FFFF0000"/>
        <rFont val="楷体"/>
        <charset val="134"/>
      </rPr>
      <t>配套被动式</t>
    </r>
  </si>
  <si>
    <r>
      <rPr>
        <b/>
        <sz val="22"/>
        <color theme="1"/>
        <rFont val="楷体"/>
        <charset val="134"/>
      </rPr>
      <t>总承包工程模拟清单-</t>
    </r>
    <r>
      <rPr>
        <b/>
        <sz val="22"/>
        <color rgb="FFFF0000"/>
        <rFont val="楷体"/>
        <charset val="134"/>
      </rPr>
      <t>装配式</t>
    </r>
  </si>
  <si>
    <t>泊头山河玺院二期基坑支护工程投标报价表</t>
  </si>
  <si>
    <t>综合单价
（含税）</t>
  </si>
  <si>
    <t>综合总价
（含税）</t>
  </si>
  <si>
    <t>护坡-50厚C20砼</t>
  </si>
  <si>
    <t>1.基坑斜壁，喷射混凝土
2.C20混凝土，平均厚度50mm
3.拌合料及坍落度满足设计要求，综合考虑泵送方式、运距，满足设计及规范要求，包含完成该项工程的一切物料及措施</t>
  </si>
  <si>
    <t>护坡-钢板网</t>
  </si>
  <si>
    <t>1.混凝土喷射护坡内满挂2mm厚钢板网PF2*50，L型8mm插筋固定
2.钢丝网间搭接满足规范与施工要求
3.以施工投影面积计量，搭接、额外附加增强部位不额外计量
4.满足设计及规范要求，包含完成该项工程的一切物料及措施</t>
  </si>
  <si>
    <t>护坡-80厚C20砼</t>
  </si>
  <si>
    <t>1.基坑斜壁，喷射混凝土
2.C20混凝土，平均厚度80mm
3.拌合料及坍落度满足设计要求，综合考虑泵送方式、运距，满足设计及规范要求，包含完成该项工程的一切物料及措施</t>
  </si>
  <si>
    <t>护坡-钢筋网</t>
  </si>
  <si>
    <t>1.混凝土喷射护坡内挂钢丝网Φ6@170
2.钢丝网间搭接满足规范与施工要求
3.以施工投影面积计量，搭接、额外附加增强部位不额外计量
4.满足设计及规范要求，包含完成该项工程的一切物料及措施</t>
  </si>
  <si>
    <t>预应力锚索-1束ΦS15.2钢绞线</t>
  </si>
  <si>
    <t>1.锚索采用1束ΦS15.2钢绞线
2.孔径250mm，倾角15°，施加预应力100KN                           
3.采用高压旋喷锚施工工艺
4.含锚具、楔形垫板、100*100*10钢垫板、保护头                                                                                             
5.锚索自由段及张拉段涂防腐剂,自由段外套Φ32mm聚乙烯塑料套管内注油脂隔离防护
6.土方清运
7.满足设计及规范要求，包含完成该项工程的一切物料及措施</t>
  </si>
  <si>
    <t>锚孔注浆-150mm孔径</t>
  </si>
  <si>
    <t>1.注浆体采用42.5级普通硅酸盐水泥,掺量30%(每延米不少于29kg水泥)水泥浆液水灰比为0.8-1.5
2.充盈系数综合考虑
3.按锚固段实际注浆计量
4.满足设计及规范要求，包含完成该项工程的一切物料及措施</t>
  </si>
  <si>
    <t>土钉成孔注浆-150mm孔径</t>
  </si>
  <si>
    <t>1.孔内注32 5普通硅酸盐水泥,水泥浆的水灰比为0.50-0.55，注浆压力不低于0.6MPa,注浆体强度不低于20MPa,水泥应采用早强水泥。
2.充盈系数综合考虑
3.按锚固段实际注浆计量
4.满足设计及规范要求，包含完成该项工程的一切物料及措施</t>
  </si>
  <si>
    <t>钢管桩灌注水泥浆</t>
  </si>
  <si>
    <t>铺固前需将钢管用水泥浆注满,采用PS.32.5级普通硅酸盐水泥,水灰比1:05</t>
  </si>
  <si>
    <t>土钉-HRB40016</t>
  </si>
  <si>
    <t>三级钢筋土钉
1.土钉HRB400,16
2.土钉孔径150mm，入射角15°
3.土钉制作，钻孔，清孔，入孔等
4.包含但不限于三级16加强筋、土钉支架、土钉与加强筋的焊接等具体见图纸
5.满足设计及规范要求，包含完成该项工程的一切物料及措施</t>
  </si>
  <si>
    <t>腰梁-20#A槽钢</t>
  </si>
  <si>
    <t>1.钢结构腰梁综合制作安装
2.单根20#A槽钢腰梁制安
3.满足设计及规范要求，包含完成该项工程的一切物料及措施
4.包含但不限于QM15-1锚具、钢垫板、三角托架等具体见图纸</t>
  </si>
  <si>
    <t>钢管桩-159*5.0</t>
  </si>
  <si>
    <t>1.Φ159*5.0无缝钢管，有效桩长9m，桩间距500mm
2.振动锤插入
3.非租赁
4.满足设计及规范要求，包含完成该项工程的一切物料及措施</t>
  </si>
  <si>
    <r>
      <rPr>
        <sz val="14"/>
        <color theme="1"/>
        <rFont val="楷体"/>
        <charset val="134"/>
      </rPr>
      <t>合计</t>
    </r>
    <r>
      <rPr>
        <sz val="14"/>
        <color theme="1"/>
        <rFont val="Calibri"/>
        <charset val="134"/>
      </rPr>
      <t>①</t>
    </r>
  </si>
  <si>
    <r>
      <rPr>
        <sz val="14"/>
        <color theme="1"/>
        <rFont val="楷体"/>
        <charset val="134"/>
      </rPr>
      <t>扣除总包安全质量管理费</t>
    </r>
    <r>
      <rPr>
        <sz val="14"/>
        <color theme="1"/>
        <rFont val="Calibri"/>
        <charset val="134"/>
      </rPr>
      <t>②</t>
    </r>
  </si>
  <si>
    <t>①*0.06</t>
  </si>
  <si>
    <t>投标总价合计</t>
  </si>
  <si>
    <r>
      <rPr>
        <sz val="11"/>
        <color theme="1"/>
        <rFont val="Calibri"/>
        <charset val="134"/>
      </rPr>
      <t xml:space="preserve">                       ①</t>
    </r>
    <r>
      <rPr>
        <sz val="11"/>
        <color theme="1"/>
        <rFont val="楷体"/>
        <charset val="134"/>
      </rPr>
      <t>-</t>
    </r>
    <r>
      <rPr>
        <sz val="11"/>
        <color theme="1"/>
        <rFont val="Calibri"/>
        <charset val="134"/>
      </rPr>
      <t>②</t>
    </r>
  </si>
  <si>
    <t>投标单位：
                                         年    月    日</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</si>
</sst>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_ * #,##0_ ;_ * \-#,##0_ ;_ * &quot;-&quot;??_ ;_ @_ "/>
    <numFmt numFmtId="179" formatCode="_ * #,##0.000_ ;_ * \-#,##0.000_ ;_ * &quot;-&quot;??.0_ ;_ @_ "/>
    <numFmt numFmtId="180" formatCode="0.0_ "/>
    <numFmt numFmtId="181" formatCode="#,##0_ "/>
    <numFmt numFmtId="182" formatCode="0.00_);[Red]\(0.00\)"/>
    <numFmt numFmtId="183" formatCode="0.000_);[Red]\(0.000\)"/>
    <numFmt numFmtId="184" formatCode="0_);[Red]\(0\)"/>
    <numFmt numFmtId="185" formatCode="0.0000_);[Red]\(0.0000\)"/>
  </numFmts>
  <fonts count="78">
    <font>
      <sz val="11"/>
      <color theme="1"/>
      <name val="宋体"/>
      <charset val="134"/>
      <scheme val="minor"/>
    </font>
    <font>
      <sz val="11"/>
      <color theme="1"/>
      <name val="楷体"/>
      <charset val="134"/>
    </font>
    <font>
      <sz val="12"/>
      <color theme="1"/>
      <name val="楷体"/>
      <charset val="134"/>
    </font>
    <font>
      <sz val="10"/>
      <color theme="1"/>
      <name val="楷体"/>
      <charset val="134"/>
    </font>
    <font>
      <b/>
      <sz val="22"/>
      <color theme="1"/>
      <name val="楷体"/>
      <charset val="134"/>
    </font>
    <font>
      <b/>
      <sz val="12"/>
      <name val="楷体"/>
      <charset val="134"/>
    </font>
    <font>
      <sz val="14"/>
      <color theme="1"/>
      <name val="楷体"/>
      <charset val="134"/>
    </font>
    <font>
      <sz val="18"/>
      <color theme="1"/>
      <name val="楷体"/>
      <charset val="134"/>
    </font>
    <font>
      <sz val="11"/>
      <color theme="1"/>
      <name val="Calibri"/>
      <charset val="134"/>
    </font>
    <font>
      <sz val="11"/>
      <color theme="2"/>
      <name val="楷体"/>
      <charset val="134"/>
    </font>
    <font>
      <sz val="11"/>
      <color theme="2"/>
      <name val="楷体"/>
      <charset val="0"/>
    </font>
    <font>
      <b/>
      <sz val="10"/>
      <color theme="1"/>
      <name val="楷体"/>
      <charset val="134"/>
    </font>
    <font>
      <b/>
      <sz val="11"/>
      <color theme="1"/>
      <name val="楷体"/>
      <charset val="134"/>
    </font>
    <font>
      <b/>
      <sz val="14"/>
      <name val="楷体"/>
      <charset val="134"/>
    </font>
    <font>
      <u/>
      <sz val="11"/>
      <color rgb="FF800080"/>
      <name val="楷体"/>
      <charset val="0"/>
    </font>
    <font>
      <b/>
      <sz val="10"/>
      <color theme="0" tint="-0.15"/>
      <name val="楷体"/>
      <charset val="134"/>
    </font>
    <font>
      <sz val="10"/>
      <color theme="0" tint="-0.15"/>
      <name val="楷体"/>
      <charset val="134"/>
    </font>
    <font>
      <b/>
      <sz val="12"/>
      <color theme="0"/>
      <name val="楷体"/>
      <charset val="134"/>
    </font>
    <font>
      <sz val="10"/>
      <name val="楷体"/>
      <charset val="134"/>
    </font>
    <font>
      <sz val="11"/>
      <color theme="0" tint="-0.15"/>
      <name val="楷体"/>
      <charset val="134"/>
    </font>
    <font>
      <sz val="9"/>
      <name val="楷体"/>
      <charset val="134"/>
    </font>
    <font>
      <sz val="9"/>
      <color theme="1"/>
      <name val="楷体"/>
      <charset val="134"/>
    </font>
    <font>
      <sz val="9"/>
      <color rgb="FFFF0000"/>
      <name val="楷体"/>
      <charset val="134"/>
    </font>
    <font>
      <sz val="16"/>
      <color theme="1"/>
      <name val="楷体"/>
      <charset val="134"/>
    </font>
    <font>
      <sz val="12"/>
      <name val="楷体"/>
      <charset val="134"/>
    </font>
    <font>
      <sz val="12"/>
      <color theme="2"/>
      <name val="楷体"/>
      <charset val="134"/>
    </font>
    <font>
      <b/>
      <sz val="12"/>
      <color theme="2"/>
      <name val="楷体"/>
      <charset val="134"/>
    </font>
    <font>
      <sz val="14"/>
      <name val="楷体"/>
      <charset val="134"/>
    </font>
    <font>
      <sz val="11"/>
      <color rgb="FF800080"/>
      <name val="楷体"/>
      <charset val="0"/>
    </font>
    <font>
      <sz val="14"/>
      <color rgb="FFFF0000"/>
      <name val="楷体"/>
      <charset val="134"/>
    </font>
    <font>
      <sz val="9"/>
      <color rgb="FF000000"/>
      <name val="楷体"/>
      <charset val="134"/>
    </font>
    <font>
      <sz val="11"/>
      <name val="楷体"/>
      <charset val="134"/>
    </font>
    <font>
      <b/>
      <sz val="9"/>
      <color indexed="8"/>
      <name val="华文楷体"/>
      <charset val="134"/>
    </font>
    <font>
      <b/>
      <sz val="9"/>
      <name val="华文楷体"/>
      <charset val="134"/>
    </font>
    <font>
      <sz val="9"/>
      <name val="华文楷体"/>
      <charset val="134"/>
    </font>
    <font>
      <b/>
      <sz val="18"/>
      <name val="华文楷体"/>
      <charset val="134"/>
    </font>
    <font>
      <sz val="9"/>
      <color theme="1"/>
      <name val="华文楷体"/>
      <charset val="134"/>
    </font>
    <font>
      <b/>
      <sz val="9"/>
      <color theme="1"/>
      <name val="华文楷体"/>
      <charset val="134"/>
    </font>
    <font>
      <b/>
      <sz val="11"/>
      <color theme="0"/>
      <name val="宋体"/>
      <charset val="134"/>
      <scheme val="minor"/>
    </font>
    <font>
      <b/>
      <sz val="11"/>
      <name val="华文楷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color indexed="8"/>
      <name val="宋体"/>
      <charset val="134"/>
    </font>
    <font>
      <sz val="12"/>
      <name val="宋体"/>
      <charset val="134"/>
    </font>
    <font>
      <sz val="11"/>
      <color indexed="8"/>
      <name val="等线"/>
      <charset val="134"/>
    </font>
    <font>
      <sz val="12"/>
      <color theme="1"/>
      <name val="宋体"/>
      <charset val="134"/>
      <scheme val="minor"/>
    </font>
    <font>
      <sz val="9"/>
      <color theme="1"/>
      <name val="宋体"/>
      <charset val="134"/>
      <scheme val="minor"/>
    </font>
    <font>
      <b/>
      <sz val="16"/>
      <color indexed="8"/>
      <name val="宋体"/>
      <charset val="134"/>
    </font>
    <font>
      <sz val="10"/>
      <name val="Helv"/>
      <charset val="134"/>
    </font>
    <font>
      <sz val="10"/>
      <color indexed="8"/>
      <name val="Arial"/>
      <charset val="134"/>
    </font>
    <font>
      <sz val="9"/>
      <name val="宋体"/>
      <charset val="134"/>
    </font>
    <font>
      <sz val="10"/>
      <name val="Arial"/>
      <charset val="134"/>
    </font>
    <font>
      <sz val="11"/>
      <color indexed="8"/>
      <name val="Tahoma"/>
      <charset val="134"/>
    </font>
    <font>
      <sz val="14"/>
      <color theme="1"/>
      <name val="Calibri"/>
      <charset val="134"/>
    </font>
    <font>
      <b/>
      <sz val="22"/>
      <color rgb="FFFF0000"/>
      <name val="楷体"/>
      <charset val="134"/>
    </font>
    <font>
      <sz val="16"/>
      <color rgb="FFFF0000"/>
      <name val="楷体"/>
      <charset val="134"/>
    </font>
    <font>
      <sz val="9"/>
      <color rgb="FFFF0000"/>
      <name val="宋体"/>
      <charset val="134"/>
    </font>
    <font>
      <sz val="12"/>
      <color rgb="FFFF0000"/>
      <name val="楷体"/>
      <charset val="134"/>
    </font>
    <font>
      <sz val="11"/>
      <color rgb="FFFF0000"/>
      <name val="楷体"/>
      <charset val="134"/>
    </font>
    <font>
      <b/>
      <sz val="11"/>
      <color rgb="FFFF0000"/>
      <name val="楷体"/>
      <charset val="134"/>
    </font>
  </fonts>
  <fills count="62">
    <fill>
      <patternFill patternType="none"/>
    </fill>
    <fill>
      <patternFill patternType="gray125"/>
    </fill>
    <fill>
      <patternFill patternType="solid">
        <fgColor theme="3" tint="0.8"/>
        <bgColor indexed="64"/>
      </patternFill>
    </fill>
    <fill>
      <patternFill patternType="solid">
        <fgColor theme="9" tint="0.8"/>
        <bgColor indexed="64"/>
      </patternFill>
    </fill>
    <fill>
      <patternFill patternType="solid">
        <fgColor theme="8" tint="0.4"/>
        <bgColor indexed="64"/>
      </patternFill>
    </fill>
    <fill>
      <patternFill patternType="solid">
        <fgColor theme="0"/>
        <bgColor indexed="64"/>
      </patternFill>
    </fill>
    <fill>
      <patternFill patternType="solid">
        <fgColor theme="5" tint="0.6"/>
        <bgColor indexed="64"/>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8" tint="0.8"/>
        <bgColor indexed="64"/>
      </patternFill>
    </fill>
    <fill>
      <patternFill patternType="solid">
        <fgColor theme="2" tint="-0.1"/>
        <bgColor indexed="64"/>
      </patternFill>
    </fill>
    <fill>
      <patternFill patternType="solid">
        <fgColor theme="0" tint="-0.15"/>
        <bgColor indexed="64"/>
      </patternFill>
    </fill>
    <fill>
      <patternFill patternType="solid">
        <fgColor theme="6" tint="0.4"/>
        <bgColor indexed="64"/>
      </patternFill>
    </fill>
    <fill>
      <patternFill patternType="solid">
        <fgColor theme="2" tint="-0.5"/>
        <bgColor indexed="64"/>
      </patternFill>
    </fill>
    <fill>
      <patternFill patternType="solid">
        <fgColor rgb="FF00B0F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
        <bgColor indexed="64"/>
      </patternFill>
    </fill>
    <fill>
      <patternFill patternType="solid">
        <fgColor theme="5" tint="0.799951170384838"/>
        <bgColor indexed="64"/>
      </patternFill>
    </fill>
    <fill>
      <patternFill patternType="solid">
        <fgColor theme="3" tint="0.799951170384838"/>
        <bgColor indexed="64"/>
      </patternFill>
    </fill>
    <fill>
      <patternFill patternType="solid">
        <fgColor theme="4"/>
        <bgColor theme="4"/>
      </patternFill>
    </fill>
    <fill>
      <patternFill patternType="solid">
        <fgColor theme="5" tint="0.8"/>
        <bgColor indexed="64"/>
      </patternFill>
    </fill>
    <fill>
      <patternFill patternType="solid">
        <fgColor theme="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6"/>
        <bgColor indexed="64"/>
      </patternFill>
    </fill>
    <fill>
      <patternFill patternType="solid">
        <fgColor indexed="9"/>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47"/>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diagonal/>
    </border>
    <border>
      <left/>
      <right/>
      <top style="thin">
        <color auto="1"/>
      </top>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right/>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double">
        <color auto="1"/>
      </right>
      <top/>
      <bottom style="thin">
        <color auto="1"/>
      </bottom>
      <diagonal/>
    </border>
    <border>
      <left/>
      <right style="thin">
        <color auto="1"/>
      </right>
      <top/>
      <bottom style="thin">
        <color auto="1"/>
      </bottom>
      <diagonal/>
    </border>
    <border>
      <left style="thin">
        <color auto="1"/>
      </left>
      <right style="double">
        <color auto="1"/>
      </right>
      <top/>
      <bottom style="thin">
        <color auto="1"/>
      </bottom>
      <diagonal/>
    </border>
    <border>
      <left style="double">
        <color auto="1"/>
      </left>
      <right/>
      <top style="thin">
        <color auto="1"/>
      </top>
      <bottom/>
      <diagonal/>
    </border>
    <border>
      <left style="thin">
        <color auto="1"/>
      </left>
      <right style="double">
        <color auto="1"/>
      </right>
      <top style="thin">
        <color auto="1"/>
      </top>
      <bottom/>
      <diagonal/>
    </border>
    <border>
      <left/>
      <right style="thin">
        <color auto="1"/>
      </right>
      <top style="thin">
        <color auto="1"/>
      </top>
      <bottom/>
      <diagonal/>
    </border>
    <border>
      <left/>
      <right style="double">
        <color auto="1"/>
      </right>
      <top style="thin">
        <color auto="1"/>
      </top>
      <bottom/>
      <diagonal/>
    </border>
    <border>
      <left style="double">
        <color auto="1"/>
      </left>
      <right style="double">
        <color auto="1"/>
      </right>
      <top style="thin">
        <color auto="1"/>
      </top>
      <bottom style="thin">
        <color auto="1"/>
      </bottom>
      <diagonal/>
    </border>
    <border>
      <left style="double">
        <color auto="1"/>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theme="4" tint="0.399975585192419"/>
      </left>
      <right style="thin">
        <color theme="4" tint="0.399975585192419"/>
      </right>
      <top style="thin">
        <color theme="4" tint="0.399975585192419"/>
      </top>
      <bottom style="thin">
        <color theme="4" tint="0.399975585192419"/>
      </bottom>
      <diagonal/>
    </border>
    <border>
      <left style="double">
        <color auto="1"/>
      </left>
      <right/>
      <top style="medium">
        <color auto="1"/>
      </top>
      <bottom/>
      <diagonal/>
    </border>
    <border>
      <left/>
      <right/>
      <top style="medium">
        <color auto="1"/>
      </top>
      <bottom/>
      <diagonal/>
    </border>
    <border>
      <left style="double">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style="double">
        <color auto="1"/>
      </right>
      <top style="medium">
        <color auto="1"/>
      </top>
      <bottom/>
      <diagonal/>
    </border>
    <border>
      <left style="double">
        <color auto="1"/>
      </left>
      <right/>
      <top/>
      <bottom style="thin">
        <color auto="1"/>
      </bottom>
      <diagonal/>
    </border>
    <border>
      <left/>
      <right style="medium">
        <color auto="1"/>
      </right>
      <top style="medium">
        <color auto="1"/>
      </top>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25" borderId="46"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47" applyNumberFormat="0" applyFill="0" applyAlignment="0" applyProtection="0">
      <alignment vertical="center"/>
    </xf>
    <xf numFmtId="0" fontId="46" fillId="0" borderId="47" applyNumberFormat="0" applyFill="0" applyAlignment="0" applyProtection="0">
      <alignment vertical="center"/>
    </xf>
    <xf numFmtId="0" fontId="47" fillId="0" borderId="48" applyNumberFormat="0" applyFill="0" applyAlignment="0" applyProtection="0">
      <alignment vertical="center"/>
    </xf>
    <xf numFmtId="0" fontId="47" fillId="0" borderId="0" applyNumberFormat="0" applyFill="0" applyBorder="0" applyAlignment="0" applyProtection="0">
      <alignment vertical="center"/>
    </xf>
    <xf numFmtId="0" fontId="48" fillId="26" borderId="49" applyNumberFormat="0" applyAlignment="0" applyProtection="0">
      <alignment vertical="center"/>
    </xf>
    <xf numFmtId="0" fontId="49" fillId="27" borderId="50" applyNumberFormat="0" applyAlignment="0" applyProtection="0">
      <alignment vertical="center"/>
    </xf>
    <xf numFmtId="0" fontId="50" fillId="27" borderId="49" applyNumberFormat="0" applyAlignment="0" applyProtection="0">
      <alignment vertical="center"/>
    </xf>
    <xf numFmtId="0" fontId="51" fillId="28" borderId="51" applyNumberFormat="0" applyAlignment="0" applyProtection="0">
      <alignment vertical="center"/>
    </xf>
    <xf numFmtId="0" fontId="52" fillId="0" borderId="52" applyNumberFormat="0" applyFill="0" applyAlignment="0" applyProtection="0">
      <alignment vertical="center"/>
    </xf>
    <xf numFmtId="0" fontId="53" fillId="0" borderId="53" applyNumberFormat="0" applyFill="0" applyAlignment="0" applyProtection="0">
      <alignment vertical="center"/>
    </xf>
    <xf numFmtId="0" fontId="54" fillId="29" borderId="0" applyNumberFormat="0" applyBorder="0" applyAlignment="0" applyProtection="0">
      <alignment vertical="center"/>
    </xf>
    <xf numFmtId="0" fontId="55" fillId="30" borderId="0" applyNumberFormat="0" applyBorder="0" applyAlignment="0" applyProtection="0">
      <alignment vertical="center"/>
    </xf>
    <xf numFmtId="0" fontId="56" fillId="31" borderId="0" applyNumberFormat="0" applyBorder="0" applyAlignment="0" applyProtection="0">
      <alignment vertical="center"/>
    </xf>
    <xf numFmtId="0" fontId="57" fillId="32" borderId="0" applyNumberFormat="0" applyBorder="0" applyAlignment="0" applyProtection="0">
      <alignment vertical="center"/>
    </xf>
    <xf numFmtId="0" fontId="58" fillId="33" borderId="0" applyNumberFormat="0" applyBorder="0" applyAlignment="0" applyProtection="0">
      <alignment vertical="center"/>
    </xf>
    <xf numFmtId="0" fontId="58"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8" fillId="37" borderId="0" applyNumberFormat="0" applyBorder="0" applyAlignment="0" applyProtection="0">
      <alignment vertical="center"/>
    </xf>
    <xf numFmtId="0" fontId="58"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8" fillId="41" borderId="0" applyNumberFormat="0" applyBorder="0" applyAlignment="0" applyProtection="0">
      <alignment vertical="center"/>
    </xf>
    <xf numFmtId="0" fontId="58" fillId="42" borderId="0" applyNumberFormat="0" applyBorder="0" applyAlignment="0" applyProtection="0">
      <alignment vertical="center"/>
    </xf>
    <xf numFmtId="0" fontId="57" fillId="43" borderId="0" applyNumberFormat="0" applyBorder="0" applyAlignment="0" applyProtection="0">
      <alignment vertical="center"/>
    </xf>
    <xf numFmtId="0" fontId="57" fillId="44" borderId="0" applyNumberFormat="0" applyBorder="0" applyAlignment="0" applyProtection="0">
      <alignment vertical="center"/>
    </xf>
    <xf numFmtId="0" fontId="58" fillId="45" borderId="0" applyNumberFormat="0" applyBorder="0" applyAlignment="0" applyProtection="0">
      <alignment vertical="center"/>
    </xf>
    <xf numFmtId="0" fontId="58" fillId="46" borderId="0" applyNumberFormat="0" applyBorder="0" applyAlignment="0" applyProtection="0">
      <alignment vertical="center"/>
    </xf>
    <xf numFmtId="0" fontId="57" fillId="47" borderId="0" applyNumberFormat="0" applyBorder="0" applyAlignment="0" applyProtection="0">
      <alignment vertical="center"/>
    </xf>
    <xf numFmtId="0" fontId="57" fillId="48" borderId="0" applyNumberFormat="0" applyBorder="0" applyAlignment="0" applyProtection="0">
      <alignment vertical="center"/>
    </xf>
    <xf numFmtId="0" fontId="58" fillId="49" borderId="0" applyNumberFormat="0" applyBorder="0" applyAlignment="0" applyProtection="0">
      <alignment vertical="center"/>
    </xf>
    <xf numFmtId="0" fontId="58" fillId="50" borderId="0" applyNumberFormat="0" applyBorder="0" applyAlignment="0" applyProtection="0">
      <alignment vertical="center"/>
    </xf>
    <xf numFmtId="0" fontId="57" fillId="51" borderId="0" applyNumberFormat="0" applyBorder="0" applyAlignment="0" applyProtection="0">
      <alignment vertical="center"/>
    </xf>
    <xf numFmtId="0" fontId="57" fillId="52" borderId="0" applyNumberFormat="0" applyBorder="0" applyAlignment="0" applyProtection="0">
      <alignment vertical="center"/>
    </xf>
    <xf numFmtId="0" fontId="58" fillId="53" borderId="0" applyNumberFormat="0" applyBorder="0" applyAlignment="0" applyProtection="0">
      <alignment vertical="center"/>
    </xf>
    <xf numFmtId="0" fontId="58" fillId="54" borderId="0" applyNumberFormat="0" applyBorder="0" applyAlignment="0" applyProtection="0">
      <alignment vertical="center"/>
    </xf>
    <xf numFmtId="0" fontId="57" fillId="55" borderId="0" applyNumberFormat="0" applyBorder="0" applyAlignment="0" applyProtection="0">
      <alignment vertical="center"/>
    </xf>
    <xf numFmtId="0" fontId="59" fillId="56" borderId="0" applyNumberFormat="0" applyBorder="0" applyAlignment="0" applyProtection="0">
      <alignment vertical="center"/>
    </xf>
    <xf numFmtId="0" fontId="60" fillId="57" borderId="0">
      <alignment horizontal="center" vertical="center" wrapText="1"/>
    </xf>
    <xf numFmtId="0" fontId="59" fillId="0" borderId="0">
      <alignment vertical="center"/>
    </xf>
    <xf numFmtId="0" fontId="61" fillId="0" borderId="0">
      <alignment vertical="center"/>
    </xf>
    <xf numFmtId="0" fontId="61" fillId="0" borderId="0"/>
    <xf numFmtId="0" fontId="61" fillId="0" borderId="0">
      <alignment vertical="center"/>
    </xf>
    <xf numFmtId="0" fontId="61" fillId="0" borderId="0">
      <alignment vertical="center"/>
    </xf>
    <xf numFmtId="0" fontId="62" fillId="0" borderId="0">
      <alignment vertical="center"/>
    </xf>
    <xf numFmtId="0" fontId="63" fillId="0" borderId="0">
      <alignment vertical="center"/>
    </xf>
    <xf numFmtId="0" fontId="64" fillId="0" borderId="0"/>
    <xf numFmtId="0" fontId="60" fillId="57" borderId="0">
      <alignment horizontal="center" vertical="center"/>
    </xf>
    <xf numFmtId="0" fontId="65" fillId="57" borderId="0">
      <alignment horizontal="center" vertical="center"/>
    </xf>
    <xf numFmtId="0" fontId="66" fillId="0" borderId="0"/>
    <xf numFmtId="43" fontId="62" fillId="0" borderId="0" applyFont="0" applyFill="0" applyBorder="0" applyAlignment="0" applyProtection="0">
      <alignment vertical="center"/>
    </xf>
    <xf numFmtId="0" fontId="61" fillId="0" borderId="0">
      <alignment vertical="center"/>
    </xf>
    <xf numFmtId="0" fontId="67" fillId="0" borderId="0"/>
    <xf numFmtId="0" fontId="60" fillId="0" borderId="0"/>
    <xf numFmtId="0" fontId="60" fillId="0" borderId="0"/>
    <xf numFmtId="0" fontId="0" fillId="0" borderId="0">
      <alignment vertical="center"/>
    </xf>
    <xf numFmtId="0" fontId="59" fillId="58"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xf numFmtId="0" fontId="61" fillId="0" borderId="0">
      <alignment vertical="center"/>
    </xf>
    <xf numFmtId="0" fontId="68" fillId="0" borderId="0"/>
    <xf numFmtId="0" fontId="59" fillId="59" borderId="0" applyNumberFormat="0" applyBorder="0" applyAlignment="0" applyProtection="0">
      <alignment vertical="center"/>
    </xf>
    <xf numFmtId="0" fontId="64" fillId="0" borderId="0"/>
    <xf numFmtId="0" fontId="69" fillId="0" borderId="0">
      <alignment vertical="center"/>
    </xf>
    <xf numFmtId="0" fontId="59" fillId="60" borderId="0" applyNumberFormat="0" applyBorder="0" applyAlignment="0" applyProtection="0">
      <alignment vertical="center"/>
    </xf>
    <xf numFmtId="0" fontId="61" fillId="0" borderId="0"/>
    <xf numFmtId="0" fontId="61" fillId="0" borderId="0"/>
    <xf numFmtId="0" fontId="64" fillId="0" borderId="0"/>
    <xf numFmtId="0" fontId="69" fillId="0" borderId="0"/>
    <xf numFmtId="0" fontId="70" fillId="61" borderId="0" applyNumberFormat="0" applyBorder="0" applyAlignment="0" applyProtection="0">
      <alignment vertical="center"/>
    </xf>
  </cellStyleXfs>
  <cellXfs count="475">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1" fillId="0" borderId="0" xfId="0" applyFont="1" applyFill="1" applyBorder="1">
      <alignment vertical="center"/>
    </xf>
    <xf numFmtId="0" fontId="1" fillId="0" borderId="0" xfId="0" applyFont="1" applyFill="1" applyAlignment="1">
      <alignment vertical="center" wrapText="1"/>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0" fontId="4" fillId="0" borderId="1" xfId="0" applyFont="1" applyFill="1" applyBorder="1" applyAlignment="1">
      <alignment horizontal="center" vertical="center"/>
    </xf>
    <xf numFmtId="49" fontId="5" fillId="0" borderId="1" xfId="49" applyNumberFormat="1" applyFont="1" applyFill="1" applyBorder="1" applyAlignment="1" applyProtection="1">
      <alignment horizontal="center" vertical="center" wrapText="1"/>
    </xf>
    <xf numFmtId="177" fontId="5" fillId="0" borderId="1" xfId="49" applyNumberFormat="1" applyFont="1" applyFill="1" applyBorder="1" applyAlignment="1" applyProtection="1">
      <alignment horizontal="center" vertical="center" wrapText="1"/>
    </xf>
    <xf numFmtId="176" fontId="5" fillId="0" borderId="1" xfId="49"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177" fontId="5" fillId="0" borderId="1" xfId="1" applyNumberFormat="1" applyFont="1" applyFill="1" applyBorder="1" applyAlignment="1" applyProtection="1">
      <alignment horizontal="center" vertical="center" wrapText="1"/>
    </xf>
    <xf numFmtId="0" fontId="3" fillId="0" borderId="1" xfId="0" applyFont="1" applyFill="1" applyBorder="1">
      <alignment vertical="center"/>
    </xf>
    <xf numFmtId="176" fontId="1" fillId="0" borderId="1" xfId="0" applyNumberFormat="1" applyFont="1" applyFill="1" applyBorder="1" applyAlignment="1">
      <alignment horizontal="center" vertical="center"/>
    </xf>
    <xf numFmtId="0" fontId="1" fillId="0" borderId="1" xfId="0" applyFont="1" applyFill="1" applyBorder="1">
      <alignment vertical="center"/>
    </xf>
    <xf numFmtId="0" fontId="8" fillId="0" borderId="1" xfId="0" applyFont="1" applyFill="1" applyBorder="1">
      <alignment vertical="center"/>
    </xf>
    <xf numFmtId="0" fontId="1" fillId="0" borderId="0" xfId="0" applyFont="1">
      <alignment vertical="center"/>
    </xf>
    <xf numFmtId="0" fontId="1" fillId="2" borderId="0" xfId="0" applyFont="1" applyFill="1">
      <alignment vertical="center"/>
    </xf>
    <xf numFmtId="0" fontId="1" fillId="0" borderId="0" xfId="0" applyFont="1" applyAlignment="1">
      <alignment vertical="center" wrapText="1"/>
    </xf>
    <xf numFmtId="0" fontId="1" fillId="0" borderId="0" xfId="0" applyFont="1" applyAlignment="1">
      <alignment horizontal="center" vertical="center"/>
    </xf>
    <xf numFmtId="176" fontId="1" fillId="0" borderId="0" xfId="0" applyNumberFormat="1" applyFont="1">
      <alignment vertical="center"/>
    </xf>
    <xf numFmtId="43" fontId="1" fillId="0" borderId="0" xfId="0" applyNumberFormat="1" applyFont="1">
      <alignment vertical="center"/>
    </xf>
    <xf numFmtId="0" fontId="9" fillId="0" borderId="0" xfId="0" applyFont="1">
      <alignment vertical="center"/>
    </xf>
    <xf numFmtId="0" fontId="4" fillId="0" borderId="0" xfId="0" applyFont="1" applyAlignment="1">
      <alignment horizontal="center" vertical="center"/>
    </xf>
    <xf numFmtId="0" fontId="4" fillId="0" borderId="0" xfId="0" applyFont="1" applyAlignment="1">
      <alignment horizontal="center" vertical="center" wrapText="1"/>
    </xf>
    <xf numFmtId="176" fontId="4" fillId="0" borderId="0" xfId="0" applyNumberFormat="1" applyFont="1" applyAlignment="1">
      <alignment horizontal="center" vertical="center"/>
    </xf>
    <xf numFmtId="43" fontId="4" fillId="0" borderId="0" xfId="0" applyNumberFormat="1" applyFont="1" applyFill="1" applyAlignment="1">
      <alignment horizontal="center" vertical="center"/>
    </xf>
    <xf numFmtId="43" fontId="5" fillId="0" borderId="1" xfId="49" applyNumberFormat="1" applyFont="1" applyFill="1" applyBorder="1" applyAlignment="1" applyProtection="1">
      <alignment horizontal="center" vertical="center" wrapText="1"/>
    </xf>
    <xf numFmtId="0" fontId="1" fillId="2" borderId="1" xfId="0" applyFont="1" applyFill="1" applyBorder="1">
      <alignment vertical="center"/>
    </xf>
    <xf numFmtId="0" fontId="1" fillId="2" borderId="1" xfId="0" applyFont="1" applyFill="1" applyBorder="1" applyAlignment="1">
      <alignment vertical="center" wrapText="1"/>
    </xf>
    <xf numFmtId="0" fontId="1" fillId="2" borderId="1" xfId="0" applyFont="1" applyFill="1" applyBorder="1" applyAlignment="1">
      <alignment horizontal="center" vertical="center"/>
    </xf>
    <xf numFmtId="176" fontId="1" fillId="2" borderId="1" xfId="0" applyNumberFormat="1" applyFont="1" applyFill="1" applyBorder="1">
      <alignment vertical="center"/>
    </xf>
    <xf numFmtId="43" fontId="1" fillId="2" borderId="1" xfId="0" applyNumberFormat="1" applyFont="1" applyFill="1" applyBorder="1">
      <alignment vertical="center"/>
    </xf>
    <xf numFmtId="0" fontId="1" fillId="0" borderId="1" xfId="0" applyNumberFormat="1" applyFont="1" applyBorder="1">
      <alignment vertical="center"/>
    </xf>
    <xf numFmtId="0" fontId="1" fillId="0" borderId="1" xfId="0" applyNumberFormat="1" applyFont="1" applyBorder="1" applyAlignment="1">
      <alignment vertical="center" wrapText="1"/>
    </xf>
    <xf numFmtId="0" fontId="1" fillId="0" borderId="1" xfId="0" applyNumberFormat="1" applyFont="1" applyBorder="1" applyAlignment="1">
      <alignment horizontal="center" vertical="center"/>
    </xf>
    <xf numFmtId="176" fontId="1" fillId="0" borderId="1" xfId="0" applyNumberFormat="1" applyFont="1" applyBorder="1">
      <alignment vertical="center"/>
    </xf>
    <xf numFmtId="43" fontId="1" fillId="0" borderId="1" xfId="0" applyNumberFormat="1" applyFont="1" applyBorder="1">
      <alignment vertical="center"/>
    </xf>
    <xf numFmtId="0" fontId="1" fillId="0" borderId="1" xfId="0" applyFont="1" applyBorder="1">
      <alignment vertical="center"/>
    </xf>
    <xf numFmtId="0" fontId="1" fillId="0" borderId="1" xfId="0" applyFont="1" applyBorder="1" applyAlignment="1">
      <alignment vertical="center" wrapText="1"/>
    </xf>
    <xf numFmtId="0" fontId="1" fillId="0" borderId="1" xfId="0" applyFont="1" applyBorder="1" applyAlignment="1">
      <alignment horizontal="center" vertical="center"/>
    </xf>
    <xf numFmtId="0" fontId="10" fillId="0" borderId="0" xfId="6" applyFont="1" applyFill="1" applyBorder="1" applyAlignment="1" applyProtection="1">
      <alignment vertical="center"/>
    </xf>
    <xf numFmtId="0" fontId="9" fillId="2" borderId="0" xfId="0" applyFont="1" applyFill="1">
      <alignment vertical="center"/>
    </xf>
    <xf numFmtId="178" fontId="1" fillId="0" borderId="1" xfId="0" applyNumberFormat="1" applyFont="1" applyBorder="1">
      <alignment vertical="center"/>
    </xf>
    <xf numFmtId="179" fontId="1" fillId="0" borderId="1" xfId="0" applyNumberFormat="1" applyFont="1" applyBorder="1">
      <alignment vertical="center"/>
    </xf>
    <xf numFmtId="0" fontId="3" fillId="2" borderId="0" xfId="0" applyFont="1" applyFill="1">
      <alignment vertical="center"/>
    </xf>
    <xf numFmtId="0" fontId="11" fillId="3" borderId="0" xfId="0" applyFont="1" applyFill="1">
      <alignment vertical="center"/>
    </xf>
    <xf numFmtId="0" fontId="11" fillId="2" borderId="0" xfId="0" applyFont="1" applyFill="1">
      <alignment vertical="center"/>
    </xf>
    <xf numFmtId="0" fontId="3" fillId="0" borderId="0" xfId="0" applyFont="1">
      <alignment vertical="center"/>
    </xf>
    <xf numFmtId="0" fontId="11" fillId="0" borderId="0" xfId="0" applyFont="1" applyFill="1">
      <alignment vertical="center"/>
    </xf>
    <xf numFmtId="0" fontId="3" fillId="3" borderId="0" xfId="0" applyFont="1" applyFill="1">
      <alignment vertical="center"/>
    </xf>
    <xf numFmtId="0" fontId="12" fillId="0" borderId="0" xfId="0" applyFont="1">
      <alignment vertical="center"/>
    </xf>
    <xf numFmtId="176" fontId="1" fillId="0" borderId="0" xfId="0" applyNumberFormat="1" applyFont="1" applyAlignment="1">
      <alignment horizontal="center" vertical="center"/>
    </xf>
    <xf numFmtId="180" fontId="1" fillId="0" borderId="0" xfId="0" applyNumberFormat="1" applyFont="1">
      <alignment vertical="center"/>
    </xf>
    <xf numFmtId="176" fontId="13" fillId="4" borderId="5" xfId="49" applyNumberFormat="1" applyFont="1" applyFill="1" applyBorder="1" applyAlignment="1" applyProtection="1">
      <alignment horizontal="center" vertical="center" wrapText="1"/>
    </xf>
    <xf numFmtId="49" fontId="5" fillId="5" borderId="1" xfId="49" applyNumberFormat="1" applyFont="1" applyFill="1" applyBorder="1" applyAlignment="1" applyProtection="1">
      <alignment horizontal="center" vertical="center" wrapText="1"/>
    </xf>
    <xf numFmtId="177" fontId="5" fillId="5" borderId="1" xfId="49" applyNumberFormat="1" applyFont="1" applyFill="1" applyBorder="1" applyAlignment="1" applyProtection="1">
      <alignment horizontal="center" vertical="center" wrapText="1"/>
    </xf>
    <xf numFmtId="176" fontId="5" fillId="5" borderId="1" xfId="49" applyNumberFormat="1" applyFont="1" applyFill="1" applyBorder="1" applyAlignment="1" applyProtection="1">
      <alignment horizontal="center" vertical="center" wrapText="1"/>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0" applyFont="1" applyFill="1" applyBorder="1">
      <alignment vertical="center"/>
    </xf>
    <xf numFmtId="176" fontId="11" fillId="2"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0" fontId="11" fillId="3" borderId="1" xfId="0" applyFont="1" applyFill="1" applyBorder="1">
      <alignment vertical="center"/>
    </xf>
    <xf numFmtId="176" fontId="11" fillId="3"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181" fontId="3" fillId="0" borderId="1" xfId="0" applyNumberFormat="1" applyFont="1" applyBorder="1" applyAlignment="1">
      <alignment horizontal="center" vertical="center" wrapText="1"/>
    </xf>
    <xf numFmtId="176" fontId="3" fillId="0" borderId="1" xfId="0" applyNumberFormat="1" applyFont="1" applyBorder="1" applyAlignment="1">
      <alignment horizontal="center" vertical="center" wrapText="1"/>
    </xf>
    <xf numFmtId="176" fontId="3" fillId="0" borderId="1" xfId="0" applyNumberFormat="1" applyFont="1" applyBorder="1" applyAlignment="1">
      <alignment horizontal="center" vertical="center"/>
    </xf>
    <xf numFmtId="0" fontId="11" fillId="0" borderId="1" xfId="0" applyFont="1" applyFill="1" applyBorder="1" applyAlignment="1">
      <alignment horizontal="center" vertical="center"/>
    </xf>
    <xf numFmtId="176" fontId="11" fillId="0" borderId="1" xfId="0" applyNumberFormat="1" applyFont="1" applyFill="1" applyBorder="1" applyAlignment="1">
      <alignment horizontal="center" vertical="center"/>
    </xf>
    <xf numFmtId="177" fontId="13" fillId="4" borderId="5" xfId="49" applyNumberFormat="1" applyFont="1" applyFill="1" applyBorder="1" applyAlignment="1" applyProtection="1">
      <alignment horizontal="center" vertical="center" wrapText="1"/>
    </xf>
    <xf numFmtId="176" fontId="3" fillId="5" borderId="1" xfId="0" applyNumberFormat="1" applyFont="1" applyFill="1" applyBorder="1" applyAlignment="1">
      <alignment horizontal="center" vertical="center"/>
    </xf>
    <xf numFmtId="176" fontId="3" fillId="6" borderId="1" xfId="0" applyNumberFormat="1" applyFont="1" applyFill="1" applyBorder="1" applyAlignment="1">
      <alignment horizontal="center" vertical="center"/>
    </xf>
    <xf numFmtId="177" fontId="13" fillId="7" borderId="5" xfId="49" applyNumberFormat="1" applyFont="1" applyFill="1" applyBorder="1" applyAlignment="1" applyProtection="1">
      <alignment horizontal="center" vertical="center" wrapText="1"/>
    </xf>
    <xf numFmtId="180" fontId="13" fillId="7" borderId="5" xfId="49" applyNumberFormat="1" applyFont="1" applyFill="1" applyBorder="1" applyAlignment="1" applyProtection="1">
      <alignment horizontal="center" vertical="center" wrapText="1"/>
    </xf>
    <xf numFmtId="180" fontId="5" fillId="5" borderId="1" xfId="49" applyNumberFormat="1" applyFont="1" applyFill="1" applyBorder="1" applyAlignment="1" applyProtection="1">
      <alignment horizontal="center" vertical="center" wrapText="1"/>
    </xf>
    <xf numFmtId="0" fontId="14" fillId="0" borderId="0" xfId="6" applyFont="1" applyFill="1" applyBorder="1" applyAlignment="1" applyProtection="1">
      <alignment vertical="center"/>
    </xf>
    <xf numFmtId="177" fontId="5" fillId="5" borderId="1" xfId="1" applyNumberFormat="1" applyFont="1" applyFill="1" applyBorder="1" applyAlignment="1" applyProtection="1">
      <alignment horizontal="center" vertical="center" wrapText="1"/>
    </xf>
    <xf numFmtId="0" fontId="15" fillId="3" borderId="0" xfId="0" applyFont="1" applyFill="1">
      <alignment vertical="center"/>
    </xf>
    <xf numFmtId="0" fontId="15" fillId="2" borderId="0" xfId="0" applyFont="1" applyFill="1" applyAlignment="1">
      <alignment horizontal="center" vertical="center"/>
    </xf>
    <xf numFmtId="0" fontId="15" fillId="2" borderId="0" xfId="0" applyFont="1" applyFill="1">
      <alignment vertical="center"/>
    </xf>
    <xf numFmtId="0" fontId="3" fillId="0" borderId="1" xfId="0" applyFont="1" applyBorder="1">
      <alignment vertical="center"/>
    </xf>
    <xf numFmtId="0" fontId="16" fillId="0" borderId="0" xfId="0" applyFont="1">
      <alignment vertical="center"/>
    </xf>
    <xf numFmtId="0" fontId="11" fillId="0" borderId="1" xfId="0" applyFont="1" applyFill="1" applyBorder="1">
      <alignment vertical="center"/>
    </xf>
    <xf numFmtId="0" fontId="15" fillId="0" borderId="0" xfId="0" applyFont="1" applyFill="1">
      <alignment vertical="center"/>
    </xf>
    <xf numFmtId="181" fontId="11" fillId="2" borderId="1" xfId="0" applyNumberFormat="1" applyFont="1" applyFill="1" applyBorder="1" applyAlignment="1">
      <alignment horizontal="center" vertical="center" wrapText="1"/>
    </xf>
    <xf numFmtId="0" fontId="3" fillId="3" borderId="1" xfId="0" applyFont="1" applyFill="1" applyBorder="1" applyAlignment="1">
      <alignment horizontal="left" vertical="center" wrapText="1"/>
    </xf>
    <xf numFmtId="181"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176" fontId="3" fillId="3"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176" fontId="18" fillId="0" borderId="1" xfId="0" applyNumberFormat="1" applyFont="1" applyFill="1" applyBorder="1" applyAlignment="1">
      <alignment horizontal="center"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17" fillId="8" borderId="1" xfId="0" applyFont="1" applyFill="1" applyBorder="1" applyAlignment="1">
      <alignment horizontal="left" vertical="center" wrapText="1"/>
    </xf>
    <xf numFmtId="0" fontId="17" fillId="8" borderId="1" xfId="0" applyFont="1" applyFill="1" applyBorder="1">
      <alignment vertical="center"/>
    </xf>
    <xf numFmtId="176" fontId="17" fillId="8" borderId="1" xfId="0" applyNumberFormat="1" applyFont="1" applyFill="1" applyBorder="1" applyAlignment="1">
      <alignment horizontal="center" vertical="center"/>
    </xf>
    <xf numFmtId="181" fontId="17" fillId="8" borderId="1" xfId="0" applyNumberFormat="1" applyFont="1" applyFill="1" applyBorder="1" applyAlignment="1">
      <alignment horizontal="center" vertical="center"/>
    </xf>
    <xf numFmtId="0" fontId="3" fillId="3" borderId="1" xfId="0" applyFont="1" applyFill="1" applyBorder="1">
      <alignment vertical="center"/>
    </xf>
    <xf numFmtId="0" fontId="16" fillId="3" borderId="0" xfId="0" applyFont="1" applyFill="1">
      <alignment vertical="center"/>
    </xf>
    <xf numFmtId="0" fontId="16" fillId="0" borderId="0" xfId="0" applyFont="1" applyFill="1">
      <alignment vertical="center"/>
    </xf>
    <xf numFmtId="0" fontId="17" fillId="0" borderId="1" xfId="0" applyFont="1" applyFill="1" applyBorder="1">
      <alignment vertical="center"/>
    </xf>
    <xf numFmtId="0" fontId="19" fillId="0" borderId="0" xfId="0" applyFont="1">
      <alignment vertical="center"/>
    </xf>
    <xf numFmtId="0" fontId="1" fillId="9" borderId="0" xfId="0" applyFont="1" applyFill="1">
      <alignment vertical="center"/>
    </xf>
    <xf numFmtId="0" fontId="1" fillId="3" borderId="0" xfId="0" applyFont="1" applyFill="1">
      <alignment vertical="center"/>
    </xf>
    <xf numFmtId="176" fontId="5" fillId="10" borderId="1" xfId="49" applyNumberFormat="1" applyFont="1" applyFill="1" applyBorder="1" applyAlignment="1" applyProtection="1">
      <alignment horizontal="center" vertical="center" wrapText="1"/>
    </xf>
    <xf numFmtId="0" fontId="1" fillId="3" borderId="1" xfId="0" applyFont="1" applyFill="1" applyBorder="1">
      <alignment vertical="center"/>
    </xf>
    <xf numFmtId="0" fontId="1" fillId="3" borderId="1" xfId="0" applyFont="1" applyFill="1" applyBorder="1" applyAlignment="1">
      <alignment vertical="center" wrapText="1"/>
    </xf>
    <xf numFmtId="0" fontId="1" fillId="3" borderId="1" xfId="0" applyFont="1" applyFill="1" applyBorder="1" applyAlignment="1">
      <alignment horizontal="center" vertical="center"/>
    </xf>
    <xf numFmtId="177" fontId="1" fillId="3" borderId="1" xfId="0" applyNumberFormat="1" applyFont="1" applyFill="1" applyBorder="1" applyAlignment="1">
      <alignment horizontal="center" vertical="center"/>
    </xf>
    <xf numFmtId="176" fontId="1" fillId="3" borderId="1" xfId="0" applyNumberFormat="1" applyFont="1" applyFill="1" applyBorder="1">
      <alignment vertical="center"/>
    </xf>
    <xf numFmtId="0" fontId="1" fillId="9" borderId="1" xfId="0" applyFont="1" applyFill="1" applyBorder="1">
      <alignment vertical="center"/>
    </xf>
    <xf numFmtId="0" fontId="1" fillId="9" borderId="1" xfId="0" applyFont="1" applyFill="1" applyBorder="1" applyAlignment="1">
      <alignment vertical="center" wrapText="1"/>
    </xf>
    <xf numFmtId="0" fontId="1" fillId="9" borderId="1" xfId="0" applyFont="1" applyFill="1" applyBorder="1" applyAlignment="1">
      <alignment horizontal="center" vertical="center"/>
    </xf>
    <xf numFmtId="177" fontId="1" fillId="9" borderId="1" xfId="0" applyNumberFormat="1" applyFont="1" applyFill="1" applyBorder="1" applyAlignment="1">
      <alignment horizontal="center" vertical="center"/>
    </xf>
    <xf numFmtId="176" fontId="1" fillId="9" borderId="1" xfId="0" applyNumberFormat="1" applyFont="1" applyFill="1" applyBorder="1">
      <alignment vertical="center"/>
    </xf>
    <xf numFmtId="177" fontId="1" fillId="2"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Fill="1" applyBorder="1" applyAlignment="1">
      <alignment vertical="center" wrapText="1"/>
    </xf>
    <xf numFmtId="176" fontId="1" fillId="0" borderId="1" xfId="0" applyNumberFormat="1" applyFont="1" applyFill="1" applyBorder="1">
      <alignment vertical="center"/>
    </xf>
    <xf numFmtId="181" fontId="3"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177" fontId="1" fillId="2" borderId="1" xfId="0" applyNumberFormat="1" applyFont="1" applyFill="1" applyBorder="1" applyAlignment="1">
      <alignment horizontal="center" vertical="center" wrapText="1"/>
    </xf>
    <xf numFmtId="176" fontId="5" fillId="11" borderId="1" xfId="49" applyNumberFormat="1" applyFont="1" applyFill="1" applyBorder="1" applyAlignment="1" applyProtection="1">
      <alignment horizontal="center" vertical="center" wrapText="1"/>
    </xf>
    <xf numFmtId="176" fontId="5" fillId="3" borderId="1" xfId="49" applyNumberFormat="1" applyFont="1" applyFill="1" applyBorder="1" applyAlignment="1" applyProtection="1">
      <alignment horizontal="center" vertical="center" wrapText="1"/>
    </xf>
    <xf numFmtId="177" fontId="5" fillId="10" borderId="1" xfId="49" applyNumberFormat="1" applyFont="1" applyFill="1" applyBorder="1" applyAlignment="1" applyProtection="1">
      <alignment horizontal="center" vertical="center" wrapText="1"/>
    </xf>
    <xf numFmtId="177" fontId="5" fillId="11" borderId="1" xfId="49" applyNumberFormat="1" applyFont="1" applyFill="1" applyBorder="1" applyAlignment="1" applyProtection="1">
      <alignment horizontal="center" vertical="center" wrapText="1"/>
    </xf>
    <xf numFmtId="176" fontId="1" fillId="3" borderId="1" xfId="0" applyNumberFormat="1" applyFont="1" applyFill="1" applyBorder="1" applyAlignment="1">
      <alignment horizontal="right" vertical="center"/>
    </xf>
    <xf numFmtId="176" fontId="1" fillId="9" borderId="1" xfId="0" applyNumberFormat="1" applyFont="1" applyFill="1" applyBorder="1" applyAlignment="1">
      <alignment horizontal="right" vertical="center"/>
    </xf>
    <xf numFmtId="176" fontId="1" fillId="2" borderId="1" xfId="0" applyNumberFormat="1" applyFont="1" applyFill="1" applyBorder="1" applyAlignment="1">
      <alignment horizontal="right" vertical="center"/>
    </xf>
    <xf numFmtId="176" fontId="1" fillId="0" borderId="1" xfId="0" applyNumberFormat="1" applyFont="1" applyBorder="1" applyAlignment="1">
      <alignment horizontal="right" vertical="center"/>
    </xf>
    <xf numFmtId="177" fontId="5" fillId="3" borderId="1" xfId="49" applyNumberFormat="1" applyFont="1" applyFill="1" applyBorder="1" applyAlignment="1" applyProtection="1">
      <alignment horizontal="center" vertical="center" wrapText="1"/>
    </xf>
    <xf numFmtId="0" fontId="20" fillId="0" borderId="1" xfId="0" applyFont="1" applyFill="1" applyBorder="1" applyAlignment="1">
      <alignment vertical="center" wrapText="1"/>
    </xf>
    <xf numFmtId="181" fontId="3" fillId="9" borderId="1" xfId="0" applyNumberFormat="1" applyFont="1" applyFill="1" applyBorder="1" applyAlignment="1">
      <alignment horizontal="center" vertical="center" wrapText="1"/>
    </xf>
    <xf numFmtId="0" fontId="1" fillId="9" borderId="1" xfId="0" applyFont="1" applyFill="1" applyBorder="1" applyAlignment="1">
      <alignment horizontal="center" vertical="center" wrapText="1"/>
    </xf>
    <xf numFmtId="177" fontId="1" fillId="9"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176" fontId="1" fillId="3" borderId="1" xfId="0" applyNumberFormat="1" applyFont="1" applyFill="1" applyBorder="1" applyAlignment="1">
      <alignment horizontal="right" vertical="center" wrapText="1"/>
    </xf>
    <xf numFmtId="0" fontId="21" fillId="0" borderId="1" xfId="0" applyFont="1" applyFill="1" applyBorder="1" applyAlignment="1">
      <alignment vertical="center" wrapText="1"/>
    </xf>
    <xf numFmtId="0" fontId="2" fillId="0" borderId="0" xfId="0" applyFont="1" applyAlignment="1">
      <alignment horizontal="center" vertical="center"/>
    </xf>
    <xf numFmtId="0" fontId="21" fillId="0" borderId="0" xfId="0" applyFont="1" applyAlignment="1">
      <alignment horizontal="center" vertical="center"/>
    </xf>
    <xf numFmtId="0" fontId="20" fillId="0" borderId="0" xfId="0" applyFont="1" applyAlignment="1">
      <alignment horizontal="center" vertical="center"/>
    </xf>
    <xf numFmtId="0" fontId="22" fillId="0" borderId="0" xfId="0" applyFont="1" applyAlignment="1">
      <alignment horizontal="center" vertical="center"/>
    </xf>
    <xf numFmtId="0" fontId="21" fillId="12" borderId="0" xfId="0" applyFont="1" applyFill="1">
      <alignment vertical="center"/>
    </xf>
    <xf numFmtId="0" fontId="1" fillId="12" borderId="0" xfId="0" applyFont="1" applyFill="1" applyAlignment="1">
      <alignment horizontal="center" vertical="center"/>
    </xf>
    <xf numFmtId="0" fontId="1" fillId="0" borderId="0" xfId="0" applyFont="1" applyAlignment="1">
      <alignment horizontal="center" vertical="center" wrapText="1"/>
    </xf>
    <xf numFmtId="176" fontId="2" fillId="0" borderId="0" xfId="0" applyNumberFormat="1" applyFont="1" applyAlignment="1">
      <alignment horizontal="center" vertical="center"/>
    </xf>
    <xf numFmtId="9" fontId="2" fillId="0" borderId="0" xfId="3" applyFont="1" applyAlignment="1">
      <alignment horizontal="center" vertical="center"/>
    </xf>
    <xf numFmtId="176" fontId="1" fillId="0" borderId="0" xfId="3" applyNumberFormat="1" applyFont="1" applyAlignment="1">
      <alignment horizontal="center" vertical="center"/>
    </xf>
    <xf numFmtId="9" fontId="1" fillId="0" borderId="0" xfId="3" applyFont="1" applyAlignment="1">
      <alignment horizontal="center" vertical="center"/>
    </xf>
    <xf numFmtId="0" fontId="6" fillId="0" borderId="0" xfId="0" applyFont="1" applyAlignment="1">
      <alignment horizontal="center" vertical="center"/>
    </xf>
    <xf numFmtId="182" fontId="1" fillId="0" borderId="0" xfId="0" applyNumberFormat="1" applyFont="1" applyAlignment="1">
      <alignment horizontal="center" vertical="center" wrapText="1"/>
    </xf>
    <xf numFmtId="0" fontId="23" fillId="0" borderId="0" xfId="0" applyFont="1" applyAlignment="1">
      <alignment horizontal="center" vertical="center"/>
    </xf>
    <xf numFmtId="0" fontId="23" fillId="0" borderId="0" xfId="0" applyFont="1" applyAlignment="1">
      <alignment horizontal="center" vertical="center" wrapText="1"/>
    </xf>
    <xf numFmtId="176" fontId="23" fillId="0" borderId="0" xfId="0" applyNumberFormat="1" applyFont="1" applyAlignment="1">
      <alignment horizontal="center" vertical="center"/>
    </xf>
    <xf numFmtId="9" fontId="23" fillId="0" borderId="0" xfId="3" applyFont="1" applyAlignment="1">
      <alignment horizontal="center" vertical="center"/>
    </xf>
    <xf numFmtId="176" fontId="23" fillId="0" borderId="0" xfId="3" applyNumberFormat="1" applyFont="1" applyAlignment="1">
      <alignment horizontal="center" vertical="center"/>
    </xf>
    <xf numFmtId="0" fontId="2" fillId="13" borderId="1" xfId="0" applyFont="1" applyFill="1" applyBorder="1" applyAlignment="1">
      <alignment horizontal="center" vertical="center"/>
    </xf>
    <xf numFmtId="0" fontId="2" fillId="13" borderId="6" xfId="0" applyFont="1" applyFill="1" applyBorder="1" applyAlignment="1">
      <alignment horizontal="center" vertical="center" wrapText="1"/>
    </xf>
    <xf numFmtId="0" fontId="24" fillId="14" borderId="7" xfId="0" applyFont="1" applyFill="1" applyBorder="1" applyAlignment="1">
      <alignment horizontal="center" vertical="center"/>
    </xf>
    <xf numFmtId="176" fontId="24" fillId="14" borderId="3" xfId="0" applyNumberFormat="1" applyFont="1" applyFill="1" applyBorder="1" applyAlignment="1">
      <alignment horizontal="center" vertical="center"/>
    </xf>
    <xf numFmtId="9" fontId="24" fillId="14" borderId="3" xfId="3" applyFont="1" applyFill="1" applyBorder="1" applyAlignment="1">
      <alignment horizontal="center" vertical="center"/>
    </xf>
    <xf numFmtId="176" fontId="24" fillId="14" borderId="8" xfId="3" applyNumberFormat="1" applyFont="1" applyFill="1" applyBorder="1" applyAlignment="1">
      <alignment horizontal="center" vertical="center"/>
    </xf>
    <xf numFmtId="0" fontId="2" fillId="13" borderId="4" xfId="0" applyFont="1" applyFill="1" applyBorder="1" applyAlignment="1">
      <alignment horizontal="center" vertical="center"/>
    </xf>
    <xf numFmtId="0" fontId="2" fillId="13" borderId="9" xfId="0" applyFont="1" applyFill="1" applyBorder="1" applyAlignment="1">
      <alignment horizontal="center" vertical="center" wrapText="1"/>
    </xf>
    <xf numFmtId="0" fontId="24" fillId="14" borderId="10" xfId="0" applyFont="1" applyFill="1" applyBorder="1" applyAlignment="1">
      <alignment horizontal="center" vertical="center"/>
    </xf>
    <xf numFmtId="176" fontId="24" fillId="14" borderId="1" xfId="0" applyNumberFormat="1" applyFont="1" applyFill="1" applyBorder="1" applyAlignment="1">
      <alignment horizontal="center" vertical="center"/>
    </xf>
    <xf numFmtId="9" fontId="24" fillId="14" borderId="1" xfId="3" applyFont="1" applyFill="1" applyBorder="1" applyAlignment="1">
      <alignment horizontal="center" vertical="center"/>
    </xf>
    <xf numFmtId="176" fontId="24" fillId="14" borderId="11" xfId="3" applyNumberFormat="1" applyFont="1" applyFill="1" applyBorder="1" applyAlignment="1">
      <alignment horizontal="center" vertical="center"/>
    </xf>
    <xf numFmtId="0" fontId="21" fillId="9" borderId="12" xfId="0" applyFont="1" applyFill="1" applyBorder="1" applyAlignment="1">
      <alignment horizontal="center" vertical="center"/>
    </xf>
    <xf numFmtId="0" fontId="21" fillId="9" borderId="13"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0" fillId="9" borderId="7" xfId="0" applyFont="1" applyFill="1" applyBorder="1" applyAlignment="1">
      <alignment horizontal="center" vertical="center"/>
    </xf>
    <xf numFmtId="176" fontId="20" fillId="15" borderId="1" xfId="3" applyNumberFormat="1" applyFont="1" applyFill="1" applyBorder="1" applyAlignment="1">
      <alignment horizontal="center" vertical="center"/>
    </xf>
    <xf numFmtId="9" fontId="20" fillId="9" borderId="1" xfId="3" applyNumberFormat="1" applyFont="1" applyFill="1" applyBorder="1" applyAlignment="1">
      <alignment horizontal="center" vertical="center"/>
    </xf>
    <xf numFmtId="176" fontId="20" fillId="9" borderId="11" xfId="3" applyNumberFormat="1" applyFont="1" applyFill="1" applyBorder="1" applyAlignment="1">
      <alignment horizontal="center" vertical="center"/>
    </xf>
    <xf numFmtId="0" fontId="21" fillId="9" borderId="4" xfId="0" applyFont="1" applyFill="1" applyBorder="1" applyAlignment="1">
      <alignment horizontal="center" vertical="center"/>
    </xf>
    <xf numFmtId="0" fontId="21" fillId="9" borderId="14" xfId="0" applyFont="1" applyFill="1" applyBorder="1" applyAlignment="1">
      <alignment horizontal="center" vertical="center"/>
    </xf>
    <xf numFmtId="0" fontId="21" fillId="9" borderId="15" xfId="0" applyFont="1" applyFill="1" applyBorder="1" applyAlignment="1">
      <alignment horizontal="center" vertical="center" wrapText="1"/>
    </xf>
    <xf numFmtId="0" fontId="20" fillId="9" borderId="10" xfId="0" applyFont="1" applyFill="1" applyBorder="1" applyAlignment="1">
      <alignment horizontal="center" vertical="center"/>
    </xf>
    <xf numFmtId="176" fontId="20" fillId="9" borderId="1" xfId="3" applyNumberFormat="1" applyFont="1" applyFill="1" applyBorder="1" applyAlignment="1">
      <alignment horizontal="center" vertical="center"/>
    </xf>
    <xf numFmtId="0" fontId="21" fillId="12" borderId="15" xfId="0" applyFont="1" applyFill="1" applyBorder="1" applyAlignment="1">
      <alignment horizontal="center" vertical="center" wrapText="1"/>
    </xf>
    <xf numFmtId="0" fontId="21" fillId="12" borderId="2" xfId="0" applyFont="1" applyFill="1" applyBorder="1" applyAlignment="1">
      <alignment horizontal="center" vertical="center" wrapText="1"/>
    </xf>
    <xf numFmtId="0" fontId="20" fillId="12" borderId="10" xfId="0" applyFont="1" applyFill="1" applyBorder="1" applyAlignment="1">
      <alignment horizontal="center" vertical="center"/>
    </xf>
    <xf numFmtId="176" fontId="20" fillId="12" borderId="2" xfId="0" applyNumberFormat="1" applyFont="1" applyFill="1" applyBorder="1" applyAlignment="1">
      <alignment horizontal="center" vertical="center"/>
    </xf>
    <xf numFmtId="9" fontId="20" fillId="12" borderId="1" xfId="3" applyFont="1" applyFill="1" applyBorder="1" applyAlignment="1">
      <alignment horizontal="center" vertical="center"/>
    </xf>
    <xf numFmtId="176" fontId="20" fillId="12" borderId="11" xfId="3" applyNumberFormat="1" applyFont="1" applyFill="1" applyBorder="1" applyAlignment="1">
      <alignment horizontal="center" vertical="center"/>
    </xf>
    <xf numFmtId="176" fontId="20" fillId="0" borderId="1" xfId="3" applyNumberFormat="1" applyFont="1" applyFill="1" applyBorder="1" applyAlignment="1">
      <alignment horizontal="center" vertical="center"/>
    </xf>
    <xf numFmtId="0" fontId="21" fillId="9" borderId="16" xfId="0" applyFont="1" applyFill="1" applyBorder="1" applyAlignment="1">
      <alignment horizontal="center" vertical="center"/>
    </xf>
    <xf numFmtId="0" fontId="21" fillId="9" borderId="17" xfId="0" applyFont="1" applyFill="1" applyBorder="1" applyAlignment="1">
      <alignment horizontal="center" vertical="center" wrapText="1"/>
    </xf>
    <xf numFmtId="0" fontId="21" fillId="12" borderId="12" xfId="0" applyFont="1" applyFill="1" applyBorder="1" applyAlignment="1">
      <alignment horizontal="center" vertical="center"/>
    </xf>
    <xf numFmtId="0" fontId="21" fillId="12" borderId="1" xfId="0" applyFont="1" applyFill="1" applyBorder="1" applyAlignment="1">
      <alignment horizontal="center" vertical="center" wrapText="1"/>
    </xf>
    <xf numFmtId="0" fontId="20" fillId="12" borderId="7" xfId="0" applyFont="1" applyFill="1" applyBorder="1" applyAlignment="1">
      <alignment horizontal="center" vertical="center"/>
    </xf>
    <xf numFmtId="176" fontId="20" fillId="12" borderId="1" xfId="0" applyNumberFormat="1" applyFont="1" applyFill="1" applyBorder="1" applyAlignment="1">
      <alignment horizontal="center" vertical="center"/>
    </xf>
    <xf numFmtId="9" fontId="20" fillId="12" borderId="1" xfId="3" applyNumberFormat="1" applyFont="1" applyFill="1" applyBorder="1" applyAlignment="1">
      <alignment horizontal="center" vertical="center"/>
    </xf>
    <xf numFmtId="0" fontId="21" fillId="12" borderId="4" xfId="0" applyFont="1" applyFill="1" applyBorder="1" applyAlignment="1">
      <alignment horizontal="center" vertical="center"/>
    </xf>
    <xf numFmtId="0" fontId="21" fillId="12" borderId="14" xfId="0" applyFont="1" applyFill="1" applyBorder="1" applyAlignment="1">
      <alignment horizontal="center" vertical="center"/>
    </xf>
    <xf numFmtId="0" fontId="20" fillId="12" borderId="14" xfId="0" applyFont="1" applyFill="1" applyBorder="1" applyAlignment="1">
      <alignment horizontal="center" vertical="center"/>
    </xf>
    <xf numFmtId="0" fontId="20" fillId="12" borderId="1"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20" fillId="12" borderId="4" xfId="0" applyFont="1" applyFill="1" applyBorder="1" applyAlignment="1">
      <alignment horizontal="center" vertical="center"/>
    </xf>
    <xf numFmtId="0" fontId="21" fillId="16" borderId="2" xfId="0" applyFont="1" applyFill="1" applyBorder="1" applyAlignment="1">
      <alignment horizontal="center" vertical="center" wrapText="1"/>
    </xf>
    <xf numFmtId="0" fontId="21" fillId="12" borderId="12" xfId="0" applyFont="1" applyFill="1" applyBorder="1" applyAlignment="1">
      <alignment horizontal="center" vertical="center" wrapText="1"/>
    </xf>
    <xf numFmtId="176" fontId="20" fillId="15" borderId="1" xfId="0" applyNumberFormat="1" applyFont="1" applyFill="1" applyBorder="1" applyAlignment="1">
      <alignment horizontal="center" vertical="center"/>
    </xf>
    <xf numFmtId="9" fontId="20" fillId="15" borderId="1" xfId="3" applyNumberFormat="1" applyFont="1" applyFill="1" applyBorder="1" applyAlignment="1">
      <alignment horizontal="center" vertical="center"/>
    </xf>
    <xf numFmtId="0" fontId="21" fillId="12" borderId="14" xfId="0" applyFont="1" applyFill="1" applyBorder="1" applyAlignment="1">
      <alignment horizontal="center" vertical="center" wrapText="1"/>
    </xf>
    <xf numFmtId="0" fontId="2" fillId="0" borderId="1" xfId="0" applyFont="1" applyBorder="1" applyAlignment="1">
      <alignment horizontal="center" vertical="center"/>
    </xf>
    <xf numFmtId="9" fontId="17" fillId="17" borderId="1" xfId="0" applyNumberFormat="1" applyFont="1" applyFill="1" applyBorder="1" applyAlignment="1">
      <alignment horizontal="center" vertical="center"/>
    </xf>
    <xf numFmtId="0" fontId="25" fillId="0" borderId="1" xfId="0" applyFont="1" applyBorder="1" applyAlignment="1">
      <alignment horizontal="center" vertical="center"/>
    </xf>
    <xf numFmtId="9" fontId="26" fillId="17" borderId="1" xfId="0" applyNumberFormat="1" applyFont="1" applyFill="1" applyBorder="1" applyAlignment="1">
      <alignment horizontal="center" vertical="center"/>
    </xf>
    <xf numFmtId="176" fontId="2" fillId="13" borderId="1" xfId="0" applyNumberFormat="1" applyFont="1" applyFill="1" applyBorder="1" applyAlignment="1">
      <alignment horizontal="center" vertical="center"/>
    </xf>
    <xf numFmtId="9" fontId="2" fillId="13" borderId="11" xfId="3" applyFont="1" applyFill="1" applyBorder="1" applyAlignment="1">
      <alignment horizontal="center" vertical="center"/>
    </xf>
    <xf numFmtId="176" fontId="24" fillId="14" borderId="8" xfId="0" applyNumberFormat="1" applyFont="1" applyFill="1" applyBorder="1" applyAlignment="1">
      <alignment horizontal="center" vertical="center"/>
    </xf>
    <xf numFmtId="176" fontId="17" fillId="17" borderId="1" xfId="0" applyNumberFormat="1" applyFont="1" applyFill="1" applyBorder="1" applyAlignment="1">
      <alignment horizontal="center" vertical="center"/>
    </xf>
    <xf numFmtId="176" fontId="24" fillId="14" borderId="18" xfId="0" applyNumberFormat="1" applyFont="1" applyFill="1" applyBorder="1" applyAlignment="1">
      <alignment horizontal="center" vertical="center"/>
    </xf>
    <xf numFmtId="176" fontId="24" fillId="13" borderId="19" xfId="0" applyNumberFormat="1" applyFont="1" applyFill="1" applyBorder="1" applyAlignment="1">
      <alignment horizontal="center" vertical="center"/>
    </xf>
    <xf numFmtId="0" fontId="24" fillId="13" borderId="20" xfId="0" applyFont="1" applyFill="1" applyBorder="1" applyAlignment="1">
      <alignment horizontal="center" vertical="center"/>
    </xf>
    <xf numFmtId="176" fontId="21" fillId="9" borderId="1" xfId="0" applyNumberFormat="1" applyFont="1" applyFill="1" applyBorder="1" applyAlignment="1">
      <alignment horizontal="center" vertical="center"/>
    </xf>
    <xf numFmtId="9" fontId="21" fillId="9" borderId="11" xfId="3" applyFont="1" applyFill="1" applyBorder="1" applyAlignment="1">
      <alignment horizontal="center" vertical="center"/>
    </xf>
    <xf numFmtId="176" fontId="20" fillId="9" borderId="8" xfId="0" applyNumberFormat="1" applyFont="1" applyFill="1" applyBorder="1" applyAlignment="1">
      <alignment horizontal="center" vertical="center"/>
    </xf>
    <xf numFmtId="176" fontId="20" fillId="0" borderId="4" xfId="0" applyNumberFormat="1" applyFont="1" applyFill="1" applyBorder="1" applyAlignment="1">
      <alignment horizontal="center" vertical="center"/>
    </xf>
    <xf numFmtId="9" fontId="20" fillId="0" borderId="11" xfId="3" applyNumberFormat="1" applyFont="1" applyFill="1" applyBorder="1" applyAlignment="1">
      <alignment horizontal="center" vertical="center"/>
    </xf>
    <xf numFmtId="0" fontId="20" fillId="0" borderId="0" xfId="0" applyFont="1" applyAlignment="1">
      <alignment horizontal="center" vertical="center" wrapText="1"/>
    </xf>
    <xf numFmtId="176" fontId="21" fillId="12" borderId="1" xfId="0" applyNumberFormat="1" applyFont="1" applyFill="1" applyBorder="1" applyAlignment="1">
      <alignment horizontal="center" vertical="center" wrapText="1"/>
    </xf>
    <xf numFmtId="176" fontId="21" fillId="12" borderId="1" xfId="0" applyNumberFormat="1" applyFont="1" applyFill="1" applyBorder="1" applyAlignment="1">
      <alignment horizontal="center" vertical="center"/>
    </xf>
    <xf numFmtId="9" fontId="21" fillId="12" borderId="11" xfId="3" applyFont="1" applyFill="1" applyBorder="1" applyAlignment="1">
      <alignment horizontal="center" vertical="center"/>
    </xf>
    <xf numFmtId="176" fontId="20" fillId="12" borderId="8" xfId="0" applyNumberFormat="1" applyFont="1" applyFill="1" applyBorder="1" applyAlignment="1">
      <alignment horizontal="center" vertical="center"/>
    </xf>
    <xf numFmtId="0" fontId="21" fillId="0" borderId="0" xfId="0" applyFont="1" applyFill="1" applyAlignment="1">
      <alignment horizontal="left" vertical="center"/>
    </xf>
    <xf numFmtId="176" fontId="21" fillId="12" borderId="4" xfId="0" applyNumberFormat="1" applyFont="1" applyFill="1" applyBorder="1" applyAlignment="1">
      <alignment horizontal="center" vertical="center"/>
    </xf>
    <xf numFmtId="0" fontId="21" fillId="0" borderId="0" xfId="0" applyFont="1" applyAlignment="1">
      <alignment horizontal="center" vertical="center" wrapText="1"/>
    </xf>
    <xf numFmtId="176" fontId="20" fillId="12" borderId="4" xfId="0" applyNumberFormat="1" applyFont="1" applyFill="1" applyBorder="1" applyAlignment="1">
      <alignment horizontal="center" vertical="center"/>
    </xf>
    <xf numFmtId="0" fontId="6" fillId="12" borderId="11" xfId="0" applyFont="1" applyFill="1" applyBorder="1" applyAlignment="1">
      <alignment horizontal="center" vertical="center"/>
    </xf>
    <xf numFmtId="0" fontId="21"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1" fillId="12" borderId="4" xfId="0" applyFont="1" applyFill="1" applyBorder="1" applyAlignment="1">
      <alignment horizontal="center" vertical="center" wrapText="1"/>
    </xf>
    <xf numFmtId="9" fontId="21" fillId="12" borderId="11" xfId="3" applyNumberFormat="1" applyFont="1" applyFill="1" applyBorder="1" applyAlignment="1">
      <alignment horizontal="center" vertical="center"/>
    </xf>
    <xf numFmtId="9" fontId="20" fillId="12" borderId="11" xfId="3" applyFont="1" applyFill="1" applyBorder="1" applyAlignment="1">
      <alignment horizontal="center" vertical="center"/>
    </xf>
    <xf numFmtId="0" fontId="27" fillId="12" borderId="11" xfId="0" applyFont="1" applyFill="1" applyBorder="1" applyAlignment="1">
      <alignment horizontal="center" vertical="center"/>
    </xf>
    <xf numFmtId="0" fontId="20" fillId="0" borderId="0" xfId="0" applyFont="1" applyFill="1" applyBorder="1" applyAlignment="1">
      <alignment horizontal="center" vertical="center"/>
    </xf>
    <xf numFmtId="0" fontId="27" fillId="0" borderId="0" xfId="0" applyFont="1" applyFill="1" applyBorder="1" applyAlignment="1">
      <alignment horizontal="center" vertical="center"/>
    </xf>
    <xf numFmtId="176" fontId="21" fillId="16" borderId="1" xfId="0" applyNumberFormat="1" applyFont="1" applyFill="1" applyBorder="1" applyAlignment="1">
      <alignment horizontal="center" vertical="center"/>
    </xf>
    <xf numFmtId="0" fontId="28" fillId="0" borderId="0" xfId="6" applyFont="1" applyFill="1" applyAlignment="1" applyProtection="1">
      <alignment vertical="center" wrapText="1"/>
    </xf>
    <xf numFmtId="182" fontId="28" fillId="0" borderId="0" xfId="6" applyNumberFormat="1" applyFont="1" applyFill="1" applyAlignment="1" applyProtection="1">
      <alignment vertical="center" wrapText="1"/>
    </xf>
    <xf numFmtId="0" fontId="28" fillId="0" borderId="0" xfId="6" applyFont="1" applyFill="1" applyAlignment="1" applyProtection="1">
      <alignment horizontal="center" vertical="center" wrapText="1"/>
    </xf>
    <xf numFmtId="182" fontId="21" fillId="0" borderId="0" xfId="0" applyNumberFormat="1" applyFont="1" applyAlignment="1">
      <alignment horizontal="center" vertical="center" wrapText="1"/>
    </xf>
    <xf numFmtId="0" fontId="21" fillId="12" borderId="16" xfId="0" applyFont="1" applyFill="1" applyBorder="1" applyAlignment="1">
      <alignment horizontal="center" vertical="center"/>
    </xf>
    <xf numFmtId="0" fontId="21" fillId="12" borderId="16" xfId="0" applyFont="1" applyFill="1" applyBorder="1" applyAlignment="1">
      <alignment horizontal="center" vertical="center" wrapText="1"/>
    </xf>
    <xf numFmtId="0" fontId="21" fillId="9" borderId="12" xfId="0" applyFont="1" applyFill="1" applyBorder="1" applyAlignment="1">
      <alignment horizontal="center" vertical="center" wrapText="1"/>
    </xf>
    <xf numFmtId="176" fontId="20" fillId="9" borderId="1" xfId="0" applyNumberFormat="1" applyFont="1" applyFill="1" applyBorder="1" applyAlignment="1">
      <alignment horizontal="center" vertical="center"/>
    </xf>
    <xf numFmtId="0" fontId="21" fillId="9" borderId="14" xfId="0" applyFont="1" applyFill="1" applyBorder="1" applyAlignment="1">
      <alignment horizontal="center" vertical="center" wrapText="1"/>
    </xf>
    <xf numFmtId="0" fontId="20" fillId="9" borderId="2" xfId="0" applyFont="1" applyFill="1" applyBorder="1" applyAlignment="1">
      <alignment horizontal="center" vertical="center" wrapText="1"/>
    </xf>
    <xf numFmtId="176" fontId="22" fillId="9" borderId="1" xfId="0" applyNumberFormat="1" applyFont="1" applyFill="1" applyBorder="1" applyAlignment="1">
      <alignment horizontal="center" vertical="center"/>
    </xf>
    <xf numFmtId="9" fontId="22" fillId="9" borderId="1" xfId="3" applyNumberFormat="1" applyFont="1" applyFill="1" applyBorder="1" applyAlignment="1">
      <alignment horizontal="center" vertical="center"/>
    </xf>
    <xf numFmtId="176" fontId="22" fillId="9" borderId="11" xfId="3" applyNumberFormat="1" applyFont="1" applyFill="1" applyBorder="1" applyAlignment="1">
      <alignment horizontal="center" vertical="center"/>
    </xf>
    <xf numFmtId="0" fontId="22" fillId="9" borderId="14" xfId="0" applyFont="1" applyFill="1" applyBorder="1" applyAlignment="1">
      <alignment horizontal="center" vertical="center"/>
    </xf>
    <xf numFmtId="0" fontId="22" fillId="9" borderId="14"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22" fillId="9" borderId="7" xfId="0" applyFont="1" applyFill="1" applyBorder="1" applyAlignment="1">
      <alignment horizontal="center" vertical="center"/>
    </xf>
    <xf numFmtId="0" fontId="22" fillId="9" borderId="4" xfId="0" applyFont="1" applyFill="1" applyBorder="1" applyAlignment="1">
      <alignment horizontal="center" vertical="center"/>
    </xf>
    <xf numFmtId="0" fontId="20" fillId="12" borderId="12" xfId="0" applyFont="1" applyFill="1" applyBorder="1" applyAlignment="1">
      <alignment horizontal="center" vertical="center" wrapText="1"/>
    </xf>
    <xf numFmtId="9" fontId="24" fillId="12" borderId="1" xfId="3" applyFont="1" applyFill="1" applyBorder="1" applyAlignment="1">
      <alignment horizontal="center" vertical="center"/>
    </xf>
    <xf numFmtId="176" fontId="24" fillId="12" borderId="1" xfId="0" applyNumberFormat="1" applyFont="1" applyFill="1" applyBorder="1" applyAlignment="1">
      <alignment horizontal="center" vertical="center"/>
    </xf>
    <xf numFmtId="9" fontId="21" fillId="9" borderId="11" xfId="3" applyNumberFormat="1" applyFont="1" applyFill="1" applyBorder="1" applyAlignment="1">
      <alignment horizontal="center" vertical="center"/>
    </xf>
    <xf numFmtId="9" fontId="22" fillId="9" borderId="11" xfId="3" applyNumberFormat="1" applyFont="1" applyFill="1" applyBorder="1" applyAlignment="1">
      <alignment horizontal="center" vertical="center"/>
    </xf>
    <xf numFmtId="176" fontId="22" fillId="9" borderId="8" xfId="0" applyNumberFormat="1" applyFont="1" applyFill="1" applyBorder="1" applyAlignment="1">
      <alignment horizontal="center" vertical="center"/>
    </xf>
    <xf numFmtId="176" fontId="22" fillId="0" borderId="4" xfId="0" applyNumberFormat="1" applyFont="1" applyFill="1" applyBorder="1" applyAlignment="1">
      <alignment horizontal="center" vertical="center"/>
    </xf>
    <xf numFmtId="9" fontId="22" fillId="0" borderId="11" xfId="3" applyNumberFormat="1" applyFont="1" applyFill="1" applyBorder="1" applyAlignment="1">
      <alignment horizontal="center" vertical="center"/>
    </xf>
    <xf numFmtId="0" fontId="29" fillId="0" borderId="0" xfId="0" applyFont="1" applyAlignment="1">
      <alignment horizontal="center" vertical="center"/>
    </xf>
    <xf numFmtId="0" fontId="27" fillId="0" borderId="0" xfId="0" applyFont="1" applyAlignment="1">
      <alignment horizontal="center" vertical="center"/>
    </xf>
    <xf numFmtId="0" fontId="20" fillId="12" borderId="3" xfId="0" applyFont="1" applyFill="1" applyBorder="1" applyAlignment="1">
      <alignment horizontal="center" vertical="center"/>
    </xf>
    <xf numFmtId="0" fontId="21" fillId="12" borderId="3" xfId="0" applyFont="1" applyFill="1" applyBorder="1" applyAlignment="1">
      <alignment horizontal="center" vertical="center" wrapText="1"/>
    </xf>
    <xf numFmtId="0" fontId="20" fillId="9" borderId="4" xfId="0" applyFont="1" applyFill="1" applyBorder="1" applyAlignment="1">
      <alignment horizontal="center" vertical="center"/>
    </xf>
    <xf numFmtId="0" fontId="22" fillId="0" borderId="0" xfId="0" applyFont="1" applyAlignment="1">
      <alignment horizontal="center" vertical="center" wrapText="1"/>
    </xf>
    <xf numFmtId="182" fontId="22" fillId="0" borderId="0" xfId="0" applyNumberFormat="1" applyFont="1" applyAlignment="1">
      <alignment horizontal="center" vertical="center" wrapText="1"/>
    </xf>
    <xf numFmtId="0" fontId="21" fillId="12" borderId="13" xfId="0" applyFont="1" applyFill="1" applyBorder="1" applyAlignment="1">
      <alignment horizontal="center" vertical="center" wrapText="1"/>
    </xf>
    <xf numFmtId="176" fontId="20" fillId="5" borderId="1" xfId="0" applyNumberFormat="1"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7" xfId="0" applyFont="1" applyFill="1" applyBorder="1" applyAlignment="1">
      <alignment horizontal="center" vertical="center"/>
    </xf>
    <xf numFmtId="9" fontId="20" fillId="5" borderId="1" xfId="3" applyNumberFormat="1" applyFont="1" applyFill="1" applyBorder="1" applyAlignment="1">
      <alignment horizontal="center" vertical="center"/>
    </xf>
    <xf numFmtId="176" fontId="20" fillId="5" borderId="11" xfId="3" applyNumberFormat="1" applyFont="1" applyFill="1" applyBorder="1" applyAlignment="1">
      <alignment horizontal="center" vertical="center"/>
    </xf>
    <xf numFmtId="0" fontId="21" fillId="5" borderId="4" xfId="0" applyFont="1" applyFill="1" applyBorder="1" applyAlignment="1">
      <alignment horizontal="center" vertical="center"/>
    </xf>
    <xf numFmtId="0" fontId="20" fillId="9" borderId="14" xfId="0" applyFont="1" applyFill="1" applyBorder="1" applyAlignment="1">
      <alignment horizontal="center" vertical="center"/>
    </xf>
    <xf numFmtId="0" fontId="20" fillId="9" borderId="15"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0" fillId="16" borderId="2" xfId="0" applyFont="1" applyFill="1" applyBorder="1" applyAlignment="1">
      <alignment horizontal="center" vertical="center" wrapText="1"/>
    </xf>
    <xf numFmtId="176" fontId="24" fillId="9" borderId="1" xfId="0" applyNumberFormat="1" applyFont="1" applyFill="1" applyBorder="1" applyAlignment="1">
      <alignment horizontal="center" vertical="center"/>
    </xf>
    <xf numFmtId="9" fontId="24" fillId="9" borderId="1" xfId="3" applyFont="1" applyFill="1" applyBorder="1" applyAlignment="1">
      <alignment horizontal="center" vertical="center"/>
    </xf>
    <xf numFmtId="0" fontId="21" fillId="9" borderId="4" xfId="0" applyFont="1" applyFill="1" applyBorder="1" applyAlignment="1">
      <alignment horizontal="center" vertical="center" wrapText="1"/>
    </xf>
    <xf numFmtId="176" fontId="21" fillId="5" borderId="1" xfId="0" applyNumberFormat="1" applyFont="1" applyFill="1" applyBorder="1" applyAlignment="1">
      <alignment horizontal="center" vertical="center"/>
    </xf>
    <xf numFmtId="0" fontId="21" fillId="5" borderId="1" xfId="0" applyFont="1" applyFill="1" applyBorder="1" applyAlignment="1">
      <alignment horizontal="center" vertical="center" wrapText="1"/>
    </xf>
    <xf numFmtId="176" fontId="21" fillId="15" borderId="1" xfId="0" applyNumberFormat="1" applyFont="1" applyFill="1" applyBorder="1" applyAlignment="1">
      <alignment horizontal="center" vertical="center"/>
    </xf>
    <xf numFmtId="9" fontId="21" fillId="5" borderId="11" xfId="3" applyNumberFormat="1" applyFont="1" applyFill="1" applyBorder="1" applyAlignment="1">
      <alignment horizontal="center" vertical="center"/>
    </xf>
    <xf numFmtId="176" fontId="20" fillId="5" borderId="8" xfId="0" applyNumberFormat="1" applyFont="1" applyFill="1" applyBorder="1" applyAlignment="1">
      <alignment horizontal="center" vertical="center"/>
    </xf>
    <xf numFmtId="0" fontId="21" fillId="15" borderId="0" xfId="0" applyFont="1" applyFill="1" applyAlignment="1">
      <alignment horizontal="center" vertical="center" wrapText="1"/>
    </xf>
    <xf numFmtId="9" fontId="20" fillId="9" borderId="11" xfId="3" applyFont="1" applyFill="1" applyBorder="1" applyAlignment="1">
      <alignment horizontal="center" vertical="center"/>
    </xf>
    <xf numFmtId="9" fontId="22" fillId="9" borderId="11" xfId="3" applyFont="1" applyFill="1" applyBorder="1" applyAlignment="1">
      <alignment horizontal="center" vertical="center"/>
    </xf>
    <xf numFmtId="9" fontId="20" fillId="0" borderId="11" xfId="3" applyFont="1" applyFill="1" applyBorder="1" applyAlignment="1">
      <alignment horizontal="center" vertical="center"/>
    </xf>
    <xf numFmtId="182" fontId="20" fillId="0" borderId="0" xfId="0" applyNumberFormat="1" applyFont="1" applyAlignment="1">
      <alignment horizontal="center" vertical="center" wrapText="1"/>
    </xf>
    <xf numFmtId="0" fontId="21" fillId="12" borderId="0" xfId="0" applyFont="1" applyFill="1" applyAlignment="1">
      <alignment horizontal="center" vertical="center"/>
    </xf>
    <xf numFmtId="176" fontId="20" fillId="18" borderId="11" xfId="3" applyNumberFormat="1" applyFont="1" applyFill="1" applyBorder="1" applyAlignment="1">
      <alignment horizontal="center" vertical="center"/>
    </xf>
    <xf numFmtId="0" fontId="21" fillId="12" borderId="0" xfId="0" applyFont="1" applyFill="1" applyAlignment="1">
      <alignment horizontal="center" vertical="center" wrapText="1"/>
    </xf>
    <xf numFmtId="0" fontId="20" fillId="12" borderId="21" xfId="0" applyFont="1" applyFill="1" applyBorder="1" applyAlignment="1">
      <alignment horizontal="center" vertical="center"/>
    </xf>
    <xf numFmtId="176" fontId="20" fillId="12" borderId="22" xfId="3" applyNumberFormat="1" applyFont="1" applyFill="1" applyBorder="1" applyAlignment="1">
      <alignment horizontal="center" vertical="center"/>
    </xf>
    <xf numFmtId="0" fontId="21" fillId="12" borderId="23" xfId="0" applyFont="1" applyFill="1" applyBorder="1" applyAlignment="1">
      <alignment horizontal="center" vertical="center"/>
    </xf>
    <xf numFmtId="0" fontId="21" fillId="12" borderId="11" xfId="0" applyFont="1" applyFill="1" applyBorder="1" applyAlignment="1">
      <alignment horizontal="center" vertical="center" wrapText="1"/>
    </xf>
    <xf numFmtId="0" fontId="21" fillId="12" borderId="3" xfId="0" applyFont="1" applyFill="1" applyBorder="1" applyAlignment="1">
      <alignment horizontal="center" vertical="center"/>
    </xf>
    <xf numFmtId="176" fontId="2" fillId="12" borderId="1" xfId="0" applyNumberFormat="1" applyFont="1" applyFill="1" applyBorder="1" applyAlignment="1">
      <alignment horizontal="center" vertical="center"/>
    </xf>
    <xf numFmtId="9" fontId="2" fillId="12" borderId="1" xfId="3" applyFont="1" applyFill="1" applyBorder="1" applyAlignment="1">
      <alignment horizontal="center" vertical="center"/>
    </xf>
    <xf numFmtId="176" fontId="21" fillId="12" borderId="11" xfId="0" applyNumberFormat="1" applyFont="1" applyFill="1" applyBorder="1" applyAlignment="1">
      <alignment horizontal="center" vertical="center" wrapText="1"/>
    </xf>
    <xf numFmtId="9" fontId="21" fillId="12" borderId="1" xfId="3" applyFont="1" applyFill="1" applyBorder="1" applyAlignment="1">
      <alignment horizontal="center" vertical="center" wrapText="1"/>
    </xf>
    <xf numFmtId="176" fontId="21" fillId="18" borderId="11" xfId="0" applyNumberFormat="1" applyFont="1" applyFill="1" applyBorder="1" applyAlignment="1">
      <alignment horizontal="center" vertical="center" wrapText="1"/>
    </xf>
    <xf numFmtId="9" fontId="21" fillId="12" borderId="8" xfId="3" applyFont="1" applyFill="1" applyBorder="1" applyAlignment="1">
      <alignment horizontal="center" vertical="center"/>
    </xf>
    <xf numFmtId="9" fontId="21" fillId="0" borderId="11" xfId="3" applyFont="1" applyBorder="1" applyAlignment="1">
      <alignment horizontal="center" vertical="center"/>
    </xf>
    <xf numFmtId="9" fontId="20" fillId="12" borderId="8" xfId="3" applyFont="1" applyFill="1" applyBorder="1" applyAlignment="1">
      <alignment horizontal="center" vertical="center"/>
    </xf>
    <xf numFmtId="176" fontId="21" fillId="18" borderId="1" xfId="0" applyNumberFormat="1" applyFont="1" applyFill="1" applyBorder="1" applyAlignment="1">
      <alignment horizontal="center" vertical="center"/>
    </xf>
    <xf numFmtId="9" fontId="21" fillId="12" borderId="8" xfId="3" applyNumberFormat="1" applyFont="1" applyFill="1" applyBorder="1" applyAlignment="1">
      <alignment horizontal="center" vertical="center"/>
    </xf>
    <xf numFmtId="176" fontId="21" fillId="12" borderId="12" xfId="0" applyNumberFormat="1" applyFont="1" applyFill="1" applyBorder="1" applyAlignment="1">
      <alignment horizontal="center" vertical="center"/>
    </xf>
    <xf numFmtId="9" fontId="21" fillId="12" borderId="24" xfId="3" applyFont="1" applyFill="1" applyBorder="1" applyAlignment="1">
      <alignment horizontal="center" vertical="center"/>
    </xf>
    <xf numFmtId="176" fontId="20" fillId="12" borderId="24" xfId="0" applyNumberFormat="1" applyFont="1" applyFill="1" applyBorder="1" applyAlignment="1">
      <alignment horizontal="center" vertical="center"/>
    </xf>
    <xf numFmtId="176" fontId="21" fillId="12" borderId="8" xfId="0" applyNumberFormat="1" applyFont="1" applyFill="1" applyBorder="1" applyAlignment="1">
      <alignment horizontal="center" vertical="center" wrapText="1"/>
    </xf>
    <xf numFmtId="176" fontId="21" fillId="12" borderId="4" xfId="0" applyNumberFormat="1" applyFont="1" applyFill="1" applyBorder="1" applyAlignment="1">
      <alignment horizontal="center" vertical="center" wrapText="1"/>
    </xf>
    <xf numFmtId="9" fontId="21" fillId="12" borderId="11" xfId="3" applyFont="1" applyFill="1" applyBorder="1">
      <alignment vertical="center"/>
    </xf>
    <xf numFmtId="0" fontId="6" fillId="12" borderId="0" xfId="0" applyFont="1" applyFill="1">
      <alignment vertical="center"/>
    </xf>
    <xf numFmtId="176" fontId="21" fillId="19" borderId="11" xfId="0" applyNumberFormat="1" applyFont="1" applyFill="1" applyBorder="1" applyAlignment="1">
      <alignment horizontal="center" vertical="center" wrapText="1"/>
    </xf>
    <xf numFmtId="177" fontId="21" fillId="12" borderId="1" xfId="0" applyNumberFormat="1" applyFont="1" applyFill="1" applyBorder="1" applyAlignment="1">
      <alignment horizontal="center" vertical="center" wrapText="1"/>
    </xf>
    <xf numFmtId="176" fontId="21" fillId="16" borderId="11" xfId="0" applyNumberFormat="1" applyFont="1" applyFill="1" applyBorder="1" applyAlignment="1">
      <alignment horizontal="center" vertical="center" wrapText="1"/>
    </xf>
    <xf numFmtId="0" fontId="21" fillId="16" borderId="11" xfId="0" applyFont="1" applyFill="1" applyBorder="1" applyAlignment="1">
      <alignment horizontal="center" vertical="center" wrapText="1"/>
    </xf>
    <xf numFmtId="0" fontId="21" fillId="12" borderId="15" xfId="0" applyFont="1" applyFill="1" applyBorder="1" applyAlignment="1" applyProtection="1">
      <alignment horizontal="center" vertical="center" wrapText="1"/>
      <protection locked="0"/>
    </xf>
    <xf numFmtId="0" fontId="21" fillId="12" borderId="11" xfId="0" applyNumberFormat="1" applyFont="1" applyFill="1" applyBorder="1" applyAlignment="1">
      <alignment horizontal="center" vertical="center" wrapText="1"/>
    </xf>
    <xf numFmtId="176" fontId="21" fillId="12" borderId="25"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21" fillId="12" borderId="1" xfId="0" applyFont="1" applyFill="1" applyBorder="1" applyAlignment="1">
      <alignment vertical="center"/>
    </xf>
    <xf numFmtId="9" fontId="1" fillId="12" borderId="11" xfId="3" applyFont="1" applyFill="1" applyBorder="1" applyAlignment="1">
      <alignment horizontal="center" vertical="center"/>
    </xf>
    <xf numFmtId="0" fontId="6" fillId="12" borderId="0" xfId="0" applyFont="1" applyFill="1" applyAlignment="1">
      <alignment horizontal="center" vertical="center"/>
    </xf>
    <xf numFmtId="0" fontId="0" fillId="9" borderId="0" xfId="0" applyFill="1">
      <alignment vertical="center"/>
    </xf>
    <xf numFmtId="0" fontId="0" fillId="3" borderId="0" xfId="0" applyFill="1">
      <alignment vertical="center"/>
    </xf>
    <xf numFmtId="176" fontId="13" fillId="4" borderId="26" xfId="49" applyNumberFormat="1" applyFont="1" applyFill="1" applyBorder="1" applyAlignment="1" applyProtection="1">
      <alignment horizontal="center" vertical="center" wrapText="1"/>
    </xf>
    <xf numFmtId="176" fontId="1" fillId="0" borderId="1" xfId="0" applyNumberFormat="1" applyFont="1" applyBorder="1" applyAlignment="1">
      <alignment vertical="center" wrapText="1"/>
    </xf>
    <xf numFmtId="176" fontId="1" fillId="9" borderId="1" xfId="0" applyNumberFormat="1" applyFont="1" applyFill="1" applyBorder="1" applyAlignment="1">
      <alignment horizontal="center" vertical="center" wrapText="1"/>
    </xf>
    <xf numFmtId="0" fontId="31" fillId="0" borderId="1" xfId="0" applyFont="1" applyFill="1" applyBorder="1" applyAlignment="1">
      <alignment vertical="center" wrapText="1"/>
    </xf>
    <xf numFmtId="176" fontId="13" fillId="4" borderId="27" xfId="49" applyNumberFormat="1" applyFont="1" applyFill="1" applyBorder="1" applyAlignment="1" applyProtection="1">
      <alignment horizontal="center" vertical="center" wrapText="1"/>
    </xf>
    <xf numFmtId="176" fontId="13" fillId="7" borderId="1" xfId="49" applyNumberFormat="1" applyFont="1" applyFill="1" applyBorder="1" applyAlignment="1" applyProtection="1">
      <alignment horizontal="center" vertical="center" wrapText="1"/>
    </xf>
    <xf numFmtId="176" fontId="5" fillId="3" borderId="2" xfId="49" applyNumberFormat="1" applyFont="1" applyFill="1" applyBorder="1" applyAlignment="1" applyProtection="1">
      <alignment horizontal="center" vertical="center" wrapText="1"/>
    </xf>
    <xf numFmtId="176" fontId="1" fillId="3" borderId="2" xfId="0" applyNumberFormat="1" applyFont="1" applyFill="1" applyBorder="1">
      <alignment vertical="center"/>
    </xf>
    <xf numFmtId="176" fontId="1" fillId="3" borderId="1" xfId="0" applyNumberFormat="1" applyFont="1" applyFill="1" applyBorder="1" applyAlignment="1">
      <alignment horizontal="center" vertical="center"/>
    </xf>
    <xf numFmtId="176" fontId="1" fillId="9" borderId="2" xfId="0" applyNumberFormat="1" applyFont="1" applyFill="1" applyBorder="1">
      <alignment vertical="center"/>
    </xf>
    <xf numFmtId="176" fontId="1" fillId="9" borderId="1" xfId="0" applyNumberFormat="1" applyFont="1" applyFill="1" applyBorder="1" applyAlignment="1">
      <alignment horizontal="center" vertical="center"/>
    </xf>
    <xf numFmtId="176" fontId="1" fillId="2" borderId="2" xfId="0" applyNumberFormat="1" applyFont="1" applyFill="1" applyBorder="1">
      <alignment vertical="center"/>
    </xf>
    <xf numFmtId="176" fontId="1" fillId="2" borderId="1" xfId="0" applyNumberFormat="1" applyFont="1" applyFill="1" applyBorder="1" applyAlignment="1">
      <alignment horizontal="center" vertical="center"/>
    </xf>
    <xf numFmtId="176" fontId="1" fillId="0" borderId="2" xfId="0" applyNumberFormat="1" applyFont="1" applyBorder="1">
      <alignment vertical="center"/>
    </xf>
    <xf numFmtId="176" fontId="1" fillId="0" borderId="1" xfId="0" applyNumberFormat="1" applyFont="1" applyBorder="1" applyAlignment="1">
      <alignment horizontal="center" vertical="center"/>
    </xf>
    <xf numFmtId="0" fontId="1" fillId="0" borderId="4" xfId="0" applyFont="1" applyBorder="1">
      <alignment vertical="center"/>
    </xf>
    <xf numFmtId="0" fontId="1" fillId="0" borderId="1" xfId="0" applyFont="1" applyBorder="1" applyAlignment="1">
      <alignment horizontal="left" vertical="center" wrapText="1"/>
    </xf>
    <xf numFmtId="0" fontId="1" fillId="0" borderId="1" xfId="0" applyFont="1" applyFill="1" applyBorder="1" applyAlignment="1">
      <alignment horizontal="left" vertical="center" wrapText="1"/>
    </xf>
    <xf numFmtId="176" fontId="1" fillId="15" borderId="1" xfId="0" applyNumberFormat="1" applyFont="1" applyFill="1" applyBorder="1">
      <alignment vertical="center"/>
    </xf>
    <xf numFmtId="176" fontId="1" fillId="16" borderId="1" xfId="0" applyNumberFormat="1" applyFont="1" applyFill="1" applyBorder="1">
      <alignment vertical="center"/>
    </xf>
    <xf numFmtId="176" fontId="1" fillId="0" borderId="0" xfId="0" applyNumberFormat="1" applyFont="1" applyBorder="1" applyAlignment="1">
      <alignment horizontal="center" vertical="center"/>
    </xf>
    <xf numFmtId="0" fontId="32" fillId="5" borderId="0" xfId="63" applyFont="1" applyFill="1" applyAlignment="1">
      <alignment vertical="center"/>
    </xf>
    <xf numFmtId="183" fontId="33" fillId="5" borderId="0" xfId="54" applyNumberFormat="1" applyFont="1" applyFill="1" applyAlignment="1">
      <alignment horizontal="center" vertical="center" wrapText="1"/>
    </xf>
    <xf numFmtId="183" fontId="33" fillId="5" borderId="0" xfId="53" applyNumberFormat="1" applyFont="1" applyFill="1" applyAlignment="1">
      <alignment horizontal="center" vertical="center" wrapText="1"/>
    </xf>
    <xf numFmtId="183" fontId="34" fillId="5" borderId="0" xfId="53" applyNumberFormat="1" applyFont="1" applyFill="1" applyAlignment="1">
      <alignment horizontal="center" vertical="center" wrapText="1"/>
    </xf>
    <xf numFmtId="182" fontId="34" fillId="5" borderId="0" xfId="53" applyNumberFormat="1" applyFont="1" applyFill="1" applyAlignment="1">
      <alignment horizontal="center" vertical="center" wrapText="1"/>
    </xf>
    <xf numFmtId="183" fontId="35" fillId="5" borderId="0" xfId="53" applyNumberFormat="1" applyFont="1" applyFill="1" applyAlignment="1">
      <alignment horizontal="center" vertical="center" wrapText="1"/>
    </xf>
    <xf numFmtId="0" fontId="32" fillId="5" borderId="15" xfId="63" applyFont="1" applyFill="1" applyBorder="1" applyAlignment="1">
      <alignment horizontal="right" vertical="center"/>
    </xf>
    <xf numFmtId="0" fontId="32" fillId="5" borderId="0" xfId="63" applyFont="1" applyFill="1" applyAlignment="1">
      <alignment horizontal="right" vertical="center"/>
    </xf>
    <xf numFmtId="0" fontId="32" fillId="5" borderId="0" xfId="63" applyFont="1" applyFill="1" applyAlignment="1">
      <alignment horizontal="center" vertical="center"/>
    </xf>
    <xf numFmtId="183" fontId="33" fillId="7" borderId="28" xfId="53" applyNumberFormat="1" applyFont="1" applyFill="1" applyBorder="1" applyAlignment="1">
      <alignment horizontal="center" vertical="center" wrapText="1"/>
    </xf>
    <xf numFmtId="183" fontId="33" fillId="7" borderId="5" xfId="53" applyNumberFormat="1" applyFont="1" applyFill="1" applyBorder="1" applyAlignment="1">
      <alignment horizontal="center" vertical="center" wrapText="1"/>
    </xf>
    <xf numFmtId="183" fontId="33" fillId="7" borderId="27" xfId="53" applyNumberFormat="1" applyFont="1" applyFill="1" applyBorder="1" applyAlignment="1">
      <alignment horizontal="center" vertical="center" wrapText="1"/>
    </xf>
    <xf numFmtId="183" fontId="33" fillId="7" borderId="29" xfId="53" applyNumberFormat="1" applyFont="1" applyFill="1" applyBorder="1" applyAlignment="1">
      <alignment horizontal="center" vertical="center" wrapText="1"/>
    </xf>
    <xf numFmtId="183" fontId="33" fillId="7" borderId="14" xfId="53" applyNumberFormat="1" applyFont="1" applyFill="1" applyBorder="1" applyAlignment="1">
      <alignment horizontal="center" vertical="center" wrapText="1"/>
    </xf>
    <xf numFmtId="183" fontId="33" fillId="7" borderId="15" xfId="53" applyNumberFormat="1" applyFont="1" applyFill="1" applyBorder="1" applyAlignment="1">
      <alignment horizontal="center" vertical="center" wrapText="1"/>
    </xf>
    <xf numFmtId="183" fontId="33" fillId="7" borderId="30" xfId="53" applyNumberFormat="1" applyFont="1" applyFill="1" applyBorder="1" applyAlignment="1">
      <alignment horizontal="center" vertical="center" wrapText="1"/>
    </xf>
    <xf numFmtId="183" fontId="33" fillId="7" borderId="16" xfId="53" applyNumberFormat="1" applyFont="1" applyFill="1" applyBorder="1" applyAlignment="1">
      <alignment horizontal="center" vertical="center" wrapText="1"/>
    </xf>
    <xf numFmtId="183" fontId="33" fillId="7" borderId="17" xfId="53" applyNumberFormat="1" applyFont="1" applyFill="1" applyBorder="1" applyAlignment="1">
      <alignment horizontal="center" vertical="center" wrapText="1"/>
    </xf>
    <xf numFmtId="184" fontId="34" fillId="20" borderId="31" xfId="53" applyNumberFormat="1" applyFont="1" applyFill="1" applyBorder="1" applyAlignment="1">
      <alignment horizontal="center" vertical="center" wrapText="1"/>
    </xf>
    <xf numFmtId="183" fontId="34" fillId="2" borderId="12" xfId="53" applyNumberFormat="1" applyFont="1" applyFill="1" applyBorder="1" applyAlignment="1">
      <alignment horizontal="center" vertical="center" wrapText="1"/>
    </xf>
    <xf numFmtId="184" fontId="34" fillId="20" borderId="12" xfId="64" applyNumberFormat="1" applyFont="1" applyFill="1" applyBorder="1" applyAlignment="1">
      <alignment horizontal="center" vertical="center" wrapText="1"/>
    </xf>
    <xf numFmtId="183" fontId="34" fillId="21" borderId="16" xfId="53" applyNumberFormat="1" applyFont="1" applyFill="1" applyBorder="1" applyAlignment="1">
      <alignment horizontal="center" vertical="center" wrapText="1"/>
    </xf>
    <xf numFmtId="183" fontId="34" fillId="21" borderId="16" xfId="53" applyNumberFormat="1" applyFont="1" applyFill="1" applyBorder="1" applyAlignment="1">
      <alignment vertical="center" wrapText="1"/>
    </xf>
    <xf numFmtId="184" fontId="34" fillId="20" borderId="1" xfId="64" applyNumberFormat="1" applyFont="1" applyFill="1" applyBorder="1" applyAlignment="1">
      <alignment horizontal="center" vertical="center" wrapText="1"/>
    </xf>
    <xf numFmtId="176" fontId="36" fillId="21" borderId="1" xfId="55" applyNumberFormat="1" applyFont="1" applyFill="1" applyBorder="1" applyAlignment="1">
      <alignment vertical="center"/>
    </xf>
    <xf numFmtId="183" fontId="34" fillId="2" borderId="16" xfId="53" applyNumberFormat="1" applyFont="1" applyFill="1" applyBorder="1" applyAlignment="1">
      <alignment horizontal="center" vertical="center" wrapText="1"/>
    </xf>
    <xf numFmtId="183" fontId="34" fillId="21" borderId="1" xfId="53" applyNumberFormat="1" applyFont="1" applyFill="1" applyBorder="1" applyAlignment="1">
      <alignment horizontal="center" vertical="center" wrapText="1"/>
    </xf>
    <xf numFmtId="183" fontId="34" fillId="20" borderId="1" xfId="53" applyNumberFormat="1" applyFont="1" applyFill="1" applyBorder="1" applyAlignment="1">
      <alignment horizontal="center" vertical="center" wrapText="1"/>
    </xf>
    <xf numFmtId="183" fontId="33" fillId="7" borderId="32" xfId="53" applyNumberFormat="1" applyFont="1" applyFill="1" applyBorder="1" applyAlignment="1">
      <alignment horizontal="center" vertical="center" wrapText="1"/>
    </xf>
    <xf numFmtId="183" fontId="33" fillId="7" borderId="33" xfId="53" applyNumberFormat="1" applyFont="1" applyFill="1" applyBorder="1" applyAlignment="1">
      <alignment horizontal="center" vertical="center" wrapText="1"/>
    </xf>
    <xf numFmtId="0" fontId="33" fillId="7" borderId="34" xfId="0" applyFont="1" applyFill="1" applyBorder="1" applyAlignment="1">
      <alignment horizontal="center" vertical="center" wrapText="1"/>
    </xf>
    <xf numFmtId="176" fontId="37" fillId="7" borderId="34" xfId="0" applyNumberFormat="1" applyFont="1" applyFill="1" applyBorder="1" applyAlignment="1">
      <alignment horizontal="center" vertical="center"/>
    </xf>
    <xf numFmtId="183" fontId="34" fillId="5" borderId="0" xfId="53" applyNumberFormat="1" applyFont="1" applyFill="1" applyAlignment="1">
      <alignment horizontal="center" vertical="center"/>
    </xf>
    <xf numFmtId="0" fontId="38" fillId="22" borderId="35" xfId="0" applyNumberFormat="1" applyFont="1" applyFill="1" applyBorder="1" applyAlignment="1" applyProtection="1">
      <alignment horizontal="center" vertical="center"/>
    </xf>
    <xf numFmtId="183" fontId="34" fillId="5" borderId="35" xfId="53" applyNumberFormat="1" applyFont="1" applyFill="1" applyBorder="1" applyAlignment="1" applyProtection="1">
      <alignment horizontal="center" vertical="center" wrapText="1"/>
    </xf>
    <xf numFmtId="0" fontId="14" fillId="5" borderId="0" xfId="6" applyFont="1" applyFill="1" applyBorder="1" applyAlignment="1" applyProtection="1">
      <alignment vertical="center"/>
    </xf>
    <xf numFmtId="183" fontId="39" fillId="5" borderId="0" xfId="53" applyNumberFormat="1" applyFont="1" applyFill="1" applyAlignment="1">
      <alignment vertical="center" wrapText="1"/>
    </xf>
    <xf numFmtId="183" fontId="33" fillId="7" borderId="36" xfId="53" applyNumberFormat="1" applyFont="1" applyFill="1" applyBorder="1" applyAlignment="1">
      <alignment horizontal="center" vertical="center" wrapText="1"/>
    </xf>
    <xf numFmtId="183" fontId="33" fillId="7" borderId="37" xfId="53" applyNumberFormat="1" applyFont="1" applyFill="1" applyBorder="1" applyAlignment="1">
      <alignment horizontal="center" vertical="center" wrapText="1"/>
    </xf>
    <xf numFmtId="183" fontId="33" fillId="7" borderId="7" xfId="53" applyNumberFormat="1" applyFont="1" applyFill="1" applyBorder="1" applyAlignment="1">
      <alignment horizontal="center" vertical="center" wrapText="1"/>
    </xf>
    <xf numFmtId="183" fontId="33" fillId="7" borderId="3" xfId="53" applyNumberFormat="1" applyFont="1" applyFill="1" applyBorder="1" applyAlignment="1">
      <alignment horizontal="center" vertical="center" wrapText="1"/>
    </xf>
    <xf numFmtId="183" fontId="33" fillId="7" borderId="8" xfId="53" applyNumberFormat="1" applyFont="1" applyFill="1" applyBorder="1" applyAlignment="1">
      <alignment horizontal="center" vertical="center" wrapText="1"/>
    </xf>
    <xf numFmtId="183" fontId="33" fillId="7" borderId="10" xfId="53" applyNumberFormat="1" applyFont="1" applyFill="1" applyBorder="1" applyAlignment="1">
      <alignment horizontal="center" vertical="center" wrapText="1"/>
    </xf>
    <xf numFmtId="183" fontId="33" fillId="7" borderId="1" xfId="53" applyNumberFormat="1" applyFont="1" applyFill="1" applyBorder="1" applyAlignment="1">
      <alignment horizontal="center" vertical="center" wrapText="1"/>
    </xf>
    <xf numFmtId="183" fontId="33" fillId="7" borderId="11" xfId="53" applyNumberFormat="1" applyFont="1" applyFill="1" applyBorder="1" applyAlignment="1">
      <alignment horizontal="center" vertical="center" wrapText="1"/>
    </xf>
    <xf numFmtId="176" fontId="34" fillId="23" borderId="2" xfId="55" applyNumberFormat="1" applyFont="1" applyFill="1" applyBorder="1" applyAlignment="1">
      <alignment vertical="center"/>
    </xf>
    <xf numFmtId="176" fontId="36" fillId="21" borderId="10" xfId="55" applyNumberFormat="1" applyFont="1" applyFill="1" applyBorder="1" applyAlignment="1">
      <alignment vertical="center"/>
    </xf>
    <xf numFmtId="183" fontId="34" fillId="20" borderId="11" xfId="53" applyNumberFormat="1" applyFont="1" applyFill="1" applyBorder="1" applyAlignment="1">
      <alignment horizontal="center" vertical="center" wrapText="1"/>
    </xf>
    <xf numFmtId="176" fontId="37" fillId="7" borderId="33" xfId="0" applyNumberFormat="1" applyFont="1" applyFill="1" applyBorder="1" applyAlignment="1">
      <alignment horizontal="center" vertical="center"/>
    </xf>
    <xf numFmtId="182" fontId="33" fillId="7" borderId="38" xfId="53" applyNumberFormat="1" applyFont="1" applyFill="1" applyBorder="1" applyAlignment="1">
      <alignment horizontal="center" vertical="center" wrapText="1"/>
    </xf>
    <xf numFmtId="185" fontId="33" fillId="7" borderId="34" xfId="53" applyNumberFormat="1" applyFont="1" applyFill="1" applyBorder="1" applyAlignment="1">
      <alignment horizontal="center" vertical="center" wrapText="1"/>
    </xf>
    <xf numFmtId="182" fontId="33" fillId="7" borderId="34" xfId="53" applyNumberFormat="1" applyFont="1" applyFill="1" applyBorder="1" applyAlignment="1">
      <alignment horizontal="center" vertical="center" wrapText="1"/>
    </xf>
    <xf numFmtId="182" fontId="33" fillId="7" borderId="39" xfId="53" applyNumberFormat="1" applyFont="1" applyFill="1" applyBorder="1" applyAlignment="1">
      <alignment horizontal="center" vertical="center" wrapText="1"/>
    </xf>
    <xf numFmtId="183" fontId="33" fillId="7" borderId="40" xfId="53" applyNumberFormat="1" applyFont="1" applyFill="1" applyBorder="1" applyAlignment="1">
      <alignment horizontal="center" vertical="center" wrapText="1"/>
    </xf>
    <xf numFmtId="183" fontId="33" fillId="7" borderId="36" xfId="54" applyNumberFormat="1" applyFont="1" applyFill="1" applyBorder="1" applyAlignment="1">
      <alignment horizontal="center" vertical="center" wrapText="1"/>
    </xf>
    <xf numFmtId="183" fontId="33" fillId="7" borderId="37" xfId="54" applyNumberFormat="1" applyFont="1" applyFill="1" applyBorder="1" applyAlignment="1">
      <alignment horizontal="center" vertical="center" wrapText="1"/>
    </xf>
    <xf numFmtId="183" fontId="33" fillId="7" borderId="40" xfId="54" applyNumberFormat="1" applyFont="1" applyFill="1" applyBorder="1" applyAlignment="1">
      <alignment horizontal="center" vertical="center" wrapText="1"/>
    </xf>
    <xf numFmtId="183" fontId="33" fillId="7" borderId="41" xfId="54" applyNumberFormat="1" applyFont="1" applyFill="1" applyBorder="1" applyAlignment="1">
      <alignment horizontal="center" vertical="center" wrapText="1"/>
    </xf>
    <xf numFmtId="183" fontId="33" fillId="7" borderId="9" xfId="54" applyNumberFormat="1" applyFont="1" applyFill="1" applyBorder="1" applyAlignment="1">
      <alignment horizontal="center" vertical="center" wrapText="1"/>
    </xf>
    <xf numFmtId="183" fontId="33" fillId="7" borderId="18" xfId="54" applyNumberFormat="1" applyFont="1" applyFill="1" applyBorder="1" applyAlignment="1">
      <alignment horizontal="center" vertical="center" wrapText="1"/>
    </xf>
    <xf numFmtId="183" fontId="33" fillId="7" borderId="41" xfId="53" applyNumberFormat="1" applyFont="1" applyFill="1" applyBorder="1" applyAlignment="1">
      <alignment horizontal="center" vertical="center" wrapText="1"/>
    </xf>
    <xf numFmtId="183" fontId="33" fillId="7" borderId="9" xfId="53" applyNumberFormat="1" applyFont="1" applyFill="1" applyBorder="1" applyAlignment="1">
      <alignment horizontal="center" vertical="center" wrapText="1"/>
    </xf>
    <xf numFmtId="182" fontId="33" fillId="7" borderId="1" xfId="53" applyNumberFormat="1" applyFont="1" applyFill="1" applyBorder="1" applyAlignment="1">
      <alignment horizontal="center" vertical="center" wrapText="1"/>
    </xf>
    <xf numFmtId="183" fontId="33" fillId="7" borderId="18" xfId="53" applyNumberFormat="1" applyFont="1" applyFill="1" applyBorder="1" applyAlignment="1">
      <alignment horizontal="center" vertical="center" wrapText="1"/>
    </xf>
    <xf numFmtId="183" fontId="33" fillId="7" borderId="38" xfId="53" applyNumberFormat="1" applyFont="1" applyFill="1" applyBorder="1" applyAlignment="1">
      <alignment horizontal="center" vertical="center" wrapText="1"/>
    </xf>
    <xf numFmtId="183" fontId="33" fillId="7" borderId="42" xfId="54" applyNumberFormat="1" applyFont="1" applyFill="1" applyBorder="1" applyAlignment="1">
      <alignment horizontal="center" vertical="center" wrapText="1"/>
    </xf>
    <xf numFmtId="183" fontId="33" fillId="7" borderId="43" xfId="54" applyNumberFormat="1" applyFont="1" applyFill="1" applyBorder="1" applyAlignment="1">
      <alignment horizontal="center" vertical="center" wrapText="1"/>
    </xf>
    <xf numFmtId="183" fontId="33" fillId="7" borderId="44" xfId="53" applyNumberFormat="1" applyFont="1" applyFill="1" applyBorder="1" applyAlignment="1">
      <alignment horizontal="center" vertical="center" wrapText="1"/>
    </xf>
    <xf numFmtId="183" fontId="34" fillId="20" borderId="44" xfId="53" applyNumberFormat="1" applyFont="1" applyFill="1" applyBorder="1" applyAlignment="1">
      <alignment horizontal="center" vertical="center" wrapText="1"/>
    </xf>
    <xf numFmtId="182" fontId="33" fillId="7" borderId="45" xfId="53" applyNumberFormat="1" applyFont="1" applyFill="1" applyBorder="1" applyAlignment="1">
      <alignment horizontal="center" vertical="center" wrapText="1"/>
    </xf>
    <xf numFmtId="0" fontId="0" fillId="0" borderId="0" xfId="0" applyFill="1">
      <alignment vertical="center"/>
    </xf>
    <xf numFmtId="0" fontId="7" fillId="0" borderId="0" xfId="0" applyFont="1" applyAlignment="1">
      <alignment horizontal="center" vertical="center"/>
    </xf>
    <xf numFmtId="0" fontId="1" fillId="5" borderId="1" xfId="0" applyFont="1" applyFill="1" applyBorder="1" applyAlignment="1">
      <alignment horizontal="center" vertical="center"/>
    </xf>
    <xf numFmtId="0" fontId="14" fillId="0" borderId="1" xfId="6" applyFont="1" applyBorder="1" applyAlignment="1">
      <alignment horizontal="center" vertical="center"/>
    </xf>
    <xf numFmtId="0" fontId="31" fillId="0" borderId="1"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0" borderId="1" xfId="0" applyFont="1" applyBorder="1" applyAlignment="1">
      <alignment horizontal="left" vertical="center"/>
    </xf>
    <xf numFmtId="0" fontId="1" fillId="0" borderId="14" xfId="0" applyFont="1" applyBorder="1" applyAlignment="1">
      <alignment horizontal="center" vertical="center"/>
    </xf>
    <xf numFmtId="0" fontId="1" fillId="0" borderId="16" xfId="0" applyFont="1" applyBorder="1" applyAlignment="1">
      <alignment horizontal="left" vertical="center"/>
    </xf>
    <xf numFmtId="0" fontId="1" fillId="0" borderId="14" xfId="0" applyFont="1" applyBorder="1" applyAlignment="1">
      <alignment horizontal="left" vertical="center"/>
    </xf>
    <xf numFmtId="0" fontId="12" fillId="0" borderId="1" xfId="0" applyFont="1" applyBorder="1" applyAlignment="1">
      <alignment horizontal="center" vertical="center"/>
    </xf>
    <xf numFmtId="0" fontId="1" fillId="0" borderId="14" xfId="0" applyFont="1" applyFill="1" applyBorder="1" applyAlignment="1">
      <alignment horizontal="center" vertical="center"/>
    </xf>
    <xf numFmtId="0" fontId="1" fillId="0" borderId="14" xfId="0" applyFont="1" applyFill="1" applyBorder="1" applyAlignment="1">
      <alignment horizontal="left" vertical="center"/>
    </xf>
    <xf numFmtId="0" fontId="1" fillId="24" borderId="1" xfId="0" applyFont="1" applyFill="1" applyBorder="1" applyAlignment="1">
      <alignment horizontal="center" vertical="center"/>
    </xf>
    <xf numFmtId="0" fontId="1" fillId="24" borderId="1" xfId="0" applyFont="1" applyFill="1" applyBorder="1" applyAlignment="1">
      <alignment horizontal="left" vertical="center"/>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0" xfId="0" applyFont="1" applyBorder="1" applyAlignment="1">
      <alignment horizontal="center" vertical="center"/>
    </xf>
    <xf numFmtId="0" fontId="1" fillId="0" borderId="12" xfId="0" applyFont="1" applyFill="1" applyBorder="1" applyAlignment="1">
      <alignment horizontal="left" vertical="center"/>
    </xf>
    <xf numFmtId="0" fontId="1" fillId="0" borderId="1" xfId="0" applyFont="1" applyFill="1" applyBorder="1" applyAlignment="1">
      <alignment horizontal="left" vertical="center"/>
    </xf>
    <xf numFmtId="0" fontId="1" fillId="0" borderId="16" xfId="0" applyFont="1" applyFill="1" applyBorder="1" applyAlignment="1">
      <alignment horizontal="left" vertical="center"/>
    </xf>
    <xf numFmtId="0" fontId="1" fillId="0" borderId="12" xfId="0" applyFont="1" applyBorder="1" applyAlignment="1">
      <alignment horizontal="left" vertical="center" wrapText="1"/>
    </xf>
    <xf numFmtId="0" fontId="1" fillId="0" borderId="14" xfId="0" applyFont="1" applyBorder="1" applyAlignment="1">
      <alignment horizontal="left" vertical="center" wrapText="1"/>
    </xf>
    <xf numFmtId="0" fontId="1" fillId="0" borderId="14" xfId="0" applyFont="1" applyFill="1" applyBorder="1" applyAlignment="1">
      <alignment horizontal="left" vertical="center" wrapText="1"/>
    </xf>
    <xf numFmtId="0" fontId="1" fillId="0" borderId="16" xfId="0" applyFont="1" applyBorder="1" applyAlignment="1">
      <alignment horizontal="center" vertical="center"/>
    </xf>
    <xf numFmtId="183" fontId="34" fillId="21" borderId="16" xfId="53" applyNumberFormat="1" applyFont="1" applyFill="1" applyBorder="1" applyAlignment="1" quotePrefix="1">
      <alignment horizontal="center" vertical="center" wrapText="1"/>
    </xf>
  </cellXfs>
  <cellStyles count="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40% - 强调文字颜色 4 3 9" xfId="49"/>
    <cellStyle name="S4" xfId="50"/>
    <cellStyle name="常规 3 2 2 2 2 2 3" xfId="51"/>
    <cellStyle name="常规 10 14 3 2 3" xfId="52"/>
    <cellStyle name="常规 2 13" xfId="53"/>
    <cellStyle name="常规 53" xfId="54"/>
    <cellStyle name="常规 2 2" xfId="55"/>
    <cellStyle name="常规 10" xfId="56"/>
    <cellStyle name="常规 2" xfId="57"/>
    <cellStyle name="Normal" xfId="58"/>
    <cellStyle name="S6" xfId="59"/>
    <cellStyle name="S3" xfId="60"/>
    <cellStyle name="常规_Sheet6" xfId="61"/>
    <cellStyle name="千位分隔 2 2" xfId="62"/>
    <cellStyle name="常规 102 3" xfId="63"/>
    <cellStyle name="常规 3" xfId="64"/>
    <cellStyle name="常规_Sheet1 2" xfId="65"/>
    <cellStyle name="常规 10 12" xfId="66"/>
    <cellStyle name="常规 13" xfId="67"/>
    <cellStyle name="20% - 强调文字颜色 3 5 2 5 2" xfId="68"/>
    <cellStyle name="常规 10 2 2 4 2" xfId="69"/>
    <cellStyle name="常规 4" xfId="70"/>
    <cellStyle name="常规_B号楼清单" xfId="71"/>
    <cellStyle name="常规_表五  措施项目清单计价表" xfId="72"/>
    <cellStyle name="常规 18" xfId="73"/>
    <cellStyle name="20% - 强调文字颜色 2 2" xfId="74"/>
    <cellStyle name="Normal 45" xfId="75"/>
    <cellStyle name="常规 143" xfId="76"/>
    <cellStyle name="40% - 强调文字颜色 3 2 7 3" xfId="77"/>
    <cellStyle name="常规_武汉碧桂园一期18班小学暂定材料一览表 2" xfId="78"/>
    <cellStyle name="常规_凤凰城H区（Ⅵ区）招标人暂定材料品牌及价格一览表 2 2" xfId="79"/>
    <cellStyle name="常规 56" xfId="80"/>
    <cellStyle name="常规_总包清单" xfId="81"/>
    <cellStyle name="20% - 强调文字颜色 6 3 6" xfId="82"/>
  </cellStyles>
  <dxfs count="1">
    <dxf>
      <fill>
        <patternFill patternType="solid">
          <bgColor rgb="FFFF9900"/>
        </patternFill>
      </fill>
    </dxf>
  </dxf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www.wps.cn/officeDocument/2020/cellImage" Target="cellimages.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2"/>
  <sheetViews>
    <sheetView showGridLines="0" view="pageBreakPreview" zoomScaleNormal="100" topLeftCell="B1" workbookViewId="0">
      <pane ySplit="2" topLeftCell="A3" activePane="bottomLeft" state="frozen"/>
      <selection/>
      <selection pane="bottomLeft" activeCell="B16" sqref="B16"/>
    </sheetView>
  </sheetViews>
  <sheetFormatPr defaultColWidth="9" defaultRowHeight="14.4"/>
  <cols>
    <col min="1" max="1" width="9" style="31"/>
    <col min="2" max="2" width="17" style="31" customWidth="1"/>
    <col min="3" max="3" width="33.6296296296296" style="31" customWidth="1"/>
    <col min="4" max="4" width="55.5" style="31" customWidth="1"/>
    <col min="5" max="5" width="1.75" style="31" customWidth="1"/>
    <col min="6" max="6" width="15.25" style="31" customWidth="1"/>
    <col min="7" max="7" width="20.3796296296296" style="31" customWidth="1"/>
    <col min="8" max="8" width="23.75" style="31" customWidth="1"/>
    <col min="9" max="9" width="37.1296296296296" style="31" customWidth="1"/>
    <col min="10" max="16384" width="9" style="31"/>
  </cols>
  <sheetData>
    <row r="1" ht="39" customHeight="1" spans="1:10">
      <c r="A1" s="449" t="s">
        <v>0</v>
      </c>
      <c r="B1" s="449"/>
      <c r="C1" s="449"/>
      <c r="D1" s="449"/>
      <c r="F1" s="449" t="s">
        <v>1</v>
      </c>
      <c r="G1" s="449"/>
      <c r="H1" s="449"/>
      <c r="I1" s="449"/>
      <c r="J1" s="94"/>
    </row>
    <row r="2" ht="21" customHeight="1" spans="1:9">
      <c r="A2" s="450" t="s">
        <v>2</v>
      </c>
      <c r="B2" s="450" t="s">
        <v>3</v>
      </c>
      <c r="C2" s="450" t="s">
        <v>4</v>
      </c>
      <c r="D2" s="450" t="s">
        <v>5</v>
      </c>
      <c r="F2" s="450" t="s">
        <v>6</v>
      </c>
      <c r="G2" s="450" t="s">
        <v>7</v>
      </c>
      <c r="H2" s="450" t="s">
        <v>8</v>
      </c>
      <c r="I2" s="450" t="s">
        <v>8</v>
      </c>
    </row>
    <row r="3" ht="21" customHeight="1" spans="1:9">
      <c r="A3" s="52">
        <v>1</v>
      </c>
      <c r="B3" s="451" t="s">
        <v>9</v>
      </c>
      <c r="C3" s="452" t="s">
        <v>10</v>
      </c>
      <c r="D3" s="52" t="s">
        <v>11</v>
      </c>
      <c r="F3" s="453" t="s">
        <v>12</v>
      </c>
      <c r="G3" s="454" t="s">
        <v>13</v>
      </c>
      <c r="H3" s="455" t="s">
        <v>14</v>
      </c>
      <c r="I3" s="52"/>
    </row>
    <row r="4" ht="21" customHeight="1" spans="1:9">
      <c r="A4" s="52">
        <v>2</v>
      </c>
      <c r="B4" s="451" t="s">
        <v>15</v>
      </c>
      <c r="C4" s="452" t="s">
        <v>16</v>
      </c>
      <c r="D4" s="52" t="s">
        <v>17</v>
      </c>
      <c r="F4" s="456"/>
      <c r="G4" s="457"/>
      <c r="H4" s="455" t="s">
        <v>18</v>
      </c>
      <c r="I4" s="52"/>
    </row>
    <row r="5" ht="21" customHeight="1" spans="1:9">
      <c r="A5" s="52">
        <v>3</v>
      </c>
      <c r="B5" s="451" t="s">
        <v>19</v>
      </c>
      <c r="C5" s="452" t="s">
        <v>20</v>
      </c>
      <c r="D5" s="52" t="s">
        <v>21</v>
      </c>
      <c r="F5" s="456"/>
      <c r="G5" s="454" t="s">
        <v>22</v>
      </c>
      <c r="H5" s="455" t="s">
        <v>23</v>
      </c>
      <c r="I5" s="52"/>
    </row>
    <row r="6" ht="21" customHeight="1" spans="1:9">
      <c r="A6" s="52">
        <v>4</v>
      </c>
      <c r="B6" s="451" t="s">
        <v>24</v>
      </c>
      <c r="C6" s="52" t="s">
        <v>25</v>
      </c>
      <c r="D6" s="52" t="s">
        <v>26</v>
      </c>
      <c r="F6" s="456"/>
      <c r="G6" s="457"/>
      <c r="H6" s="455" t="s">
        <v>27</v>
      </c>
      <c r="I6" s="52"/>
    </row>
    <row r="7" ht="21" customHeight="1" spans="1:9">
      <c r="A7" s="52">
        <v>5</v>
      </c>
      <c r="B7" s="451" t="s">
        <v>28</v>
      </c>
      <c r="C7" s="52" t="s">
        <v>25</v>
      </c>
      <c r="D7" s="52" t="s">
        <v>29</v>
      </c>
      <c r="F7" s="456"/>
      <c r="G7" s="454" t="s">
        <v>30</v>
      </c>
      <c r="H7" s="455" t="s">
        <v>31</v>
      </c>
      <c r="I7" s="52"/>
    </row>
    <row r="8" ht="21" customHeight="1" spans="1:9">
      <c r="A8" s="52">
        <v>6</v>
      </c>
      <c r="B8" s="451" t="s">
        <v>32</v>
      </c>
      <c r="C8" s="52" t="s">
        <v>16</v>
      </c>
      <c r="D8" s="52" t="s">
        <v>33</v>
      </c>
      <c r="F8" s="456"/>
      <c r="G8" s="458"/>
      <c r="H8" s="455" t="s">
        <v>34</v>
      </c>
      <c r="I8" s="52"/>
    </row>
    <row r="9" ht="21" customHeight="1" spans="1:9">
      <c r="A9" s="52">
        <v>7</v>
      </c>
      <c r="B9" s="451" t="s">
        <v>35</v>
      </c>
      <c r="C9" s="52" t="s">
        <v>16</v>
      </c>
      <c r="D9" s="52" t="s">
        <v>33</v>
      </c>
      <c r="F9" s="456"/>
      <c r="G9" s="458"/>
      <c r="H9" s="455" t="s">
        <v>36</v>
      </c>
      <c r="I9" s="52"/>
    </row>
    <row r="10" ht="21" customHeight="1" spans="1:9">
      <c r="A10" s="52">
        <v>8</v>
      </c>
      <c r="B10" s="451" t="s">
        <v>37</v>
      </c>
      <c r="C10" s="52" t="s">
        <v>16</v>
      </c>
      <c r="D10" s="136" t="s">
        <v>38</v>
      </c>
      <c r="F10" s="456"/>
      <c r="G10" s="457"/>
      <c r="H10" s="455" t="s">
        <v>39</v>
      </c>
      <c r="I10" s="52"/>
    </row>
    <row r="11" ht="21" customHeight="1" spans="1:9">
      <c r="A11" s="52">
        <v>9</v>
      </c>
      <c r="B11" s="451" t="s">
        <v>40</v>
      </c>
      <c r="C11" s="52" t="s">
        <v>16</v>
      </c>
      <c r="D11" s="52" t="s">
        <v>33</v>
      </c>
      <c r="F11" s="456"/>
      <c r="G11" s="454" t="s">
        <v>41</v>
      </c>
      <c r="H11" s="455" t="s">
        <v>42</v>
      </c>
      <c r="I11" s="52"/>
    </row>
    <row r="12" ht="21" customHeight="1" spans="1:9">
      <c r="A12" s="52">
        <v>10</v>
      </c>
      <c r="B12" s="451" t="s">
        <v>43</v>
      </c>
      <c r="C12" s="52" t="s">
        <v>16</v>
      </c>
      <c r="D12" s="52" t="s">
        <v>44</v>
      </c>
      <c r="F12" s="456"/>
      <c r="G12" s="458"/>
      <c r="H12" s="455" t="s">
        <v>45</v>
      </c>
      <c r="I12" s="52"/>
    </row>
    <row r="13" ht="21" customHeight="1" spans="1:9">
      <c r="A13" s="52">
        <v>11</v>
      </c>
      <c r="B13" s="451" t="s">
        <v>46</v>
      </c>
      <c r="C13" s="52" t="s">
        <v>16</v>
      </c>
      <c r="D13" s="52" t="s">
        <v>47</v>
      </c>
      <c r="F13" s="456"/>
      <c r="G13" s="458"/>
      <c r="H13" s="455" t="s">
        <v>48</v>
      </c>
      <c r="I13" s="52"/>
    </row>
    <row r="14" ht="21" customHeight="1" spans="1:9">
      <c r="A14" s="52">
        <v>12</v>
      </c>
      <c r="B14" s="451" t="s">
        <v>49</v>
      </c>
      <c r="C14" s="459" t="s">
        <v>16</v>
      </c>
      <c r="D14" s="459" t="s">
        <v>50</v>
      </c>
      <c r="F14" s="456"/>
      <c r="G14" s="454" t="s">
        <v>51</v>
      </c>
      <c r="H14" s="455" t="s">
        <v>52</v>
      </c>
      <c r="I14" s="52"/>
    </row>
    <row r="15" ht="21" customHeight="1" spans="1:9">
      <c r="A15" s="52">
        <v>13</v>
      </c>
      <c r="B15" s="451" t="s">
        <v>53</v>
      </c>
      <c r="C15" s="459" t="s">
        <v>16</v>
      </c>
      <c r="D15" s="459" t="s">
        <v>54</v>
      </c>
      <c r="F15" s="456"/>
      <c r="G15" s="458"/>
      <c r="H15" s="455" t="s">
        <v>55</v>
      </c>
      <c r="I15" s="52"/>
    </row>
    <row r="16" ht="21" customHeight="1" spans="1:9">
      <c r="A16" s="52">
        <v>14</v>
      </c>
      <c r="B16" s="451" t="s">
        <v>56</v>
      </c>
      <c r="C16" s="52" t="s">
        <v>16</v>
      </c>
      <c r="D16" s="52" t="s">
        <v>57</v>
      </c>
      <c r="F16" s="456"/>
      <c r="G16" s="458"/>
      <c r="H16" s="455" t="s">
        <v>58</v>
      </c>
      <c r="I16" s="52"/>
    </row>
    <row r="17" ht="21" customHeight="1" spans="1:9">
      <c r="A17" s="52">
        <v>15</v>
      </c>
      <c r="B17" s="451" t="s">
        <v>59</v>
      </c>
      <c r="C17" s="52" t="s">
        <v>16</v>
      </c>
      <c r="D17" s="52" t="s">
        <v>60</v>
      </c>
      <c r="F17" s="456"/>
      <c r="G17" s="457"/>
      <c r="H17" s="455" t="s">
        <v>61</v>
      </c>
      <c r="I17" s="52"/>
    </row>
    <row r="18" customFormat="1" ht="21" customHeight="1" spans="1:9">
      <c r="A18" s="52">
        <v>16</v>
      </c>
      <c r="B18" s="451" t="s">
        <v>62</v>
      </c>
      <c r="C18" s="52" t="s">
        <v>16</v>
      </c>
      <c r="D18" s="52" t="s">
        <v>63</v>
      </c>
      <c r="F18" s="456"/>
      <c r="G18" s="458" t="s">
        <v>64</v>
      </c>
      <c r="H18" s="455" t="s">
        <v>65</v>
      </c>
      <c r="I18" s="52"/>
    </row>
    <row r="19" s="6" customFormat="1" ht="21" customHeight="1" spans="1:9">
      <c r="A19" s="52">
        <v>17</v>
      </c>
      <c r="B19" s="451" t="s">
        <v>66</v>
      </c>
      <c r="C19" s="52" t="s">
        <v>16</v>
      </c>
      <c r="D19" s="52" t="s">
        <v>67</v>
      </c>
      <c r="F19" s="460"/>
      <c r="G19" s="461"/>
      <c r="H19" s="455" t="s">
        <v>68</v>
      </c>
      <c r="I19" s="22"/>
    </row>
    <row r="20" s="6" customFormat="1" ht="21" customHeight="1" spans="1:9">
      <c r="A20" s="52">
        <v>18</v>
      </c>
      <c r="B20" s="451" t="s">
        <v>69</v>
      </c>
      <c r="C20" s="52" t="s">
        <v>16</v>
      </c>
      <c r="D20" s="52" t="s">
        <v>70</v>
      </c>
      <c r="F20" s="460"/>
      <c r="G20" s="458"/>
      <c r="H20" s="455" t="s">
        <v>71</v>
      </c>
      <c r="I20" s="22"/>
    </row>
    <row r="21" s="6" customFormat="1" ht="21" customHeight="1" spans="1:9">
      <c r="A21" s="52">
        <v>19</v>
      </c>
      <c r="B21" s="451" t="s">
        <v>72</v>
      </c>
      <c r="C21" s="52" t="s">
        <v>16</v>
      </c>
      <c r="D21" s="22" t="s">
        <v>73</v>
      </c>
      <c r="F21" s="460"/>
      <c r="G21" s="458"/>
      <c r="H21" s="455" t="s">
        <v>74</v>
      </c>
      <c r="I21" s="22"/>
    </row>
    <row r="22" ht="6" customHeight="1" spans="6:9">
      <c r="F22" s="462"/>
      <c r="G22" s="463" t="s">
        <v>75</v>
      </c>
      <c r="H22" s="463"/>
      <c r="I22" s="463"/>
    </row>
    <row r="23" ht="21" customHeight="1" spans="1:9">
      <c r="A23" s="464" t="s">
        <v>76</v>
      </c>
      <c r="B23" s="451" t="s">
        <v>77</v>
      </c>
      <c r="C23" s="52" t="s">
        <v>78</v>
      </c>
      <c r="D23" s="52" t="s">
        <v>79</v>
      </c>
      <c r="F23" s="454" t="s">
        <v>80</v>
      </c>
      <c r="G23" s="454"/>
      <c r="H23" s="455"/>
      <c r="I23" s="52"/>
    </row>
    <row r="24" ht="21" customHeight="1" spans="1:9">
      <c r="A24" s="465"/>
      <c r="B24" s="451" t="s">
        <v>81</v>
      </c>
      <c r="C24" s="52" t="s">
        <v>78</v>
      </c>
      <c r="D24" s="52" t="s">
        <v>79</v>
      </c>
      <c r="F24" s="458"/>
      <c r="G24" s="458"/>
      <c r="H24" s="455"/>
      <c r="I24" s="52"/>
    </row>
    <row r="25" ht="21" customHeight="1" spans="1:9">
      <c r="A25" s="465"/>
      <c r="B25" s="451" t="s">
        <v>82</v>
      </c>
      <c r="C25" s="52" t="s">
        <v>78</v>
      </c>
      <c r="D25" s="52" t="s">
        <v>79</v>
      </c>
      <c r="F25" s="458"/>
      <c r="G25" s="457"/>
      <c r="H25" s="455"/>
      <c r="I25" s="52"/>
    </row>
    <row r="26" ht="21" customHeight="1" spans="1:9">
      <c r="A26" s="465"/>
      <c r="B26" s="451" t="s">
        <v>83</v>
      </c>
      <c r="C26" s="52" t="s">
        <v>78</v>
      </c>
      <c r="D26" s="52" t="s">
        <v>79</v>
      </c>
      <c r="F26" s="458"/>
      <c r="G26" s="454"/>
      <c r="H26" s="455"/>
      <c r="I26" s="52"/>
    </row>
    <row r="27" ht="21" customHeight="1" spans="1:9">
      <c r="A27" s="465"/>
      <c r="B27" s="451" t="s">
        <v>84</v>
      </c>
      <c r="C27" s="52" t="s">
        <v>78</v>
      </c>
      <c r="D27" s="52" t="s">
        <v>79</v>
      </c>
      <c r="F27" s="458"/>
      <c r="G27" s="458"/>
      <c r="H27" s="455"/>
      <c r="I27" s="52"/>
    </row>
    <row r="28" ht="21" customHeight="1" spans="1:9">
      <c r="A28" s="465"/>
      <c r="B28" s="451" t="s">
        <v>85</v>
      </c>
      <c r="C28" s="52" t="s">
        <v>78</v>
      </c>
      <c r="D28" s="52" t="s">
        <v>79</v>
      </c>
      <c r="F28" s="458"/>
      <c r="G28" s="458"/>
      <c r="H28" s="455"/>
      <c r="I28" s="52"/>
    </row>
    <row r="29" ht="21" customHeight="1" spans="1:9">
      <c r="A29" s="465"/>
      <c r="B29" s="451" t="s">
        <v>86</v>
      </c>
      <c r="C29" s="52" t="s">
        <v>78</v>
      </c>
      <c r="D29" s="52" t="s">
        <v>79</v>
      </c>
      <c r="F29" s="458"/>
      <c r="G29" s="458"/>
      <c r="H29" s="455"/>
      <c r="I29" s="52"/>
    </row>
    <row r="30" ht="21" customHeight="1" spans="1:9">
      <c r="A30" s="465"/>
      <c r="B30" s="451" t="s">
        <v>87</v>
      </c>
      <c r="C30" s="52" t="s">
        <v>78</v>
      </c>
      <c r="D30" s="52" t="s">
        <v>79</v>
      </c>
      <c r="F30" s="458"/>
      <c r="G30" s="457"/>
      <c r="H30" s="455"/>
      <c r="I30" s="52"/>
    </row>
    <row r="31" ht="21" customHeight="1" spans="1:9">
      <c r="A31" s="466"/>
      <c r="B31" s="52"/>
      <c r="C31" s="52"/>
      <c r="D31" s="52"/>
      <c r="F31" s="458"/>
      <c r="G31" s="454"/>
      <c r="H31" s="455"/>
      <c r="I31" s="52"/>
    </row>
    <row r="32" ht="21" customHeight="1" spans="1:9">
      <c r="A32" s="467"/>
      <c r="B32" s="467"/>
      <c r="C32" s="467"/>
      <c r="D32" s="467"/>
      <c r="F32" s="458"/>
      <c r="G32" s="458"/>
      <c r="H32" s="455"/>
      <c r="I32" s="52"/>
    </row>
    <row r="33" ht="21" customHeight="1" spans="1:9">
      <c r="A33" s="467"/>
      <c r="B33" s="467"/>
      <c r="C33" s="467"/>
      <c r="D33" s="467"/>
      <c r="F33" s="458"/>
      <c r="G33" s="458"/>
      <c r="H33" s="455"/>
      <c r="I33" s="52"/>
    </row>
    <row r="34" ht="21" customHeight="1" spans="1:9">
      <c r="A34" s="467"/>
      <c r="B34" s="467"/>
      <c r="C34" s="467"/>
      <c r="D34" s="467"/>
      <c r="F34" s="458"/>
      <c r="G34" s="458"/>
      <c r="H34" s="455"/>
      <c r="I34" s="52"/>
    </row>
    <row r="35" ht="21" customHeight="1" spans="1:9">
      <c r="A35" s="467"/>
      <c r="B35" s="467"/>
      <c r="C35" s="467"/>
      <c r="D35" s="467"/>
      <c r="F35" s="458"/>
      <c r="G35" s="458"/>
      <c r="H35" s="455"/>
      <c r="I35" s="52"/>
    </row>
    <row r="36" ht="21" customHeight="1" spans="1:9">
      <c r="A36" s="467"/>
      <c r="B36" s="467"/>
      <c r="C36" s="467"/>
      <c r="D36" s="467"/>
      <c r="F36" s="458"/>
      <c r="G36" s="457"/>
      <c r="H36" s="455"/>
      <c r="I36" s="52"/>
    </row>
    <row r="37" ht="21" customHeight="1" spans="1:9">
      <c r="A37" s="467"/>
      <c r="B37" s="467"/>
      <c r="C37" s="467"/>
      <c r="D37" s="467"/>
      <c r="F37" s="458"/>
      <c r="G37" s="455"/>
      <c r="H37" s="455"/>
      <c r="I37" s="52"/>
    </row>
    <row r="38" ht="21" customHeight="1" spans="1:9">
      <c r="A38" s="467"/>
      <c r="B38" s="467"/>
      <c r="C38" s="467"/>
      <c r="D38" s="467"/>
      <c r="F38" s="458"/>
      <c r="G38" s="454"/>
      <c r="H38" s="455"/>
      <c r="I38" s="52"/>
    </row>
    <row r="39" ht="21" customHeight="1" spans="1:9">
      <c r="A39" s="467"/>
      <c r="B39" s="467"/>
      <c r="C39" s="467"/>
      <c r="D39" s="467"/>
      <c r="F39" s="458"/>
      <c r="G39" s="458"/>
      <c r="H39" s="455"/>
      <c r="I39" s="52"/>
    </row>
    <row r="40" ht="21" customHeight="1" spans="1:9">
      <c r="A40" s="467"/>
      <c r="B40" s="467"/>
      <c r="C40" s="467"/>
      <c r="D40" s="467"/>
      <c r="F40" s="458"/>
      <c r="G40" s="458"/>
      <c r="H40" s="455"/>
      <c r="I40" s="52"/>
    </row>
    <row r="41" ht="21" customHeight="1" spans="1:9">
      <c r="A41" s="467"/>
      <c r="B41" s="467"/>
      <c r="C41" s="467"/>
      <c r="D41" s="467"/>
      <c r="F41" s="458"/>
      <c r="G41" s="458"/>
      <c r="H41" s="455"/>
      <c r="I41" s="52"/>
    </row>
    <row r="42" ht="21" customHeight="1" spans="1:9">
      <c r="A42" s="467"/>
      <c r="B42" s="467"/>
      <c r="C42" s="467"/>
      <c r="D42" s="467"/>
      <c r="F42" s="458"/>
      <c r="G42" s="458"/>
      <c r="H42" s="455"/>
      <c r="I42" s="52"/>
    </row>
    <row r="43" ht="21" customHeight="1" spans="1:9">
      <c r="A43" s="467"/>
      <c r="B43" s="467"/>
      <c r="C43" s="467"/>
      <c r="D43" s="467"/>
      <c r="F43" s="458"/>
      <c r="G43" s="457"/>
      <c r="H43" s="455"/>
      <c r="I43" s="52"/>
    </row>
    <row r="44" ht="21" customHeight="1" spans="1:9">
      <c r="A44" s="467"/>
      <c r="B44" s="467"/>
      <c r="C44" s="467"/>
      <c r="D44" s="467"/>
      <c r="F44" s="458"/>
      <c r="G44" s="454"/>
      <c r="H44" s="455"/>
      <c r="I44" s="52"/>
    </row>
    <row r="45" ht="21" customHeight="1" spans="6:9">
      <c r="F45" s="458"/>
      <c r="G45" s="458"/>
      <c r="H45" s="455"/>
      <c r="I45" s="52"/>
    </row>
    <row r="46" ht="21" customHeight="1" spans="6:9">
      <c r="F46" s="458"/>
      <c r="G46" s="455"/>
      <c r="H46" s="455"/>
      <c r="I46" s="52"/>
    </row>
    <row r="47" s="6" customFormat="1" ht="21" customHeight="1" spans="6:9">
      <c r="F47" s="461"/>
      <c r="G47" s="468"/>
      <c r="H47" s="469"/>
      <c r="I47" s="22"/>
    </row>
    <row r="48" s="448" customFormat="1" ht="21" customHeight="1" spans="6:9">
      <c r="F48" s="470"/>
      <c r="G48" s="470"/>
      <c r="H48" s="469"/>
      <c r="I48" s="22"/>
    </row>
    <row r="49" ht="6" customHeight="1" spans="6:9">
      <c r="F49" s="462"/>
      <c r="G49" s="463" t="s">
        <v>75</v>
      </c>
      <c r="H49" s="463"/>
      <c r="I49" s="463"/>
    </row>
    <row r="50" ht="21" customHeight="1" spans="6:9">
      <c r="F50" s="52" t="s">
        <v>88</v>
      </c>
      <c r="G50" s="455" t="s">
        <v>89</v>
      </c>
      <c r="H50" s="455"/>
      <c r="I50" s="52"/>
    </row>
    <row r="51" ht="21" customHeight="1" spans="6:9">
      <c r="F51" s="52"/>
      <c r="G51" s="455" t="s">
        <v>90</v>
      </c>
      <c r="H51" s="455"/>
      <c r="I51" s="52"/>
    </row>
    <row r="52" ht="21" customHeight="1" spans="6:9">
      <c r="F52" s="52"/>
      <c r="G52" s="455" t="s">
        <v>91</v>
      </c>
      <c r="H52" s="455"/>
      <c r="I52" s="52"/>
    </row>
    <row r="53" ht="21" customHeight="1" spans="6:9">
      <c r="F53" s="52"/>
      <c r="G53" s="455" t="s">
        <v>92</v>
      </c>
      <c r="H53" s="455"/>
      <c r="I53" s="52"/>
    </row>
    <row r="54" ht="21" customHeight="1" spans="6:9">
      <c r="F54" s="52"/>
      <c r="G54" s="455" t="s">
        <v>93</v>
      </c>
      <c r="H54" s="455"/>
      <c r="I54" s="52"/>
    </row>
    <row r="55" ht="21" customHeight="1" spans="6:9">
      <c r="F55" s="52"/>
      <c r="G55" s="455" t="s">
        <v>94</v>
      </c>
      <c r="H55" s="455"/>
      <c r="I55" s="52"/>
    </row>
    <row r="56" ht="21" customHeight="1" spans="6:9">
      <c r="F56" s="52"/>
      <c r="G56" s="455" t="s">
        <v>95</v>
      </c>
      <c r="H56" s="455"/>
      <c r="I56" s="52"/>
    </row>
    <row r="57" ht="6" customHeight="1" spans="6:9">
      <c r="F57" s="462"/>
      <c r="G57" s="463" t="s">
        <v>75</v>
      </c>
      <c r="H57" s="463"/>
      <c r="I57" s="463"/>
    </row>
    <row r="58" ht="21" customHeight="1" spans="6:9">
      <c r="F58" s="453" t="s">
        <v>96</v>
      </c>
      <c r="G58" s="455" t="s">
        <v>97</v>
      </c>
      <c r="H58" s="455" t="s">
        <v>98</v>
      </c>
      <c r="I58" s="52"/>
    </row>
    <row r="59" ht="21" customHeight="1" spans="6:9">
      <c r="F59" s="456"/>
      <c r="G59" s="455"/>
      <c r="H59" s="455" t="s">
        <v>99</v>
      </c>
      <c r="I59" s="52"/>
    </row>
    <row r="60" ht="21" customHeight="1" spans="6:9">
      <c r="F60" s="456"/>
      <c r="G60" s="471" t="s">
        <v>100</v>
      </c>
      <c r="H60" s="471" t="s">
        <v>101</v>
      </c>
      <c r="I60" s="455" t="s">
        <v>102</v>
      </c>
    </row>
    <row r="61" ht="21" customHeight="1" spans="6:9">
      <c r="F61" s="456"/>
      <c r="G61" s="472"/>
      <c r="H61" s="458"/>
      <c r="I61" s="455" t="s">
        <v>103</v>
      </c>
    </row>
    <row r="62" ht="21" customHeight="1" spans="6:9">
      <c r="F62" s="456"/>
      <c r="G62" s="472"/>
      <c r="H62" s="458"/>
      <c r="I62" s="455" t="s">
        <v>104</v>
      </c>
    </row>
    <row r="63" ht="21" customHeight="1" spans="6:9">
      <c r="F63" s="456"/>
      <c r="G63" s="472"/>
      <c r="H63" s="471" t="s">
        <v>105</v>
      </c>
      <c r="I63" s="455" t="s">
        <v>106</v>
      </c>
    </row>
    <row r="64" s="6" customFormat="1" ht="21" customHeight="1" spans="6:9">
      <c r="F64" s="456"/>
      <c r="G64" s="473"/>
      <c r="H64" s="461"/>
      <c r="I64" s="455" t="s">
        <v>107</v>
      </c>
    </row>
    <row r="65" s="6" customFormat="1" ht="21" customHeight="1" spans="6:9">
      <c r="F65" s="456"/>
      <c r="G65" s="473"/>
      <c r="H65" s="461"/>
      <c r="I65" s="455" t="s">
        <v>108</v>
      </c>
    </row>
    <row r="66" s="6" customFormat="1" ht="21" customHeight="1" spans="6:9">
      <c r="F66" s="456"/>
      <c r="G66" s="473"/>
      <c r="H66" s="461"/>
      <c r="I66" s="455" t="s">
        <v>109</v>
      </c>
    </row>
    <row r="67" s="6" customFormat="1" ht="21" customHeight="1" spans="6:9">
      <c r="F67" s="456"/>
      <c r="G67" s="473"/>
      <c r="H67" s="461"/>
      <c r="I67" s="454" t="s">
        <v>110</v>
      </c>
    </row>
    <row r="68" s="6" customFormat="1" ht="21" customHeight="1" spans="6:9">
      <c r="F68" s="456"/>
      <c r="G68" s="374" t="s">
        <v>111</v>
      </c>
      <c r="H68" s="22"/>
      <c r="I68" s="469"/>
    </row>
    <row r="69" ht="21" customHeight="1" spans="6:9">
      <c r="F69" s="453" t="s">
        <v>112</v>
      </c>
      <c r="G69" s="455" t="s">
        <v>113</v>
      </c>
      <c r="H69" s="455"/>
      <c r="I69" s="52"/>
    </row>
    <row r="70" ht="21" customHeight="1" spans="6:9">
      <c r="F70" s="474"/>
      <c r="G70" s="455" t="s">
        <v>114</v>
      </c>
      <c r="H70" s="455"/>
      <c r="I70" s="52"/>
    </row>
    <row r="71" ht="6" customHeight="1" spans="6:9">
      <c r="F71" s="462"/>
      <c r="G71" s="463" t="s">
        <v>75</v>
      </c>
      <c r="H71" s="463"/>
      <c r="I71" s="463"/>
    </row>
    <row r="72" ht="21" customHeight="1"/>
  </sheetData>
  <mergeCells count="24">
    <mergeCell ref="A1:D1"/>
    <mergeCell ref="F1:I1"/>
    <mergeCell ref="A23:A31"/>
    <mergeCell ref="F3:F21"/>
    <mergeCell ref="F23:F48"/>
    <mergeCell ref="F50:F56"/>
    <mergeCell ref="F58:F68"/>
    <mergeCell ref="F69:F70"/>
    <mergeCell ref="G3:G4"/>
    <mergeCell ref="G5:G6"/>
    <mergeCell ref="G7:G10"/>
    <mergeCell ref="G11:G13"/>
    <mergeCell ref="G14:G17"/>
    <mergeCell ref="G18:G21"/>
    <mergeCell ref="G23:G25"/>
    <mergeCell ref="G26:G30"/>
    <mergeCell ref="G31:G36"/>
    <mergeCell ref="G38:G43"/>
    <mergeCell ref="G44:G45"/>
    <mergeCell ref="G47:G48"/>
    <mergeCell ref="G58:G59"/>
    <mergeCell ref="G60:G67"/>
    <mergeCell ref="H60:H62"/>
    <mergeCell ref="H63:H67"/>
  </mergeCells>
  <hyperlinks>
    <hyperlink ref="B5" location="投标汇总表!J2" display="投标汇总表"/>
    <hyperlink ref="B3" location="封面!A1" display="封面"/>
    <hyperlink ref="B4" location="投标须知!A1" display="投标须知"/>
    <hyperlink ref="B6" location="造价汇总表!A1" display="造价汇总表"/>
    <hyperlink ref="B7" location="指标分析!A1" display="指标分析"/>
    <hyperlink ref="B8" location="'工程量清单-A建筑工程'!A1" display="清单-A建筑工程"/>
    <hyperlink ref="B9" location="'工程量清单-B安装工程'!A1" display="清单-B安装工程"/>
    <hyperlink ref="B10" location="'工程量清单-C其他工程'!A1" display="清单-C其他工程"/>
    <hyperlink ref="B11" location="'工程量清单-E措施费用'!A1" display="清单-D措施项目"/>
    <hyperlink ref="B12" location="'附件E-总价措施费明细'!A1" display="附件E-措施明细"/>
    <hyperlink ref="B13" location="'工程量清单F-零星工程'!A1" display="清单F-零星工程"/>
    <hyperlink ref="B14" location="组价逻辑!A1" display="组价逻辑"/>
    <hyperlink ref="B15" location="调价基础!A1" display="调价基础"/>
    <hyperlink ref="B16" location="品牌限定一览表!A1" display="品牌限定一览表"/>
    <hyperlink ref="B17" location="甲供材料一览表!A1" display="甲供材料一览表"/>
    <hyperlink ref="B18" location="认质认价一览表!A1" display="认质认价一览表"/>
    <hyperlink ref="B19" location="污水泵一览表!A1" display="污水泵一览表"/>
    <hyperlink ref="B20" location="总承包服务费一览表!A1" display="总包服务费一览表"/>
    <hyperlink ref="B21" location="可视化设备一览表!A1" display="可视化设备一览表"/>
    <hyperlink ref="B23" location="'工程量清单-18F装配式'!A1" display="18F装配式"/>
    <hyperlink ref="B24" location="'工程量清单-18F非装配式'!A1" display="18F非装配式"/>
    <hyperlink ref="B25" location="'工程量清单-11F被动式'!A1" display="11F被动式"/>
    <hyperlink ref="B26" location="'工程量清单-11F非被动式'!A1" display="11F非装配式"/>
    <hyperlink ref="B27" location="'工程量清单-配套'!A1" display="配套"/>
    <hyperlink ref="B28" location="'工程量清单-配套被动式'!A1" display="配套被动式"/>
    <hyperlink ref="B29" location="'工程量清单-人防车库'!A1" display="人防地下车库"/>
    <hyperlink ref="B30" location="'工程量清单-非人防车库'!A1" display="非人防地下车库"/>
  </hyperlinks>
  <pageMargins left="0.75" right="0.75" top="1" bottom="1" header="0.5" footer="0.5"/>
  <pageSetup paperSize="9" scale="4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outlinePr summaryBelow="0" summaryRight="0"/>
  </sheetPr>
  <dimension ref="A1:K1916"/>
  <sheetViews>
    <sheetView view="pageBreakPreview" zoomScaleNormal="100" workbookViewId="0">
      <pane ySplit="3" topLeftCell="A895" activePane="bottomLeft" state="frozen"/>
      <selection/>
      <selection pane="bottomLeft" activeCell="K896" sqref="K896"/>
    </sheetView>
  </sheetViews>
  <sheetFormatPr defaultColWidth="19.6296296296296" defaultRowHeight="14.4"/>
  <cols>
    <col min="1" max="1" width="4.12962962962963" style="28" customWidth="1"/>
    <col min="2" max="2" width="22.2222222222222" style="30" customWidth="1"/>
    <col min="3" max="3" width="36.5" style="30" customWidth="1" collapsed="1"/>
    <col min="4" max="5" width="7.5" style="30" hidden="1" customWidth="1" outlineLevel="1"/>
    <col min="6" max="6" width="9.12962962962963" style="31" customWidth="1"/>
    <col min="7" max="7" width="13.1296296296296" style="32" customWidth="1"/>
    <col min="8" max="8" width="10.3796296296296" style="33" customWidth="1"/>
    <col min="9" max="9" width="16" style="33" customWidth="1"/>
    <col min="10" max="10" width="8.62962962962963" style="28" customWidth="1"/>
    <col min="11" max="11" width="19.6296296296296" style="34" customWidth="1"/>
    <col min="12" max="16384" width="19.6296296296296" style="28" customWidth="1"/>
  </cols>
  <sheetData>
    <row r="1" s="28" customFormat="1" ht="28.2" spans="1:11">
      <c r="A1" s="35" t="s">
        <v>2360</v>
      </c>
      <c r="B1" s="36"/>
      <c r="C1" s="36"/>
      <c r="D1" s="36"/>
      <c r="E1" s="36"/>
      <c r="F1" s="35"/>
      <c r="G1" s="37"/>
      <c r="H1" s="38"/>
      <c r="I1" s="38"/>
      <c r="J1" s="35"/>
      <c r="K1" s="53" t="s">
        <v>2351</v>
      </c>
    </row>
    <row r="2" s="28" customFormat="1" ht="15.6" spans="1:11">
      <c r="A2" s="9" t="s">
        <v>2</v>
      </c>
      <c r="B2" s="9" t="s">
        <v>227</v>
      </c>
      <c r="C2" s="10" t="s">
        <v>228</v>
      </c>
      <c r="D2" s="9" t="s">
        <v>229</v>
      </c>
      <c r="E2" s="9"/>
      <c r="F2" s="10" t="s">
        <v>230</v>
      </c>
      <c r="G2" s="11" t="s">
        <v>231</v>
      </c>
      <c r="H2" s="39" t="s">
        <v>225</v>
      </c>
      <c r="I2" s="39" t="s">
        <v>2352</v>
      </c>
      <c r="J2" s="23" t="s">
        <v>235</v>
      </c>
      <c r="K2" s="53" t="s">
        <v>2353</v>
      </c>
    </row>
    <row r="3" s="28" customFormat="1" ht="15.6" spans="1:11">
      <c r="A3" s="9"/>
      <c r="B3" s="9"/>
      <c r="C3" s="10"/>
      <c r="D3" s="9" t="s">
        <v>236</v>
      </c>
      <c r="E3" s="9" t="s">
        <v>237</v>
      </c>
      <c r="F3" s="10"/>
      <c r="G3" s="11"/>
      <c r="H3" s="39"/>
      <c r="I3" s="39"/>
      <c r="J3" s="23"/>
      <c r="K3" s="53" t="s">
        <v>2354</v>
      </c>
    </row>
    <row r="4" s="29" customFormat="1" spans="1:11">
      <c r="A4" s="40"/>
      <c r="B4" s="41" t="s">
        <v>2355</v>
      </c>
      <c r="C4" s="41"/>
      <c r="D4" s="41"/>
      <c r="E4" s="41"/>
      <c r="F4" s="42"/>
      <c r="G4" s="43"/>
      <c r="H4" s="44"/>
      <c r="I4" s="44"/>
      <c r="J4" s="40"/>
      <c r="K4" s="54"/>
    </row>
    <row r="5" outlineLevel="1" spans="1:10">
      <c r="A5" s="45" t="str">
        <f ca="1" t="array" ref="A5:G900">IF(INDIRECT(K1&amp;"!A4：G900")=0,"",INDIRECT(K1&amp;"!A4：G900"))</f>
        <v/>
      </c>
      <c r="B5" s="46" t="str">
        <v>地下工程</v>
      </c>
      <c r="C5" s="46" t="str">
        <v/>
      </c>
      <c r="D5" s="46" t="str">
        <v/>
      </c>
      <c r="E5" s="46" t="str">
        <v/>
      </c>
      <c r="F5" s="47" t="str">
        <v/>
      </c>
      <c r="G5" s="48" t="str">
        <v/>
      </c>
      <c r="H5" s="49">
        <f ca="1" t="array" ref="H5:H900">INDIRECT(K1&amp;"!N4:N900")</f>
        <v>0</v>
      </c>
      <c r="I5" s="49" t="e">
        <f ca="1" t="array" ref="I5:I900">INDIRECT(K1&amp;"!X4:X900")</f>
        <v>#REF!</v>
      </c>
      <c r="J5" s="50"/>
    </row>
    <row r="6" outlineLevel="1" spans="1:10">
      <c r="A6" s="50" t="str">
        <v/>
      </c>
      <c r="B6" s="51" t="str">
        <v>A.01地下基础工程</v>
      </c>
      <c r="C6" s="51" t="str">
        <v/>
      </c>
      <c r="D6" s="51" t="str">
        <v/>
      </c>
      <c r="E6" s="51" t="str">
        <v/>
      </c>
      <c r="F6" s="52" t="str">
        <v/>
      </c>
      <c r="G6" s="48" t="str">
        <v/>
      </c>
      <c r="H6" s="49">
        <v>0</v>
      </c>
      <c r="I6" s="49" t="e">
        <v>#REF!</v>
      </c>
      <c r="J6" s="50"/>
    </row>
    <row r="7" outlineLevel="1" spans="1:10">
      <c r="A7" s="50" t="str">
        <v/>
      </c>
      <c r="B7" s="51" t="str">
        <v>A.01.01土石方工程</v>
      </c>
      <c r="C7" s="51" t="str">
        <v/>
      </c>
      <c r="D7" s="51" t="str">
        <v/>
      </c>
      <c r="E7" s="51" t="str">
        <v/>
      </c>
      <c r="F7" s="52" t="str">
        <v/>
      </c>
      <c r="G7" s="48" t="str">
        <v/>
      </c>
      <c r="H7" s="49">
        <v>0</v>
      </c>
      <c r="I7" s="49" t="e">
        <v>#REF!</v>
      </c>
      <c r="J7" s="50"/>
    </row>
    <row r="8" outlineLevel="1" spans="1:10">
      <c r="A8" s="50">
        <v>1</v>
      </c>
      <c r="B8" s="51" t="str">
        <v>人工清理基底</v>
      </c>
      <c r="C8" s="51" t="e">
        <v>#REF!</v>
      </c>
      <c r="D8" s="51" t="str">
        <v/>
      </c>
      <c r="E8" s="51" t="str">
        <v/>
      </c>
      <c r="F8" s="52" t="e">
        <v>#REF!</v>
      </c>
      <c r="G8" s="48" t="e">
        <v>#REF!</v>
      </c>
      <c r="H8" s="49">
        <v>0</v>
      </c>
      <c r="I8" s="49" t="e">
        <v>#REF!</v>
      </c>
      <c r="J8" s="50"/>
    </row>
    <row r="9" ht="28.8" outlineLevel="1" spans="1:10">
      <c r="A9" s="50">
        <v>2</v>
      </c>
      <c r="B9" s="51" t="str">
        <v>挖基坑（电梯井.集水坑）</v>
      </c>
      <c r="C9" s="51" t="e">
        <v>#REF!</v>
      </c>
      <c r="D9" s="51" t="str">
        <v/>
      </c>
      <c r="E9" s="51" t="str">
        <v/>
      </c>
      <c r="F9" s="52" t="e">
        <v>#REF!</v>
      </c>
      <c r="G9" s="48" t="e">
        <v>#REF!</v>
      </c>
      <c r="H9" s="49">
        <v>0</v>
      </c>
      <c r="I9" s="49" t="e">
        <v>#REF!</v>
      </c>
      <c r="J9" s="50"/>
    </row>
    <row r="10" outlineLevel="1" spans="1:10">
      <c r="A10" s="50">
        <v>3</v>
      </c>
      <c r="B10" s="51" t="str">
        <v>房心素土回填</v>
      </c>
      <c r="C10" s="51" t="e">
        <v>#REF!</v>
      </c>
      <c r="D10" s="51" t="str">
        <v/>
      </c>
      <c r="E10" s="51" t="str">
        <v/>
      </c>
      <c r="F10" s="52" t="e">
        <v>#REF!</v>
      </c>
      <c r="G10" s="48" t="e">
        <v>#REF!</v>
      </c>
      <c r="H10" s="49">
        <v>0</v>
      </c>
      <c r="I10" s="49" t="e">
        <v>#REF!</v>
      </c>
      <c r="J10" s="50"/>
    </row>
    <row r="11" outlineLevel="1" spans="1:10">
      <c r="A11" s="50">
        <v>4</v>
      </c>
      <c r="B11" s="51" t="str">
        <v>其他素土回填</v>
      </c>
      <c r="C11" s="51" t="e">
        <v>#REF!</v>
      </c>
      <c r="D11" s="51" t="str">
        <v/>
      </c>
      <c r="E11" s="51" t="str">
        <v/>
      </c>
      <c r="F11" s="52" t="e">
        <v>#REF!</v>
      </c>
      <c r="G11" s="48" t="e">
        <v>#REF!</v>
      </c>
      <c r="H11" s="49">
        <v>0</v>
      </c>
      <c r="I11" s="49" t="e">
        <v>#REF!</v>
      </c>
      <c r="J11" s="50"/>
    </row>
    <row r="12" outlineLevel="1" spans="1:10">
      <c r="A12" s="50">
        <v>5</v>
      </c>
      <c r="B12" s="51" t="str">
        <v>3:7灰土回填灰土</v>
      </c>
      <c r="C12" s="51" t="e">
        <v>#REF!</v>
      </c>
      <c r="D12" s="51" t="str">
        <v/>
      </c>
      <c r="E12" s="51" t="str">
        <v/>
      </c>
      <c r="F12" s="52" t="e">
        <v>#REF!</v>
      </c>
      <c r="G12" s="48" t="e">
        <v>#REF!</v>
      </c>
      <c r="H12" s="49">
        <v>0</v>
      </c>
      <c r="I12" s="49" t="e">
        <v>#REF!</v>
      </c>
      <c r="J12" s="50"/>
    </row>
    <row r="13" outlineLevel="1" spans="1:10">
      <c r="A13" s="50">
        <v>6</v>
      </c>
      <c r="B13" s="51" t="str">
        <v>2:8灰土回填灰土</v>
      </c>
      <c r="C13" s="51" t="e">
        <v>#REF!</v>
      </c>
      <c r="D13" s="51" t="str">
        <v/>
      </c>
      <c r="E13" s="51" t="str">
        <v/>
      </c>
      <c r="F13" s="52" t="e">
        <v>#REF!</v>
      </c>
      <c r="G13" s="48" t="e">
        <v>#REF!</v>
      </c>
      <c r="H13" s="49">
        <v>0</v>
      </c>
      <c r="I13" s="49" t="e">
        <v>#REF!</v>
      </c>
      <c r="J13" s="50"/>
    </row>
    <row r="14" outlineLevel="1" spans="1:10">
      <c r="A14" s="50" t="str">
        <v/>
      </c>
      <c r="B14" s="51" t="str">
        <v>A.01.02地基处理工程</v>
      </c>
      <c r="C14" s="51" t="str">
        <v/>
      </c>
      <c r="D14" s="51" t="str">
        <v/>
      </c>
      <c r="E14" s="51" t="str">
        <v/>
      </c>
      <c r="F14" s="52" t="str">
        <v/>
      </c>
      <c r="G14" s="48" t="str">
        <v/>
      </c>
      <c r="H14" s="49">
        <v>0</v>
      </c>
      <c r="I14" s="49" t="e">
        <v>#REF!</v>
      </c>
      <c r="J14" s="50"/>
    </row>
    <row r="15" outlineLevel="1" spans="1:10">
      <c r="A15" s="50">
        <v>7</v>
      </c>
      <c r="B15" s="51" t="str">
        <v>砖胎膜</v>
      </c>
      <c r="C15" s="51" t="e">
        <v>#REF!</v>
      </c>
      <c r="D15" s="51" t="str">
        <v/>
      </c>
      <c r="E15" s="51" t="str">
        <v/>
      </c>
      <c r="F15" s="52" t="e">
        <v>#REF!</v>
      </c>
      <c r="G15" s="48" t="e">
        <v>#REF!</v>
      </c>
      <c r="H15" s="49">
        <v>0</v>
      </c>
      <c r="I15" s="49" t="e">
        <v>#REF!</v>
      </c>
      <c r="J15" s="50"/>
    </row>
    <row r="16" outlineLevel="1" spans="1:10">
      <c r="A16" s="50">
        <v>8</v>
      </c>
      <c r="B16" s="51" t="str">
        <v>砖胎膜抹灰</v>
      </c>
      <c r="C16" s="51" t="e">
        <v>#REF!</v>
      </c>
      <c r="D16" s="51" t="str">
        <v/>
      </c>
      <c r="E16" s="51" t="str">
        <v/>
      </c>
      <c r="F16" s="52" t="e">
        <v>#REF!</v>
      </c>
      <c r="G16" s="48" t="e">
        <v>#REF!</v>
      </c>
      <c r="H16" s="49">
        <v>0</v>
      </c>
      <c r="I16" s="49" t="e">
        <v>#REF!</v>
      </c>
      <c r="J16" s="50"/>
    </row>
    <row r="17" outlineLevel="1" spans="1:10">
      <c r="A17" s="50">
        <v>9</v>
      </c>
      <c r="B17" s="51" t="str">
        <v>实心砖墙</v>
      </c>
      <c r="C17" s="51" t="e">
        <v>#REF!</v>
      </c>
      <c r="D17" s="51" t="str">
        <v/>
      </c>
      <c r="E17" s="51" t="str">
        <v/>
      </c>
      <c r="F17" s="52" t="e">
        <v>#REF!</v>
      </c>
      <c r="G17" s="48" t="e">
        <v>#REF!</v>
      </c>
      <c r="H17" s="49">
        <v>0</v>
      </c>
      <c r="I17" s="49" t="e">
        <v>#REF!</v>
      </c>
      <c r="J17" s="50"/>
    </row>
    <row r="18" outlineLevel="1" spans="1:10">
      <c r="A18" s="50">
        <v>10</v>
      </c>
      <c r="B18" s="51" t="str">
        <v>褥垫层</v>
      </c>
      <c r="C18" s="51" t="e">
        <v>#REF!</v>
      </c>
      <c r="D18" s="51" t="str">
        <v/>
      </c>
      <c r="E18" s="51" t="str">
        <v/>
      </c>
      <c r="F18" s="52" t="e">
        <v>#REF!</v>
      </c>
      <c r="G18" s="48" t="e">
        <v>#REF!</v>
      </c>
      <c r="H18" s="49">
        <v>0</v>
      </c>
      <c r="I18" s="49" t="e">
        <v>#REF!</v>
      </c>
      <c r="J18" s="50"/>
    </row>
    <row r="19" outlineLevel="1" spans="1:10">
      <c r="A19" s="50">
        <v>11</v>
      </c>
      <c r="B19" s="51" t="str">
        <v>非级配砂石回填</v>
      </c>
      <c r="C19" s="51" t="e">
        <v>#REF!</v>
      </c>
      <c r="D19" s="51" t="str">
        <v/>
      </c>
      <c r="E19" s="51" t="str">
        <v/>
      </c>
      <c r="F19" s="52" t="e">
        <v>#REF!</v>
      </c>
      <c r="G19" s="48" t="e">
        <v>#REF!</v>
      </c>
      <c r="H19" s="49">
        <v>0</v>
      </c>
      <c r="I19" s="49" t="e">
        <v>#REF!</v>
      </c>
      <c r="J19" s="50"/>
    </row>
    <row r="20" outlineLevel="1" spans="1:10">
      <c r="A20" s="50">
        <v>12</v>
      </c>
      <c r="B20" s="51" t="str">
        <v>级配砂石回填</v>
      </c>
      <c r="C20" s="51" t="e">
        <v>#REF!</v>
      </c>
      <c r="D20" s="51" t="str">
        <v/>
      </c>
      <c r="E20" s="51" t="str">
        <v/>
      </c>
      <c r="F20" s="52" t="e">
        <v>#REF!</v>
      </c>
      <c r="G20" s="48" t="e">
        <v>#REF!</v>
      </c>
      <c r="H20" s="49">
        <v>0</v>
      </c>
      <c r="I20" s="49" t="e">
        <v>#REF!</v>
      </c>
      <c r="J20" s="50"/>
    </row>
    <row r="21" outlineLevel="1" spans="1:10">
      <c r="A21" s="50">
        <v>13</v>
      </c>
      <c r="B21" s="51" t="str">
        <v>地基钎探</v>
      </c>
      <c r="C21" s="51" t="e">
        <v>#REF!</v>
      </c>
      <c r="D21" s="51" t="str">
        <v/>
      </c>
      <c r="E21" s="51" t="str">
        <v/>
      </c>
      <c r="F21" s="52" t="e">
        <v>#REF!</v>
      </c>
      <c r="G21" s="48" t="e">
        <v>#REF!</v>
      </c>
      <c r="H21" s="49">
        <v>0</v>
      </c>
      <c r="I21" s="49" t="e">
        <v>#REF!</v>
      </c>
      <c r="J21" s="50"/>
    </row>
    <row r="22" outlineLevel="1" spans="1:10">
      <c r="A22" s="50" t="str">
        <v/>
      </c>
      <c r="B22" s="51" t="str">
        <v>A.02主体结构工程</v>
      </c>
      <c r="C22" s="51" t="str">
        <v/>
      </c>
      <c r="D22" s="51" t="str">
        <v/>
      </c>
      <c r="E22" s="51" t="str">
        <v/>
      </c>
      <c r="F22" s="52" t="str">
        <v/>
      </c>
      <c r="G22" s="48" t="str">
        <v/>
      </c>
      <c r="H22" s="49">
        <v>0</v>
      </c>
      <c r="I22" s="49" t="e">
        <v>#REF!</v>
      </c>
      <c r="J22" s="50"/>
    </row>
    <row r="23" outlineLevel="1" spans="1:10">
      <c r="A23" s="50" t="str">
        <v/>
      </c>
      <c r="B23" s="51" t="str">
        <v>A.02.01混凝土工程</v>
      </c>
      <c r="C23" s="51" t="str">
        <v/>
      </c>
      <c r="D23" s="51" t="str">
        <v/>
      </c>
      <c r="E23" s="51" t="str">
        <v/>
      </c>
      <c r="F23" s="52" t="str">
        <v/>
      </c>
      <c r="G23" s="48" t="str">
        <v/>
      </c>
      <c r="H23" s="49">
        <v>0</v>
      </c>
      <c r="I23" s="49" t="e">
        <v>#REF!</v>
      </c>
      <c r="J23" s="50"/>
    </row>
    <row r="24" outlineLevel="1" spans="1:10">
      <c r="A24" s="50">
        <v>14</v>
      </c>
      <c r="B24" s="51" t="str">
        <v>垫层C15</v>
      </c>
      <c r="C24" s="51" t="e">
        <v>#REF!</v>
      </c>
      <c r="D24" s="51" t="str">
        <v/>
      </c>
      <c r="E24" s="51" t="str">
        <v/>
      </c>
      <c r="F24" s="52" t="e">
        <v>#REF!</v>
      </c>
      <c r="G24" s="48" t="e">
        <v>#REF!</v>
      </c>
      <c r="H24" s="49">
        <v>1</v>
      </c>
      <c r="I24" s="49" t="e">
        <v>#REF!</v>
      </c>
      <c r="J24" s="50"/>
    </row>
    <row r="25" outlineLevel="1" spans="1:10">
      <c r="A25" s="50">
        <v>15</v>
      </c>
      <c r="B25" s="51" t="str">
        <v>垫层C20</v>
      </c>
      <c r="C25" s="51" t="e">
        <v>#REF!</v>
      </c>
      <c r="D25" s="51" t="str">
        <v/>
      </c>
      <c r="E25" s="51" t="str">
        <v/>
      </c>
      <c r="F25" s="52" t="e">
        <v>#REF!</v>
      </c>
      <c r="G25" s="48" t="e">
        <v>#REF!</v>
      </c>
      <c r="H25" s="49">
        <v>31.07</v>
      </c>
      <c r="I25" s="49" t="e">
        <v>#REF!</v>
      </c>
      <c r="J25" s="50"/>
    </row>
    <row r="26" ht="28.8" outlineLevel="1" spans="1:10">
      <c r="A26" s="50">
        <v>16</v>
      </c>
      <c r="B26" s="51" t="str">
        <v>砼保护层-50厚C20细石砼</v>
      </c>
      <c r="C26" s="51" t="e">
        <v>#REF!</v>
      </c>
      <c r="D26" s="51" t="str">
        <v/>
      </c>
      <c r="E26" s="51" t="str">
        <v/>
      </c>
      <c r="F26" s="52" t="e">
        <v>#REF!</v>
      </c>
      <c r="G26" s="48" t="e">
        <v>#REF!</v>
      </c>
      <c r="H26" s="49">
        <v>0</v>
      </c>
      <c r="I26" s="49" t="e">
        <v>#REF!</v>
      </c>
      <c r="J26" s="50"/>
    </row>
    <row r="27" outlineLevel="1" spans="1:10">
      <c r="A27" s="50">
        <v>17</v>
      </c>
      <c r="B27" s="51" t="str">
        <v>基础梁C35</v>
      </c>
      <c r="C27" s="51" t="e">
        <v>#REF!</v>
      </c>
      <c r="D27" s="51" t="str">
        <v/>
      </c>
      <c r="E27" s="51" t="str">
        <v/>
      </c>
      <c r="F27" s="52" t="e">
        <v>#REF!</v>
      </c>
      <c r="G27" s="48" t="e">
        <v>#REF!</v>
      </c>
      <c r="H27" s="49">
        <v>44.79</v>
      </c>
      <c r="I27" s="49" t="e">
        <v>#REF!</v>
      </c>
      <c r="J27" s="50"/>
    </row>
    <row r="28" outlineLevel="1" spans="1:10">
      <c r="A28" s="50">
        <v>18</v>
      </c>
      <c r="B28" s="51" t="str">
        <v>独立基础C35</v>
      </c>
      <c r="C28" s="51" t="e">
        <v>#REF!</v>
      </c>
      <c r="D28" s="51" t="str">
        <v/>
      </c>
      <c r="E28" s="51" t="str">
        <v/>
      </c>
      <c r="F28" s="52" t="e">
        <v>#REF!</v>
      </c>
      <c r="G28" s="48" t="e">
        <v>#REF!</v>
      </c>
      <c r="H28" s="49">
        <v>103.91</v>
      </c>
      <c r="I28" s="49" t="e">
        <v>#REF!</v>
      </c>
      <c r="J28" s="50"/>
    </row>
    <row r="29" outlineLevel="1" spans="1:10">
      <c r="A29" s="50">
        <v>19</v>
      </c>
      <c r="B29" s="51" t="str">
        <v>满堂基础C30抗渗P6/P8</v>
      </c>
      <c r="C29" s="51" t="e">
        <v>#REF!</v>
      </c>
      <c r="D29" s="51" t="str">
        <v/>
      </c>
      <c r="E29" s="51" t="str">
        <v/>
      </c>
      <c r="F29" s="52" t="e">
        <v>#REF!</v>
      </c>
      <c r="G29" s="48" t="e">
        <v>#REF!</v>
      </c>
      <c r="H29" s="49">
        <v>0</v>
      </c>
      <c r="I29" s="49" t="e">
        <v>#REF!</v>
      </c>
      <c r="J29" s="50"/>
    </row>
    <row r="30" outlineLevel="1" spans="1:10">
      <c r="A30" s="50">
        <v>20</v>
      </c>
      <c r="B30" s="51" t="str">
        <v>满堂基础C30</v>
      </c>
      <c r="C30" s="51" t="e">
        <v>#REF!</v>
      </c>
      <c r="D30" s="51" t="str">
        <v/>
      </c>
      <c r="E30" s="51" t="str">
        <v/>
      </c>
      <c r="F30" s="52" t="e">
        <v>#REF!</v>
      </c>
      <c r="G30" s="48" t="e">
        <v>#REF!</v>
      </c>
      <c r="H30" s="49">
        <v>0</v>
      </c>
      <c r="I30" s="49" t="e">
        <v>#REF!</v>
      </c>
      <c r="J30" s="50"/>
    </row>
    <row r="31" outlineLevel="1" spans="1:10">
      <c r="A31" s="50">
        <v>21</v>
      </c>
      <c r="B31" s="51" t="str">
        <v>矩形柱C30</v>
      </c>
      <c r="C31" s="51" t="e">
        <v>#REF!</v>
      </c>
      <c r="D31" s="51" t="str">
        <v/>
      </c>
      <c r="E31" s="51" t="str">
        <v/>
      </c>
      <c r="F31" s="52" t="e">
        <v>#REF!</v>
      </c>
      <c r="G31" s="48" t="e">
        <v>#REF!</v>
      </c>
      <c r="H31" s="49">
        <v>0</v>
      </c>
      <c r="I31" s="49" t="e">
        <v>#REF!</v>
      </c>
      <c r="J31" s="50"/>
    </row>
    <row r="32" outlineLevel="1" spans="1:10">
      <c r="A32" s="50">
        <v>22</v>
      </c>
      <c r="B32" s="51" t="str">
        <v>矩形柱C35</v>
      </c>
      <c r="C32" s="51" t="e">
        <v>#REF!</v>
      </c>
      <c r="D32" s="51" t="str">
        <v/>
      </c>
      <c r="E32" s="51" t="str">
        <v/>
      </c>
      <c r="F32" s="52" t="e">
        <v>#REF!</v>
      </c>
      <c r="G32" s="48" t="e">
        <v>#REF!</v>
      </c>
      <c r="H32" s="49">
        <v>0</v>
      </c>
      <c r="I32" s="49" t="e">
        <v>#REF!</v>
      </c>
      <c r="J32" s="50"/>
    </row>
    <row r="33" outlineLevel="1" spans="1:10">
      <c r="A33" s="50">
        <v>23</v>
      </c>
      <c r="B33" s="51" t="str">
        <v>矩形柱C40</v>
      </c>
      <c r="C33" s="51" t="e">
        <v>#REF!</v>
      </c>
      <c r="D33" s="51" t="str">
        <v/>
      </c>
      <c r="E33" s="51" t="str">
        <v/>
      </c>
      <c r="F33" s="52" t="e">
        <v>#REF!</v>
      </c>
      <c r="G33" s="48" t="e">
        <v>#REF!</v>
      </c>
      <c r="H33" s="49">
        <v>0</v>
      </c>
      <c r="I33" s="49" t="e">
        <v>#REF!</v>
      </c>
      <c r="J33" s="50"/>
    </row>
    <row r="34" outlineLevel="1" spans="1:10">
      <c r="A34" s="50">
        <v>24</v>
      </c>
      <c r="B34" s="51" t="str">
        <v>矩形柱C30P6/P8</v>
      </c>
      <c r="C34" s="51" t="e">
        <v>#REF!</v>
      </c>
      <c r="D34" s="51" t="str">
        <v/>
      </c>
      <c r="E34" s="51" t="str">
        <v/>
      </c>
      <c r="F34" s="52" t="e">
        <v>#REF!</v>
      </c>
      <c r="G34" s="48" t="e">
        <v>#REF!</v>
      </c>
      <c r="H34" s="49">
        <v>0</v>
      </c>
      <c r="I34" s="49" t="e">
        <v>#REF!</v>
      </c>
      <c r="J34" s="50"/>
    </row>
    <row r="35" outlineLevel="1" spans="1:10">
      <c r="A35" s="50">
        <v>25</v>
      </c>
      <c r="B35" s="51" t="str">
        <v>矩形柱C40P6/P8</v>
      </c>
      <c r="C35" s="51" t="e">
        <v>#REF!</v>
      </c>
      <c r="D35" s="51" t="str">
        <v/>
      </c>
      <c r="E35" s="51" t="str">
        <v/>
      </c>
      <c r="F35" s="52" t="e">
        <v>#REF!</v>
      </c>
      <c r="G35" s="48" t="e">
        <v>#REF!</v>
      </c>
      <c r="H35" s="49">
        <v>0</v>
      </c>
      <c r="I35" s="49" t="e">
        <v>#REF!</v>
      </c>
      <c r="J35" s="50"/>
    </row>
    <row r="36" outlineLevel="1" spans="1:10">
      <c r="A36" s="50">
        <v>26</v>
      </c>
      <c r="B36" s="51" t="str">
        <v>矩形梁C30</v>
      </c>
      <c r="C36" s="51" t="e">
        <v>#REF!</v>
      </c>
      <c r="D36" s="51" t="str">
        <v/>
      </c>
      <c r="E36" s="51" t="str">
        <v/>
      </c>
      <c r="F36" s="52" t="e">
        <v>#REF!</v>
      </c>
      <c r="G36" s="48" t="e">
        <v>#REF!</v>
      </c>
      <c r="H36" s="49">
        <v>0</v>
      </c>
      <c r="I36" s="49" t="e">
        <v>#REF!</v>
      </c>
      <c r="J36" s="50"/>
    </row>
    <row r="37" outlineLevel="1" spans="1:10">
      <c r="A37" s="50">
        <v>27</v>
      </c>
      <c r="B37" s="51" t="str">
        <v>矩形梁C35</v>
      </c>
      <c r="C37" s="51" t="e">
        <v>#REF!</v>
      </c>
      <c r="D37" s="51" t="str">
        <v/>
      </c>
      <c r="E37" s="51" t="str">
        <v/>
      </c>
      <c r="F37" s="52" t="e">
        <v>#REF!</v>
      </c>
      <c r="G37" s="48" t="e">
        <v>#REF!</v>
      </c>
      <c r="H37" s="49">
        <v>0</v>
      </c>
      <c r="I37" s="49" t="e">
        <v>#REF!</v>
      </c>
      <c r="J37" s="50"/>
    </row>
    <row r="38" outlineLevel="1" spans="1:10">
      <c r="A38" s="50">
        <v>28</v>
      </c>
      <c r="B38" s="51" t="str">
        <v>矩形梁C30P6/P8</v>
      </c>
      <c r="C38" s="51" t="e">
        <v>#REF!</v>
      </c>
      <c r="D38" s="51" t="str">
        <v/>
      </c>
      <c r="E38" s="51" t="str">
        <v/>
      </c>
      <c r="F38" s="52" t="e">
        <v>#REF!</v>
      </c>
      <c r="G38" s="48" t="e">
        <v>#REF!</v>
      </c>
      <c r="H38" s="49">
        <v>0</v>
      </c>
      <c r="I38" s="49" t="e">
        <v>#REF!</v>
      </c>
      <c r="J38" s="50"/>
    </row>
    <row r="39" outlineLevel="1" spans="1:10">
      <c r="A39" s="50">
        <v>29</v>
      </c>
      <c r="B39" s="51" t="str">
        <v>矩形梁C40P6/P8</v>
      </c>
      <c r="C39" s="51" t="e">
        <v>#REF!</v>
      </c>
      <c r="D39" s="51" t="str">
        <v/>
      </c>
      <c r="E39" s="51" t="str">
        <v/>
      </c>
      <c r="F39" s="52" t="e">
        <v>#REF!</v>
      </c>
      <c r="G39" s="48" t="e">
        <v>#REF!</v>
      </c>
      <c r="H39" s="49">
        <v>0</v>
      </c>
      <c r="I39" s="49" t="e">
        <v>#REF!</v>
      </c>
      <c r="J39" s="50"/>
    </row>
    <row r="40" outlineLevel="1" spans="1:10">
      <c r="A40" s="50">
        <v>30</v>
      </c>
      <c r="B40" s="51" t="str">
        <v>直形墙C30抗渗P6/P8</v>
      </c>
      <c r="C40" s="51" t="e">
        <v>#REF!</v>
      </c>
      <c r="D40" s="51" t="str">
        <v/>
      </c>
      <c r="E40" s="51" t="str">
        <v/>
      </c>
      <c r="F40" s="52" t="e">
        <v>#REF!</v>
      </c>
      <c r="G40" s="48" t="e">
        <v>#REF!</v>
      </c>
      <c r="H40" s="49">
        <v>0</v>
      </c>
      <c r="I40" s="49" t="e">
        <v>#REF!</v>
      </c>
      <c r="J40" s="50"/>
    </row>
    <row r="41" outlineLevel="1" spans="1:10">
      <c r="A41" s="50">
        <v>31</v>
      </c>
      <c r="B41" s="51" t="str">
        <v>直形墙C30</v>
      </c>
      <c r="C41" s="51" t="e">
        <v>#REF!</v>
      </c>
      <c r="D41" s="51" t="str">
        <v/>
      </c>
      <c r="E41" s="51" t="str">
        <v/>
      </c>
      <c r="F41" s="52" t="e">
        <v>#REF!</v>
      </c>
      <c r="G41" s="48" t="e">
        <v>#REF!</v>
      </c>
      <c r="H41" s="49">
        <v>0</v>
      </c>
      <c r="I41" s="49" t="e">
        <v>#REF!</v>
      </c>
      <c r="J41" s="50"/>
    </row>
    <row r="42" outlineLevel="1" spans="1:10">
      <c r="A42" s="50">
        <v>32</v>
      </c>
      <c r="B42" s="51" t="str">
        <v>电梯井壁C30</v>
      </c>
      <c r="C42" s="51" t="e">
        <v>#REF!</v>
      </c>
      <c r="D42" s="51" t="str">
        <v/>
      </c>
      <c r="E42" s="51" t="str">
        <v/>
      </c>
      <c r="F42" s="52" t="e">
        <v>#REF!</v>
      </c>
      <c r="G42" s="48" t="e">
        <v>#REF!</v>
      </c>
      <c r="H42" s="49">
        <v>0</v>
      </c>
      <c r="I42" s="49" t="e">
        <v>#REF!</v>
      </c>
      <c r="J42" s="50"/>
    </row>
    <row r="43" ht="28.8" outlineLevel="1" spans="1:10">
      <c r="A43" s="50">
        <v>33</v>
      </c>
      <c r="B43" s="51" t="str">
        <v>人防预制梁C40抗渗P6/P8</v>
      </c>
      <c r="C43" s="51" t="e">
        <v>#REF!</v>
      </c>
      <c r="D43" s="51" t="str">
        <v/>
      </c>
      <c r="E43" s="51" t="str">
        <v/>
      </c>
      <c r="F43" s="52" t="e">
        <v>#REF!</v>
      </c>
      <c r="G43" s="48" t="e">
        <v>#REF!</v>
      </c>
      <c r="H43" s="49">
        <v>0</v>
      </c>
      <c r="I43" s="49" t="e">
        <v>#REF!</v>
      </c>
      <c r="J43" s="50"/>
    </row>
    <row r="44" outlineLevel="1" spans="1:10">
      <c r="A44" s="50">
        <v>34</v>
      </c>
      <c r="B44" s="51" t="str">
        <v>斜梁C40抗渗P6/P8</v>
      </c>
      <c r="C44" s="51" t="e">
        <v>#REF!</v>
      </c>
      <c r="D44" s="51" t="str">
        <v/>
      </c>
      <c r="E44" s="51" t="str">
        <v/>
      </c>
      <c r="F44" s="52" t="e">
        <v>#REF!</v>
      </c>
      <c r="G44" s="48" t="e">
        <v>#REF!</v>
      </c>
      <c r="H44" s="49">
        <v>0</v>
      </c>
      <c r="I44" s="49" t="e">
        <v>#REF!</v>
      </c>
      <c r="J44" s="50"/>
    </row>
    <row r="45" outlineLevel="1" spans="1:10">
      <c r="A45" s="50">
        <v>35</v>
      </c>
      <c r="B45" s="51" t="str">
        <v>电梯井壁C30P6/P8</v>
      </c>
      <c r="C45" s="51" t="e">
        <v>#REF!</v>
      </c>
      <c r="D45" s="51" t="str">
        <v/>
      </c>
      <c r="E45" s="51" t="str">
        <v/>
      </c>
      <c r="F45" s="52" t="e">
        <v>#REF!</v>
      </c>
      <c r="G45" s="48" t="e">
        <v>#REF!</v>
      </c>
      <c r="H45" s="49">
        <v>0</v>
      </c>
      <c r="I45" s="49" t="e">
        <v>#REF!</v>
      </c>
      <c r="J45" s="50"/>
    </row>
    <row r="46" outlineLevel="1" spans="1:10">
      <c r="A46" s="50">
        <v>36</v>
      </c>
      <c r="B46" s="51" t="str">
        <v>平板C30</v>
      </c>
      <c r="C46" s="51" t="e">
        <v>#REF!</v>
      </c>
      <c r="D46" s="51" t="str">
        <v/>
      </c>
      <c r="E46" s="51" t="str">
        <v/>
      </c>
      <c r="F46" s="52" t="e">
        <v>#REF!</v>
      </c>
      <c r="G46" s="48" t="e">
        <v>#REF!</v>
      </c>
      <c r="H46" s="49">
        <v>0</v>
      </c>
      <c r="I46" s="49" t="e">
        <v>#REF!</v>
      </c>
      <c r="J46" s="50"/>
    </row>
    <row r="47" outlineLevel="1" spans="1:10">
      <c r="A47" s="50">
        <v>37</v>
      </c>
      <c r="B47" s="51" t="str">
        <v>天沟(檐沟）挑檐板C30</v>
      </c>
      <c r="C47" s="51" t="e">
        <v>#REF!</v>
      </c>
      <c r="D47" s="51" t="str">
        <v/>
      </c>
      <c r="E47" s="51" t="str">
        <v/>
      </c>
      <c r="F47" s="52" t="e">
        <v>#REF!</v>
      </c>
      <c r="G47" s="48" t="e">
        <v>#REF!</v>
      </c>
      <c r="H47" s="49">
        <v>0</v>
      </c>
      <c r="I47" s="49" t="e">
        <v>#REF!</v>
      </c>
      <c r="J47" s="50"/>
    </row>
    <row r="48" outlineLevel="1" spans="1:10">
      <c r="A48" s="50">
        <v>38</v>
      </c>
      <c r="B48" s="51" t="str">
        <v>直形墙C40</v>
      </c>
      <c r="C48" s="51" t="e">
        <v>#REF!</v>
      </c>
      <c r="D48" s="51" t="str">
        <v/>
      </c>
      <c r="E48" s="51" t="str">
        <v/>
      </c>
      <c r="F48" s="52" t="e">
        <v>#REF!</v>
      </c>
      <c r="G48" s="48" t="e">
        <v>#REF!</v>
      </c>
      <c r="H48" s="49">
        <v>0</v>
      </c>
      <c r="I48" s="49" t="e">
        <v>#REF!</v>
      </c>
      <c r="J48" s="50"/>
    </row>
    <row r="49" outlineLevel="1" spans="1:10">
      <c r="A49" s="50">
        <v>39</v>
      </c>
      <c r="B49" s="51" t="str">
        <v>直形墙C40抗渗P6/P8</v>
      </c>
      <c r="C49" s="51" t="e">
        <v>#REF!</v>
      </c>
      <c r="D49" s="51" t="str">
        <v/>
      </c>
      <c r="E49" s="51" t="str">
        <v/>
      </c>
      <c r="F49" s="52" t="e">
        <v>#REF!</v>
      </c>
      <c r="G49" s="48" t="e">
        <v>#REF!</v>
      </c>
      <c r="H49" s="49">
        <v>0</v>
      </c>
      <c r="I49" s="49" t="e">
        <v>#REF!</v>
      </c>
      <c r="J49" s="50"/>
    </row>
    <row r="50" outlineLevel="1" spans="1:10">
      <c r="A50" s="50">
        <v>40</v>
      </c>
      <c r="B50" s="51" t="str">
        <v>弧形墙C40抗渗P6/P8</v>
      </c>
      <c r="C50" s="51" t="e">
        <v>#REF!</v>
      </c>
      <c r="D50" s="51" t="str">
        <v/>
      </c>
      <c r="E50" s="51" t="str">
        <v/>
      </c>
      <c r="F50" s="52" t="e">
        <v>#REF!</v>
      </c>
      <c r="G50" s="48" t="e">
        <v>#REF!</v>
      </c>
      <c r="H50" s="49">
        <v>0</v>
      </c>
      <c r="I50" s="49" t="e">
        <v>#REF!</v>
      </c>
      <c r="J50" s="50"/>
    </row>
    <row r="51" outlineLevel="1" spans="1:10">
      <c r="A51" s="50">
        <v>41</v>
      </c>
      <c r="B51" s="51" t="str">
        <v>直形楼梯C30</v>
      </c>
      <c r="C51" s="51" t="e">
        <v>#REF!</v>
      </c>
      <c r="D51" s="51" t="str">
        <v/>
      </c>
      <c r="E51" s="51" t="str">
        <v/>
      </c>
      <c r="F51" s="52" t="e">
        <v>#REF!</v>
      </c>
      <c r="G51" s="48" t="e">
        <v>#REF!</v>
      </c>
      <c r="H51" s="49">
        <v>0</v>
      </c>
      <c r="I51" s="49" t="e">
        <v>#REF!</v>
      </c>
      <c r="J51" s="50"/>
    </row>
    <row r="52" outlineLevel="1" spans="1:10">
      <c r="A52" s="50">
        <v>42</v>
      </c>
      <c r="B52" s="51" t="str">
        <v>梁后浇带C35</v>
      </c>
      <c r="C52" s="51" t="e">
        <v>#REF!</v>
      </c>
      <c r="D52" s="51" t="str">
        <v/>
      </c>
      <c r="E52" s="51" t="str">
        <v/>
      </c>
      <c r="F52" s="52" t="e">
        <v>#REF!</v>
      </c>
      <c r="G52" s="48" t="e">
        <v>#REF!</v>
      </c>
      <c r="H52" s="49">
        <v>0</v>
      </c>
      <c r="I52" s="49" t="e">
        <v>#REF!</v>
      </c>
      <c r="J52" s="50"/>
    </row>
    <row r="53" outlineLevel="1" spans="1:10">
      <c r="A53" s="50">
        <v>43</v>
      </c>
      <c r="B53" s="51" t="str">
        <v>板后浇带C35</v>
      </c>
      <c r="C53" s="51" t="e">
        <v>#REF!</v>
      </c>
      <c r="D53" s="51" t="str">
        <v/>
      </c>
      <c r="E53" s="51" t="str">
        <v/>
      </c>
      <c r="F53" s="52" t="e">
        <v>#REF!</v>
      </c>
      <c r="G53" s="48" t="e">
        <v>#REF!</v>
      </c>
      <c r="H53" s="49">
        <v>0</v>
      </c>
      <c r="I53" s="49" t="e">
        <v>#REF!</v>
      </c>
      <c r="J53" s="50"/>
    </row>
    <row r="54" outlineLevel="1" spans="1:10">
      <c r="A54" s="50">
        <v>44</v>
      </c>
      <c r="B54" s="51" t="str">
        <v>墙后浇带C40抗渗P6/P8</v>
      </c>
      <c r="C54" s="51" t="e">
        <v>#REF!</v>
      </c>
      <c r="D54" s="51" t="str">
        <v/>
      </c>
      <c r="E54" s="51" t="str">
        <v/>
      </c>
      <c r="F54" s="52" t="e">
        <v>#REF!</v>
      </c>
      <c r="G54" s="48" t="e">
        <v>#REF!</v>
      </c>
      <c r="H54" s="49">
        <v>0</v>
      </c>
      <c r="I54" s="49" t="e">
        <v>#REF!</v>
      </c>
      <c r="J54" s="50"/>
    </row>
    <row r="55" ht="28.8" outlineLevel="1" spans="1:10">
      <c r="A55" s="50">
        <v>45</v>
      </c>
      <c r="B55" s="51" t="str">
        <v>满堂基础后浇带C35抗渗P6/P8</v>
      </c>
      <c r="C55" s="51" t="e">
        <v>#REF!</v>
      </c>
      <c r="D55" s="51" t="str">
        <v/>
      </c>
      <c r="E55" s="51" t="str">
        <v/>
      </c>
      <c r="F55" s="52" t="e">
        <v>#REF!</v>
      </c>
      <c r="G55" s="48" t="e">
        <v>#REF!</v>
      </c>
      <c r="H55" s="49">
        <v>0</v>
      </c>
      <c r="I55" s="49" t="e">
        <v>#REF!</v>
      </c>
      <c r="J55" s="50"/>
    </row>
    <row r="56" outlineLevel="1" spans="1:10">
      <c r="A56" s="50">
        <v>46</v>
      </c>
      <c r="B56" s="51" t="str">
        <v>预制板C30</v>
      </c>
      <c r="C56" s="51" t="e">
        <v>#REF!</v>
      </c>
      <c r="D56" s="51" t="str">
        <v/>
      </c>
      <c r="E56" s="51" t="str">
        <v/>
      </c>
      <c r="F56" s="52" t="e">
        <v>#REF!</v>
      </c>
      <c r="G56" s="48" t="e">
        <v>#REF!</v>
      </c>
      <c r="H56" s="49">
        <v>0</v>
      </c>
      <c r="I56" s="49" t="e">
        <v>#REF!</v>
      </c>
      <c r="J56" s="50"/>
    </row>
    <row r="57" outlineLevel="1" spans="1:10">
      <c r="A57" s="50">
        <v>47</v>
      </c>
      <c r="B57" s="51" t="str">
        <v>无梁板C40抗渗P6/P8</v>
      </c>
      <c r="C57" s="51" t="e">
        <v>#REF!</v>
      </c>
      <c r="D57" s="51" t="str">
        <v/>
      </c>
      <c r="E57" s="51" t="str">
        <v/>
      </c>
      <c r="F57" s="52" t="e">
        <v>#REF!</v>
      </c>
      <c r="G57" s="48" t="e">
        <v>#REF!</v>
      </c>
      <c r="H57" s="49">
        <v>0</v>
      </c>
      <c r="I57" s="49" t="e">
        <v>#REF!</v>
      </c>
      <c r="J57" s="50"/>
    </row>
    <row r="58" outlineLevel="1" spans="1:10">
      <c r="A58" s="50">
        <v>48</v>
      </c>
      <c r="B58" s="51" t="str">
        <v>斜板C40抗渗P6/P8</v>
      </c>
      <c r="C58" s="51" t="e">
        <v>#REF!</v>
      </c>
      <c r="D58" s="51" t="str">
        <v/>
      </c>
      <c r="E58" s="51" t="str">
        <v/>
      </c>
      <c r="F58" s="52" t="e">
        <v>#REF!</v>
      </c>
      <c r="G58" s="48" t="e">
        <v>#REF!</v>
      </c>
      <c r="H58" s="49">
        <v>0</v>
      </c>
      <c r="I58" s="49" t="e">
        <v>#REF!</v>
      </c>
      <c r="J58" s="50"/>
    </row>
    <row r="59" outlineLevel="1" spans="1:10">
      <c r="A59" s="50">
        <v>49</v>
      </c>
      <c r="B59" s="51" t="str">
        <v>天沟(檐沟）挑檐板C30</v>
      </c>
      <c r="C59" s="51" t="e">
        <v>#REF!</v>
      </c>
      <c r="D59" s="51" t="str">
        <v/>
      </c>
      <c r="E59" s="51" t="str">
        <v/>
      </c>
      <c r="F59" s="52" t="e">
        <v>#REF!</v>
      </c>
      <c r="G59" s="48" t="e">
        <v>#REF!</v>
      </c>
      <c r="H59" s="49">
        <v>0</v>
      </c>
      <c r="I59" s="49" t="e">
        <v>#REF!</v>
      </c>
      <c r="J59" s="50"/>
    </row>
    <row r="60" outlineLevel="1" spans="1:10">
      <c r="A60" s="50">
        <v>50</v>
      </c>
      <c r="B60" s="51" t="str">
        <v>栏板C35</v>
      </c>
      <c r="C60" s="51" t="e">
        <v>#REF!</v>
      </c>
      <c r="D60" s="51" t="str">
        <v/>
      </c>
      <c r="E60" s="51" t="str">
        <v/>
      </c>
      <c r="F60" s="52" t="e">
        <v>#REF!</v>
      </c>
      <c r="G60" s="48" t="e">
        <v>#REF!</v>
      </c>
      <c r="H60" s="49">
        <v>0</v>
      </c>
      <c r="I60" s="49" t="e">
        <v>#REF!</v>
      </c>
      <c r="J60" s="50"/>
    </row>
    <row r="61" outlineLevel="1" spans="1:10">
      <c r="A61" s="50">
        <v>51</v>
      </c>
      <c r="B61" s="51" t="str">
        <v>平板C35</v>
      </c>
      <c r="C61" s="51" t="e">
        <v>#REF!</v>
      </c>
      <c r="D61" s="51" t="str">
        <v/>
      </c>
      <c r="E61" s="51" t="str">
        <v/>
      </c>
      <c r="F61" s="52" t="e">
        <v>#REF!</v>
      </c>
      <c r="G61" s="48" t="e">
        <v>#REF!</v>
      </c>
      <c r="H61" s="49">
        <v>0</v>
      </c>
      <c r="I61" s="49" t="e">
        <v>#REF!</v>
      </c>
      <c r="J61" s="50"/>
    </row>
    <row r="62" outlineLevel="1" spans="1:10">
      <c r="A62" s="50">
        <v>52</v>
      </c>
      <c r="B62" s="51" t="str">
        <v>平板C40抗渗P6/P8</v>
      </c>
      <c r="C62" s="51" t="e">
        <v>#REF!</v>
      </c>
      <c r="D62" s="51" t="str">
        <v/>
      </c>
      <c r="E62" s="51" t="str">
        <v/>
      </c>
      <c r="F62" s="52" t="e">
        <v>#REF!</v>
      </c>
      <c r="G62" s="48" t="e">
        <v>#REF!</v>
      </c>
      <c r="H62" s="49">
        <v>0</v>
      </c>
      <c r="I62" s="49" t="e">
        <v>#REF!</v>
      </c>
      <c r="J62" s="50"/>
    </row>
    <row r="63" outlineLevel="1" spans="1:10">
      <c r="A63" s="50">
        <v>53</v>
      </c>
      <c r="B63" s="51" t="str">
        <v>直形楼梯C30</v>
      </c>
      <c r="C63" s="51" t="e">
        <v>#REF!</v>
      </c>
      <c r="D63" s="51" t="str">
        <v/>
      </c>
      <c r="E63" s="51" t="str">
        <v/>
      </c>
      <c r="F63" s="52" t="e">
        <v>#REF!</v>
      </c>
      <c r="G63" s="48" t="e">
        <v>#REF!</v>
      </c>
      <c r="H63" s="49">
        <v>0</v>
      </c>
      <c r="I63" s="49" t="e">
        <v>#REF!</v>
      </c>
      <c r="J63" s="50"/>
    </row>
    <row r="64" outlineLevel="1" spans="1:10">
      <c r="A64" s="50">
        <v>54</v>
      </c>
      <c r="B64" s="51" t="str">
        <v>沟盖板C30抗渗P6/P8</v>
      </c>
      <c r="C64" s="51" t="e">
        <v>#REF!</v>
      </c>
      <c r="D64" s="51" t="str">
        <v/>
      </c>
      <c r="E64" s="51" t="str">
        <v/>
      </c>
      <c r="F64" s="52" t="e">
        <v>#REF!</v>
      </c>
      <c r="G64" s="48" t="e">
        <v>#REF!</v>
      </c>
      <c r="H64" s="49">
        <v>0</v>
      </c>
      <c r="I64" s="49" t="e">
        <v>#REF!</v>
      </c>
      <c r="J64" s="50"/>
    </row>
    <row r="65" outlineLevel="1" spans="1:10">
      <c r="A65" s="50">
        <v>55</v>
      </c>
      <c r="B65" s="51" t="str">
        <v>梁后浇带C45抗渗P6/P8</v>
      </c>
      <c r="C65" s="51" t="e">
        <v>#REF!</v>
      </c>
      <c r="D65" s="51" t="str">
        <v/>
      </c>
      <c r="E65" s="51" t="str">
        <v/>
      </c>
      <c r="F65" s="52" t="e">
        <v>#REF!</v>
      </c>
      <c r="G65" s="48" t="e">
        <v>#REF!</v>
      </c>
      <c r="H65" s="49">
        <v>0</v>
      </c>
      <c r="I65" s="49" t="e">
        <v>#REF!</v>
      </c>
      <c r="J65" s="50"/>
    </row>
    <row r="66" outlineLevel="1" spans="1:10">
      <c r="A66" s="50">
        <v>56</v>
      </c>
      <c r="B66" s="51" t="str">
        <v>板后浇带C45抗渗P6/P8</v>
      </c>
      <c r="C66" s="51" t="e">
        <v>#REF!</v>
      </c>
      <c r="D66" s="51" t="str">
        <v/>
      </c>
      <c r="E66" s="51" t="str">
        <v/>
      </c>
      <c r="F66" s="52" t="e">
        <v>#REF!</v>
      </c>
      <c r="G66" s="48" t="e">
        <v>#REF!</v>
      </c>
      <c r="H66" s="49">
        <v>0</v>
      </c>
      <c r="I66" s="49" t="e">
        <v>#REF!</v>
      </c>
      <c r="J66" s="50"/>
    </row>
    <row r="67" outlineLevel="1" spans="1:10">
      <c r="A67" s="50">
        <v>57</v>
      </c>
      <c r="B67" s="51" t="str">
        <v>墙后浇带C45抗渗P6/P8</v>
      </c>
      <c r="C67" s="51" t="e">
        <v>#REF!</v>
      </c>
      <c r="D67" s="51" t="str">
        <v/>
      </c>
      <c r="E67" s="51" t="str">
        <v/>
      </c>
      <c r="F67" s="52" t="e">
        <v>#REF!</v>
      </c>
      <c r="G67" s="48" t="e">
        <v>#REF!</v>
      </c>
      <c r="H67" s="49">
        <v>0</v>
      </c>
      <c r="I67" s="49" t="e">
        <v>#REF!</v>
      </c>
      <c r="J67" s="50"/>
    </row>
    <row r="68" ht="28.8" outlineLevel="1" spans="1:10">
      <c r="A68" s="50">
        <v>58</v>
      </c>
      <c r="B68" s="51" t="str">
        <v>满堂基础后浇带C35抗渗P6/P8</v>
      </c>
      <c r="C68" s="51" t="e">
        <v>#REF!</v>
      </c>
      <c r="D68" s="51" t="str">
        <v/>
      </c>
      <c r="E68" s="51" t="str">
        <v/>
      </c>
      <c r="F68" s="52" t="e">
        <v>#REF!</v>
      </c>
      <c r="G68" s="48" t="e">
        <v>#REF!</v>
      </c>
      <c r="H68" s="49">
        <v>0</v>
      </c>
      <c r="I68" s="49" t="e">
        <v>#REF!</v>
      </c>
      <c r="J68" s="50"/>
    </row>
    <row r="69" ht="28.8" outlineLevel="1" spans="1:10">
      <c r="A69" s="50">
        <v>59</v>
      </c>
      <c r="B69" s="51" t="str">
        <v>消防水池池底C30抗渗P6/P8</v>
      </c>
      <c r="C69" s="51" t="e">
        <v>#REF!</v>
      </c>
      <c r="D69" s="51" t="str">
        <v/>
      </c>
      <c r="E69" s="51" t="str">
        <v/>
      </c>
      <c r="F69" s="52" t="e">
        <v>#REF!</v>
      </c>
      <c r="G69" s="48" t="e">
        <v>#REF!</v>
      </c>
      <c r="H69" s="49">
        <v>0</v>
      </c>
      <c r="I69" s="49" t="e">
        <v>#REF!</v>
      </c>
      <c r="J69" s="50"/>
    </row>
    <row r="70" ht="28.8" outlineLevel="1" spans="1:10">
      <c r="A70" s="50">
        <v>60</v>
      </c>
      <c r="B70" s="51" t="str">
        <v>消防水池池壁C30抗渗P6/P8</v>
      </c>
      <c r="C70" s="51" t="e">
        <v>#REF!</v>
      </c>
      <c r="D70" s="51" t="str">
        <v/>
      </c>
      <c r="E70" s="51" t="str">
        <v/>
      </c>
      <c r="F70" s="52" t="e">
        <v>#REF!</v>
      </c>
      <c r="G70" s="48" t="e">
        <v>#REF!</v>
      </c>
      <c r="H70" s="49">
        <v>0</v>
      </c>
      <c r="I70" s="49" t="e">
        <v>#REF!</v>
      </c>
      <c r="J70" s="50"/>
    </row>
    <row r="71" outlineLevel="1" spans="1:10">
      <c r="A71" s="50">
        <v>61</v>
      </c>
      <c r="B71" s="51" t="str">
        <v>设备基础C25</v>
      </c>
      <c r="C71" s="51" t="e">
        <v>#REF!</v>
      </c>
      <c r="D71" s="51" t="str">
        <v/>
      </c>
      <c r="E71" s="51" t="str">
        <v/>
      </c>
      <c r="F71" s="52" t="e">
        <v>#REF!</v>
      </c>
      <c r="G71" s="48" t="e">
        <v>#REF!</v>
      </c>
      <c r="H71" s="49">
        <v>0</v>
      </c>
      <c r="I71" s="49" t="e">
        <v>#REF!</v>
      </c>
      <c r="J71" s="50"/>
    </row>
    <row r="72" outlineLevel="1" spans="1:10">
      <c r="A72" s="50" t="str">
        <v/>
      </c>
      <c r="B72" s="51" t="str">
        <v>A.02.02钢筋工程</v>
      </c>
      <c r="C72" s="51" t="str">
        <v/>
      </c>
      <c r="D72" s="51" t="str">
        <v/>
      </c>
      <c r="E72" s="51" t="str">
        <v/>
      </c>
      <c r="F72" s="52" t="str">
        <v/>
      </c>
      <c r="G72" s="48" t="str">
        <v/>
      </c>
      <c r="H72" s="49">
        <v>0</v>
      </c>
      <c r="I72" s="49" t="e">
        <v>#REF!</v>
      </c>
      <c r="J72" s="50"/>
    </row>
    <row r="73" ht="43.2" outlineLevel="1" spans="1:10">
      <c r="A73" s="50">
        <v>62</v>
      </c>
      <c r="B73" s="51" t="str">
        <v>地下现浇构件钢筋-φ10以内</v>
      </c>
      <c r="C73" s="51" t="e">
        <v>#REF!</v>
      </c>
      <c r="D73" s="51" t="str">
        <v>地下主体结构钢筋</v>
      </c>
      <c r="E73" s="51" t="str">
        <v>地下主体结构钢筋</v>
      </c>
      <c r="F73" s="52" t="e">
        <v>#REF!</v>
      </c>
      <c r="G73" s="48" t="e">
        <v>#REF!</v>
      </c>
      <c r="H73" s="49">
        <v>0</v>
      </c>
      <c r="I73" s="49" t="e">
        <v>#REF!</v>
      </c>
      <c r="J73" s="50"/>
    </row>
    <row r="74" ht="43.2" outlineLevel="1" spans="1:10">
      <c r="A74" s="50">
        <v>63</v>
      </c>
      <c r="B74" s="51" t="str">
        <v>地下现浇构件钢筋-三级钢筋 Φ6</v>
      </c>
      <c r="C74" s="51" t="e">
        <v>#REF!</v>
      </c>
      <c r="D74" s="51" t="str">
        <v>地下主体结构钢筋</v>
      </c>
      <c r="E74" s="51" t="str">
        <v>地下主体结构钢筋</v>
      </c>
      <c r="F74" s="52" t="e">
        <v>#REF!</v>
      </c>
      <c r="G74" s="48" t="e">
        <v>#REF!</v>
      </c>
      <c r="H74" s="49">
        <v>0</v>
      </c>
      <c r="I74" s="49" t="e">
        <v>#REF!</v>
      </c>
      <c r="J74" s="50"/>
    </row>
    <row r="75" ht="43.2" outlineLevel="1" spans="1:10">
      <c r="A75" s="50">
        <v>64</v>
      </c>
      <c r="B75" s="51" t="str">
        <v>地下现浇构件钢筋-三级钢筋 Φ8</v>
      </c>
      <c r="C75" s="51" t="e">
        <v>#REF!</v>
      </c>
      <c r="D75" s="51" t="str">
        <v>地下主体结构钢筋</v>
      </c>
      <c r="E75" s="51" t="str">
        <v>地下主体结构钢筋</v>
      </c>
      <c r="F75" s="52" t="e">
        <v>#REF!</v>
      </c>
      <c r="G75" s="48" t="e">
        <v>#REF!</v>
      </c>
      <c r="H75" s="49">
        <v>0</v>
      </c>
      <c r="I75" s="49" t="e">
        <v>#REF!</v>
      </c>
      <c r="J75" s="50"/>
    </row>
    <row r="76" ht="43.2" outlineLevel="1" spans="1:10">
      <c r="A76" s="50">
        <v>65</v>
      </c>
      <c r="B76" s="51" t="str">
        <v>地下现浇构件钢筋-三级钢筋 Φ10</v>
      </c>
      <c r="C76" s="51" t="e">
        <v>#REF!</v>
      </c>
      <c r="D76" s="51" t="str">
        <v>地下主体结构钢筋</v>
      </c>
      <c r="E76" s="51" t="str">
        <v>地下主体结构钢筋</v>
      </c>
      <c r="F76" s="52" t="e">
        <v>#REF!</v>
      </c>
      <c r="G76" s="48" t="e">
        <v>#REF!</v>
      </c>
      <c r="H76" s="49">
        <v>0</v>
      </c>
      <c r="I76" s="49" t="e">
        <v>#REF!</v>
      </c>
      <c r="J76" s="50"/>
    </row>
    <row r="77" ht="43.2" outlineLevel="1" spans="1:10">
      <c r="A77" s="50">
        <v>66</v>
      </c>
      <c r="B77" s="51" t="str">
        <v>地下现浇构件钢筋-三级钢筋 Φ12</v>
      </c>
      <c r="C77" s="51" t="e">
        <v>#REF!</v>
      </c>
      <c r="D77" s="51" t="str">
        <v>地下主体结构钢筋</v>
      </c>
      <c r="E77" s="51" t="str">
        <v>地下主体结构钢筋</v>
      </c>
      <c r="F77" s="52" t="e">
        <v>#REF!</v>
      </c>
      <c r="G77" s="48" t="e">
        <v>#REF!</v>
      </c>
      <c r="H77" s="49">
        <v>0</v>
      </c>
      <c r="I77" s="49" t="e">
        <v>#REF!</v>
      </c>
      <c r="J77" s="50"/>
    </row>
    <row r="78" ht="43.2" outlineLevel="1" spans="1:10">
      <c r="A78" s="50">
        <v>67</v>
      </c>
      <c r="B78" s="51" t="str">
        <v>地下现浇构件钢筋-三级钢筋 Φ14</v>
      </c>
      <c r="C78" s="51" t="e">
        <v>#REF!</v>
      </c>
      <c r="D78" s="51" t="str">
        <v>地下主体结构钢筋</v>
      </c>
      <c r="E78" s="51" t="str">
        <v>地下主体结构钢筋</v>
      </c>
      <c r="F78" s="52" t="e">
        <v>#REF!</v>
      </c>
      <c r="G78" s="48" t="e">
        <v>#REF!</v>
      </c>
      <c r="H78" s="49">
        <v>0</v>
      </c>
      <c r="I78" s="49" t="e">
        <v>#REF!</v>
      </c>
      <c r="J78" s="50"/>
    </row>
    <row r="79" ht="43.2" outlineLevel="1" spans="1:10">
      <c r="A79" s="50">
        <v>68</v>
      </c>
      <c r="B79" s="51" t="str">
        <v>地下现浇构件钢筋-三级钢筋 Φ16</v>
      </c>
      <c r="C79" s="51" t="e">
        <v>#REF!</v>
      </c>
      <c r="D79" s="51" t="str">
        <v>地下主体结构钢筋</v>
      </c>
      <c r="E79" s="51" t="str">
        <v>地下主体结构钢筋</v>
      </c>
      <c r="F79" s="52" t="e">
        <v>#REF!</v>
      </c>
      <c r="G79" s="48" t="e">
        <v>#REF!</v>
      </c>
      <c r="H79" s="49">
        <v>0</v>
      </c>
      <c r="I79" s="49" t="e">
        <v>#REF!</v>
      </c>
      <c r="J79" s="50"/>
    </row>
    <row r="80" ht="43.2" outlineLevel="1" spans="1:10">
      <c r="A80" s="50">
        <v>69</v>
      </c>
      <c r="B80" s="51" t="str">
        <v>地下现浇构件钢筋-三级钢筋 Φ18</v>
      </c>
      <c r="C80" s="51" t="e">
        <v>#REF!</v>
      </c>
      <c r="D80" s="51" t="str">
        <v>地下主体结构钢筋</v>
      </c>
      <c r="E80" s="51" t="str">
        <v>地下主体结构钢筋</v>
      </c>
      <c r="F80" s="52" t="e">
        <v>#REF!</v>
      </c>
      <c r="G80" s="48" t="e">
        <v>#REF!</v>
      </c>
      <c r="H80" s="49">
        <v>0</v>
      </c>
      <c r="I80" s="49" t="e">
        <v>#REF!</v>
      </c>
      <c r="J80" s="50"/>
    </row>
    <row r="81" ht="43.2" outlineLevel="1" spans="1:10">
      <c r="A81" s="50">
        <v>70</v>
      </c>
      <c r="B81" s="51" t="str">
        <v>地下现浇构件钢筋-三级钢筋 Φ20</v>
      </c>
      <c r="C81" s="51" t="e">
        <v>#REF!</v>
      </c>
      <c r="D81" s="51" t="str">
        <v>地下主体结构钢筋</v>
      </c>
      <c r="E81" s="51" t="str">
        <v>地下主体结构钢筋</v>
      </c>
      <c r="F81" s="52" t="e">
        <v>#REF!</v>
      </c>
      <c r="G81" s="48" t="e">
        <v>#REF!</v>
      </c>
      <c r="H81" s="49">
        <v>0</v>
      </c>
      <c r="I81" s="49" t="e">
        <v>#REF!</v>
      </c>
      <c r="J81" s="50"/>
    </row>
    <row r="82" ht="43.2" outlineLevel="1" spans="1:10">
      <c r="A82" s="50">
        <v>71</v>
      </c>
      <c r="B82" s="51" t="str">
        <v>地下现浇构件钢筋-三级钢筋 Φ22</v>
      </c>
      <c r="C82" s="51" t="e">
        <v>#REF!</v>
      </c>
      <c r="D82" s="51" t="str">
        <v>地下主体结构钢筋</v>
      </c>
      <c r="E82" s="51" t="str">
        <v>地下主体结构钢筋</v>
      </c>
      <c r="F82" s="52" t="e">
        <v>#REF!</v>
      </c>
      <c r="G82" s="48" t="e">
        <v>#REF!</v>
      </c>
      <c r="H82" s="49">
        <v>0</v>
      </c>
      <c r="I82" s="49" t="e">
        <v>#REF!</v>
      </c>
      <c r="J82" s="50"/>
    </row>
    <row r="83" ht="43.2" outlineLevel="1" spans="1:10">
      <c r="A83" s="50">
        <v>72</v>
      </c>
      <c r="B83" s="51" t="str">
        <v>地下现浇构件钢筋-三级钢筋 Φ25</v>
      </c>
      <c r="C83" s="51" t="e">
        <v>#REF!</v>
      </c>
      <c r="D83" s="51" t="str">
        <v>地下主体结构钢筋</v>
      </c>
      <c r="E83" s="51" t="str">
        <v>地下主体结构钢筋</v>
      </c>
      <c r="F83" s="52" t="e">
        <v>#REF!</v>
      </c>
      <c r="G83" s="48" t="e">
        <v>#REF!</v>
      </c>
      <c r="H83" s="49">
        <v>0</v>
      </c>
      <c r="I83" s="49" t="e">
        <v>#REF!</v>
      </c>
      <c r="J83" s="50"/>
    </row>
    <row r="84" ht="43.2" outlineLevel="1" spans="1:10">
      <c r="A84" s="50">
        <v>73</v>
      </c>
      <c r="B84" s="51" t="str">
        <v>地下现浇构件措施钢筋-三级钢筋 Φ10</v>
      </c>
      <c r="C84" s="51" t="e">
        <v>#REF!</v>
      </c>
      <c r="D84" s="51" t="str">
        <v>地下主体结构钢筋</v>
      </c>
      <c r="E84" s="51" t="str">
        <v>地下主体结构钢筋</v>
      </c>
      <c r="F84" s="52" t="e">
        <v>#REF!</v>
      </c>
      <c r="G84" s="48" t="e">
        <v>#REF!</v>
      </c>
      <c r="H84" s="49">
        <v>0</v>
      </c>
      <c r="I84" s="49" t="e">
        <v>#REF!</v>
      </c>
      <c r="J84" s="50"/>
    </row>
    <row r="85" ht="43.2" outlineLevel="1" spans="1:10">
      <c r="A85" s="50">
        <v>74</v>
      </c>
      <c r="B85" s="51" t="str">
        <v>地下现浇构件措施钢筋-三级钢筋 Φ16</v>
      </c>
      <c r="C85" s="51" t="e">
        <v>#REF!</v>
      </c>
      <c r="D85" s="51" t="str">
        <v>地下主体结构钢筋</v>
      </c>
      <c r="E85" s="51" t="str">
        <v>地下主体结构钢筋</v>
      </c>
      <c r="F85" s="52" t="e">
        <v>#REF!</v>
      </c>
      <c r="G85" s="48" t="e">
        <v>#REF!</v>
      </c>
      <c r="H85" s="49">
        <v>0</v>
      </c>
      <c r="I85" s="49" t="e">
        <v>#REF!</v>
      </c>
      <c r="J85" s="50"/>
    </row>
    <row r="86" ht="43.2" outlineLevel="1" spans="1:10">
      <c r="A86" s="50">
        <v>75</v>
      </c>
      <c r="B86" s="51" t="str">
        <v>钢筋接头-直螺纹连接-φ20以内</v>
      </c>
      <c r="C86" s="51" t="e">
        <v>#REF!</v>
      </c>
      <c r="D86" s="51" t="str">
        <v/>
      </c>
      <c r="E86" s="51" t="str">
        <v>地下主体结构钢筋</v>
      </c>
      <c r="F86" s="52" t="e">
        <v>#REF!</v>
      </c>
      <c r="G86" s="48" t="e">
        <v>#REF!</v>
      </c>
      <c r="H86" s="49">
        <v>0</v>
      </c>
      <c r="I86" s="49" t="e">
        <v>#REF!</v>
      </c>
      <c r="J86" s="50"/>
    </row>
    <row r="87" ht="43.2" outlineLevel="1" spans="1:10">
      <c r="A87" s="50">
        <v>76</v>
      </c>
      <c r="B87" s="51" t="str">
        <v>钢筋接头-直螺纹连接-Φ30以内</v>
      </c>
      <c r="C87" s="51" t="e">
        <v>#REF!</v>
      </c>
      <c r="D87" s="51" t="str">
        <v/>
      </c>
      <c r="E87" s="51" t="str">
        <v>地下主体结构钢筋</v>
      </c>
      <c r="F87" s="52" t="e">
        <v>#REF!</v>
      </c>
      <c r="G87" s="48" t="e">
        <v>#REF!</v>
      </c>
      <c r="H87" s="49">
        <v>0</v>
      </c>
      <c r="I87" s="49" t="e">
        <v>#REF!</v>
      </c>
      <c r="J87" s="50"/>
    </row>
    <row r="88" ht="43.2" outlineLevel="1" spans="1:10">
      <c r="A88" s="50">
        <v>77</v>
      </c>
      <c r="B88" s="51" t="str">
        <v>钢筋接头-电渣压力焊</v>
      </c>
      <c r="C88" s="51" t="e">
        <v>#REF!</v>
      </c>
      <c r="D88" s="51" t="str">
        <v/>
      </c>
      <c r="E88" s="51" t="str">
        <v>地下主体结构钢筋</v>
      </c>
      <c r="F88" s="52" t="e">
        <v>#REF!</v>
      </c>
      <c r="G88" s="48" t="e">
        <v>#REF!</v>
      </c>
      <c r="H88" s="49">
        <v>0</v>
      </c>
      <c r="I88" s="49" t="e">
        <v>#REF!</v>
      </c>
      <c r="J88" s="50"/>
    </row>
    <row r="89" outlineLevel="1" spans="1:10">
      <c r="A89" s="50" t="str">
        <v/>
      </c>
      <c r="B89" s="51" t="str">
        <v>A.03二次结构工程</v>
      </c>
      <c r="C89" s="51" t="str">
        <v/>
      </c>
      <c r="D89" s="51" t="str">
        <v/>
      </c>
      <c r="E89" s="51" t="str">
        <v/>
      </c>
      <c r="F89" s="52" t="str">
        <v/>
      </c>
      <c r="G89" s="48" t="str">
        <v/>
      </c>
      <c r="H89" s="49">
        <v>0</v>
      </c>
      <c r="I89" s="49" t="e">
        <v>#REF!</v>
      </c>
      <c r="J89" s="50"/>
    </row>
    <row r="90" outlineLevel="1" spans="1:10">
      <c r="A90" s="50" t="str">
        <v/>
      </c>
      <c r="B90" s="51" t="str">
        <v>A.03.01砌筑工程</v>
      </c>
      <c r="C90" s="51" t="str">
        <v/>
      </c>
      <c r="D90" s="51" t="str">
        <v/>
      </c>
      <c r="E90" s="51" t="str">
        <v/>
      </c>
      <c r="F90" s="52" t="str">
        <v/>
      </c>
      <c r="G90" s="48" t="str">
        <v/>
      </c>
      <c r="H90" s="49">
        <v>0</v>
      </c>
      <c r="I90" s="49" t="e">
        <v>#REF!</v>
      </c>
      <c r="J90" s="50"/>
    </row>
    <row r="91" outlineLevel="1" spans="1:10">
      <c r="A91" s="50">
        <v>78</v>
      </c>
      <c r="B91" s="51" t="str">
        <v>小型砼空心砌块</v>
      </c>
      <c r="C91" s="51" t="e">
        <v>#REF!</v>
      </c>
      <c r="D91" s="51" t="str">
        <v/>
      </c>
      <c r="E91" s="51" t="str">
        <v/>
      </c>
      <c r="F91" s="52" t="e">
        <v>#REF!</v>
      </c>
      <c r="G91" s="48" t="e">
        <v>#REF!</v>
      </c>
      <c r="H91" s="49">
        <v>0</v>
      </c>
      <c r="I91" s="49" t="e">
        <v>#REF!</v>
      </c>
      <c r="J91" s="50"/>
    </row>
    <row r="92" outlineLevel="1" spans="1:10">
      <c r="A92" s="50">
        <v>79</v>
      </c>
      <c r="B92" s="51" t="str">
        <v>砖台阶</v>
      </c>
      <c r="C92" s="51" t="e">
        <v>#REF!</v>
      </c>
      <c r="D92" s="51" t="str">
        <v/>
      </c>
      <c r="E92" s="51" t="str">
        <v/>
      </c>
      <c r="F92" s="52" t="e">
        <v>#REF!</v>
      </c>
      <c r="G92" s="48" t="e">
        <v>#REF!</v>
      </c>
      <c r="H92" s="49">
        <v>0</v>
      </c>
      <c r="I92" s="49" t="e">
        <v>#REF!</v>
      </c>
      <c r="J92" s="50"/>
    </row>
    <row r="93" outlineLevel="1" spans="1:10">
      <c r="A93" s="50" t="str">
        <v/>
      </c>
      <c r="B93" s="51" t="str">
        <v>A.03.02混凝土工程</v>
      </c>
      <c r="C93" s="51" t="str">
        <v/>
      </c>
      <c r="D93" s="51" t="str">
        <v/>
      </c>
      <c r="E93" s="51" t="str">
        <v/>
      </c>
      <c r="F93" s="52" t="str">
        <v/>
      </c>
      <c r="G93" s="48" t="str">
        <v/>
      </c>
      <c r="H93" s="49">
        <v>0</v>
      </c>
      <c r="I93" s="49" t="e">
        <v>#REF!</v>
      </c>
      <c r="J93" s="50"/>
    </row>
    <row r="94" outlineLevel="1" spans="1:10">
      <c r="A94" s="50">
        <v>80</v>
      </c>
      <c r="B94" s="51" t="str">
        <v>圈梁C25</v>
      </c>
      <c r="C94" s="51" t="e">
        <v>#REF!</v>
      </c>
      <c r="D94" s="51" t="str">
        <v/>
      </c>
      <c r="E94" s="51" t="str">
        <v/>
      </c>
      <c r="F94" s="52" t="e">
        <v>#REF!</v>
      </c>
      <c r="G94" s="48" t="e">
        <v>#REF!</v>
      </c>
      <c r="H94" s="49">
        <v>0</v>
      </c>
      <c r="I94" s="49" t="e">
        <v>#REF!</v>
      </c>
      <c r="J94" s="50"/>
    </row>
    <row r="95" outlineLevel="1" spans="1:10">
      <c r="A95" s="50">
        <v>81</v>
      </c>
      <c r="B95" s="51" t="str">
        <v>构造柱C25</v>
      </c>
      <c r="C95" s="51" t="e">
        <v>#REF!</v>
      </c>
      <c r="D95" s="51" t="str">
        <v/>
      </c>
      <c r="E95" s="51" t="str">
        <v/>
      </c>
      <c r="F95" s="52" t="e">
        <v>#REF!</v>
      </c>
      <c r="G95" s="48" t="e">
        <v>#REF!</v>
      </c>
      <c r="H95" s="49">
        <v>0</v>
      </c>
      <c r="I95" s="49" t="e">
        <v>#REF!</v>
      </c>
      <c r="J95" s="50"/>
    </row>
    <row r="96" outlineLevel="1" spans="1:10">
      <c r="A96" s="50">
        <v>82</v>
      </c>
      <c r="B96" s="51" t="str">
        <v>过梁C25</v>
      </c>
      <c r="C96" s="51" t="e">
        <v>#REF!</v>
      </c>
      <c r="D96" s="51" t="str">
        <v/>
      </c>
      <c r="E96" s="51" t="str">
        <v/>
      </c>
      <c r="F96" s="52" t="e">
        <v>#REF!</v>
      </c>
      <c r="G96" s="48" t="e">
        <v>#REF!</v>
      </c>
      <c r="H96" s="49">
        <v>0</v>
      </c>
      <c r="I96" s="49" t="e">
        <v>#REF!</v>
      </c>
      <c r="J96" s="50"/>
    </row>
    <row r="97" outlineLevel="1" spans="1:10">
      <c r="A97" s="50">
        <v>83</v>
      </c>
      <c r="B97" s="51" t="str">
        <v>门槛C20细石</v>
      </c>
      <c r="C97" s="51" t="e">
        <v>#REF!</v>
      </c>
      <c r="D97" s="51" t="str">
        <v/>
      </c>
      <c r="E97" s="51" t="str">
        <v/>
      </c>
      <c r="F97" s="52" t="e">
        <v>#REF!</v>
      </c>
      <c r="G97" s="48" t="e">
        <v>#REF!</v>
      </c>
      <c r="H97" s="49">
        <v>0</v>
      </c>
      <c r="I97" s="49" t="e">
        <v>#REF!</v>
      </c>
      <c r="J97" s="50"/>
    </row>
    <row r="98" outlineLevel="1" spans="1:10">
      <c r="A98" s="50">
        <v>84</v>
      </c>
      <c r="B98" s="51" t="str">
        <v>压顶C25</v>
      </c>
      <c r="C98" s="51" t="e">
        <v>#REF!</v>
      </c>
      <c r="D98" s="51" t="str">
        <v/>
      </c>
      <c r="E98" s="51" t="str">
        <v/>
      </c>
      <c r="F98" s="52" t="e">
        <v>#REF!</v>
      </c>
      <c r="G98" s="48" t="e">
        <v>#REF!</v>
      </c>
      <c r="H98" s="49">
        <v>0</v>
      </c>
      <c r="I98" s="49" t="e">
        <v>#REF!</v>
      </c>
      <c r="J98" s="50"/>
    </row>
    <row r="99" outlineLevel="1" spans="1:10">
      <c r="A99" s="50" t="str">
        <v/>
      </c>
      <c r="B99" s="51" t="str">
        <v>散水</v>
      </c>
      <c r="C99" s="51" t="str">
        <v/>
      </c>
      <c r="D99" s="51" t="str">
        <v/>
      </c>
      <c r="E99" s="51" t="str">
        <v/>
      </c>
      <c r="F99" s="52" t="str">
        <v/>
      </c>
      <c r="G99" s="48" t="str">
        <v/>
      </c>
      <c r="H99" s="49">
        <v>0</v>
      </c>
      <c r="I99" s="49">
        <v>0</v>
      </c>
      <c r="J99" s="50"/>
    </row>
    <row r="100" outlineLevel="1" spans="1:10">
      <c r="A100" s="50">
        <v>85</v>
      </c>
      <c r="B100" s="51" t="str">
        <v>散水-40厚C20细石</v>
      </c>
      <c r="C100" s="51" t="e">
        <v>#REF!</v>
      </c>
      <c r="D100" s="51" t="str">
        <v/>
      </c>
      <c r="E100" s="51" t="str">
        <v/>
      </c>
      <c r="F100" s="52" t="e">
        <v>#REF!</v>
      </c>
      <c r="G100" s="48" t="e">
        <v>#REF!</v>
      </c>
      <c r="H100" s="49">
        <v>0</v>
      </c>
      <c r="I100" s="49" t="e">
        <v>#REF!</v>
      </c>
      <c r="J100" s="50"/>
    </row>
    <row r="101" outlineLevel="1" spans="1:10">
      <c r="A101" s="50">
        <v>86</v>
      </c>
      <c r="B101" s="51" t="str">
        <v>150厚3:7灰土</v>
      </c>
      <c r="C101" s="51" t="e">
        <v>#REF!</v>
      </c>
      <c r="D101" s="51" t="str">
        <v/>
      </c>
      <c r="E101" s="51" t="str">
        <v/>
      </c>
      <c r="F101" s="52" t="e">
        <v>#REF!</v>
      </c>
      <c r="G101" s="48" t="e">
        <v>#REF!</v>
      </c>
      <c r="H101" s="49">
        <v>0</v>
      </c>
      <c r="I101" s="49" t="e">
        <v>#REF!</v>
      </c>
      <c r="J101" s="50"/>
    </row>
    <row r="102" outlineLevel="1" spans="1:10">
      <c r="A102" s="50">
        <v>87</v>
      </c>
      <c r="B102" s="51" t="str">
        <v>散水-素土夯实</v>
      </c>
      <c r="C102" s="51" t="e">
        <v>#REF!</v>
      </c>
      <c r="D102" s="51" t="str">
        <v/>
      </c>
      <c r="E102" s="51" t="str">
        <v/>
      </c>
      <c r="F102" s="52" t="e">
        <v>#REF!</v>
      </c>
      <c r="G102" s="48" t="e">
        <v>#REF!</v>
      </c>
      <c r="H102" s="49">
        <v>0</v>
      </c>
      <c r="I102" s="49" t="e">
        <v>#REF!</v>
      </c>
      <c r="J102" s="50"/>
    </row>
    <row r="103" outlineLevel="1" spans="1:10">
      <c r="A103" s="50" t="str">
        <v/>
      </c>
      <c r="B103" s="51" t="str">
        <v>坡道</v>
      </c>
      <c r="C103" s="51" t="str">
        <v/>
      </c>
      <c r="D103" s="51" t="str">
        <v/>
      </c>
      <c r="E103" s="51" t="str">
        <v/>
      </c>
      <c r="F103" s="52" t="str">
        <v/>
      </c>
      <c r="G103" s="48" t="str">
        <v/>
      </c>
      <c r="H103" s="49">
        <v>0</v>
      </c>
      <c r="I103" s="49">
        <v>0</v>
      </c>
      <c r="J103" s="50"/>
    </row>
    <row r="104" outlineLevel="1" spans="1:10">
      <c r="A104" s="50">
        <v>88</v>
      </c>
      <c r="B104" s="51" t="str">
        <v>坡道-100厚C15</v>
      </c>
      <c r="C104" s="51" t="e">
        <v>#REF!</v>
      </c>
      <c r="D104" s="51" t="str">
        <v/>
      </c>
      <c r="E104" s="51" t="str">
        <v/>
      </c>
      <c r="F104" s="52" t="e">
        <v>#REF!</v>
      </c>
      <c r="G104" s="48" t="e">
        <v>#REF!</v>
      </c>
      <c r="H104" s="49">
        <v>0</v>
      </c>
      <c r="I104" s="49" t="e">
        <v>#REF!</v>
      </c>
      <c r="J104" s="50"/>
    </row>
    <row r="105" outlineLevel="1" spans="1:10">
      <c r="A105" s="50">
        <v>89</v>
      </c>
      <c r="B105" s="51" t="str">
        <v>300厚3:7灰土</v>
      </c>
      <c r="C105" s="51" t="e">
        <v>#REF!</v>
      </c>
      <c r="D105" s="51" t="str">
        <v/>
      </c>
      <c r="E105" s="51" t="str">
        <v/>
      </c>
      <c r="F105" s="52" t="e">
        <v>#REF!</v>
      </c>
      <c r="G105" s="48" t="e">
        <v>#REF!</v>
      </c>
      <c r="H105" s="49">
        <v>0</v>
      </c>
      <c r="I105" s="49" t="e">
        <v>#REF!</v>
      </c>
      <c r="J105" s="50"/>
    </row>
    <row r="106" outlineLevel="1" spans="1:10">
      <c r="A106" s="50">
        <v>90</v>
      </c>
      <c r="B106" s="51" t="str">
        <v>坡道-素土夯实</v>
      </c>
      <c r="C106" s="51" t="e">
        <v>#REF!</v>
      </c>
      <c r="D106" s="51" t="str">
        <v/>
      </c>
      <c r="E106" s="51" t="str">
        <v/>
      </c>
      <c r="F106" s="52" t="e">
        <v>#REF!</v>
      </c>
      <c r="G106" s="48" t="e">
        <v>#REF!</v>
      </c>
      <c r="H106" s="49">
        <v>0</v>
      </c>
      <c r="I106" s="49" t="e">
        <v>#REF!</v>
      </c>
      <c r="J106" s="50"/>
    </row>
    <row r="107" outlineLevel="1" spans="1:10">
      <c r="A107" s="50" t="str">
        <v/>
      </c>
      <c r="B107" s="51" t="str">
        <v>A.03.03钢筋工程</v>
      </c>
      <c r="C107" s="51" t="str">
        <v/>
      </c>
      <c r="D107" s="51" t="str">
        <v/>
      </c>
      <c r="E107" s="51" t="str">
        <v/>
      </c>
      <c r="F107" s="52" t="str">
        <v/>
      </c>
      <c r="G107" s="48" t="str">
        <v/>
      </c>
      <c r="H107" s="49">
        <v>0</v>
      </c>
      <c r="I107" s="49" t="e">
        <v>#REF!</v>
      </c>
      <c r="J107" s="50"/>
    </row>
    <row r="108" ht="28.8" outlineLevel="1" spans="1:10">
      <c r="A108" s="50">
        <v>91</v>
      </c>
      <c r="B108" s="51" t="str">
        <v>地下现浇构件钢筋-φ10以内</v>
      </c>
      <c r="C108" s="51" t="e">
        <v>#REF!</v>
      </c>
      <c r="D108" s="51" t="str">
        <v/>
      </c>
      <c r="E108" s="51" t="str">
        <v/>
      </c>
      <c r="F108" s="52" t="e">
        <v>#REF!</v>
      </c>
      <c r="G108" s="48" t="e">
        <v>#REF!</v>
      </c>
      <c r="H108" s="49">
        <v>0</v>
      </c>
      <c r="I108" s="49" t="e">
        <v>#REF!</v>
      </c>
      <c r="J108" s="50"/>
    </row>
    <row r="109" ht="28.8" outlineLevel="1" spans="1:10">
      <c r="A109" s="50">
        <v>92</v>
      </c>
      <c r="B109" s="51" t="str">
        <v>地下现浇构件钢筋-三级钢筋 Φ6</v>
      </c>
      <c r="C109" s="51" t="e">
        <v>#REF!</v>
      </c>
      <c r="D109" s="51" t="str">
        <v/>
      </c>
      <c r="E109" s="51" t="str">
        <v/>
      </c>
      <c r="F109" s="52" t="e">
        <v>#REF!</v>
      </c>
      <c r="G109" s="48" t="e">
        <v>#REF!</v>
      </c>
      <c r="H109" s="49">
        <v>0</v>
      </c>
      <c r="I109" s="49" t="e">
        <v>#REF!</v>
      </c>
      <c r="J109" s="50"/>
    </row>
    <row r="110" ht="28.8" outlineLevel="1" spans="1:10">
      <c r="A110" s="50">
        <v>93</v>
      </c>
      <c r="B110" s="51" t="str">
        <v>地下现浇构件钢筋-三级钢筋 Φ8</v>
      </c>
      <c r="C110" s="51" t="e">
        <v>#REF!</v>
      </c>
      <c r="D110" s="51" t="str">
        <v/>
      </c>
      <c r="E110" s="51" t="str">
        <v/>
      </c>
      <c r="F110" s="52" t="e">
        <v>#REF!</v>
      </c>
      <c r="G110" s="48" t="e">
        <v>#REF!</v>
      </c>
      <c r="H110" s="49">
        <v>0</v>
      </c>
      <c r="I110" s="49" t="e">
        <v>#REF!</v>
      </c>
      <c r="J110" s="50"/>
    </row>
    <row r="111" ht="28.8" outlineLevel="1" spans="1:10">
      <c r="A111" s="50">
        <v>94</v>
      </c>
      <c r="B111" s="51" t="str">
        <v>地下现浇构件钢筋-三级钢筋 Φ10</v>
      </c>
      <c r="C111" s="51" t="e">
        <v>#REF!</v>
      </c>
      <c r="D111" s="51" t="str">
        <v/>
      </c>
      <c r="E111" s="51" t="str">
        <v/>
      </c>
      <c r="F111" s="52" t="e">
        <v>#REF!</v>
      </c>
      <c r="G111" s="48" t="e">
        <v>#REF!</v>
      </c>
      <c r="H111" s="49">
        <v>0</v>
      </c>
      <c r="I111" s="49" t="e">
        <v>#REF!</v>
      </c>
      <c r="J111" s="50"/>
    </row>
    <row r="112" ht="28.8" outlineLevel="1" spans="1:10">
      <c r="A112" s="50">
        <v>95</v>
      </c>
      <c r="B112" s="51" t="str">
        <v>地下现浇构件钢筋-三级钢筋 Φ12</v>
      </c>
      <c r="C112" s="51" t="e">
        <v>#REF!</v>
      </c>
      <c r="D112" s="51" t="str">
        <v/>
      </c>
      <c r="E112" s="51" t="str">
        <v/>
      </c>
      <c r="F112" s="52" t="e">
        <v>#REF!</v>
      </c>
      <c r="G112" s="48" t="e">
        <v>#REF!</v>
      </c>
      <c r="H112" s="49">
        <v>0</v>
      </c>
      <c r="I112" s="49" t="e">
        <v>#REF!</v>
      </c>
      <c r="J112" s="50"/>
    </row>
    <row r="113" ht="28.8" outlineLevel="1" spans="1:10">
      <c r="A113" s="50">
        <v>96</v>
      </c>
      <c r="B113" s="51" t="str">
        <v>地下现浇构件钢筋-三级钢筋 Φ14</v>
      </c>
      <c r="C113" s="51" t="e">
        <v>#REF!</v>
      </c>
      <c r="D113" s="51" t="str">
        <v/>
      </c>
      <c r="E113" s="51" t="str">
        <v/>
      </c>
      <c r="F113" s="52" t="e">
        <v>#REF!</v>
      </c>
      <c r="G113" s="48" t="e">
        <v>#REF!</v>
      </c>
      <c r="H113" s="49">
        <v>0</v>
      </c>
      <c r="I113" s="49" t="e">
        <v>#REF!</v>
      </c>
      <c r="J113" s="50"/>
    </row>
    <row r="114" ht="28.8" outlineLevel="1" spans="1:10">
      <c r="A114" s="50">
        <v>97</v>
      </c>
      <c r="B114" s="51" t="str">
        <v>地下现浇构件钢筋-三级钢筋 Φ16</v>
      </c>
      <c r="C114" s="51" t="e">
        <v>#REF!</v>
      </c>
      <c r="D114" s="51" t="str">
        <v/>
      </c>
      <c r="E114" s="51" t="str">
        <v/>
      </c>
      <c r="F114" s="52" t="e">
        <v>#REF!</v>
      </c>
      <c r="G114" s="48" t="e">
        <v>#REF!</v>
      </c>
      <c r="H114" s="49">
        <v>0</v>
      </c>
      <c r="I114" s="49" t="e">
        <v>#REF!</v>
      </c>
      <c r="J114" s="50"/>
    </row>
    <row r="115" ht="28.8" outlineLevel="1" spans="1:10">
      <c r="A115" s="50">
        <v>98</v>
      </c>
      <c r="B115" s="51" t="str">
        <v>地下砌体加筋-三级钢筋 Φ6</v>
      </c>
      <c r="C115" s="51" t="e">
        <v>#REF!</v>
      </c>
      <c r="D115" s="51" t="str">
        <v/>
      </c>
      <c r="E115" s="51" t="str">
        <v/>
      </c>
      <c r="F115" s="52" t="e">
        <v>#REF!</v>
      </c>
      <c r="G115" s="48" t="e">
        <v>#REF!</v>
      </c>
      <c r="H115" s="49">
        <v>0</v>
      </c>
      <c r="I115" s="49" t="e">
        <v>#REF!</v>
      </c>
      <c r="J115" s="50"/>
    </row>
    <row r="116" outlineLevel="1" spans="1:10">
      <c r="A116" s="50" t="str">
        <v/>
      </c>
      <c r="B116" s="51" t="str">
        <v>A.03.04金属工程</v>
      </c>
      <c r="C116" s="51" t="str">
        <v/>
      </c>
      <c r="D116" s="51" t="str">
        <v/>
      </c>
      <c r="E116" s="51" t="str">
        <v/>
      </c>
      <c r="F116" s="52" t="str">
        <v/>
      </c>
      <c r="G116" s="48" t="str">
        <v/>
      </c>
      <c r="H116" s="49">
        <v>0</v>
      </c>
      <c r="I116" s="49" t="e">
        <v>#REF!</v>
      </c>
      <c r="J116" s="50"/>
    </row>
    <row r="117" ht="28.8" outlineLevel="1" spans="1:10">
      <c r="A117" s="50">
        <v>99</v>
      </c>
      <c r="B117" s="51" t="str">
        <v>不同材质墙体交接处挂钢丝网</v>
      </c>
      <c r="C117" s="51" t="e">
        <v>#REF!</v>
      </c>
      <c r="D117" s="51" t="str">
        <v/>
      </c>
      <c r="E117" s="51" t="str">
        <v/>
      </c>
      <c r="F117" s="52" t="e">
        <v>#REF!</v>
      </c>
      <c r="G117" s="48" t="e">
        <v>#REF!</v>
      </c>
      <c r="H117" s="49">
        <v>0</v>
      </c>
      <c r="I117" s="49" t="e">
        <v>#REF!</v>
      </c>
      <c r="J117" s="50"/>
    </row>
    <row r="118" outlineLevel="1" spans="1:10">
      <c r="A118" s="50">
        <v>100</v>
      </c>
      <c r="B118" s="51" t="str">
        <v>砌块墙钢丝网满挂</v>
      </c>
      <c r="C118" s="51" t="e">
        <v>#REF!</v>
      </c>
      <c r="D118" s="51" t="str">
        <v/>
      </c>
      <c r="E118" s="51" t="str">
        <v/>
      </c>
      <c r="F118" s="52" t="e">
        <v>#REF!</v>
      </c>
      <c r="G118" s="48" t="e">
        <v>#REF!</v>
      </c>
      <c r="H118" s="49">
        <v>0</v>
      </c>
      <c r="I118" s="49" t="e">
        <v>#REF!</v>
      </c>
      <c r="J118" s="50"/>
    </row>
    <row r="119" outlineLevel="1" spans="1:10">
      <c r="A119" s="50">
        <v>101</v>
      </c>
      <c r="B119" s="51" t="str">
        <v>钢爬梯-屋面检修</v>
      </c>
      <c r="C119" s="51" t="e">
        <v>#REF!</v>
      </c>
      <c r="D119" s="51" t="str">
        <v/>
      </c>
      <c r="E119" s="51" t="str">
        <v/>
      </c>
      <c r="F119" s="52" t="e">
        <v>#REF!</v>
      </c>
      <c r="G119" s="48" t="e">
        <v>#REF!</v>
      </c>
      <c r="H119" s="49">
        <v>0</v>
      </c>
      <c r="I119" s="49" t="e">
        <v>#REF!</v>
      </c>
      <c r="J119" s="50"/>
    </row>
    <row r="120" outlineLevel="1" spans="1:10">
      <c r="A120" s="50">
        <v>102</v>
      </c>
      <c r="B120" s="51" t="str">
        <v>地面排水沟</v>
      </c>
      <c r="C120" s="51" t="e">
        <v>#REF!</v>
      </c>
      <c r="D120" s="51" t="str">
        <v/>
      </c>
      <c r="E120" s="51" t="str">
        <v/>
      </c>
      <c r="F120" s="52" t="e">
        <v>#REF!</v>
      </c>
      <c r="G120" s="48" t="e">
        <v>#REF!</v>
      </c>
      <c r="H120" s="49">
        <v>0</v>
      </c>
      <c r="I120" s="49" t="e">
        <v>#REF!</v>
      </c>
      <c r="J120" s="50"/>
    </row>
    <row r="121" outlineLevel="1" spans="1:10">
      <c r="A121" s="50">
        <v>103</v>
      </c>
      <c r="B121" s="51" t="str">
        <v>筏板排水沟</v>
      </c>
      <c r="C121" s="51" t="e">
        <v>#REF!</v>
      </c>
      <c r="D121" s="51" t="str">
        <v/>
      </c>
      <c r="E121" s="51" t="str">
        <v/>
      </c>
      <c r="F121" s="52" t="e">
        <v>#REF!</v>
      </c>
      <c r="G121" s="48" t="e">
        <v>#REF!</v>
      </c>
      <c r="H121" s="49">
        <v>0</v>
      </c>
      <c r="I121" s="49" t="e">
        <v>#REF!</v>
      </c>
      <c r="J121" s="50"/>
    </row>
    <row r="122" outlineLevel="1" spans="1:10">
      <c r="A122" s="50">
        <v>104</v>
      </c>
      <c r="B122" s="51" t="str">
        <v>铸铁篦子</v>
      </c>
      <c r="C122" s="51" t="e">
        <v>#REF!</v>
      </c>
      <c r="D122" s="51" t="str">
        <v/>
      </c>
      <c r="E122" s="51" t="str">
        <v/>
      </c>
      <c r="F122" s="52" t="e">
        <v>#REF!</v>
      </c>
      <c r="G122" s="48" t="e">
        <v>#REF!</v>
      </c>
      <c r="H122" s="49">
        <v>0</v>
      </c>
      <c r="I122" s="49" t="e">
        <v>#REF!</v>
      </c>
      <c r="J122" s="50"/>
    </row>
    <row r="123" outlineLevel="1" spans="1:10">
      <c r="A123" s="50">
        <v>105</v>
      </c>
      <c r="B123" s="51" t="str">
        <v>排水井</v>
      </c>
      <c r="C123" s="51" t="e">
        <v>#REF!</v>
      </c>
      <c r="D123" s="51" t="str">
        <v/>
      </c>
      <c r="E123" s="51" t="str">
        <v/>
      </c>
      <c r="F123" s="52" t="e">
        <v>#REF!</v>
      </c>
      <c r="G123" s="48" t="e">
        <v>#REF!</v>
      </c>
      <c r="H123" s="49">
        <v>0</v>
      </c>
      <c r="I123" s="49" t="e">
        <v>#REF!</v>
      </c>
      <c r="J123" s="50"/>
    </row>
    <row r="124" ht="28.8" outlineLevel="1" spans="1:10">
      <c r="A124" s="50">
        <v>106</v>
      </c>
      <c r="B124" s="51" t="str">
        <v>成品镀锌雨水篦子（车库坡道入口）</v>
      </c>
      <c r="C124" s="51" t="e">
        <v>#REF!</v>
      </c>
      <c r="D124" s="51" t="str">
        <v/>
      </c>
      <c r="E124" s="51" t="str">
        <v/>
      </c>
      <c r="F124" s="52" t="e">
        <v>#REF!</v>
      </c>
      <c r="G124" s="48" t="e">
        <v>#REF!</v>
      </c>
      <c r="H124" s="49">
        <v>0</v>
      </c>
      <c r="I124" s="49" t="e">
        <v>#REF!</v>
      </c>
      <c r="J124" s="50"/>
    </row>
    <row r="125" ht="28.8" outlineLevel="1" spans="1:10">
      <c r="A125" s="50">
        <v>107</v>
      </c>
      <c r="B125" s="51" t="str">
        <v>成品镀锌雨水篦子（车库排水沟）</v>
      </c>
      <c r="C125" s="51" t="e">
        <v>#REF!</v>
      </c>
      <c r="D125" s="51" t="str">
        <v/>
      </c>
      <c r="E125" s="51" t="str">
        <v/>
      </c>
      <c r="F125" s="52" t="e">
        <v>#REF!</v>
      </c>
      <c r="G125" s="48" t="e">
        <v>#REF!</v>
      </c>
      <c r="H125" s="49">
        <v>0</v>
      </c>
      <c r="I125" s="49" t="e">
        <v>#REF!</v>
      </c>
      <c r="J125" s="50"/>
    </row>
    <row r="126" outlineLevel="1" spans="1:10">
      <c r="A126" s="50">
        <v>108</v>
      </c>
      <c r="B126" s="51" t="str">
        <v>排水井篦子</v>
      </c>
      <c r="C126" s="51" t="e">
        <v>#REF!</v>
      </c>
      <c r="D126" s="51" t="str">
        <v/>
      </c>
      <c r="E126" s="51" t="str">
        <v/>
      </c>
      <c r="F126" s="52" t="e">
        <v>#REF!</v>
      </c>
      <c r="G126" s="48" t="e">
        <v>#REF!</v>
      </c>
      <c r="H126" s="49">
        <v>0</v>
      </c>
      <c r="I126" s="49" t="e">
        <v>#REF!</v>
      </c>
      <c r="J126" s="50"/>
    </row>
    <row r="127" outlineLevel="1" spans="1:10">
      <c r="A127" s="50" t="str">
        <v/>
      </c>
      <c r="B127" s="51" t="str">
        <v>A.04隔热防水工程</v>
      </c>
      <c r="C127" s="51" t="str">
        <v/>
      </c>
      <c r="D127" s="51" t="str">
        <v/>
      </c>
      <c r="E127" s="51" t="str">
        <v/>
      </c>
      <c r="F127" s="52" t="str">
        <v/>
      </c>
      <c r="G127" s="48" t="str">
        <v/>
      </c>
      <c r="H127" s="49">
        <v>0</v>
      </c>
      <c r="I127" s="49" t="e">
        <v>#REF!</v>
      </c>
      <c r="J127" s="50"/>
    </row>
    <row r="128" outlineLevel="1" spans="1:10">
      <c r="A128" s="50" t="str">
        <v/>
      </c>
      <c r="B128" s="51" t="str">
        <v>A.04.01保温隔热工程</v>
      </c>
      <c r="C128" s="51" t="str">
        <v/>
      </c>
      <c r="D128" s="51" t="str">
        <v/>
      </c>
      <c r="E128" s="51" t="str">
        <v/>
      </c>
      <c r="F128" s="52" t="str">
        <v/>
      </c>
      <c r="G128" s="48" t="str">
        <v/>
      </c>
      <c r="H128" s="49">
        <v>0</v>
      </c>
      <c r="I128" s="49" t="e">
        <v>#REF!</v>
      </c>
      <c r="J128" s="50"/>
    </row>
    <row r="129" outlineLevel="1" spans="1:10">
      <c r="A129" s="50" t="str">
        <v/>
      </c>
      <c r="B129" s="51" t="str">
        <v>保温隔热天棚</v>
      </c>
      <c r="C129" s="51" t="str">
        <v/>
      </c>
      <c r="D129" s="51" t="str">
        <v/>
      </c>
      <c r="E129" s="51" t="str">
        <v/>
      </c>
      <c r="F129" s="52" t="str">
        <v/>
      </c>
      <c r="G129" s="48" t="str">
        <v/>
      </c>
      <c r="H129" s="49">
        <v>0</v>
      </c>
      <c r="I129" s="49">
        <v>0</v>
      </c>
      <c r="J129" s="50"/>
    </row>
    <row r="130" outlineLevel="1" spans="1:10">
      <c r="A130" s="50">
        <v>109</v>
      </c>
      <c r="B130" s="51" t="str">
        <v>天棚-55厚岩棉板</v>
      </c>
      <c r="C130" s="51" t="e">
        <v>#REF!</v>
      </c>
      <c r="D130" s="51" t="str">
        <v/>
      </c>
      <c r="E130" s="51" t="str">
        <v/>
      </c>
      <c r="F130" s="52" t="e">
        <v>#REF!</v>
      </c>
      <c r="G130" s="48" t="e">
        <v>#REF!</v>
      </c>
      <c r="H130" s="49">
        <v>0</v>
      </c>
      <c r="I130" s="49" t="e">
        <v>#REF!</v>
      </c>
      <c r="J130" s="50"/>
    </row>
    <row r="131" outlineLevel="1" spans="1:10">
      <c r="A131" s="50">
        <v>110</v>
      </c>
      <c r="B131" s="51" t="str">
        <v>天棚-50厚岩棉板</v>
      </c>
      <c r="C131" s="51" t="e">
        <v>#REF!</v>
      </c>
      <c r="D131" s="51" t="str">
        <v/>
      </c>
      <c r="E131" s="51" t="str">
        <v/>
      </c>
      <c r="F131" s="52" t="e">
        <v>#REF!</v>
      </c>
      <c r="G131" s="48" t="e">
        <v>#REF!</v>
      </c>
      <c r="H131" s="49">
        <v>0</v>
      </c>
      <c r="I131" s="49" t="e">
        <v>#REF!</v>
      </c>
      <c r="J131" s="50"/>
    </row>
    <row r="132" outlineLevel="1" spans="1:10">
      <c r="A132" s="50">
        <v>111</v>
      </c>
      <c r="B132" s="51" t="str">
        <v>天棚-镀锌钢丝网</v>
      </c>
      <c r="C132" s="51" t="e">
        <v>#REF!</v>
      </c>
      <c r="D132" s="51" t="str">
        <v/>
      </c>
      <c r="E132" s="51" t="str">
        <v/>
      </c>
      <c r="F132" s="52" t="e">
        <v>#REF!</v>
      </c>
      <c r="G132" s="48" t="e">
        <v>#REF!</v>
      </c>
      <c r="H132" s="49">
        <v>0</v>
      </c>
      <c r="I132" s="49" t="e">
        <v>#REF!</v>
      </c>
      <c r="J132" s="50"/>
    </row>
    <row r="133" outlineLevel="1" spans="1:10">
      <c r="A133" s="50">
        <v>112</v>
      </c>
      <c r="B133" s="51" t="str">
        <v>天棚-3厚抗裂砂浆</v>
      </c>
      <c r="C133" s="51" t="e">
        <v>#REF!</v>
      </c>
      <c r="D133" s="51" t="str">
        <v/>
      </c>
      <c r="E133" s="51" t="str">
        <v/>
      </c>
      <c r="F133" s="52" t="e">
        <v>#REF!</v>
      </c>
      <c r="G133" s="48" t="e">
        <v>#REF!</v>
      </c>
      <c r="H133" s="49">
        <v>0</v>
      </c>
      <c r="I133" s="49" t="e">
        <v>#REF!</v>
      </c>
      <c r="J133" s="50"/>
    </row>
    <row r="134" outlineLevel="1" spans="1:10">
      <c r="A134" s="50">
        <v>113</v>
      </c>
      <c r="B134" s="51" t="str">
        <v>天棚-网格布</v>
      </c>
      <c r="C134" s="51" t="e">
        <v>#REF!</v>
      </c>
      <c r="D134" s="51" t="str">
        <v/>
      </c>
      <c r="E134" s="51" t="str">
        <v/>
      </c>
      <c r="F134" s="52" t="e">
        <v>#REF!</v>
      </c>
      <c r="G134" s="48" t="e">
        <v>#REF!</v>
      </c>
      <c r="H134" s="49">
        <v>0</v>
      </c>
      <c r="I134" s="49" t="e">
        <v>#REF!</v>
      </c>
      <c r="J134" s="50"/>
    </row>
    <row r="135" outlineLevel="1" spans="1:10">
      <c r="A135" s="50" t="str">
        <v/>
      </c>
      <c r="B135" s="51" t="str">
        <v>地下室外墙保温</v>
      </c>
      <c r="C135" s="51" t="str">
        <v/>
      </c>
      <c r="D135" s="51" t="str">
        <v/>
      </c>
      <c r="E135" s="51" t="str">
        <v/>
      </c>
      <c r="F135" s="52" t="str">
        <v/>
      </c>
      <c r="G135" s="48" t="str">
        <v/>
      </c>
      <c r="H135" s="49">
        <v>0</v>
      </c>
      <c r="I135" s="49">
        <v>0</v>
      </c>
      <c r="J135" s="50"/>
    </row>
    <row r="136" outlineLevel="1" spans="1:10">
      <c r="A136" s="50">
        <v>114</v>
      </c>
      <c r="B136" s="51" t="str">
        <v>外墙-220厚XPS</v>
      </c>
      <c r="C136" s="51" t="e">
        <v>#REF!</v>
      </c>
      <c r="D136" s="51" t="str">
        <v/>
      </c>
      <c r="E136" s="51" t="str">
        <v/>
      </c>
      <c r="F136" s="52" t="e">
        <v>#REF!</v>
      </c>
      <c r="G136" s="48" t="e">
        <v>#REF!</v>
      </c>
      <c r="H136" s="49">
        <v>144</v>
      </c>
      <c r="I136" s="49" t="e">
        <v>#REF!</v>
      </c>
      <c r="J136" s="50"/>
    </row>
    <row r="137" outlineLevel="1" spans="1:10">
      <c r="A137" s="50">
        <v>115</v>
      </c>
      <c r="B137" s="51" t="str">
        <v>外墙面-3厚抗裂砂浆</v>
      </c>
      <c r="C137" s="51" t="e">
        <v>#REF!</v>
      </c>
      <c r="D137" s="51" t="str">
        <v/>
      </c>
      <c r="E137" s="51" t="str">
        <v/>
      </c>
      <c r="F137" s="52" t="e">
        <v>#REF!</v>
      </c>
      <c r="G137" s="48" t="e">
        <v>#REF!</v>
      </c>
      <c r="H137" s="49">
        <v>144</v>
      </c>
      <c r="I137" s="49" t="e">
        <v>#REF!</v>
      </c>
      <c r="J137" s="50"/>
    </row>
    <row r="138" outlineLevel="1" spans="1:10">
      <c r="A138" s="50">
        <v>116</v>
      </c>
      <c r="B138" s="51" t="str">
        <v>外墙面-网格布</v>
      </c>
      <c r="C138" s="51" t="e">
        <v>#REF!</v>
      </c>
      <c r="D138" s="51" t="str">
        <v/>
      </c>
      <c r="E138" s="51" t="str">
        <v/>
      </c>
      <c r="F138" s="52" t="e">
        <v>#REF!</v>
      </c>
      <c r="G138" s="48" t="e">
        <v>#REF!</v>
      </c>
      <c r="H138" s="49">
        <v>144</v>
      </c>
      <c r="I138" s="49" t="e">
        <v>#REF!</v>
      </c>
      <c r="J138" s="50"/>
    </row>
    <row r="139" ht="28.8" outlineLevel="1" spans="1:10">
      <c r="A139" s="50" t="str">
        <v/>
      </c>
      <c r="B139" s="51" t="str">
        <v>地下室外墙保温（合用前室与车库外侧）</v>
      </c>
      <c r="C139" s="51" t="str">
        <v/>
      </c>
      <c r="D139" s="51" t="str">
        <v/>
      </c>
      <c r="E139" s="51" t="str">
        <v/>
      </c>
      <c r="F139" s="52" t="str">
        <v/>
      </c>
      <c r="G139" s="48" t="str">
        <v/>
      </c>
      <c r="H139" s="49">
        <v>0</v>
      </c>
      <c r="I139" s="49">
        <v>0</v>
      </c>
      <c r="J139" s="50"/>
    </row>
    <row r="140" outlineLevel="1" spans="1:10">
      <c r="A140" s="50">
        <v>117</v>
      </c>
      <c r="B140" s="51" t="str">
        <v>外墙-160厚岩棉板</v>
      </c>
      <c r="C140" s="51" t="e">
        <v>#REF!</v>
      </c>
      <c r="D140" s="51" t="str">
        <v/>
      </c>
      <c r="E140" s="51" t="str">
        <v/>
      </c>
      <c r="F140" s="52" t="e">
        <v>#REF!</v>
      </c>
      <c r="G140" s="48" t="e">
        <v>#REF!</v>
      </c>
      <c r="H140" s="49">
        <v>0</v>
      </c>
      <c r="I140" s="49" t="e">
        <v>#REF!</v>
      </c>
      <c r="J140" s="50"/>
    </row>
    <row r="141" outlineLevel="1" spans="1:10">
      <c r="A141" s="50">
        <v>118</v>
      </c>
      <c r="B141" s="51" t="str">
        <v>外墙面-3厚抗裂砂浆</v>
      </c>
      <c r="C141" s="51" t="e">
        <v>#REF!</v>
      </c>
      <c r="D141" s="51" t="str">
        <v/>
      </c>
      <c r="E141" s="51" t="str">
        <v/>
      </c>
      <c r="F141" s="52" t="e">
        <v>#REF!</v>
      </c>
      <c r="G141" s="48" t="e">
        <v>#REF!</v>
      </c>
      <c r="H141" s="49">
        <v>0</v>
      </c>
      <c r="I141" s="49" t="e">
        <v>#REF!</v>
      </c>
      <c r="J141" s="50"/>
    </row>
    <row r="142" outlineLevel="1" spans="1:10">
      <c r="A142" s="50">
        <v>119</v>
      </c>
      <c r="B142" s="51" t="str">
        <v>外墙面-网格布</v>
      </c>
      <c r="C142" s="51" t="e">
        <v>#REF!</v>
      </c>
      <c r="D142" s="51" t="str">
        <v/>
      </c>
      <c r="E142" s="51" t="str">
        <v/>
      </c>
      <c r="F142" s="52" t="e">
        <v>#REF!</v>
      </c>
      <c r="G142" s="48" t="e">
        <v>#REF!</v>
      </c>
      <c r="H142" s="49">
        <v>0</v>
      </c>
      <c r="I142" s="49" t="e">
        <v>#REF!</v>
      </c>
      <c r="J142" s="50"/>
    </row>
    <row r="143" outlineLevel="1" spans="1:10">
      <c r="A143" s="50">
        <v>120</v>
      </c>
      <c r="B143" s="51" t="str">
        <v>内墙面-聚合物水泥</v>
      </c>
      <c r="C143" s="51" t="e">
        <v>#REF!</v>
      </c>
      <c r="D143" s="51" t="str">
        <v/>
      </c>
      <c r="E143" s="51" t="str">
        <v/>
      </c>
      <c r="F143" s="52" t="e">
        <v>#REF!</v>
      </c>
      <c r="G143" s="48" t="e">
        <v>#REF!</v>
      </c>
      <c r="H143" s="49">
        <v>0</v>
      </c>
      <c r="I143" s="49" t="e">
        <v>#REF!</v>
      </c>
      <c r="J143" s="50"/>
    </row>
    <row r="144" ht="28.8" outlineLevel="1" spans="1:10">
      <c r="A144" s="50" t="str">
        <v/>
      </c>
      <c r="B144" s="51" t="str">
        <v>被动区与非被动区保温隔热</v>
      </c>
      <c r="C144" s="51" t="str">
        <v/>
      </c>
      <c r="D144" s="51" t="str">
        <v/>
      </c>
      <c r="E144" s="51" t="str">
        <v/>
      </c>
      <c r="F144" s="52" t="str">
        <v/>
      </c>
      <c r="G144" s="48" t="str">
        <v/>
      </c>
      <c r="H144" s="49">
        <v>0</v>
      </c>
      <c r="I144" s="49">
        <v>0</v>
      </c>
      <c r="J144" s="50"/>
    </row>
    <row r="145" outlineLevel="1" spans="1:10">
      <c r="A145" s="50">
        <v>121</v>
      </c>
      <c r="B145" s="51" t="str">
        <v>内墙面-界面剂</v>
      </c>
      <c r="C145" s="51" t="e">
        <v>#REF!</v>
      </c>
      <c r="D145" s="51" t="str">
        <v/>
      </c>
      <c r="E145" s="51" t="str">
        <v/>
      </c>
      <c r="F145" s="52" t="e">
        <v>#REF!</v>
      </c>
      <c r="G145" s="48" t="e">
        <v>#REF!</v>
      </c>
      <c r="H145" s="49">
        <v>0</v>
      </c>
      <c r="I145" s="49" t="e">
        <v>#REF!</v>
      </c>
      <c r="J145" s="50"/>
    </row>
    <row r="146" outlineLevel="1" spans="1:10">
      <c r="A146" s="50">
        <v>122</v>
      </c>
      <c r="B146" s="51" t="str">
        <v>内墙保温-100厚岩棉板</v>
      </c>
      <c r="C146" s="51" t="e">
        <v>#REF!</v>
      </c>
      <c r="D146" s="51" t="str">
        <v/>
      </c>
      <c r="E146" s="51" t="str">
        <v/>
      </c>
      <c r="F146" s="52" t="e">
        <v>#REF!</v>
      </c>
      <c r="G146" s="48" t="e">
        <v>#REF!</v>
      </c>
      <c r="H146" s="49">
        <v>0</v>
      </c>
      <c r="I146" s="49" t="e">
        <v>#REF!</v>
      </c>
      <c r="J146" s="50"/>
    </row>
    <row r="147" outlineLevel="1" spans="1:10">
      <c r="A147" s="50">
        <v>123</v>
      </c>
      <c r="B147" s="51" t="str">
        <v>内墙面-5厚抗裂砂浆</v>
      </c>
      <c r="C147" s="51" t="e">
        <v>#REF!</v>
      </c>
      <c r="D147" s="51" t="str">
        <v/>
      </c>
      <c r="E147" s="51" t="str">
        <v/>
      </c>
      <c r="F147" s="52" t="e">
        <v>#REF!</v>
      </c>
      <c r="G147" s="48" t="e">
        <v>#REF!</v>
      </c>
      <c r="H147" s="49">
        <v>0</v>
      </c>
      <c r="I147" s="49" t="e">
        <v>#REF!</v>
      </c>
      <c r="J147" s="50"/>
    </row>
    <row r="148" outlineLevel="1" spans="1:10">
      <c r="A148" s="50">
        <v>124</v>
      </c>
      <c r="B148" s="51" t="str">
        <v>内墙面-网格布</v>
      </c>
      <c r="C148" s="51" t="e">
        <v>#REF!</v>
      </c>
      <c r="D148" s="51" t="str">
        <v/>
      </c>
      <c r="E148" s="51" t="str">
        <v/>
      </c>
      <c r="F148" s="52" t="e">
        <v>#REF!</v>
      </c>
      <c r="G148" s="48" t="e">
        <v>#REF!</v>
      </c>
      <c r="H148" s="49">
        <v>0</v>
      </c>
      <c r="I148" s="49" t="e">
        <v>#REF!</v>
      </c>
      <c r="J148" s="50"/>
    </row>
    <row r="149" outlineLevel="1" spans="1:10">
      <c r="A149" s="50" t="str">
        <v/>
      </c>
      <c r="B149" s="51" t="str">
        <v>A.04.02屋面与防水工程</v>
      </c>
      <c r="C149" s="51" t="str">
        <v/>
      </c>
      <c r="D149" s="51" t="str">
        <v/>
      </c>
      <c r="E149" s="51" t="str">
        <v/>
      </c>
      <c r="F149" s="52" t="str">
        <v/>
      </c>
      <c r="G149" s="48" t="str">
        <v/>
      </c>
      <c r="H149" s="49">
        <v>0</v>
      </c>
      <c r="I149" s="49" t="e">
        <v>#REF!</v>
      </c>
      <c r="J149" s="50"/>
    </row>
    <row r="150" outlineLevel="1" spans="1:10">
      <c r="A150" s="50" t="str">
        <v/>
      </c>
      <c r="B150" s="51" t="str">
        <v>地下室外墙1</v>
      </c>
      <c r="C150" s="51" t="str">
        <v/>
      </c>
      <c r="D150" s="51" t="str">
        <v/>
      </c>
      <c r="E150" s="51" t="str">
        <v/>
      </c>
      <c r="F150" s="52" t="str">
        <v/>
      </c>
      <c r="G150" s="48" t="str">
        <v/>
      </c>
      <c r="H150" s="49">
        <v>0</v>
      </c>
      <c r="I150" s="49">
        <v>0</v>
      </c>
      <c r="J150" s="50"/>
    </row>
    <row r="151" outlineLevel="1" spans="1:10">
      <c r="A151" s="50">
        <v>125</v>
      </c>
      <c r="B151" s="51" t="str">
        <v>外墙-50厚EPS</v>
      </c>
      <c r="C151" s="51" t="e">
        <v>#REF!</v>
      </c>
      <c r="D151" s="51" t="str">
        <v/>
      </c>
      <c r="E151" s="51" t="str">
        <v/>
      </c>
      <c r="F151" s="52" t="e">
        <v>#REF!</v>
      </c>
      <c r="G151" s="48" t="e">
        <v>#REF!</v>
      </c>
      <c r="H151" s="49">
        <v>0</v>
      </c>
      <c r="I151" s="49" t="e">
        <v>#REF!</v>
      </c>
      <c r="J151" s="50"/>
    </row>
    <row r="152" outlineLevel="1" spans="1:10">
      <c r="A152" s="50">
        <v>126</v>
      </c>
      <c r="B152" s="51" t="str">
        <v>外墙防水-1.5厚双面粘</v>
      </c>
      <c r="C152" s="51" t="e">
        <v>#REF!</v>
      </c>
      <c r="D152" s="51" t="str">
        <v/>
      </c>
      <c r="E152" s="51" t="str">
        <v/>
      </c>
      <c r="F152" s="52" t="e">
        <v>#REF!</v>
      </c>
      <c r="G152" s="48" t="e">
        <v>#REF!</v>
      </c>
      <c r="H152" s="49">
        <v>0</v>
      </c>
      <c r="I152" s="49" t="e">
        <v>#REF!</v>
      </c>
      <c r="J152" s="50"/>
    </row>
    <row r="153" outlineLevel="1" spans="1:10">
      <c r="A153" s="50">
        <v>127</v>
      </c>
      <c r="B153" s="51" t="str">
        <v>外墙-1.5厚水泥凝胶</v>
      </c>
      <c r="C153" s="51" t="e">
        <v>#REF!</v>
      </c>
      <c r="D153" s="51" t="str">
        <v/>
      </c>
      <c r="E153" s="51" t="str">
        <v/>
      </c>
      <c r="F153" s="52" t="e">
        <v>#REF!</v>
      </c>
      <c r="G153" s="48" t="e">
        <v>#REF!</v>
      </c>
      <c r="H153" s="49">
        <v>0</v>
      </c>
      <c r="I153" s="49" t="e">
        <v>#REF!</v>
      </c>
      <c r="J153" s="50"/>
    </row>
    <row r="154" outlineLevel="1" spans="1:10">
      <c r="A154" s="50" t="str">
        <v/>
      </c>
      <c r="B154" s="51" t="str">
        <v>地下室外墙2</v>
      </c>
      <c r="C154" s="51" t="str">
        <v/>
      </c>
      <c r="D154" s="51" t="str">
        <v/>
      </c>
      <c r="E154" s="51" t="str">
        <v/>
      </c>
      <c r="F154" s="52" t="str">
        <v/>
      </c>
      <c r="G154" s="48" t="str">
        <v/>
      </c>
      <c r="H154" s="49">
        <v>0</v>
      </c>
      <c r="I154" s="49">
        <v>0</v>
      </c>
      <c r="J154" s="50"/>
    </row>
    <row r="155" outlineLevel="1" spans="1:10">
      <c r="A155" s="50">
        <v>128</v>
      </c>
      <c r="B155" s="51" t="str">
        <v>外墙-50厚EPS</v>
      </c>
      <c r="C155" s="51" t="e">
        <v>#REF!</v>
      </c>
      <c r="D155" s="51" t="str">
        <v/>
      </c>
      <c r="E155" s="51" t="str">
        <v/>
      </c>
      <c r="F155" s="52" t="e">
        <v>#REF!</v>
      </c>
      <c r="G155" s="48" t="e">
        <v>#REF!</v>
      </c>
      <c r="H155" s="49">
        <v>0</v>
      </c>
      <c r="I155" s="49" t="e">
        <v>#REF!</v>
      </c>
      <c r="J155" s="50"/>
    </row>
    <row r="156" outlineLevel="1" spans="1:10">
      <c r="A156" s="50">
        <v>129</v>
      </c>
      <c r="B156" s="51" t="str">
        <v>外墙防水-1.5厚双面粘</v>
      </c>
      <c r="C156" s="51" t="e">
        <v>#REF!</v>
      </c>
      <c r="D156" s="51" t="str">
        <v/>
      </c>
      <c r="E156" s="51" t="str">
        <v/>
      </c>
      <c r="F156" s="52" t="e">
        <v>#REF!</v>
      </c>
      <c r="G156" s="48" t="e">
        <v>#REF!</v>
      </c>
      <c r="H156" s="49">
        <v>0</v>
      </c>
      <c r="I156" s="49" t="e">
        <v>#REF!</v>
      </c>
      <c r="J156" s="50"/>
    </row>
    <row r="157" outlineLevel="1" spans="1:10">
      <c r="A157" s="50">
        <v>130</v>
      </c>
      <c r="B157" s="51" t="str">
        <v>外墙防水-1.5厚单面粘</v>
      </c>
      <c r="C157" s="51" t="e">
        <v>#REF!</v>
      </c>
      <c r="D157" s="51" t="str">
        <v/>
      </c>
      <c r="E157" s="51" t="str">
        <v/>
      </c>
      <c r="F157" s="52" t="e">
        <v>#REF!</v>
      </c>
      <c r="G157" s="48" t="e">
        <v>#REF!</v>
      </c>
      <c r="H157" s="49">
        <v>0</v>
      </c>
      <c r="I157" s="49" t="e">
        <v>#REF!</v>
      </c>
      <c r="J157" s="50"/>
    </row>
    <row r="158" outlineLevel="1" spans="1:10">
      <c r="A158" s="50">
        <v>131</v>
      </c>
      <c r="B158" s="51" t="str">
        <v>外墙-1.5厚水泥凝胶</v>
      </c>
      <c r="C158" s="51" t="e">
        <v>#REF!</v>
      </c>
      <c r="D158" s="51" t="str">
        <v/>
      </c>
      <c r="E158" s="51" t="str">
        <v/>
      </c>
      <c r="F158" s="52" t="e">
        <v>#REF!</v>
      </c>
      <c r="G158" s="48" t="e">
        <v>#REF!</v>
      </c>
      <c r="H158" s="49">
        <v>0</v>
      </c>
      <c r="I158" s="49" t="e">
        <v>#REF!</v>
      </c>
      <c r="J158" s="50"/>
    </row>
    <row r="159" outlineLevel="1" spans="1:10">
      <c r="A159" s="50" t="str">
        <v/>
      </c>
      <c r="B159" s="51" t="str">
        <v>地下室外墙3</v>
      </c>
      <c r="C159" s="51" t="str">
        <v/>
      </c>
      <c r="D159" s="51" t="str">
        <v/>
      </c>
      <c r="E159" s="51" t="str">
        <v/>
      </c>
      <c r="F159" s="52" t="str">
        <v/>
      </c>
      <c r="G159" s="48" t="str">
        <v/>
      </c>
      <c r="H159" s="49">
        <v>0</v>
      </c>
      <c r="I159" s="49">
        <v>0</v>
      </c>
      <c r="J159" s="50"/>
    </row>
    <row r="160" outlineLevel="1" spans="1:10">
      <c r="A160" s="50">
        <v>132</v>
      </c>
      <c r="B160" s="51" t="str">
        <v>外墙-30厚EPS</v>
      </c>
      <c r="C160" s="51" t="e">
        <v>#REF!</v>
      </c>
      <c r="D160" s="51" t="str">
        <v/>
      </c>
      <c r="E160" s="51" t="str">
        <v/>
      </c>
      <c r="F160" s="52" t="e">
        <v>#REF!</v>
      </c>
      <c r="G160" s="48" t="e">
        <v>#REF!</v>
      </c>
      <c r="H160" s="49">
        <v>144</v>
      </c>
      <c r="I160" s="49" t="e">
        <v>#REF!</v>
      </c>
      <c r="J160" s="50"/>
    </row>
    <row r="161" outlineLevel="1" spans="1:10">
      <c r="A161" s="50">
        <v>133</v>
      </c>
      <c r="B161" s="51" t="str">
        <v>外墙防水-1.5厚双面粘</v>
      </c>
      <c r="C161" s="51" t="e">
        <v>#REF!</v>
      </c>
      <c r="D161" s="51" t="str">
        <v/>
      </c>
      <c r="E161" s="51" t="str">
        <v/>
      </c>
      <c r="F161" s="52" t="e">
        <v>#REF!</v>
      </c>
      <c r="G161" s="48" t="e">
        <v>#REF!</v>
      </c>
      <c r="H161" s="49">
        <v>144</v>
      </c>
      <c r="I161" s="49" t="e">
        <v>#REF!</v>
      </c>
      <c r="J161" s="50"/>
    </row>
    <row r="162" outlineLevel="1" spans="1:10">
      <c r="A162" s="50">
        <v>134</v>
      </c>
      <c r="B162" s="51" t="str">
        <v>外墙-1.5厚水泥凝胶</v>
      </c>
      <c r="C162" s="51" t="e">
        <v>#REF!</v>
      </c>
      <c r="D162" s="51" t="str">
        <v/>
      </c>
      <c r="E162" s="51" t="str">
        <v/>
      </c>
      <c r="F162" s="52" t="e">
        <v>#REF!</v>
      </c>
      <c r="G162" s="48" t="e">
        <v>#REF!</v>
      </c>
      <c r="H162" s="49">
        <v>144</v>
      </c>
      <c r="I162" s="49" t="e">
        <v>#REF!</v>
      </c>
      <c r="J162" s="50"/>
    </row>
    <row r="163" outlineLevel="1" spans="1:10">
      <c r="A163" s="50" t="str">
        <v/>
      </c>
      <c r="B163" s="51" t="str">
        <v>地下室外墙4</v>
      </c>
      <c r="C163" s="51" t="str">
        <v/>
      </c>
      <c r="D163" s="51" t="str">
        <v/>
      </c>
      <c r="E163" s="51" t="str">
        <v/>
      </c>
      <c r="F163" s="52" t="str">
        <v/>
      </c>
      <c r="G163" s="48" t="str">
        <v/>
      </c>
      <c r="H163" s="49">
        <v>0</v>
      </c>
      <c r="I163" s="49">
        <v>0</v>
      </c>
      <c r="J163" s="50"/>
    </row>
    <row r="164" outlineLevel="1" spans="1:10">
      <c r="A164" s="50">
        <v>135</v>
      </c>
      <c r="B164" s="51" t="str">
        <v>外墙-30厚EPS</v>
      </c>
      <c r="C164" s="51" t="e">
        <v>#REF!</v>
      </c>
      <c r="D164" s="51" t="str">
        <v/>
      </c>
      <c r="E164" s="51" t="str">
        <v/>
      </c>
      <c r="F164" s="52" t="e">
        <v>#REF!</v>
      </c>
      <c r="G164" s="48" t="e">
        <v>#REF!</v>
      </c>
      <c r="H164" s="49">
        <v>0</v>
      </c>
      <c r="I164" s="49" t="e">
        <v>#REF!</v>
      </c>
      <c r="J164" s="50"/>
    </row>
    <row r="165" outlineLevel="1" spans="1:10">
      <c r="A165" s="50">
        <v>136</v>
      </c>
      <c r="B165" s="51" t="str">
        <v>外墙防水-1.5厚双面粘</v>
      </c>
      <c r="C165" s="51" t="e">
        <v>#REF!</v>
      </c>
      <c r="D165" s="51" t="str">
        <v/>
      </c>
      <c r="E165" s="51" t="str">
        <v/>
      </c>
      <c r="F165" s="52" t="e">
        <v>#REF!</v>
      </c>
      <c r="G165" s="48" t="e">
        <v>#REF!</v>
      </c>
      <c r="H165" s="49">
        <v>0</v>
      </c>
      <c r="I165" s="49" t="e">
        <v>#REF!</v>
      </c>
      <c r="J165" s="50"/>
    </row>
    <row r="166" outlineLevel="1" spans="1:10">
      <c r="A166" s="50">
        <v>137</v>
      </c>
      <c r="B166" s="51" t="str">
        <v>外墙防水-1.5厚单面粘</v>
      </c>
      <c r="C166" s="51" t="e">
        <v>#REF!</v>
      </c>
      <c r="D166" s="51" t="str">
        <v/>
      </c>
      <c r="E166" s="51" t="str">
        <v/>
      </c>
      <c r="F166" s="52" t="e">
        <v>#REF!</v>
      </c>
      <c r="G166" s="48" t="e">
        <v>#REF!</v>
      </c>
      <c r="H166" s="49">
        <v>0</v>
      </c>
      <c r="I166" s="49" t="e">
        <v>#REF!</v>
      </c>
      <c r="J166" s="50"/>
    </row>
    <row r="167" outlineLevel="1" spans="1:10">
      <c r="A167" s="50">
        <v>138</v>
      </c>
      <c r="B167" s="51" t="str">
        <v>外墙-1.5厚水泥凝胶</v>
      </c>
      <c r="C167" s="51" t="e">
        <v>#REF!</v>
      </c>
      <c r="D167" s="51" t="str">
        <v/>
      </c>
      <c r="E167" s="51" t="str">
        <v/>
      </c>
      <c r="F167" s="52" t="e">
        <v>#REF!</v>
      </c>
      <c r="G167" s="48" t="e">
        <v>#REF!</v>
      </c>
      <c r="H167" s="49">
        <v>0</v>
      </c>
      <c r="I167" s="49" t="e">
        <v>#REF!</v>
      </c>
      <c r="J167" s="50"/>
    </row>
    <row r="168" ht="43.2" outlineLevel="1" spans="1:10">
      <c r="A168" s="50" t="str">
        <v/>
      </c>
      <c r="B168" s="51" t="str">
        <v>独立楼梯间、坡道、进排风井外墙面于混凝土墙</v>
      </c>
      <c r="C168" s="51" t="str">
        <v/>
      </c>
      <c r="D168" s="51" t="str">
        <v/>
      </c>
      <c r="E168" s="51" t="str">
        <v/>
      </c>
      <c r="F168" s="52" t="str">
        <v/>
      </c>
      <c r="G168" s="48" t="str">
        <v/>
      </c>
      <c r="H168" s="49">
        <v>0</v>
      </c>
      <c r="I168" s="49">
        <v>0</v>
      </c>
      <c r="J168" s="50"/>
    </row>
    <row r="169" outlineLevel="1" spans="1:10">
      <c r="A169" s="50">
        <v>139</v>
      </c>
      <c r="B169" s="51" t="str">
        <v>外墙面-界面剂</v>
      </c>
      <c r="C169" s="51" t="e">
        <v>#REF!</v>
      </c>
      <c r="D169" s="51" t="str">
        <v/>
      </c>
      <c r="E169" s="51" t="str">
        <v/>
      </c>
      <c r="F169" s="52" t="e">
        <v>#REF!</v>
      </c>
      <c r="G169" s="48" t="e">
        <v>#REF!</v>
      </c>
      <c r="H169" s="49">
        <v>0</v>
      </c>
      <c r="I169" s="49" t="e">
        <v>#REF!</v>
      </c>
      <c r="J169" s="50"/>
    </row>
    <row r="170" outlineLevel="1" spans="1:10">
      <c r="A170" s="50">
        <v>140</v>
      </c>
      <c r="B170" s="51" t="str">
        <v>外墙面-15厚M7.5</v>
      </c>
      <c r="C170" s="51" t="e">
        <v>#REF!</v>
      </c>
      <c r="D170" s="51" t="str">
        <v/>
      </c>
      <c r="E170" s="51" t="str">
        <v/>
      </c>
      <c r="F170" s="52" t="e">
        <v>#REF!</v>
      </c>
      <c r="G170" s="48" t="e">
        <v>#REF!</v>
      </c>
      <c r="H170" s="49">
        <v>0</v>
      </c>
      <c r="I170" s="49" t="e">
        <v>#REF!</v>
      </c>
      <c r="J170" s="50"/>
    </row>
    <row r="171" outlineLevel="1" spans="1:10">
      <c r="A171" s="50">
        <v>141</v>
      </c>
      <c r="B171" s="51" t="str">
        <v>外墙面-网格布</v>
      </c>
      <c r="C171" s="51" t="e">
        <v>#REF!</v>
      </c>
      <c r="D171" s="51" t="str">
        <v/>
      </c>
      <c r="E171" s="51" t="str">
        <v/>
      </c>
      <c r="F171" s="52" t="e">
        <v>#REF!</v>
      </c>
      <c r="G171" s="48" t="e">
        <v>#REF!</v>
      </c>
      <c r="H171" s="49">
        <v>0</v>
      </c>
      <c r="I171" s="49" t="e">
        <v>#REF!</v>
      </c>
      <c r="J171" s="50"/>
    </row>
    <row r="172" ht="28.8" outlineLevel="1" spans="1:10">
      <c r="A172" s="50" t="str">
        <v/>
      </c>
      <c r="B172" s="51" t="str">
        <v>独立楼梯间、坡道、进排风井外墙面于砌筑墙</v>
      </c>
      <c r="C172" s="51" t="str">
        <v/>
      </c>
      <c r="D172" s="51" t="str">
        <v/>
      </c>
      <c r="E172" s="51" t="str">
        <v/>
      </c>
      <c r="F172" s="52" t="str">
        <v/>
      </c>
      <c r="G172" s="48" t="str">
        <v/>
      </c>
      <c r="H172" s="49">
        <v>0</v>
      </c>
      <c r="I172" s="49">
        <v>0</v>
      </c>
      <c r="J172" s="50"/>
    </row>
    <row r="173" outlineLevel="1" spans="1:10">
      <c r="A173" s="50">
        <v>142</v>
      </c>
      <c r="B173" s="51" t="str">
        <v>外墙面-界面剂</v>
      </c>
      <c r="C173" s="51" t="e">
        <v>#REF!</v>
      </c>
      <c r="D173" s="51" t="str">
        <v/>
      </c>
      <c r="E173" s="51" t="str">
        <v/>
      </c>
      <c r="F173" s="52" t="e">
        <v>#REF!</v>
      </c>
      <c r="G173" s="48" t="e">
        <v>#REF!</v>
      </c>
      <c r="H173" s="49">
        <v>0</v>
      </c>
      <c r="I173" s="49" t="e">
        <v>#REF!</v>
      </c>
      <c r="J173" s="50"/>
    </row>
    <row r="174" outlineLevel="1" spans="1:10">
      <c r="A174" s="50">
        <v>143</v>
      </c>
      <c r="B174" s="51" t="str">
        <v>外墙面-15厚M7.5</v>
      </c>
      <c r="C174" s="51" t="e">
        <v>#REF!</v>
      </c>
      <c r="D174" s="51" t="str">
        <v/>
      </c>
      <c r="E174" s="51" t="str">
        <v/>
      </c>
      <c r="F174" s="52" t="e">
        <v>#REF!</v>
      </c>
      <c r="G174" s="48" t="e">
        <v>#REF!</v>
      </c>
      <c r="H174" s="49">
        <v>0</v>
      </c>
      <c r="I174" s="49" t="e">
        <v>#REF!</v>
      </c>
      <c r="J174" s="50"/>
    </row>
    <row r="175" outlineLevel="1" spans="1:10">
      <c r="A175" s="50">
        <v>144</v>
      </c>
      <c r="B175" s="51" t="str">
        <v>外墙面-网格布</v>
      </c>
      <c r="C175" s="51" t="e">
        <v>#REF!</v>
      </c>
      <c r="D175" s="51" t="str">
        <v/>
      </c>
      <c r="E175" s="51" t="str">
        <v/>
      </c>
      <c r="F175" s="52" t="e">
        <v>#REF!</v>
      </c>
      <c r="G175" s="48" t="e">
        <v>#REF!</v>
      </c>
      <c r="H175" s="49">
        <v>0</v>
      </c>
      <c r="I175" s="49" t="e">
        <v>#REF!</v>
      </c>
      <c r="J175" s="50"/>
    </row>
    <row r="176" outlineLevel="1" spans="1:10">
      <c r="A176" s="50" t="str">
        <v/>
      </c>
      <c r="B176" s="51" t="str">
        <v>地下室顶板1</v>
      </c>
      <c r="C176" s="51" t="str">
        <v/>
      </c>
      <c r="D176" s="51" t="str">
        <v/>
      </c>
      <c r="E176" s="51" t="str">
        <v/>
      </c>
      <c r="F176" s="52" t="str">
        <v/>
      </c>
      <c r="G176" s="48" t="str">
        <v/>
      </c>
      <c r="H176" s="49">
        <v>0</v>
      </c>
      <c r="I176" s="49">
        <v>0</v>
      </c>
      <c r="J176" s="50"/>
    </row>
    <row r="177" ht="28.8" outlineLevel="1" spans="1:10">
      <c r="A177" s="50">
        <v>145</v>
      </c>
      <c r="B177" s="51" t="str">
        <v>顶板防水-1.5厚单面粘（阻根型）</v>
      </c>
      <c r="C177" s="51" t="e">
        <v>#REF!</v>
      </c>
      <c r="D177" s="51" t="str">
        <v/>
      </c>
      <c r="E177" s="51" t="str">
        <v/>
      </c>
      <c r="F177" s="52" t="e">
        <v>#REF!</v>
      </c>
      <c r="G177" s="48" t="e">
        <v>#REF!</v>
      </c>
      <c r="H177" s="49">
        <v>0</v>
      </c>
      <c r="I177" s="49" t="e">
        <v>#REF!</v>
      </c>
      <c r="J177" s="50"/>
    </row>
    <row r="178" outlineLevel="1" spans="1:10">
      <c r="A178" s="50">
        <v>146</v>
      </c>
      <c r="B178" s="51" t="str">
        <v>顶板防水-1.5厚双面粘</v>
      </c>
      <c r="C178" s="51" t="e">
        <v>#REF!</v>
      </c>
      <c r="D178" s="51" t="str">
        <v/>
      </c>
      <c r="E178" s="51" t="str">
        <v/>
      </c>
      <c r="F178" s="52" t="e">
        <v>#REF!</v>
      </c>
      <c r="G178" s="48" t="e">
        <v>#REF!</v>
      </c>
      <c r="H178" s="49">
        <v>0</v>
      </c>
      <c r="I178" s="49" t="e">
        <v>#REF!</v>
      </c>
      <c r="J178" s="50"/>
    </row>
    <row r="179" outlineLevel="1" spans="1:10">
      <c r="A179" s="50" t="str">
        <v/>
      </c>
      <c r="B179" s="51" t="str">
        <v>地下室顶板2</v>
      </c>
      <c r="C179" s="51" t="str">
        <v/>
      </c>
      <c r="D179" s="51" t="str">
        <v/>
      </c>
      <c r="E179" s="51" t="str">
        <v/>
      </c>
      <c r="F179" s="52" t="str">
        <v/>
      </c>
      <c r="G179" s="48" t="str">
        <v/>
      </c>
      <c r="H179" s="49">
        <v>0</v>
      </c>
      <c r="I179" s="49">
        <v>0</v>
      </c>
      <c r="J179" s="50"/>
    </row>
    <row r="180" ht="28.8" outlineLevel="1" spans="1:10">
      <c r="A180" s="50">
        <v>147</v>
      </c>
      <c r="B180" s="51" t="str">
        <v>顶板防水-1.5厚单面粘（阻根型）</v>
      </c>
      <c r="C180" s="51" t="e">
        <v>#REF!</v>
      </c>
      <c r="D180" s="51" t="str">
        <v/>
      </c>
      <c r="E180" s="51" t="str">
        <v/>
      </c>
      <c r="F180" s="52" t="e">
        <v>#REF!</v>
      </c>
      <c r="G180" s="48" t="e">
        <v>#REF!</v>
      </c>
      <c r="H180" s="49">
        <v>0</v>
      </c>
      <c r="I180" s="49" t="e">
        <v>#REF!</v>
      </c>
      <c r="J180" s="50"/>
    </row>
    <row r="181" ht="28.8" outlineLevel="1" spans="1:10">
      <c r="A181" s="50">
        <v>148</v>
      </c>
      <c r="B181" s="51" t="str">
        <v>顶板防水-1.5厚沥青涂料</v>
      </c>
      <c r="C181" s="51" t="e">
        <v>#REF!</v>
      </c>
      <c r="D181" s="51" t="str">
        <v/>
      </c>
      <c r="E181" s="51" t="str">
        <v/>
      </c>
      <c r="F181" s="52" t="e">
        <v>#REF!</v>
      </c>
      <c r="G181" s="48" t="e">
        <v>#REF!</v>
      </c>
      <c r="H181" s="49">
        <v>0</v>
      </c>
      <c r="I181" s="49" t="e">
        <v>#REF!</v>
      </c>
      <c r="J181" s="50"/>
    </row>
    <row r="182" outlineLevel="1" spans="1:10">
      <c r="A182" s="50">
        <v>149</v>
      </c>
      <c r="B182" s="51" t="str">
        <v>顶板-100厚XPS</v>
      </c>
      <c r="C182" s="51" t="e">
        <v>#REF!</v>
      </c>
      <c r="D182" s="51" t="str">
        <v/>
      </c>
      <c r="E182" s="51" t="str">
        <v/>
      </c>
      <c r="F182" s="52" t="e">
        <v>#REF!</v>
      </c>
      <c r="G182" s="48" t="e">
        <v>#REF!</v>
      </c>
      <c r="H182" s="49">
        <v>0</v>
      </c>
      <c r="I182" s="49" t="e">
        <v>#REF!</v>
      </c>
      <c r="J182" s="50"/>
    </row>
    <row r="183" outlineLevel="1" spans="1:10">
      <c r="A183" s="50">
        <v>150</v>
      </c>
      <c r="B183" s="51" t="str">
        <v>顶板-C20细石砼找坡</v>
      </c>
      <c r="C183" s="51" t="e">
        <v>#REF!</v>
      </c>
      <c r="D183" s="51" t="str">
        <v/>
      </c>
      <c r="E183" s="51" t="str">
        <v/>
      </c>
      <c r="F183" s="52" t="e">
        <v>#REF!</v>
      </c>
      <c r="G183" s="48" t="e">
        <v>#REF!</v>
      </c>
      <c r="H183" s="49">
        <v>0</v>
      </c>
      <c r="I183" s="49" t="e">
        <v>#REF!</v>
      </c>
      <c r="J183" s="50"/>
    </row>
    <row r="184" outlineLevel="1" spans="1:10">
      <c r="A184" s="50" t="str">
        <v/>
      </c>
      <c r="B184" s="51" t="str">
        <v>地下室底板</v>
      </c>
      <c r="C184" s="51" t="str">
        <v/>
      </c>
      <c r="D184" s="51" t="str">
        <v/>
      </c>
      <c r="E184" s="51" t="str">
        <v/>
      </c>
      <c r="F184" s="52" t="str">
        <v/>
      </c>
      <c r="G184" s="48" t="str">
        <v/>
      </c>
      <c r="H184" s="49">
        <v>0</v>
      </c>
      <c r="I184" s="49">
        <v>0</v>
      </c>
      <c r="J184" s="50"/>
    </row>
    <row r="185" ht="28.8" outlineLevel="1" spans="1:10">
      <c r="A185" s="50">
        <v>151</v>
      </c>
      <c r="B185" s="51" t="str">
        <v>底板防水-1.2厚预铺反粘（单面粘）</v>
      </c>
      <c r="C185" s="51" t="e">
        <v>#REF!</v>
      </c>
      <c r="D185" s="51" t="str">
        <v/>
      </c>
      <c r="E185" s="51" t="str">
        <v/>
      </c>
      <c r="F185" s="52" t="e">
        <v>#REF!</v>
      </c>
      <c r="G185" s="48" t="e">
        <v>#REF!</v>
      </c>
      <c r="H185" s="49">
        <v>0</v>
      </c>
      <c r="I185" s="49" t="e">
        <v>#REF!</v>
      </c>
      <c r="J185" s="50"/>
    </row>
    <row r="186" ht="28.8" outlineLevel="1" spans="1:10">
      <c r="A186" s="50">
        <v>152</v>
      </c>
      <c r="B186" s="51" t="str">
        <v>底板防水-1.5厚反粘（双面粘）</v>
      </c>
      <c r="C186" s="51" t="e">
        <v>#REF!</v>
      </c>
      <c r="D186" s="51" t="str">
        <v/>
      </c>
      <c r="E186" s="51" t="str">
        <v/>
      </c>
      <c r="F186" s="52" t="e">
        <v>#REF!</v>
      </c>
      <c r="G186" s="48" t="e">
        <v>#REF!</v>
      </c>
      <c r="H186" s="49">
        <v>0</v>
      </c>
      <c r="I186" s="49" t="e">
        <v>#REF!</v>
      </c>
      <c r="J186" s="50"/>
    </row>
    <row r="187" ht="28.8" outlineLevel="1" spans="1:10">
      <c r="A187" s="50">
        <v>153</v>
      </c>
      <c r="B187" s="51" t="str">
        <v>沟坑内壁-20厚聚合物防水砂浆</v>
      </c>
      <c r="C187" s="51" t="e">
        <v>#REF!</v>
      </c>
      <c r="D187" s="51" t="str">
        <v/>
      </c>
      <c r="E187" s="51" t="str">
        <v/>
      </c>
      <c r="F187" s="52" t="e">
        <v>#REF!</v>
      </c>
      <c r="G187" s="48" t="e">
        <v>#REF!</v>
      </c>
      <c r="H187" s="49">
        <v>0</v>
      </c>
      <c r="I187" s="49" t="e">
        <v>#REF!</v>
      </c>
      <c r="J187" s="50"/>
    </row>
    <row r="188" outlineLevel="1" spans="1:10">
      <c r="A188" s="50" t="str">
        <v/>
      </c>
      <c r="B188" s="51" t="str">
        <v>电梯基坑1</v>
      </c>
      <c r="C188" s="51" t="str">
        <v/>
      </c>
      <c r="D188" s="51" t="str">
        <v/>
      </c>
      <c r="E188" s="51" t="str">
        <v/>
      </c>
      <c r="F188" s="52" t="str">
        <v/>
      </c>
      <c r="G188" s="48" t="str">
        <v/>
      </c>
      <c r="H188" s="49">
        <v>0</v>
      </c>
      <c r="I188" s="49">
        <v>0</v>
      </c>
      <c r="J188" s="50"/>
    </row>
    <row r="189" outlineLevel="1" spans="1:10">
      <c r="A189" s="50">
        <v>154</v>
      </c>
      <c r="B189" s="51" t="str">
        <v>基坑-M20水泥砂浆</v>
      </c>
      <c r="C189" s="51" t="e">
        <v>#REF!</v>
      </c>
      <c r="D189" s="51" t="str">
        <v/>
      </c>
      <c r="E189" s="51" t="str">
        <v/>
      </c>
      <c r="F189" s="52" t="e">
        <v>#REF!</v>
      </c>
      <c r="G189" s="48" t="e">
        <v>#REF!</v>
      </c>
      <c r="H189" s="49">
        <v>0</v>
      </c>
      <c r="I189" s="49" t="e">
        <v>#REF!</v>
      </c>
      <c r="J189" s="50"/>
    </row>
    <row r="190" ht="28.8" outlineLevel="1" spans="1:10">
      <c r="A190" s="50">
        <v>155</v>
      </c>
      <c r="B190" s="51" t="str">
        <v>沟坑内壁-20厚聚合物防水砂浆</v>
      </c>
      <c r="C190" s="51" t="e">
        <v>#REF!</v>
      </c>
      <c r="D190" s="51" t="str">
        <v/>
      </c>
      <c r="E190" s="51" t="str">
        <v/>
      </c>
      <c r="F190" s="52" t="e">
        <v>#REF!</v>
      </c>
      <c r="G190" s="48" t="e">
        <v>#REF!</v>
      </c>
      <c r="H190" s="49">
        <v>0</v>
      </c>
      <c r="I190" s="49" t="e">
        <v>#REF!</v>
      </c>
      <c r="J190" s="50"/>
    </row>
    <row r="191" outlineLevel="1" spans="1:10">
      <c r="A191" s="50">
        <v>156</v>
      </c>
      <c r="B191" s="51" t="str">
        <v>基坑-1.5厚聚氨酯涂料</v>
      </c>
      <c r="C191" s="51" t="e">
        <v>#REF!</v>
      </c>
      <c r="D191" s="51" t="str">
        <v/>
      </c>
      <c r="E191" s="51" t="str">
        <v/>
      </c>
      <c r="F191" s="52" t="e">
        <v>#REF!</v>
      </c>
      <c r="G191" s="48" t="e">
        <v>#REF!</v>
      </c>
      <c r="H191" s="49">
        <v>0</v>
      </c>
      <c r="I191" s="49" t="e">
        <v>#REF!</v>
      </c>
      <c r="J191" s="50"/>
    </row>
    <row r="192" outlineLevel="1" spans="1:10">
      <c r="A192" s="50">
        <v>157</v>
      </c>
      <c r="B192" s="51" t="str">
        <v>基坑-40厚C20细石砼</v>
      </c>
      <c r="C192" s="51" t="e">
        <v>#REF!</v>
      </c>
      <c r="D192" s="51" t="str">
        <v/>
      </c>
      <c r="E192" s="51" t="str">
        <v/>
      </c>
      <c r="F192" s="52" t="e">
        <v>#REF!</v>
      </c>
      <c r="G192" s="48" t="e">
        <v>#REF!</v>
      </c>
      <c r="H192" s="49">
        <v>0</v>
      </c>
      <c r="I192" s="49" t="e">
        <v>#REF!</v>
      </c>
      <c r="J192" s="50"/>
    </row>
    <row r="193" outlineLevel="1" spans="1:10">
      <c r="A193" s="50">
        <v>158</v>
      </c>
      <c r="B193" s="51" t="str">
        <v>基坑-φ4@100钢筋网片</v>
      </c>
      <c r="C193" s="51" t="e">
        <v>#REF!</v>
      </c>
      <c r="D193" s="51" t="str">
        <v/>
      </c>
      <c r="E193" s="51" t="str">
        <v/>
      </c>
      <c r="F193" s="52" t="e">
        <v>#REF!</v>
      </c>
      <c r="G193" s="48" t="e">
        <v>#REF!</v>
      </c>
      <c r="H193" s="49">
        <v>0</v>
      </c>
      <c r="I193" s="49" t="e">
        <v>#REF!</v>
      </c>
      <c r="J193" s="50"/>
    </row>
    <row r="194" outlineLevel="1" spans="1:10">
      <c r="A194" s="50">
        <v>159</v>
      </c>
      <c r="B194" s="51" t="str">
        <v>基坑-塑料膜</v>
      </c>
      <c r="C194" s="51" t="e">
        <v>#REF!</v>
      </c>
      <c r="D194" s="51" t="str">
        <v/>
      </c>
      <c r="E194" s="51" t="str">
        <v/>
      </c>
      <c r="F194" s="52" t="e">
        <v>#REF!</v>
      </c>
      <c r="G194" s="48" t="e">
        <v>#REF!</v>
      </c>
      <c r="H194" s="49">
        <v>0</v>
      </c>
      <c r="I194" s="49" t="e">
        <v>#REF!</v>
      </c>
      <c r="J194" s="50"/>
    </row>
    <row r="195" outlineLevel="1" spans="1:10">
      <c r="A195" s="50">
        <v>160</v>
      </c>
      <c r="B195" s="51" t="str">
        <v>基坑-120厚XPS</v>
      </c>
      <c r="C195" s="51" t="e">
        <v>#REF!</v>
      </c>
      <c r="D195" s="51" t="str">
        <v/>
      </c>
      <c r="E195" s="51" t="str">
        <v/>
      </c>
      <c r="F195" s="52" t="e">
        <v>#REF!</v>
      </c>
      <c r="G195" s="48" t="e">
        <v>#REF!</v>
      </c>
      <c r="H195" s="49">
        <v>0</v>
      </c>
      <c r="I195" s="49" t="e">
        <v>#REF!</v>
      </c>
      <c r="J195" s="50"/>
    </row>
    <row r="196" outlineLevel="1" spans="1:10">
      <c r="A196" s="50">
        <v>161</v>
      </c>
      <c r="B196" s="51" t="str">
        <v>基坑-1.5厚聚氨酯涂料</v>
      </c>
      <c r="C196" s="51" t="e">
        <v>#REF!</v>
      </c>
      <c r="D196" s="51" t="str">
        <v/>
      </c>
      <c r="E196" s="51" t="str">
        <v/>
      </c>
      <c r="F196" s="52" t="e">
        <v>#REF!</v>
      </c>
      <c r="G196" s="48" t="e">
        <v>#REF!</v>
      </c>
      <c r="H196" s="49">
        <v>0</v>
      </c>
      <c r="I196" s="49" t="e">
        <v>#REF!</v>
      </c>
      <c r="J196" s="50"/>
    </row>
    <row r="197" outlineLevel="1" spans="1:10">
      <c r="A197" s="50">
        <v>162</v>
      </c>
      <c r="B197" s="51" t="str">
        <v>基坑-素水泥浆</v>
      </c>
      <c r="C197" s="51" t="e">
        <v>#REF!</v>
      </c>
      <c r="D197" s="51" t="str">
        <v/>
      </c>
      <c r="E197" s="51" t="str">
        <v/>
      </c>
      <c r="F197" s="52" t="e">
        <v>#REF!</v>
      </c>
      <c r="G197" s="48" t="e">
        <v>#REF!</v>
      </c>
      <c r="H197" s="49">
        <v>0</v>
      </c>
      <c r="I197" s="49" t="e">
        <v>#REF!</v>
      </c>
      <c r="J197" s="50"/>
    </row>
    <row r="198" outlineLevel="1" spans="1:10">
      <c r="A198" s="50">
        <v>163</v>
      </c>
      <c r="B198" s="51" t="str">
        <v>基坑-20厚真空绝热板</v>
      </c>
      <c r="C198" s="51" t="e">
        <v>#REF!</v>
      </c>
      <c r="D198" s="51" t="str">
        <v/>
      </c>
      <c r="E198" s="51" t="str">
        <v/>
      </c>
      <c r="F198" s="52" t="e">
        <v>#REF!</v>
      </c>
      <c r="G198" s="48" t="e">
        <v>#REF!</v>
      </c>
      <c r="H198" s="49">
        <v>0</v>
      </c>
      <c r="I198" s="49" t="e">
        <v>#REF!</v>
      </c>
      <c r="J198" s="50"/>
    </row>
    <row r="199" outlineLevel="1" spans="1:10">
      <c r="A199" s="50">
        <v>164</v>
      </c>
      <c r="B199" s="51" t="str">
        <v>基坑-1.2厚聚氨酯涂料</v>
      </c>
      <c r="C199" s="51" t="e">
        <v>#REF!</v>
      </c>
      <c r="D199" s="51" t="str">
        <v/>
      </c>
      <c r="E199" s="51" t="str">
        <v/>
      </c>
      <c r="F199" s="52" t="e">
        <v>#REF!</v>
      </c>
      <c r="G199" s="48" t="e">
        <v>#REF!</v>
      </c>
      <c r="H199" s="49">
        <v>0</v>
      </c>
      <c r="I199" s="49" t="e">
        <v>#REF!</v>
      </c>
      <c r="J199" s="50"/>
    </row>
    <row r="200" outlineLevel="1" spans="1:10">
      <c r="A200" s="50">
        <v>165</v>
      </c>
      <c r="B200" s="51" t="str">
        <v>遇水膨胀止水条</v>
      </c>
      <c r="C200" s="51" t="e">
        <v>#REF!</v>
      </c>
      <c r="D200" s="51" t="str">
        <v/>
      </c>
      <c r="E200" s="51" t="str">
        <v/>
      </c>
      <c r="F200" s="52" t="e">
        <v>#REF!</v>
      </c>
      <c r="G200" s="48" t="e">
        <v>#REF!</v>
      </c>
      <c r="H200" s="49">
        <v>0</v>
      </c>
      <c r="I200" s="49" t="e">
        <v>#REF!</v>
      </c>
      <c r="J200" s="50"/>
    </row>
    <row r="201" outlineLevel="1" spans="1:10">
      <c r="A201" s="50">
        <v>166</v>
      </c>
      <c r="B201" s="51" t="str">
        <v>钢板止水条</v>
      </c>
      <c r="C201" s="51" t="e">
        <v>#REF!</v>
      </c>
      <c r="D201" s="51" t="str">
        <v/>
      </c>
      <c r="E201" s="51" t="str">
        <v/>
      </c>
      <c r="F201" s="52" t="e">
        <v>#REF!</v>
      </c>
      <c r="G201" s="48" t="e">
        <v>#REF!</v>
      </c>
      <c r="H201" s="49">
        <v>0</v>
      </c>
      <c r="I201" s="49" t="e">
        <v>#REF!</v>
      </c>
      <c r="J201" s="50"/>
    </row>
    <row r="202" outlineLevel="1" spans="1:10">
      <c r="A202" s="50">
        <v>167</v>
      </c>
      <c r="B202" s="51" t="str">
        <v>橡胶止水带</v>
      </c>
      <c r="C202" s="51" t="e">
        <v>#REF!</v>
      </c>
      <c r="D202" s="51" t="str">
        <v/>
      </c>
      <c r="E202" s="51" t="str">
        <v/>
      </c>
      <c r="F202" s="52" t="e">
        <v>#REF!</v>
      </c>
      <c r="G202" s="48" t="e">
        <v>#REF!</v>
      </c>
      <c r="H202" s="49">
        <v>0</v>
      </c>
      <c r="I202" s="49" t="e">
        <v>#REF!</v>
      </c>
      <c r="J202" s="50"/>
    </row>
    <row r="203" ht="28.8" outlineLevel="1" spans="1:10">
      <c r="A203" s="50" t="str">
        <v/>
      </c>
      <c r="B203" s="51" t="str">
        <v>非上人屋面（楼梯间.门厅.水箱间等）</v>
      </c>
      <c r="C203" s="51" t="str">
        <v/>
      </c>
      <c r="D203" s="51" t="str">
        <v/>
      </c>
      <c r="E203" s="51" t="str">
        <v/>
      </c>
      <c r="F203" s="52" t="str">
        <v/>
      </c>
      <c r="G203" s="48" t="str">
        <v/>
      </c>
      <c r="H203" s="49">
        <v>0</v>
      </c>
      <c r="I203" s="49">
        <v>0</v>
      </c>
      <c r="J203" s="50"/>
    </row>
    <row r="204" ht="28.8" outlineLevel="1" spans="1:10">
      <c r="A204" s="50">
        <v>168</v>
      </c>
      <c r="B204" s="51" t="str">
        <v>屋面-20厚M15水泥砂浆保护层</v>
      </c>
      <c r="C204" s="51" t="e">
        <v>#REF!</v>
      </c>
      <c r="D204" s="51" t="str">
        <v/>
      </c>
      <c r="E204" s="51" t="str">
        <v/>
      </c>
      <c r="F204" s="52" t="e">
        <v>#REF!</v>
      </c>
      <c r="G204" s="48" t="e">
        <v>#REF!</v>
      </c>
      <c r="H204" s="49">
        <v>0</v>
      </c>
      <c r="I204" s="49" t="e">
        <v>#REF!</v>
      </c>
      <c r="J204" s="50"/>
    </row>
    <row r="205" outlineLevel="1" spans="1:10">
      <c r="A205" s="50">
        <v>169</v>
      </c>
      <c r="B205" s="51" t="str">
        <v>屋面-土工布</v>
      </c>
      <c r="C205" s="51" t="e">
        <v>#REF!</v>
      </c>
      <c r="D205" s="51" t="str">
        <v/>
      </c>
      <c r="E205" s="51" t="str">
        <v/>
      </c>
      <c r="F205" s="52" t="e">
        <v>#REF!</v>
      </c>
      <c r="G205" s="48" t="e">
        <v>#REF!</v>
      </c>
      <c r="H205" s="49">
        <v>0</v>
      </c>
      <c r="I205" s="49" t="e">
        <v>#REF!</v>
      </c>
      <c r="J205" s="50"/>
    </row>
    <row r="206" outlineLevel="1" spans="1:10">
      <c r="A206" s="50">
        <v>170</v>
      </c>
      <c r="B206" s="51" t="str">
        <v>屋面-3+3SBS</v>
      </c>
      <c r="C206" s="51" t="e">
        <v>#REF!</v>
      </c>
      <c r="D206" s="51" t="str">
        <v/>
      </c>
      <c r="E206" s="51" t="str">
        <v/>
      </c>
      <c r="F206" s="52" t="e">
        <v>#REF!</v>
      </c>
      <c r="G206" s="48" t="e">
        <v>#REF!</v>
      </c>
      <c r="H206" s="49">
        <v>0</v>
      </c>
      <c r="I206" s="49" t="e">
        <v>#REF!</v>
      </c>
      <c r="J206" s="50"/>
    </row>
    <row r="207" outlineLevel="1" spans="1:10">
      <c r="A207" s="50">
        <v>171</v>
      </c>
      <c r="B207" s="51" t="str">
        <v>屋面-30厚C20细石砼</v>
      </c>
      <c r="C207" s="51" t="e">
        <v>#REF!</v>
      </c>
      <c r="D207" s="51" t="str">
        <v/>
      </c>
      <c r="E207" s="51" t="str">
        <v/>
      </c>
      <c r="F207" s="52" t="e">
        <v>#REF!</v>
      </c>
      <c r="G207" s="48" t="e">
        <v>#REF!</v>
      </c>
      <c r="H207" s="49">
        <v>0</v>
      </c>
      <c r="I207" s="49" t="e">
        <v>#REF!</v>
      </c>
      <c r="J207" s="50"/>
    </row>
    <row r="208" ht="28.8" outlineLevel="1" spans="1:10">
      <c r="A208" s="50">
        <v>172</v>
      </c>
      <c r="B208" s="51" t="str">
        <v>屋面-最薄处30厚焦渣找坡</v>
      </c>
      <c r="C208" s="51" t="e">
        <v>#REF!</v>
      </c>
      <c r="D208" s="51" t="str">
        <v/>
      </c>
      <c r="E208" s="51" t="str">
        <v/>
      </c>
      <c r="F208" s="52" t="e">
        <v>#REF!</v>
      </c>
      <c r="G208" s="48" t="e">
        <v>#REF!</v>
      </c>
      <c r="H208" s="49">
        <v>0</v>
      </c>
      <c r="I208" s="49" t="e">
        <v>#REF!</v>
      </c>
      <c r="J208" s="50"/>
    </row>
    <row r="209" outlineLevel="1" spans="1:10">
      <c r="A209" s="50">
        <v>173</v>
      </c>
      <c r="B209" s="51" t="str">
        <v>屋面-190厚EPS</v>
      </c>
      <c r="C209" s="51" t="e">
        <v>#REF!</v>
      </c>
      <c r="D209" s="51" t="str">
        <v/>
      </c>
      <c r="E209" s="51" t="str">
        <v/>
      </c>
      <c r="F209" s="52" t="e">
        <v>#REF!</v>
      </c>
      <c r="G209" s="48" t="e">
        <v>#REF!</v>
      </c>
      <c r="H209" s="49">
        <v>0</v>
      </c>
      <c r="I209" s="49" t="e">
        <v>#REF!</v>
      </c>
      <c r="J209" s="50"/>
    </row>
    <row r="210" ht="43.2" outlineLevel="1" spans="1:10">
      <c r="A210" s="50" t="str">
        <v/>
      </c>
      <c r="B210" s="51" t="str">
        <v>非上人屋面（楼梯间.门厅.水箱间等）与主楼相连</v>
      </c>
      <c r="C210" s="51" t="str">
        <v/>
      </c>
      <c r="D210" s="51" t="str">
        <v/>
      </c>
      <c r="E210" s="51" t="str">
        <v/>
      </c>
      <c r="F210" s="52" t="str">
        <v/>
      </c>
      <c r="G210" s="48" t="str">
        <v/>
      </c>
      <c r="H210" s="49">
        <v>0</v>
      </c>
      <c r="I210" s="49">
        <v>0</v>
      </c>
      <c r="J210" s="50"/>
    </row>
    <row r="211" ht="28.8" outlineLevel="1" spans="1:10">
      <c r="A211" s="50">
        <v>174</v>
      </c>
      <c r="B211" s="51" t="str">
        <v>屋面-20厚M15水泥砂浆保护层</v>
      </c>
      <c r="C211" s="51" t="e">
        <v>#REF!</v>
      </c>
      <c r="D211" s="51" t="str">
        <v/>
      </c>
      <c r="E211" s="51" t="str">
        <v/>
      </c>
      <c r="F211" s="52" t="e">
        <v>#REF!</v>
      </c>
      <c r="G211" s="48" t="e">
        <v>#REF!</v>
      </c>
      <c r="H211" s="49">
        <v>0</v>
      </c>
      <c r="I211" s="49" t="e">
        <v>#REF!</v>
      </c>
      <c r="J211" s="50"/>
    </row>
    <row r="212" outlineLevel="1" spans="1:10">
      <c r="A212" s="50">
        <v>175</v>
      </c>
      <c r="B212" s="51" t="str">
        <v>屋面-土工布</v>
      </c>
      <c r="C212" s="51" t="e">
        <v>#REF!</v>
      </c>
      <c r="D212" s="51" t="str">
        <v/>
      </c>
      <c r="E212" s="51" t="str">
        <v/>
      </c>
      <c r="F212" s="52" t="e">
        <v>#REF!</v>
      </c>
      <c r="G212" s="48" t="e">
        <v>#REF!</v>
      </c>
      <c r="H212" s="49">
        <v>0</v>
      </c>
      <c r="I212" s="49" t="e">
        <v>#REF!</v>
      </c>
      <c r="J212" s="50"/>
    </row>
    <row r="213" outlineLevel="1" spans="1:10">
      <c r="A213" s="50">
        <v>176</v>
      </c>
      <c r="B213" s="51" t="str">
        <v>屋面-4厚SBS</v>
      </c>
      <c r="C213" s="51" t="e">
        <v>#REF!</v>
      </c>
      <c r="D213" s="51" t="str">
        <v/>
      </c>
      <c r="E213" s="51" t="str">
        <v/>
      </c>
      <c r="F213" s="52" t="e">
        <v>#REF!</v>
      </c>
      <c r="G213" s="48" t="e">
        <v>#REF!</v>
      </c>
      <c r="H213" s="49">
        <v>0</v>
      </c>
      <c r="I213" s="49" t="e">
        <v>#REF!</v>
      </c>
      <c r="J213" s="50"/>
    </row>
    <row r="214" outlineLevel="1" spans="1:10">
      <c r="A214" s="50">
        <v>177</v>
      </c>
      <c r="B214" s="51" t="str">
        <v>屋面-30厚C20细石砼</v>
      </c>
      <c r="C214" s="51" t="e">
        <v>#REF!</v>
      </c>
      <c r="D214" s="51" t="str">
        <v/>
      </c>
      <c r="E214" s="51" t="str">
        <v/>
      </c>
      <c r="F214" s="52" t="e">
        <v>#REF!</v>
      </c>
      <c r="G214" s="48" t="e">
        <v>#REF!</v>
      </c>
      <c r="H214" s="49">
        <v>0</v>
      </c>
      <c r="I214" s="49" t="e">
        <v>#REF!</v>
      </c>
      <c r="J214" s="50"/>
    </row>
    <row r="215" ht="28.8" outlineLevel="1" spans="1:10">
      <c r="A215" s="50">
        <v>178</v>
      </c>
      <c r="B215" s="51" t="str">
        <v>屋面-最薄处30厚焦渣找坡</v>
      </c>
      <c r="C215" s="51" t="e">
        <v>#REF!</v>
      </c>
      <c r="D215" s="51" t="str">
        <v/>
      </c>
      <c r="E215" s="51" t="str">
        <v/>
      </c>
      <c r="F215" s="52" t="e">
        <v>#REF!</v>
      </c>
      <c r="G215" s="48" t="e">
        <v>#REF!</v>
      </c>
      <c r="H215" s="49">
        <v>0</v>
      </c>
      <c r="I215" s="49" t="e">
        <v>#REF!</v>
      </c>
      <c r="J215" s="50"/>
    </row>
    <row r="216" outlineLevel="1" spans="1:10">
      <c r="A216" s="50">
        <v>179</v>
      </c>
      <c r="B216" s="51" t="str">
        <v>屋面-200厚EPS</v>
      </c>
      <c r="C216" s="51" t="e">
        <v>#REF!</v>
      </c>
      <c r="D216" s="51" t="str">
        <v/>
      </c>
      <c r="E216" s="51" t="str">
        <v/>
      </c>
      <c r="F216" s="52" t="e">
        <v>#REF!</v>
      </c>
      <c r="G216" s="48" t="e">
        <v>#REF!</v>
      </c>
      <c r="H216" s="49">
        <v>0</v>
      </c>
      <c r="I216" s="49" t="e">
        <v>#REF!</v>
      </c>
      <c r="J216" s="50"/>
    </row>
    <row r="217" ht="43.2" outlineLevel="1" spans="1:10">
      <c r="A217" s="50" t="str">
        <v/>
      </c>
      <c r="B217" s="51" t="str">
        <v>非上人屋面（楼梯间.门厅.水箱间等）不与主楼相连</v>
      </c>
      <c r="C217" s="51" t="str">
        <v/>
      </c>
      <c r="D217" s="51" t="str">
        <v/>
      </c>
      <c r="E217" s="51" t="str">
        <v/>
      </c>
      <c r="F217" s="52" t="str">
        <v/>
      </c>
      <c r="G217" s="48" t="str">
        <v/>
      </c>
      <c r="H217" s="49">
        <v>0</v>
      </c>
      <c r="I217" s="49">
        <v>0</v>
      </c>
      <c r="J217" s="50"/>
    </row>
    <row r="218" ht="28.8" outlineLevel="1" spans="1:10">
      <c r="A218" s="50">
        <v>180</v>
      </c>
      <c r="B218" s="51" t="str">
        <v>屋面-20厚M15水泥砂浆保护层</v>
      </c>
      <c r="C218" s="51" t="e">
        <v>#REF!</v>
      </c>
      <c r="D218" s="51" t="str">
        <v/>
      </c>
      <c r="E218" s="51" t="str">
        <v/>
      </c>
      <c r="F218" s="52" t="e">
        <v>#REF!</v>
      </c>
      <c r="G218" s="48" t="e">
        <v>#REF!</v>
      </c>
      <c r="H218" s="49">
        <v>0</v>
      </c>
      <c r="I218" s="49" t="e">
        <v>#REF!</v>
      </c>
      <c r="J218" s="50"/>
    </row>
    <row r="219" outlineLevel="1" spans="1:10">
      <c r="A219" s="50">
        <v>181</v>
      </c>
      <c r="B219" s="51" t="str">
        <v>屋面-土工布</v>
      </c>
      <c r="C219" s="51" t="e">
        <v>#REF!</v>
      </c>
      <c r="D219" s="51" t="str">
        <v/>
      </c>
      <c r="E219" s="51" t="str">
        <v/>
      </c>
      <c r="F219" s="52" t="e">
        <v>#REF!</v>
      </c>
      <c r="G219" s="48" t="e">
        <v>#REF!</v>
      </c>
      <c r="H219" s="49">
        <v>0</v>
      </c>
      <c r="I219" s="49" t="e">
        <v>#REF!</v>
      </c>
      <c r="J219" s="50"/>
    </row>
    <row r="220" outlineLevel="1" spans="1:10">
      <c r="A220" s="50">
        <v>182</v>
      </c>
      <c r="B220" s="51" t="str">
        <v>屋面-4厚SBS</v>
      </c>
      <c r="C220" s="51" t="e">
        <v>#REF!</v>
      </c>
      <c r="D220" s="51" t="str">
        <v/>
      </c>
      <c r="E220" s="51" t="str">
        <v/>
      </c>
      <c r="F220" s="52" t="e">
        <v>#REF!</v>
      </c>
      <c r="G220" s="48" t="e">
        <v>#REF!</v>
      </c>
      <c r="H220" s="49">
        <v>0</v>
      </c>
      <c r="I220" s="49" t="e">
        <v>#REF!</v>
      </c>
      <c r="J220" s="50"/>
    </row>
    <row r="221" outlineLevel="1" spans="1:10">
      <c r="A221" s="50">
        <v>183</v>
      </c>
      <c r="B221" s="51" t="str">
        <v>屋面-30厚C20细石砼</v>
      </c>
      <c r="C221" s="51" t="e">
        <v>#REF!</v>
      </c>
      <c r="D221" s="51" t="str">
        <v/>
      </c>
      <c r="E221" s="51" t="str">
        <v/>
      </c>
      <c r="F221" s="52" t="e">
        <v>#REF!</v>
      </c>
      <c r="G221" s="48" t="e">
        <v>#REF!</v>
      </c>
      <c r="H221" s="49">
        <v>0</v>
      </c>
      <c r="I221" s="49" t="e">
        <v>#REF!</v>
      </c>
      <c r="J221" s="50"/>
    </row>
    <row r="222" ht="28.8" outlineLevel="1" spans="1:10">
      <c r="A222" s="50">
        <v>184</v>
      </c>
      <c r="B222" s="51" t="str">
        <v>屋面-最薄处30厚焦渣找坡</v>
      </c>
      <c r="C222" s="51" t="e">
        <v>#REF!</v>
      </c>
      <c r="D222" s="51" t="str">
        <v/>
      </c>
      <c r="E222" s="51" t="str">
        <v/>
      </c>
      <c r="F222" s="52" t="e">
        <v>#REF!</v>
      </c>
      <c r="G222" s="48" t="e">
        <v>#REF!</v>
      </c>
      <c r="H222" s="49">
        <v>0</v>
      </c>
      <c r="I222" s="49" t="e">
        <v>#REF!</v>
      </c>
      <c r="J222" s="50"/>
    </row>
    <row r="223" outlineLevel="1" spans="1:10">
      <c r="A223" s="50">
        <v>185</v>
      </c>
      <c r="B223" s="51" t="str">
        <v>屋面-风井窗井</v>
      </c>
      <c r="C223" s="51" t="e">
        <v>#REF!</v>
      </c>
      <c r="D223" s="51" t="str">
        <v/>
      </c>
      <c r="E223" s="51" t="str">
        <v/>
      </c>
      <c r="F223" s="52" t="e">
        <v>#REF!</v>
      </c>
      <c r="G223" s="48" t="e">
        <v>#REF!</v>
      </c>
      <c r="H223" s="49">
        <v>0</v>
      </c>
      <c r="I223" s="49" t="e">
        <v>#REF!</v>
      </c>
      <c r="J223" s="50"/>
    </row>
    <row r="224" outlineLevel="1" spans="1:10">
      <c r="A224" s="50">
        <v>186</v>
      </c>
      <c r="B224" s="51" t="str">
        <v>屋面-顶板后浇带找平层</v>
      </c>
      <c r="C224" s="51" t="e">
        <v>#REF!</v>
      </c>
      <c r="D224" s="51" t="str">
        <v/>
      </c>
      <c r="E224" s="51" t="str">
        <v/>
      </c>
      <c r="F224" s="52" t="e">
        <v>#REF!</v>
      </c>
      <c r="G224" s="48" t="e">
        <v>#REF!</v>
      </c>
      <c r="H224" s="49">
        <v>0</v>
      </c>
      <c r="I224" s="49" t="e">
        <v>#REF!</v>
      </c>
      <c r="J224" s="50"/>
    </row>
    <row r="225" outlineLevel="1" spans="1:10">
      <c r="A225" s="50">
        <v>187</v>
      </c>
      <c r="B225" s="51" t="str">
        <v>水簸箕-C20细石砼</v>
      </c>
      <c r="C225" s="51" t="e">
        <v>#REF!</v>
      </c>
      <c r="D225" s="51" t="str">
        <v/>
      </c>
      <c r="E225" s="51" t="str">
        <v/>
      </c>
      <c r="F225" s="52" t="e">
        <v>#REF!</v>
      </c>
      <c r="G225" s="48" t="e">
        <v>#REF!</v>
      </c>
      <c r="H225" s="49">
        <v>0</v>
      </c>
      <c r="I225" s="49" t="e">
        <v>#REF!</v>
      </c>
      <c r="J225" s="50"/>
    </row>
    <row r="226" outlineLevel="1" spans="1:10">
      <c r="A226" s="50">
        <v>188</v>
      </c>
      <c r="B226" s="51" t="str">
        <v>屋面-Φ110UPVC雨水管</v>
      </c>
      <c r="C226" s="51" t="e">
        <v>#REF!</v>
      </c>
      <c r="D226" s="51" t="str">
        <v/>
      </c>
      <c r="E226" s="51" t="str">
        <v/>
      </c>
      <c r="F226" s="52" t="e">
        <v>#REF!</v>
      </c>
      <c r="G226" s="48" t="e">
        <v>#REF!</v>
      </c>
      <c r="H226" s="49">
        <v>0</v>
      </c>
      <c r="I226" s="49" t="e">
        <v>#REF!</v>
      </c>
      <c r="J226" s="50"/>
    </row>
    <row r="227" outlineLevel="1" spans="1:10">
      <c r="A227" s="50" t="str">
        <v/>
      </c>
      <c r="B227" s="51" t="str">
        <v>A.05简易装修工程</v>
      </c>
      <c r="C227" s="51" t="str">
        <v/>
      </c>
      <c r="D227" s="51" t="str">
        <v/>
      </c>
      <c r="E227" s="51" t="str">
        <v/>
      </c>
      <c r="F227" s="52" t="str">
        <v/>
      </c>
      <c r="G227" s="48" t="str">
        <v/>
      </c>
      <c r="H227" s="49">
        <v>0</v>
      </c>
      <c r="I227" s="49" t="e">
        <v>#REF!</v>
      </c>
      <c r="J227" s="50"/>
    </row>
    <row r="228" outlineLevel="1" spans="1:10">
      <c r="A228" s="50" t="str">
        <v/>
      </c>
      <c r="B228" s="51" t="str">
        <v>A.05.01地面装饰工程</v>
      </c>
      <c r="C228" s="51" t="str">
        <v/>
      </c>
      <c r="D228" s="51" t="str">
        <v/>
      </c>
      <c r="E228" s="51" t="str">
        <v/>
      </c>
      <c r="F228" s="52" t="str">
        <v/>
      </c>
      <c r="G228" s="48" t="str">
        <v/>
      </c>
      <c r="H228" s="49">
        <v>0</v>
      </c>
      <c r="I228" s="49" t="e">
        <v>#REF!</v>
      </c>
      <c r="J228" s="50"/>
    </row>
    <row r="229" outlineLevel="1" spans="1:10">
      <c r="A229" s="50">
        <v>189</v>
      </c>
      <c r="B229" s="51" t="str">
        <v>楼地面-热计量间</v>
      </c>
      <c r="C229" s="51" t="e">
        <v>#REF!</v>
      </c>
      <c r="D229" s="51" t="str">
        <v/>
      </c>
      <c r="E229" s="51" t="str">
        <v/>
      </c>
      <c r="F229" s="52" t="e">
        <v>#REF!</v>
      </c>
      <c r="G229" s="48" t="e">
        <v>#REF!</v>
      </c>
      <c r="H229" s="49">
        <v>0</v>
      </c>
      <c r="I229" s="49" t="e">
        <v>#REF!</v>
      </c>
      <c r="J229" s="50"/>
    </row>
    <row r="230" ht="28.8" outlineLevel="1" spans="1:10">
      <c r="A230" s="50">
        <v>190</v>
      </c>
      <c r="B230" s="51" t="str">
        <v>楼地面-地下走道进线间机房</v>
      </c>
      <c r="C230" s="51" t="e">
        <v>#REF!</v>
      </c>
      <c r="D230" s="51" t="str">
        <v/>
      </c>
      <c r="E230" s="51" t="str">
        <v/>
      </c>
      <c r="F230" s="52" t="e">
        <v>#REF!</v>
      </c>
      <c r="G230" s="48" t="e">
        <v>#REF!</v>
      </c>
      <c r="H230" s="49">
        <v>0</v>
      </c>
      <c r="I230" s="49" t="e">
        <v>#REF!</v>
      </c>
      <c r="J230" s="50"/>
    </row>
    <row r="231" outlineLevel="1" spans="1:10">
      <c r="A231" s="50">
        <v>191</v>
      </c>
      <c r="B231" s="51" t="str">
        <v>楼地面-电信间</v>
      </c>
      <c r="C231" s="51" t="e">
        <v>#REF!</v>
      </c>
      <c r="D231" s="51" t="str">
        <v/>
      </c>
      <c r="E231" s="51" t="str">
        <v/>
      </c>
      <c r="F231" s="52" t="e">
        <v>#REF!</v>
      </c>
      <c r="G231" s="48" t="e">
        <v>#REF!</v>
      </c>
      <c r="H231" s="49">
        <v>0</v>
      </c>
      <c r="I231" s="49" t="e">
        <v>#REF!</v>
      </c>
      <c r="J231" s="50"/>
    </row>
    <row r="232" outlineLevel="1" spans="1:10">
      <c r="A232" s="50">
        <v>192</v>
      </c>
      <c r="B232" s="51" t="str">
        <v>楼地面-40厚C20细石砼</v>
      </c>
      <c r="C232" s="51" t="e">
        <v>#REF!</v>
      </c>
      <c r="D232" s="51" t="str">
        <v/>
      </c>
      <c r="E232" s="51" t="str">
        <v/>
      </c>
      <c r="F232" s="52" t="e">
        <v>#REF!</v>
      </c>
      <c r="G232" s="48" t="e">
        <v>#REF!</v>
      </c>
      <c r="H232" s="49">
        <v>0</v>
      </c>
      <c r="I232" s="49" t="e">
        <v>#REF!</v>
      </c>
      <c r="J232" s="50"/>
    </row>
    <row r="233" outlineLevel="1" spans="1:10">
      <c r="A233" s="50">
        <v>193</v>
      </c>
      <c r="B233" s="51" t="str">
        <v>楼地面-风井</v>
      </c>
      <c r="C233" s="51" t="e">
        <v>#REF!</v>
      </c>
      <c r="D233" s="51" t="str">
        <v/>
      </c>
      <c r="E233" s="51" t="str">
        <v/>
      </c>
      <c r="F233" s="52" t="e">
        <v>#REF!</v>
      </c>
      <c r="G233" s="48" t="e">
        <v>#REF!</v>
      </c>
      <c r="H233" s="49">
        <v>0</v>
      </c>
      <c r="I233" s="49" t="e">
        <v>#REF!</v>
      </c>
      <c r="J233" s="50"/>
    </row>
    <row r="234" outlineLevel="1" spans="1:10">
      <c r="A234" s="50">
        <v>194</v>
      </c>
      <c r="B234" s="51" t="str">
        <v>楼地面-水暖电井</v>
      </c>
      <c r="C234" s="51" t="e">
        <v>#REF!</v>
      </c>
      <c r="D234" s="51" t="str">
        <v/>
      </c>
      <c r="E234" s="51" t="str">
        <v/>
      </c>
      <c r="F234" s="52" t="e">
        <v>#REF!</v>
      </c>
      <c r="G234" s="48" t="e">
        <v>#REF!</v>
      </c>
      <c r="H234" s="49">
        <v>0</v>
      </c>
      <c r="I234" s="49" t="e">
        <v>#REF!</v>
      </c>
      <c r="J234" s="50"/>
    </row>
    <row r="235" outlineLevel="1" spans="1:10">
      <c r="A235" s="50">
        <v>195</v>
      </c>
      <c r="B235" s="51" t="str">
        <v>楼地面-独立车库</v>
      </c>
      <c r="C235" s="51" t="e">
        <v>#REF!</v>
      </c>
      <c r="D235" s="51" t="str">
        <v/>
      </c>
      <c r="E235" s="51" t="str">
        <v/>
      </c>
      <c r="F235" s="52" t="e">
        <v>#REF!</v>
      </c>
      <c r="G235" s="48" t="e">
        <v>#REF!</v>
      </c>
      <c r="H235" s="49">
        <v>0</v>
      </c>
      <c r="I235" s="49" t="e">
        <v>#REF!</v>
      </c>
      <c r="J235" s="50"/>
    </row>
    <row r="236" outlineLevel="1" spans="1:10">
      <c r="A236" s="50">
        <v>196</v>
      </c>
      <c r="B236" s="51" t="str">
        <v>踢脚线-100mm灰色涂料</v>
      </c>
      <c r="C236" s="51" t="e">
        <v>#REF!</v>
      </c>
      <c r="D236" s="51" t="str">
        <v/>
      </c>
      <c r="E236" s="51" t="str">
        <v/>
      </c>
      <c r="F236" s="52" t="e">
        <v>#REF!</v>
      </c>
      <c r="G236" s="48" t="e">
        <v>#REF!</v>
      </c>
      <c r="H236" s="49">
        <v>0</v>
      </c>
      <c r="I236" s="49" t="e">
        <v>#REF!</v>
      </c>
      <c r="J236" s="50"/>
    </row>
    <row r="237" outlineLevel="1" spans="1:10">
      <c r="A237" s="50">
        <v>197</v>
      </c>
      <c r="B237" s="51" t="str">
        <v>踢脚线-50mm灰色涂料</v>
      </c>
      <c r="C237" s="51" t="e">
        <v>#REF!</v>
      </c>
      <c r="D237" s="51" t="str">
        <v/>
      </c>
      <c r="E237" s="51" t="str">
        <v/>
      </c>
      <c r="F237" s="52" t="e">
        <v>#REF!</v>
      </c>
      <c r="G237" s="48" t="e">
        <v>#REF!</v>
      </c>
      <c r="H237" s="49">
        <v>0</v>
      </c>
      <c r="I237" s="49" t="e">
        <v>#REF!</v>
      </c>
      <c r="J237" s="50"/>
    </row>
    <row r="238" outlineLevel="1" spans="1:10">
      <c r="A238" s="50">
        <v>198</v>
      </c>
      <c r="B238" s="51" t="str">
        <v>踢脚线-150mm灰色涂料</v>
      </c>
      <c r="C238" s="51" t="e">
        <v>#REF!</v>
      </c>
      <c r="D238" s="51" t="str">
        <v/>
      </c>
      <c r="E238" s="51" t="str">
        <v/>
      </c>
      <c r="F238" s="52" t="e">
        <v>#REF!</v>
      </c>
      <c r="G238" s="48" t="e">
        <v>#REF!</v>
      </c>
      <c r="H238" s="49">
        <v>0</v>
      </c>
      <c r="I238" s="49" t="e">
        <v>#REF!</v>
      </c>
      <c r="J238" s="50"/>
    </row>
    <row r="239" outlineLevel="1" spans="1:10">
      <c r="A239" s="50">
        <v>199</v>
      </c>
      <c r="B239" s="51" t="str">
        <v>楼地面-楼梯间（30厚）</v>
      </c>
      <c r="C239" s="51" t="e">
        <v>#REF!</v>
      </c>
      <c r="D239" s="51" t="str">
        <v/>
      </c>
      <c r="E239" s="51" t="str">
        <v/>
      </c>
      <c r="F239" s="52" t="e">
        <v>#REF!</v>
      </c>
      <c r="G239" s="48" t="e">
        <v>#REF!</v>
      </c>
      <c r="H239" s="49">
        <v>0</v>
      </c>
      <c r="I239" s="49" t="e">
        <v>#REF!</v>
      </c>
      <c r="J239" s="50"/>
    </row>
    <row r="240" outlineLevel="1" spans="1:10">
      <c r="A240" s="50">
        <v>200</v>
      </c>
      <c r="B240" s="51" t="str">
        <v>楼地面-筏板（坡道）</v>
      </c>
      <c r="C240" s="51" t="e">
        <v>#REF!</v>
      </c>
      <c r="D240" s="51" t="str">
        <v/>
      </c>
      <c r="E240" s="51" t="str">
        <v/>
      </c>
      <c r="F240" s="52" t="e">
        <v>#REF!</v>
      </c>
      <c r="G240" s="48" t="e">
        <v>#REF!</v>
      </c>
      <c r="H240" s="49">
        <v>0</v>
      </c>
      <c r="I240" s="49" t="e">
        <v>#REF!</v>
      </c>
      <c r="J240" s="50"/>
    </row>
    <row r="241" ht="28.8" outlineLevel="1" spans="1:10">
      <c r="A241" s="50" t="str">
        <v/>
      </c>
      <c r="B241" s="51" t="str">
        <v>地下室底板（含坡道）防水板</v>
      </c>
      <c r="C241" s="51" t="str">
        <v/>
      </c>
      <c r="D241" s="51" t="str">
        <v/>
      </c>
      <c r="E241" s="51" t="str">
        <v/>
      </c>
      <c r="F241" s="52" t="str">
        <v/>
      </c>
      <c r="G241" s="48" t="str">
        <v/>
      </c>
      <c r="H241" s="49">
        <v>0</v>
      </c>
      <c r="I241" s="49">
        <v>0</v>
      </c>
      <c r="J241" s="50"/>
    </row>
    <row r="242" outlineLevel="1" spans="1:10">
      <c r="A242" s="50">
        <v>201</v>
      </c>
      <c r="B242" s="51" t="str">
        <v>楼地面-150厚C25细石砼</v>
      </c>
      <c r="C242" s="51" t="e">
        <v>#REF!</v>
      </c>
      <c r="D242" s="51" t="str">
        <v/>
      </c>
      <c r="E242" s="51" t="str">
        <v/>
      </c>
      <c r="F242" s="52" t="e">
        <v>#REF!</v>
      </c>
      <c r="G242" s="48" t="e">
        <v>#REF!</v>
      </c>
      <c r="H242" s="49">
        <v>0</v>
      </c>
      <c r="I242" s="49" t="e">
        <v>#REF!</v>
      </c>
      <c r="J242" s="50"/>
    </row>
    <row r="243" outlineLevel="1" spans="1:10">
      <c r="A243" s="50">
        <v>202</v>
      </c>
      <c r="B243" s="51" t="str">
        <v>楼地面-塑料膜</v>
      </c>
      <c r="C243" s="51" t="e">
        <v>#REF!</v>
      </c>
      <c r="D243" s="51" t="str">
        <v/>
      </c>
      <c r="E243" s="51" t="str">
        <v/>
      </c>
      <c r="F243" s="52" t="e">
        <v>#REF!</v>
      </c>
      <c r="G243" s="48" t="e">
        <v>#REF!</v>
      </c>
      <c r="H243" s="49">
        <v>0</v>
      </c>
      <c r="I243" s="49" t="e">
        <v>#REF!</v>
      </c>
      <c r="J243" s="50"/>
    </row>
    <row r="244" outlineLevel="1" spans="1:10">
      <c r="A244" s="50">
        <v>203</v>
      </c>
      <c r="B244" s="51" t="str">
        <v>楼地面-素土夯实</v>
      </c>
      <c r="C244" s="51" t="e">
        <v>#REF!</v>
      </c>
      <c r="D244" s="51" t="str">
        <v/>
      </c>
      <c r="E244" s="51" t="str">
        <v/>
      </c>
      <c r="F244" s="52" t="e">
        <v>#REF!</v>
      </c>
      <c r="G244" s="48" t="e">
        <v>#REF!</v>
      </c>
      <c r="H244" s="49">
        <v>0</v>
      </c>
      <c r="I244" s="49" t="e">
        <v>#REF!</v>
      </c>
      <c r="J244" s="50"/>
    </row>
    <row r="245" ht="28.8" outlineLevel="1" spans="1:10">
      <c r="A245" s="50">
        <v>204</v>
      </c>
      <c r="B245" s="51" t="str">
        <v>楼地面-φ4@200钢筋网片</v>
      </c>
      <c r="C245" s="51" t="e">
        <v>#REF!</v>
      </c>
      <c r="D245" s="51" t="str">
        <v/>
      </c>
      <c r="E245" s="51" t="str">
        <v/>
      </c>
      <c r="F245" s="52" t="e">
        <v>#REF!</v>
      </c>
      <c r="G245" s="48" t="e">
        <v>#REF!</v>
      </c>
      <c r="H245" s="49">
        <v>0</v>
      </c>
      <c r="I245" s="49" t="e">
        <v>#REF!</v>
      </c>
      <c r="J245" s="50"/>
    </row>
    <row r="246" outlineLevel="1" spans="1:10">
      <c r="A246" s="50">
        <v>205</v>
      </c>
      <c r="B246" s="51" t="str">
        <v>楼地面-自行车坡道</v>
      </c>
      <c r="C246" s="51" t="e">
        <v>#REF!</v>
      </c>
      <c r="D246" s="51" t="str">
        <v/>
      </c>
      <c r="E246" s="51" t="str">
        <v/>
      </c>
      <c r="F246" s="52" t="e">
        <v>#REF!</v>
      </c>
      <c r="G246" s="48" t="e">
        <v>#REF!</v>
      </c>
      <c r="H246" s="49">
        <v>0</v>
      </c>
      <c r="I246" s="49" t="e">
        <v>#REF!</v>
      </c>
      <c r="J246" s="50"/>
    </row>
    <row r="247" ht="28.8" outlineLevel="1" spans="1:10">
      <c r="A247" s="50" t="str">
        <v/>
      </c>
      <c r="B247" s="51" t="str">
        <v>水泵房地面（有/无覆土）</v>
      </c>
      <c r="C247" s="51" t="str">
        <v/>
      </c>
      <c r="D247" s="51" t="str">
        <v/>
      </c>
      <c r="E247" s="51" t="str">
        <v/>
      </c>
      <c r="F247" s="52" t="str">
        <v/>
      </c>
      <c r="G247" s="48" t="str">
        <v/>
      </c>
      <c r="H247" s="49">
        <v>0</v>
      </c>
      <c r="I247" s="49">
        <v>0</v>
      </c>
      <c r="J247" s="50"/>
    </row>
    <row r="248" ht="28.8" outlineLevel="1" spans="1:10">
      <c r="A248" s="50">
        <v>206</v>
      </c>
      <c r="B248" s="51" t="str">
        <v>楼地面-60厚C15细石砼找坡</v>
      </c>
      <c r="C248" s="51" t="e">
        <v>#REF!</v>
      </c>
      <c r="D248" s="51" t="str">
        <v/>
      </c>
      <c r="E248" s="51" t="str">
        <v/>
      </c>
      <c r="F248" s="52" t="e">
        <v>#REF!</v>
      </c>
      <c r="G248" s="48" t="e">
        <v>#REF!</v>
      </c>
      <c r="H248" s="49">
        <v>0</v>
      </c>
      <c r="I248" s="49" t="e">
        <v>#REF!</v>
      </c>
      <c r="J248" s="50"/>
    </row>
    <row r="249" ht="28.8" outlineLevel="1" spans="1:10">
      <c r="A249" s="50">
        <v>207</v>
      </c>
      <c r="B249" s="51" t="str">
        <v>楼地面-20厚C20细石砼找坡</v>
      </c>
      <c r="C249" s="51" t="e">
        <v>#REF!</v>
      </c>
      <c r="D249" s="51" t="str">
        <v/>
      </c>
      <c r="E249" s="51" t="str">
        <v/>
      </c>
      <c r="F249" s="52" t="e">
        <v>#REF!</v>
      </c>
      <c r="G249" s="48" t="e">
        <v>#REF!</v>
      </c>
      <c r="H249" s="49">
        <v>0</v>
      </c>
      <c r="I249" s="49" t="e">
        <v>#REF!</v>
      </c>
      <c r="J249" s="50"/>
    </row>
    <row r="250" ht="28.8" outlineLevel="1" spans="1:10">
      <c r="A250" s="50">
        <v>208</v>
      </c>
      <c r="B250" s="51" t="str">
        <v>楼地面-20厚M20水泥砂浆找坡</v>
      </c>
      <c r="C250" s="51" t="e">
        <v>#REF!</v>
      </c>
      <c r="D250" s="51" t="str">
        <v/>
      </c>
      <c r="E250" s="51" t="str">
        <v/>
      </c>
      <c r="F250" s="52" t="e">
        <v>#REF!</v>
      </c>
      <c r="G250" s="48" t="e">
        <v>#REF!</v>
      </c>
      <c r="H250" s="49">
        <v>0</v>
      </c>
      <c r="I250" s="49" t="e">
        <v>#REF!</v>
      </c>
      <c r="J250" s="50"/>
    </row>
    <row r="251" outlineLevel="1" spans="1:10">
      <c r="A251" s="50">
        <v>209</v>
      </c>
      <c r="B251" s="51" t="str">
        <v>楼地面-柴油电站</v>
      </c>
      <c r="C251" s="51" t="e">
        <v>#REF!</v>
      </c>
      <c r="D251" s="51" t="str">
        <v/>
      </c>
      <c r="E251" s="51" t="str">
        <v/>
      </c>
      <c r="F251" s="52" t="e">
        <v>#REF!</v>
      </c>
      <c r="G251" s="48" t="e">
        <v>#REF!</v>
      </c>
      <c r="H251" s="49">
        <v>0</v>
      </c>
      <c r="I251" s="49" t="e">
        <v>#REF!</v>
      </c>
      <c r="J251" s="50"/>
    </row>
    <row r="252" outlineLevel="1" spans="1:10">
      <c r="A252" s="50" t="str">
        <v/>
      </c>
      <c r="B252" s="51" t="str">
        <v>变配电室地面</v>
      </c>
      <c r="C252" s="51" t="str">
        <v/>
      </c>
      <c r="D252" s="51" t="str">
        <v/>
      </c>
      <c r="E252" s="51" t="str">
        <v/>
      </c>
      <c r="F252" s="52" t="str">
        <v/>
      </c>
      <c r="G252" s="48" t="str">
        <v/>
      </c>
      <c r="H252" s="49">
        <v>0</v>
      </c>
      <c r="I252" s="49">
        <v>0</v>
      </c>
      <c r="J252" s="50"/>
    </row>
    <row r="253" outlineLevel="1" spans="1:10">
      <c r="A253" s="50">
        <v>210</v>
      </c>
      <c r="B253" s="51" t="str">
        <v>楼地面-60厚C20细石砼</v>
      </c>
      <c r="C253" s="51" t="e">
        <v>#REF!</v>
      </c>
      <c r="D253" s="51" t="str">
        <v/>
      </c>
      <c r="E253" s="51" t="str">
        <v/>
      </c>
      <c r="F253" s="52" t="e">
        <v>#REF!</v>
      </c>
      <c r="G253" s="48" t="e">
        <v>#REF!</v>
      </c>
      <c r="H253" s="49">
        <v>0</v>
      </c>
      <c r="I253" s="49" t="e">
        <v>#REF!</v>
      </c>
      <c r="J253" s="50"/>
    </row>
    <row r="254" outlineLevel="1" spans="1:10">
      <c r="A254" s="50">
        <v>211</v>
      </c>
      <c r="B254" s="51" t="str">
        <v>楼地面-素土夯实</v>
      </c>
      <c r="C254" s="51" t="e">
        <v>#REF!</v>
      </c>
      <c r="D254" s="51" t="str">
        <v/>
      </c>
      <c r="E254" s="51" t="str">
        <v/>
      </c>
      <c r="F254" s="52" t="e">
        <v>#REF!</v>
      </c>
      <c r="G254" s="48" t="e">
        <v>#REF!</v>
      </c>
      <c r="H254" s="49">
        <v>0</v>
      </c>
      <c r="I254" s="49" t="e">
        <v>#REF!</v>
      </c>
      <c r="J254" s="50"/>
    </row>
    <row r="255" outlineLevel="1" spans="1:10">
      <c r="A255" s="50">
        <v>212</v>
      </c>
      <c r="B255" s="51" t="str">
        <v>楼地面-竖井</v>
      </c>
      <c r="C255" s="51" t="e">
        <v>#REF!</v>
      </c>
      <c r="D255" s="51" t="str">
        <v/>
      </c>
      <c r="E255" s="51" t="str">
        <v/>
      </c>
      <c r="F255" s="52" t="e">
        <v>#REF!</v>
      </c>
      <c r="G255" s="48" t="e">
        <v>#REF!</v>
      </c>
      <c r="H255" s="49">
        <v>0</v>
      </c>
      <c r="I255" s="49" t="e">
        <v>#REF!</v>
      </c>
      <c r="J255" s="50"/>
    </row>
    <row r="256" outlineLevel="1" spans="1:10">
      <c r="A256" s="50">
        <v>213</v>
      </c>
      <c r="B256" s="51" t="str">
        <v>楼地面-楼梯间（30厚）</v>
      </c>
      <c r="C256" s="51" t="e">
        <v>#REF!</v>
      </c>
      <c r="D256" s="51" t="str">
        <v/>
      </c>
      <c r="E256" s="51" t="str">
        <v/>
      </c>
      <c r="F256" s="52" t="e">
        <v>#REF!</v>
      </c>
      <c r="G256" s="48" t="e">
        <v>#REF!</v>
      </c>
      <c r="H256" s="49">
        <v>0</v>
      </c>
      <c r="I256" s="49" t="e">
        <v>#REF!</v>
      </c>
      <c r="J256" s="50"/>
    </row>
    <row r="257" outlineLevel="1" spans="1:10">
      <c r="A257" s="50">
        <v>214</v>
      </c>
      <c r="B257" s="51" t="str">
        <v>楼地面-自行车斜道</v>
      </c>
      <c r="C257" s="51" t="e">
        <v>#REF!</v>
      </c>
      <c r="D257" s="51" t="str">
        <v/>
      </c>
      <c r="E257" s="51" t="str">
        <v/>
      </c>
      <c r="F257" s="52" t="e">
        <v>#REF!</v>
      </c>
      <c r="G257" s="48" t="e">
        <v>#REF!</v>
      </c>
      <c r="H257" s="49">
        <v>0</v>
      </c>
      <c r="I257" s="49" t="e">
        <v>#REF!</v>
      </c>
      <c r="J257" s="50"/>
    </row>
    <row r="258" outlineLevel="1" spans="1:10">
      <c r="A258" s="50">
        <v>215</v>
      </c>
      <c r="B258" s="51" t="str">
        <v>楼地面-聚氨酯防水涂料</v>
      </c>
      <c r="C258" s="51" t="e">
        <v>#REF!</v>
      </c>
      <c r="D258" s="51" t="str">
        <v/>
      </c>
      <c r="E258" s="51" t="str">
        <v/>
      </c>
      <c r="F258" s="52" t="e">
        <v>#REF!</v>
      </c>
      <c r="G258" s="48" t="e">
        <v>#REF!</v>
      </c>
      <c r="H258" s="49">
        <v>0</v>
      </c>
      <c r="I258" s="49" t="e">
        <v>#REF!</v>
      </c>
      <c r="J258" s="50"/>
    </row>
    <row r="259" outlineLevel="1" spans="1:10">
      <c r="A259" s="50">
        <v>216</v>
      </c>
      <c r="B259" s="51" t="str">
        <v>踢脚线-100mm灰色涂料</v>
      </c>
      <c r="C259" s="51" t="e">
        <v>#REF!</v>
      </c>
      <c r="D259" s="51" t="str">
        <v/>
      </c>
      <c r="E259" s="51" t="str">
        <v/>
      </c>
      <c r="F259" s="52" t="e">
        <v>#REF!</v>
      </c>
      <c r="G259" s="48" t="e">
        <v>#REF!</v>
      </c>
      <c r="H259" s="49">
        <v>0</v>
      </c>
      <c r="I259" s="49" t="e">
        <v>#REF!</v>
      </c>
      <c r="J259" s="50"/>
    </row>
    <row r="260" outlineLevel="1" spans="1:10">
      <c r="A260" s="50" t="str">
        <v/>
      </c>
      <c r="B260" s="51" t="str">
        <v>A.05.02墙柱装饰工程</v>
      </c>
      <c r="C260" s="51" t="str">
        <v/>
      </c>
      <c r="D260" s="51" t="str">
        <v/>
      </c>
      <c r="E260" s="51" t="str">
        <v/>
      </c>
      <c r="F260" s="52" t="str">
        <v/>
      </c>
      <c r="G260" s="48" t="str">
        <v/>
      </c>
      <c r="H260" s="49">
        <v>0</v>
      </c>
      <c r="I260" s="49" t="e">
        <v>#REF!</v>
      </c>
      <c r="J260" s="50"/>
    </row>
    <row r="261" ht="28.8" outlineLevel="1" spans="1:10">
      <c r="A261" s="50" t="str">
        <v/>
      </c>
      <c r="B261" s="51" t="str">
        <v>地下室内墙（二次结构墙体）</v>
      </c>
      <c r="C261" s="51" t="str">
        <v/>
      </c>
      <c r="D261" s="51" t="str">
        <v/>
      </c>
      <c r="E261" s="51" t="str">
        <v/>
      </c>
      <c r="F261" s="52" t="str">
        <v/>
      </c>
      <c r="G261" s="48" t="str">
        <v/>
      </c>
      <c r="H261" s="49">
        <v>0</v>
      </c>
      <c r="I261" s="49">
        <v>0</v>
      </c>
      <c r="J261" s="50"/>
    </row>
    <row r="262" outlineLevel="1" spans="1:10">
      <c r="A262" s="50">
        <v>217</v>
      </c>
      <c r="B262" s="51" t="str">
        <v>内墙面-界面剂</v>
      </c>
      <c r="C262" s="51" t="e">
        <v>#REF!</v>
      </c>
      <c r="D262" s="51" t="str">
        <v/>
      </c>
      <c r="E262" s="51" t="str">
        <v/>
      </c>
      <c r="F262" s="52" t="e">
        <v>#REF!</v>
      </c>
      <c r="G262" s="48" t="e">
        <v>#REF!</v>
      </c>
      <c r="H262" s="49">
        <v>0</v>
      </c>
      <c r="I262" s="49" t="e">
        <v>#REF!</v>
      </c>
      <c r="J262" s="50"/>
    </row>
    <row r="263" outlineLevel="1" spans="1:10">
      <c r="A263" s="50">
        <v>218</v>
      </c>
      <c r="B263" s="51" t="str">
        <v>内墙面-7厚M5石灰砂浆</v>
      </c>
      <c r="C263" s="51" t="e">
        <v>#REF!</v>
      </c>
      <c r="D263" s="51" t="str">
        <v/>
      </c>
      <c r="E263" s="51" t="str">
        <v/>
      </c>
      <c r="F263" s="52" t="e">
        <v>#REF!</v>
      </c>
      <c r="G263" s="48" t="e">
        <v>#REF!</v>
      </c>
      <c r="H263" s="49">
        <v>0</v>
      </c>
      <c r="I263" s="49" t="e">
        <v>#REF!</v>
      </c>
      <c r="J263" s="50"/>
    </row>
    <row r="264" ht="28.8" outlineLevel="1" spans="1:10">
      <c r="A264" s="50">
        <v>219</v>
      </c>
      <c r="B264" s="51" t="str">
        <v>内墙面-6厚M7.5水泥砂浆</v>
      </c>
      <c r="C264" s="51" t="e">
        <v>#REF!</v>
      </c>
      <c r="D264" s="51" t="str">
        <v/>
      </c>
      <c r="E264" s="51" t="str">
        <v/>
      </c>
      <c r="F264" s="52" t="e">
        <v>#REF!</v>
      </c>
      <c r="G264" s="48" t="e">
        <v>#REF!</v>
      </c>
      <c r="H264" s="49">
        <v>0</v>
      </c>
      <c r="I264" s="49" t="e">
        <v>#REF!</v>
      </c>
      <c r="J264" s="50"/>
    </row>
    <row r="265" ht="28.8" outlineLevel="1" spans="1:10">
      <c r="A265" s="50" t="str">
        <v/>
      </c>
      <c r="B265" s="51" t="str">
        <v>地下室内墙（二次结构墙体）1</v>
      </c>
      <c r="C265" s="51" t="str">
        <v/>
      </c>
      <c r="D265" s="51" t="str">
        <v/>
      </c>
      <c r="E265" s="51" t="str">
        <v/>
      </c>
      <c r="F265" s="52" t="str">
        <v/>
      </c>
      <c r="G265" s="48" t="str">
        <v/>
      </c>
      <c r="H265" s="49">
        <v>0</v>
      </c>
      <c r="I265" s="49">
        <v>0</v>
      </c>
      <c r="J265" s="50"/>
    </row>
    <row r="266" outlineLevel="1" spans="1:10">
      <c r="A266" s="50">
        <v>220</v>
      </c>
      <c r="B266" s="51" t="str">
        <v>内墙面-界面剂</v>
      </c>
      <c r="C266" s="51" t="e">
        <v>#REF!</v>
      </c>
      <c r="D266" s="51" t="str">
        <v/>
      </c>
      <c r="E266" s="51" t="str">
        <v/>
      </c>
      <c r="F266" s="52" t="e">
        <v>#REF!</v>
      </c>
      <c r="G266" s="48" t="e">
        <v>#REF!</v>
      </c>
      <c r="H266" s="49">
        <v>0</v>
      </c>
      <c r="I266" s="49" t="e">
        <v>#REF!</v>
      </c>
      <c r="J266" s="50"/>
    </row>
    <row r="267" outlineLevel="1" spans="1:10">
      <c r="A267" s="50">
        <v>221</v>
      </c>
      <c r="B267" s="51" t="str">
        <v>内墙面-15厚M5水泥砂浆</v>
      </c>
      <c r="C267" s="51" t="e">
        <v>#REF!</v>
      </c>
      <c r="D267" s="51" t="str">
        <v/>
      </c>
      <c r="E267" s="51" t="str">
        <v/>
      </c>
      <c r="F267" s="52" t="e">
        <v>#REF!</v>
      </c>
      <c r="G267" s="48" t="e">
        <v>#REF!</v>
      </c>
      <c r="H267" s="49">
        <v>0</v>
      </c>
      <c r="I267" s="49" t="e">
        <v>#REF!</v>
      </c>
      <c r="J267" s="50"/>
    </row>
    <row r="268" ht="28.8" outlineLevel="1" spans="1:10">
      <c r="A268" s="50" t="str">
        <v/>
      </c>
      <c r="B268" s="51" t="str">
        <v>独立车库（带卷帘门）内墙（二次结构墙体）</v>
      </c>
      <c r="C268" s="51" t="str">
        <v/>
      </c>
      <c r="D268" s="51" t="str">
        <v/>
      </c>
      <c r="E268" s="51" t="str">
        <v/>
      </c>
      <c r="F268" s="52" t="str">
        <v/>
      </c>
      <c r="G268" s="48" t="str">
        <v/>
      </c>
      <c r="H268" s="49">
        <v>0</v>
      </c>
      <c r="I268" s="49">
        <v>0</v>
      </c>
      <c r="J268" s="50"/>
    </row>
    <row r="269" outlineLevel="1" spans="1:10">
      <c r="A269" s="50">
        <v>222</v>
      </c>
      <c r="B269" s="51" t="str">
        <v>内墙面-界面剂</v>
      </c>
      <c r="C269" s="51" t="e">
        <v>#REF!</v>
      </c>
      <c r="D269" s="51" t="str">
        <v/>
      </c>
      <c r="E269" s="51" t="str">
        <v/>
      </c>
      <c r="F269" s="52" t="e">
        <v>#REF!</v>
      </c>
      <c r="G269" s="48" t="e">
        <v>#REF!</v>
      </c>
      <c r="H269" s="49">
        <v>0</v>
      </c>
      <c r="I269" s="49" t="e">
        <v>#REF!</v>
      </c>
      <c r="J269" s="50"/>
    </row>
    <row r="270" outlineLevel="1" spans="1:10">
      <c r="A270" s="50">
        <v>223</v>
      </c>
      <c r="B270" s="51" t="str">
        <v>内墙面-7厚M5石灰砂浆</v>
      </c>
      <c r="C270" s="51" t="e">
        <v>#REF!</v>
      </c>
      <c r="D270" s="51" t="str">
        <v/>
      </c>
      <c r="E270" s="51" t="str">
        <v/>
      </c>
      <c r="F270" s="52" t="e">
        <v>#REF!</v>
      </c>
      <c r="G270" s="48" t="e">
        <v>#REF!</v>
      </c>
      <c r="H270" s="49">
        <v>0</v>
      </c>
      <c r="I270" s="49" t="e">
        <v>#REF!</v>
      </c>
      <c r="J270" s="50"/>
    </row>
    <row r="271" ht="28.8" outlineLevel="1" spans="1:10">
      <c r="A271" s="50">
        <v>224</v>
      </c>
      <c r="B271" s="51" t="str">
        <v>内墙面-6厚M7.5水泥砂浆</v>
      </c>
      <c r="C271" s="51" t="e">
        <v>#REF!</v>
      </c>
      <c r="D271" s="51" t="str">
        <v/>
      </c>
      <c r="E271" s="51" t="str">
        <v/>
      </c>
      <c r="F271" s="52" t="e">
        <v>#REF!</v>
      </c>
      <c r="G271" s="48" t="e">
        <v>#REF!</v>
      </c>
      <c r="H271" s="49">
        <v>0</v>
      </c>
      <c r="I271" s="49" t="e">
        <v>#REF!</v>
      </c>
      <c r="J271" s="50"/>
    </row>
    <row r="272" outlineLevel="1" spans="1:10">
      <c r="A272" s="50" t="str">
        <v/>
      </c>
      <c r="B272" s="51" t="str">
        <v>楼梯间内墙</v>
      </c>
      <c r="C272" s="51" t="str">
        <v/>
      </c>
      <c r="D272" s="51" t="str">
        <v/>
      </c>
      <c r="E272" s="51" t="str">
        <v/>
      </c>
      <c r="F272" s="52" t="str">
        <v/>
      </c>
      <c r="G272" s="48" t="str">
        <v/>
      </c>
      <c r="H272" s="49">
        <v>0</v>
      </c>
      <c r="I272" s="49">
        <v>0</v>
      </c>
      <c r="J272" s="50"/>
    </row>
    <row r="273" outlineLevel="1" spans="1:10">
      <c r="A273" s="50">
        <v>225</v>
      </c>
      <c r="B273" s="51" t="str">
        <v>内墙面-界面剂</v>
      </c>
      <c r="C273" s="51" t="e">
        <v>#REF!</v>
      </c>
      <c r="D273" s="51" t="str">
        <v/>
      </c>
      <c r="E273" s="51" t="str">
        <v/>
      </c>
      <c r="F273" s="52" t="e">
        <v>#REF!</v>
      </c>
      <c r="G273" s="48" t="e">
        <v>#REF!</v>
      </c>
      <c r="H273" s="49">
        <v>0</v>
      </c>
      <c r="I273" s="49" t="e">
        <v>#REF!</v>
      </c>
      <c r="J273" s="50"/>
    </row>
    <row r="274" outlineLevel="1" spans="1:10">
      <c r="A274" s="50">
        <v>226</v>
      </c>
      <c r="B274" s="51" t="str">
        <v>内墙面-7厚M5石灰砂浆</v>
      </c>
      <c r="C274" s="51" t="e">
        <v>#REF!</v>
      </c>
      <c r="D274" s="51" t="str">
        <v/>
      </c>
      <c r="E274" s="51" t="str">
        <v/>
      </c>
      <c r="F274" s="52" t="e">
        <v>#REF!</v>
      </c>
      <c r="G274" s="48" t="e">
        <v>#REF!</v>
      </c>
      <c r="H274" s="49">
        <v>0</v>
      </c>
      <c r="I274" s="49" t="e">
        <v>#REF!</v>
      </c>
      <c r="J274" s="50"/>
    </row>
    <row r="275" ht="28.8" outlineLevel="1" spans="1:10">
      <c r="A275" s="50">
        <v>227</v>
      </c>
      <c r="B275" s="51" t="str">
        <v>内墙面-6厚M7.5水泥砂浆</v>
      </c>
      <c r="C275" s="51" t="e">
        <v>#REF!</v>
      </c>
      <c r="D275" s="51" t="str">
        <v/>
      </c>
      <c r="E275" s="51" t="str">
        <v/>
      </c>
      <c r="F275" s="52" t="e">
        <v>#REF!</v>
      </c>
      <c r="G275" s="48" t="e">
        <v>#REF!</v>
      </c>
      <c r="H275" s="49">
        <v>0</v>
      </c>
      <c r="I275" s="49" t="e">
        <v>#REF!</v>
      </c>
      <c r="J275" s="50"/>
    </row>
    <row r="276" outlineLevel="1" spans="1:10">
      <c r="A276" s="50">
        <v>228</v>
      </c>
      <c r="B276" s="51" t="str">
        <v>砌块墙钢丝网满挂</v>
      </c>
      <c r="C276" s="51" t="e">
        <v>#REF!</v>
      </c>
      <c r="D276" s="51" t="str">
        <v/>
      </c>
      <c r="E276" s="51" t="str">
        <v/>
      </c>
      <c r="F276" s="52" t="e">
        <v>#REF!</v>
      </c>
      <c r="G276" s="48" t="e">
        <v>#REF!</v>
      </c>
      <c r="H276" s="49">
        <v>0</v>
      </c>
      <c r="I276" s="49" t="e">
        <v>#REF!</v>
      </c>
      <c r="J276" s="50"/>
    </row>
    <row r="277" ht="28.8" outlineLevel="1" spans="1:10">
      <c r="A277" s="50" t="str">
        <v/>
      </c>
      <c r="B277" s="51" t="str">
        <v>水暖电井内墙（二次结构墙体）</v>
      </c>
      <c r="C277" s="51" t="str">
        <v/>
      </c>
      <c r="D277" s="51" t="str">
        <v/>
      </c>
      <c r="E277" s="51" t="str">
        <v/>
      </c>
      <c r="F277" s="52" t="str">
        <v/>
      </c>
      <c r="G277" s="48" t="str">
        <v/>
      </c>
      <c r="H277" s="49">
        <v>0</v>
      </c>
      <c r="I277" s="49">
        <v>0</v>
      </c>
      <c r="J277" s="50"/>
    </row>
    <row r="278" outlineLevel="1" spans="1:10">
      <c r="A278" s="50">
        <v>229</v>
      </c>
      <c r="B278" s="51" t="str">
        <v>内墙面-界面剂</v>
      </c>
      <c r="C278" s="51" t="e">
        <v>#REF!</v>
      </c>
      <c r="D278" s="51" t="str">
        <v/>
      </c>
      <c r="E278" s="51" t="str">
        <v/>
      </c>
      <c r="F278" s="52" t="e">
        <v>#REF!</v>
      </c>
      <c r="G278" s="48" t="e">
        <v>#REF!</v>
      </c>
      <c r="H278" s="49">
        <v>0</v>
      </c>
      <c r="I278" s="49" t="e">
        <v>#REF!</v>
      </c>
      <c r="J278" s="50"/>
    </row>
    <row r="279" outlineLevel="1" spans="1:10">
      <c r="A279" s="50">
        <v>230</v>
      </c>
      <c r="B279" s="51" t="str">
        <v>内墙面-7厚M5石灰砂浆</v>
      </c>
      <c r="C279" s="51" t="e">
        <v>#REF!</v>
      </c>
      <c r="D279" s="51" t="str">
        <v/>
      </c>
      <c r="E279" s="51" t="str">
        <v/>
      </c>
      <c r="F279" s="52" t="e">
        <v>#REF!</v>
      </c>
      <c r="G279" s="48" t="e">
        <v>#REF!</v>
      </c>
      <c r="H279" s="49">
        <v>0</v>
      </c>
      <c r="I279" s="49" t="e">
        <v>#REF!</v>
      </c>
      <c r="J279" s="50"/>
    </row>
    <row r="280" ht="28.8" outlineLevel="1" spans="1:10">
      <c r="A280" s="50">
        <v>231</v>
      </c>
      <c r="B280" s="51" t="str">
        <v>内墙面-6厚M7.5水泥砂浆</v>
      </c>
      <c r="C280" s="51" t="e">
        <v>#REF!</v>
      </c>
      <c r="D280" s="51" t="str">
        <v/>
      </c>
      <c r="E280" s="51" t="str">
        <v/>
      </c>
      <c r="F280" s="52" t="e">
        <v>#REF!</v>
      </c>
      <c r="G280" s="48" t="e">
        <v>#REF!</v>
      </c>
      <c r="H280" s="49">
        <v>0</v>
      </c>
      <c r="I280" s="49" t="e">
        <v>#REF!</v>
      </c>
      <c r="J280" s="50"/>
    </row>
    <row r="281" ht="28.8" outlineLevel="1" spans="1:10">
      <c r="A281" s="50" t="str">
        <v/>
      </c>
      <c r="B281" s="51" t="str">
        <v>窗井.风井、竖井内墙（二次结构墙体）</v>
      </c>
      <c r="C281" s="51" t="str">
        <v/>
      </c>
      <c r="D281" s="51" t="str">
        <v/>
      </c>
      <c r="E281" s="51" t="str">
        <v/>
      </c>
      <c r="F281" s="52" t="str">
        <v/>
      </c>
      <c r="G281" s="48" t="str">
        <v/>
      </c>
      <c r="H281" s="49">
        <v>0</v>
      </c>
      <c r="I281" s="49">
        <v>0</v>
      </c>
      <c r="J281" s="50"/>
    </row>
    <row r="282" ht="28.8" outlineLevel="1" spans="1:10">
      <c r="A282" s="50">
        <v>232</v>
      </c>
      <c r="B282" s="51" t="str">
        <v>内墙面-15厚M20水泥砂浆</v>
      </c>
      <c r="C282" s="51" t="e">
        <v>#REF!</v>
      </c>
      <c r="D282" s="51" t="str">
        <v/>
      </c>
      <c r="E282" s="51" t="str">
        <v/>
      </c>
      <c r="F282" s="52" t="e">
        <v>#REF!</v>
      </c>
      <c r="G282" s="48" t="e">
        <v>#REF!</v>
      </c>
      <c r="H282" s="49">
        <v>0</v>
      </c>
      <c r="I282" s="49" t="e">
        <v>#REF!</v>
      </c>
      <c r="J282" s="50"/>
    </row>
    <row r="283" outlineLevel="1" spans="1:10">
      <c r="A283" s="50">
        <v>233</v>
      </c>
      <c r="B283" s="51" t="str">
        <v>内墙面-地下室柱面</v>
      </c>
      <c r="C283" s="51" t="e">
        <v>#REF!</v>
      </c>
      <c r="D283" s="51" t="str">
        <v/>
      </c>
      <c r="E283" s="51" t="str">
        <v/>
      </c>
      <c r="F283" s="52" t="e">
        <v>#REF!</v>
      </c>
      <c r="G283" s="48" t="e">
        <v>#REF!</v>
      </c>
      <c r="H283" s="49">
        <v>0</v>
      </c>
      <c r="I283" s="49" t="e">
        <v>#REF!</v>
      </c>
      <c r="J283" s="50"/>
    </row>
    <row r="284" outlineLevel="1" spans="1:10">
      <c r="A284" s="50" t="str">
        <v/>
      </c>
      <c r="B284" s="51" t="str">
        <v>消防水池内壁</v>
      </c>
      <c r="C284" s="51" t="str">
        <v/>
      </c>
      <c r="D284" s="51" t="str">
        <v/>
      </c>
      <c r="E284" s="51" t="str">
        <v/>
      </c>
      <c r="F284" s="52" t="str">
        <v/>
      </c>
      <c r="G284" s="48" t="str">
        <v/>
      </c>
      <c r="H284" s="49">
        <v>0</v>
      </c>
      <c r="I284" s="49">
        <v>0</v>
      </c>
      <c r="J284" s="50"/>
    </row>
    <row r="285" outlineLevel="1" spans="1:10">
      <c r="A285" s="50">
        <v>234</v>
      </c>
      <c r="B285" s="51" t="str">
        <v>内墙面-1.5厚RG涂料</v>
      </c>
      <c r="C285" s="51" t="e">
        <v>#REF!</v>
      </c>
      <c r="D285" s="51" t="str">
        <v/>
      </c>
      <c r="E285" s="51" t="str">
        <v/>
      </c>
      <c r="F285" s="52" t="e">
        <v>#REF!</v>
      </c>
      <c r="G285" s="48" t="e">
        <v>#REF!</v>
      </c>
      <c r="H285" s="49">
        <v>0</v>
      </c>
      <c r="I285" s="49" t="e">
        <v>#REF!</v>
      </c>
      <c r="J285" s="50"/>
    </row>
    <row r="286" ht="28.8" outlineLevel="1" spans="1:10">
      <c r="A286" s="50">
        <v>235</v>
      </c>
      <c r="B286" s="51" t="str">
        <v>内墙面-10厚M15水泥砂浆</v>
      </c>
      <c r="C286" s="51" t="e">
        <v>#REF!</v>
      </c>
      <c r="D286" s="51" t="str">
        <v/>
      </c>
      <c r="E286" s="51" t="str">
        <v/>
      </c>
      <c r="F286" s="52" t="e">
        <v>#REF!</v>
      </c>
      <c r="G286" s="48" t="e">
        <v>#REF!</v>
      </c>
      <c r="H286" s="49">
        <v>0</v>
      </c>
      <c r="I286" s="49" t="e">
        <v>#REF!</v>
      </c>
      <c r="J286" s="50"/>
    </row>
    <row r="287" outlineLevel="1" spans="1:10">
      <c r="A287" s="50" t="str">
        <v/>
      </c>
      <c r="B287" s="51" t="str">
        <v>A.05.04白水泥工程</v>
      </c>
      <c r="C287" s="51" t="str">
        <v/>
      </c>
      <c r="D287" s="51" t="str">
        <v/>
      </c>
      <c r="E287" s="51" t="str">
        <v/>
      </c>
      <c r="F287" s="52" t="str">
        <v/>
      </c>
      <c r="G287" s="48" t="str">
        <v/>
      </c>
      <c r="H287" s="49">
        <v>0</v>
      </c>
      <c r="I287" s="49" t="e">
        <v>#REF!</v>
      </c>
      <c r="J287" s="50"/>
    </row>
    <row r="288" outlineLevel="1" spans="1:10">
      <c r="A288" s="50">
        <v>236</v>
      </c>
      <c r="B288" s="51" t="str">
        <v>内墙面-地下白水泥</v>
      </c>
      <c r="C288" s="51" t="e">
        <v>#REF!</v>
      </c>
      <c r="D288" s="51" t="str">
        <v/>
      </c>
      <c r="E288" s="51" t="str">
        <v/>
      </c>
      <c r="F288" s="52" t="e">
        <v>#REF!</v>
      </c>
      <c r="G288" s="48" t="e">
        <v>#REF!</v>
      </c>
      <c r="H288" s="49">
        <v>0</v>
      </c>
      <c r="I288" s="49" t="e">
        <v>#REF!</v>
      </c>
      <c r="J288" s="50"/>
    </row>
    <row r="289" outlineLevel="1" spans="1:10">
      <c r="A289" s="50">
        <v>237</v>
      </c>
      <c r="B289" s="51" t="str">
        <v>内墙面-独立车库白水泥</v>
      </c>
      <c r="C289" s="51" t="e">
        <v>#REF!</v>
      </c>
      <c r="D289" s="51" t="str">
        <v/>
      </c>
      <c r="E289" s="51" t="str">
        <v/>
      </c>
      <c r="F289" s="52" t="e">
        <v>#REF!</v>
      </c>
      <c r="G289" s="48" t="e">
        <v>#REF!</v>
      </c>
      <c r="H289" s="49">
        <v>0</v>
      </c>
      <c r="I289" s="49" t="e">
        <v>#REF!</v>
      </c>
      <c r="J289" s="50"/>
    </row>
    <row r="290" outlineLevel="1" spans="1:10">
      <c r="A290" s="50">
        <v>238</v>
      </c>
      <c r="B290" s="51" t="str">
        <v>内墙面-楼梯间白水泥</v>
      </c>
      <c r="C290" s="51" t="e">
        <v>#REF!</v>
      </c>
      <c r="D290" s="51" t="str">
        <v/>
      </c>
      <c r="E290" s="51" t="str">
        <v/>
      </c>
      <c r="F290" s="52" t="e">
        <v>#REF!</v>
      </c>
      <c r="G290" s="48" t="e">
        <v>#REF!</v>
      </c>
      <c r="H290" s="49">
        <v>0</v>
      </c>
      <c r="I290" s="49" t="e">
        <v>#REF!</v>
      </c>
      <c r="J290" s="50"/>
    </row>
    <row r="291" outlineLevel="1" spans="1:10">
      <c r="A291" s="50">
        <v>239</v>
      </c>
      <c r="B291" s="51" t="str">
        <v>天棚-地下室白水泥</v>
      </c>
      <c r="C291" s="51" t="e">
        <v>#REF!</v>
      </c>
      <c r="D291" s="51" t="str">
        <v/>
      </c>
      <c r="E291" s="51" t="str">
        <v/>
      </c>
      <c r="F291" s="52" t="e">
        <v>#REF!</v>
      </c>
      <c r="G291" s="48" t="e">
        <v>#REF!</v>
      </c>
      <c r="H291" s="49">
        <v>0</v>
      </c>
      <c r="I291" s="49" t="e">
        <v>#REF!</v>
      </c>
      <c r="J291" s="50"/>
    </row>
    <row r="292" outlineLevel="1" spans="1:10">
      <c r="A292" s="50">
        <v>240</v>
      </c>
      <c r="B292" s="51" t="str">
        <v>天棚-楼梯间白水泥</v>
      </c>
      <c r="C292" s="51" t="e">
        <v>#REF!</v>
      </c>
      <c r="D292" s="51" t="str">
        <v/>
      </c>
      <c r="E292" s="51" t="str">
        <v/>
      </c>
      <c r="F292" s="52" t="e">
        <v>#REF!</v>
      </c>
      <c r="G292" s="48" t="e">
        <v>#REF!</v>
      </c>
      <c r="H292" s="49">
        <v>0</v>
      </c>
      <c r="I292" s="49" t="e">
        <v>#REF!</v>
      </c>
      <c r="J292" s="50"/>
    </row>
    <row r="293" ht="28.8" outlineLevel="1" spans="1:10">
      <c r="A293" s="50">
        <v>241</v>
      </c>
      <c r="B293" s="51" t="str">
        <v>内墙面-人防扩散室集气室滤尘室白水泥</v>
      </c>
      <c r="C293" s="51" t="e">
        <v>#REF!</v>
      </c>
      <c r="D293" s="51" t="str">
        <v/>
      </c>
      <c r="E293" s="51" t="str">
        <v/>
      </c>
      <c r="F293" s="52" t="e">
        <v>#REF!</v>
      </c>
      <c r="G293" s="48" t="e">
        <v>#REF!</v>
      </c>
      <c r="H293" s="49">
        <v>0</v>
      </c>
      <c r="I293" s="49" t="e">
        <v>#REF!</v>
      </c>
      <c r="J293" s="50"/>
    </row>
    <row r="294" ht="28.8" outlineLevel="1" spans="1:10">
      <c r="A294" s="50">
        <v>242</v>
      </c>
      <c r="B294" s="51" t="str">
        <v>天棚-人防扩散室集气室滤尘室白水泥</v>
      </c>
      <c r="C294" s="51" t="e">
        <v>#REF!</v>
      </c>
      <c r="D294" s="51" t="str">
        <v/>
      </c>
      <c r="E294" s="51" t="str">
        <v/>
      </c>
      <c r="F294" s="52" t="e">
        <v>#REF!</v>
      </c>
      <c r="G294" s="48" t="e">
        <v>#REF!</v>
      </c>
      <c r="H294" s="49">
        <v>0</v>
      </c>
      <c r="I294" s="49" t="e">
        <v>#REF!</v>
      </c>
      <c r="J294" s="50"/>
    </row>
    <row r="295" outlineLevel="1" spans="1:10">
      <c r="A295" s="50">
        <v>243</v>
      </c>
      <c r="B295" s="51" t="str">
        <v>天棚-地下车道白水泥</v>
      </c>
      <c r="C295" s="51" t="e">
        <v>#REF!</v>
      </c>
      <c r="D295" s="51" t="str">
        <v/>
      </c>
      <c r="E295" s="51" t="str">
        <v/>
      </c>
      <c r="F295" s="52" t="e">
        <v>#REF!</v>
      </c>
      <c r="G295" s="48" t="e">
        <v>#REF!</v>
      </c>
      <c r="H295" s="49">
        <v>0</v>
      </c>
      <c r="I295" s="49" t="e">
        <v>#REF!</v>
      </c>
      <c r="J295" s="50"/>
    </row>
    <row r="296" outlineLevel="1" spans="1:10">
      <c r="A296" s="50">
        <v>244</v>
      </c>
      <c r="B296" s="51" t="str">
        <v>天棚-地下白水泥</v>
      </c>
      <c r="C296" s="51" t="e">
        <v>#REF!</v>
      </c>
      <c r="D296" s="51" t="str">
        <v/>
      </c>
      <c r="E296" s="51" t="str">
        <v/>
      </c>
      <c r="F296" s="52" t="e">
        <v>#REF!</v>
      </c>
      <c r="G296" s="48" t="e">
        <v>#REF!</v>
      </c>
      <c r="H296" s="49">
        <v>0</v>
      </c>
      <c r="I296" s="49" t="e">
        <v>#REF!</v>
      </c>
      <c r="J296" s="50"/>
    </row>
    <row r="297" outlineLevel="1" spans="1:10">
      <c r="A297" s="50">
        <v>245</v>
      </c>
      <c r="B297" s="51" t="str">
        <v>天棚-水泵房白水泥</v>
      </c>
      <c r="C297" s="51" t="e">
        <v>#REF!</v>
      </c>
      <c r="D297" s="51" t="str">
        <v/>
      </c>
      <c r="E297" s="51" t="str">
        <v/>
      </c>
      <c r="F297" s="52" t="e">
        <v>#REF!</v>
      </c>
      <c r="G297" s="48" t="e">
        <v>#REF!</v>
      </c>
      <c r="H297" s="49">
        <v>0</v>
      </c>
      <c r="I297" s="49" t="e">
        <v>#REF!</v>
      </c>
      <c r="J297" s="50"/>
    </row>
    <row r="298" outlineLevel="1" spans="1:10">
      <c r="A298" s="50" t="str">
        <v/>
      </c>
      <c r="B298" s="51" t="str">
        <v>地上工程</v>
      </c>
      <c r="C298" s="51" t="str">
        <v/>
      </c>
      <c r="D298" s="51" t="str">
        <v/>
      </c>
      <c r="E298" s="51" t="str">
        <v/>
      </c>
      <c r="F298" s="52" t="str">
        <v/>
      </c>
      <c r="G298" s="48" t="str">
        <v/>
      </c>
      <c r="H298" s="49">
        <v>0</v>
      </c>
      <c r="I298" s="49" t="e">
        <v>#REF!</v>
      </c>
      <c r="J298" s="50"/>
    </row>
    <row r="299" outlineLevel="1" spans="1:10">
      <c r="A299" s="50" t="str">
        <v/>
      </c>
      <c r="B299" s="51" t="str">
        <v>A.02主体结构工程</v>
      </c>
      <c r="C299" s="51" t="str">
        <v/>
      </c>
      <c r="D299" s="51" t="str">
        <v/>
      </c>
      <c r="E299" s="51" t="str">
        <v/>
      </c>
      <c r="F299" s="52" t="str">
        <v/>
      </c>
      <c r="G299" s="48" t="str">
        <v/>
      </c>
      <c r="H299" s="49">
        <v>0</v>
      </c>
      <c r="I299" s="49" t="e">
        <v>#REF!</v>
      </c>
      <c r="J299" s="50"/>
    </row>
    <row r="300" outlineLevel="1" spans="1:10">
      <c r="A300" s="50" t="str">
        <v/>
      </c>
      <c r="B300" s="51" t="str">
        <v>A.02.01混凝土工程</v>
      </c>
      <c r="C300" s="51" t="str">
        <v/>
      </c>
      <c r="D300" s="51" t="str">
        <v/>
      </c>
      <c r="E300" s="51" t="str">
        <v/>
      </c>
      <c r="F300" s="52" t="str">
        <v/>
      </c>
      <c r="G300" s="48" t="str">
        <v/>
      </c>
      <c r="H300" s="49">
        <v>0</v>
      </c>
      <c r="I300" s="49" t="e">
        <v>#REF!</v>
      </c>
      <c r="J300" s="50"/>
    </row>
    <row r="301" outlineLevel="1" spans="1:10">
      <c r="A301" s="50">
        <v>246</v>
      </c>
      <c r="B301" s="51" t="str">
        <v>柱C30</v>
      </c>
      <c r="C301" s="51" t="e">
        <v>#REF!</v>
      </c>
      <c r="D301" s="51" t="str">
        <v/>
      </c>
      <c r="E301" s="51" t="str">
        <v/>
      </c>
      <c r="F301" s="52" t="e">
        <v>#REF!</v>
      </c>
      <c r="G301" s="48" t="e">
        <v>#REF!</v>
      </c>
      <c r="H301" s="49">
        <v>54.21</v>
      </c>
      <c r="I301" s="49" t="e">
        <v>#REF!</v>
      </c>
      <c r="J301" s="50"/>
    </row>
    <row r="302" outlineLevel="1" spans="1:10">
      <c r="A302" s="50">
        <v>247</v>
      </c>
      <c r="B302" s="51" t="str">
        <v>梁C30</v>
      </c>
      <c r="C302" s="51" t="e">
        <v>#REF!</v>
      </c>
      <c r="D302" s="51" t="str">
        <v/>
      </c>
      <c r="E302" s="51" t="str">
        <v/>
      </c>
      <c r="F302" s="52" t="e">
        <v>#REF!</v>
      </c>
      <c r="G302" s="48" t="e">
        <v>#REF!</v>
      </c>
      <c r="H302" s="49">
        <v>30.04</v>
      </c>
      <c r="I302" s="49" t="e">
        <v>#REF!</v>
      </c>
      <c r="J302" s="50"/>
    </row>
    <row r="303" outlineLevel="1" spans="1:10">
      <c r="A303" s="50">
        <v>248</v>
      </c>
      <c r="B303" s="51" t="str">
        <v>拱形梁C30</v>
      </c>
      <c r="C303" s="51" t="e">
        <v>#REF!</v>
      </c>
      <c r="D303" s="51" t="str">
        <v/>
      </c>
      <c r="E303" s="51" t="str">
        <v/>
      </c>
      <c r="F303" s="52" t="e">
        <v>#REF!</v>
      </c>
      <c r="G303" s="48" t="e">
        <v>#REF!</v>
      </c>
      <c r="H303" s="49">
        <v>115.67</v>
      </c>
      <c r="I303" s="49" t="e">
        <v>#REF!</v>
      </c>
      <c r="J303" s="50"/>
    </row>
    <row r="304" outlineLevel="1" spans="1:10">
      <c r="A304" s="50">
        <v>249</v>
      </c>
      <c r="B304" s="51" t="str">
        <v>墙C30</v>
      </c>
      <c r="C304" s="51" t="e">
        <v>#REF!</v>
      </c>
      <c r="D304" s="51" t="str">
        <v/>
      </c>
      <c r="E304" s="51" t="str">
        <v/>
      </c>
      <c r="F304" s="52" t="e">
        <v>#REF!</v>
      </c>
      <c r="G304" s="48" t="e">
        <v>#REF!</v>
      </c>
      <c r="H304" s="49">
        <v>0</v>
      </c>
      <c r="I304" s="49" t="e">
        <v>#REF!</v>
      </c>
      <c r="J304" s="50"/>
    </row>
    <row r="305" outlineLevel="1" spans="1:10">
      <c r="A305" s="50">
        <v>250</v>
      </c>
      <c r="B305" s="51" t="str">
        <v>墙C35</v>
      </c>
      <c r="C305" s="51" t="e">
        <v>#REF!</v>
      </c>
      <c r="D305" s="51" t="str">
        <v/>
      </c>
      <c r="E305" s="51" t="str">
        <v/>
      </c>
      <c r="F305" s="52" t="e">
        <v>#REF!</v>
      </c>
      <c r="G305" s="48" t="e">
        <v>#REF!</v>
      </c>
      <c r="H305" s="49">
        <v>0</v>
      </c>
      <c r="I305" s="49" t="e">
        <v>#REF!</v>
      </c>
      <c r="J305" s="50"/>
    </row>
    <row r="306" outlineLevel="1" spans="1:10">
      <c r="A306" s="50">
        <v>251</v>
      </c>
      <c r="B306" s="51" t="str">
        <v>电梯井壁墙C30</v>
      </c>
      <c r="C306" s="51" t="e">
        <v>#REF!</v>
      </c>
      <c r="D306" s="51" t="str">
        <v/>
      </c>
      <c r="E306" s="51" t="str">
        <v/>
      </c>
      <c r="F306" s="52" t="e">
        <v>#REF!</v>
      </c>
      <c r="G306" s="48" t="e">
        <v>#REF!</v>
      </c>
      <c r="H306" s="49">
        <v>0</v>
      </c>
      <c r="I306" s="49" t="e">
        <v>#REF!</v>
      </c>
      <c r="J306" s="50"/>
    </row>
    <row r="307" outlineLevel="1" spans="1:10">
      <c r="A307" s="50">
        <v>252</v>
      </c>
      <c r="B307" s="51" t="str">
        <v>电梯井壁墙C35</v>
      </c>
      <c r="C307" s="51" t="e">
        <v>#REF!</v>
      </c>
      <c r="D307" s="51" t="str">
        <v/>
      </c>
      <c r="E307" s="51" t="str">
        <v/>
      </c>
      <c r="F307" s="52" t="e">
        <v>#REF!</v>
      </c>
      <c r="G307" s="48" t="e">
        <v>#REF!</v>
      </c>
      <c r="H307" s="49">
        <v>0</v>
      </c>
      <c r="I307" s="49" t="e">
        <v>#REF!</v>
      </c>
      <c r="J307" s="50"/>
    </row>
    <row r="308" outlineLevel="1" spans="1:10">
      <c r="A308" s="50">
        <v>253</v>
      </c>
      <c r="B308" s="51" t="str">
        <v>平板C30</v>
      </c>
      <c r="C308" s="51" t="e">
        <v>#REF!</v>
      </c>
      <c r="D308" s="51" t="str">
        <v/>
      </c>
      <c r="E308" s="51" t="str">
        <v/>
      </c>
      <c r="F308" s="52" t="e">
        <v>#REF!</v>
      </c>
      <c r="G308" s="48" t="e">
        <v>#REF!</v>
      </c>
      <c r="H308" s="49">
        <v>82.86</v>
      </c>
      <c r="I308" s="49" t="e">
        <v>#REF!</v>
      </c>
      <c r="J308" s="50"/>
    </row>
    <row r="309" outlineLevel="1" spans="1:10">
      <c r="A309" s="50">
        <v>254</v>
      </c>
      <c r="B309" s="51" t="str">
        <v>斜板C30</v>
      </c>
      <c r="C309" s="51" t="e">
        <v>#REF!</v>
      </c>
      <c r="D309" s="51" t="str">
        <v/>
      </c>
      <c r="E309" s="51" t="str">
        <v/>
      </c>
      <c r="F309" s="52" t="e">
        <v>#REF!</v>
      </c>
      <c r="G309" s="48" t="e">
        <v>#REF!</v>
      </c>
      <c r="H309" s="49">
        <v>0</v>
      </c>
      <c r="I309" s="49" t="e">
        <v>#REF!</v>
      </c>
      <c r="J309" s="50"/>
    </row>
    <row r="310" outlineLevel="1" spans="1:10">
      <c r="A310" s="50">
        <v>255</v>
      </c>
      <c r="B310" s="51" t="str">
        <v>拱板C30</v>
      </c>
      <c r="C310" s="51" t="e">
        <v>#REF!</v>
      </c>
      <c r="D310" s="51" t="str">
        <v/>
      </c>
      <c r="E310" s="51" t="str">
        <v/>
      </c>
      <c r="F310" s="52" t="e">
        <v>#REF!</v>
      </c>
      <c r="G310" s="48" t="e">
        <v>#REF!</v>
      </c>
      <c r="H310" s="49">
        <v>0</v>
      </c>
      <c r="I310" s="49" t="e">
        <v>#REF!</v>
      </c>
      <c r="J310" s="50"/>
    </row>
    <row r="311" outlineLevel="1" spans="1:10">
      <c r="A311" s="50">
        <v>256</v>
      </c>
      <c r="B311" s="51" t="str">
        <v>叠合板现浇部位C30</v>
      </c>
      <c r="C311" s="51" t="e">
        <v>#REF!</v>
      </c>
      <c r="D311" s="51" t="str">
        <v/>
      </c>
      <c r="E311" s="51" t="str">
        <v/>
      </c>
      <c r="F311" s="52" t="e">
        <v>#REF!</v>
      </c>
      <c r="G311" s="48" t="e">
        <v>#REF!</v>
      </c>
      <c r="H311" s="49">
        <v>0</v>
      </c>
      <c r="I311" s="49" t="e">
        <v>#REF!</v>
      </c>
      <c r="J311" s="50"/>
    </row>
    <row r="312" outlineLevel="1" spans="1:10">
      <c r="A312" s="50">
        <v>257</v>
      </c>
      <c r="B312" s="51" t="str">
        <v>PC板补板缝C30</v>
      </c>
      <c r="C312" s="51" t="e">
        <v>#REF!</v>
      </c>
      <c r="D312" s="51" t="str">
        <v/>
      </c>
      <c r="E312" s="51" t="str">
        <v/>
      </c>
      <c r="F312" s="52" t="e">
        <v>#REF!</v>
      </c>
      <c r="G312" s="48" t="e">
        <v>#REF!</v>
      </c>
      <c r="H312" s="49">
        <v>0</v>
      </c>
      <c r="I312" s="49" t="e">
        <v>#REF!</v>
      </c>
      <c r="J312" s="50"/>
    </row>
    <row r="313" outlineLevel="1" spans="1:10">
      <c r="A313" s="50">
        <v>258</v>
      </c>
      <c r="B313" s="51" t="str">
        <v>雨篷C30</v>
      </c>
      <c r="C313" s="51" t="e">
        <v>#REF!</v>
      </c>
      <c r="D313" s="51" t="str">
        <v/>
      </c>
      <c r="E313" s="51" t="str">
        <v/>
      </c>
      <c r="F313" s="52" t="e">
        <v>#REF!</v>
      </c>
      <c r="G313" s="48" t="e">
        <v>#REF!</v>
      </c>
      <c r="H313" s="49">
        <v>0</v>
      </c>
      <c r="I313" s="49" t="e">
        <v>#REF!</v>
      </c>
      <c r="J313" s="50"/>
    </row>
    <row r="314" outlineLevel="1" spans="1:10">
      <c r="A314" s="50">
        <v>259</v>
      </c>
      <c r="B314" s="51" t="str">
        <v>天沟(檐沟）挑檐板C30</v>
      </c>
      <c r="C314" s="51" t="e">
        <v>#REF!</v>
      </c>
      <c r="D314" s="51" t="str">
        <v/>
      </c>
      <c r="E314" s="51" t="str">
        <v/>
      </c>
      <c r="F314" s="52" t="e">
        <v>#REF!</v>
      </c>
      <c r="G314" s="48" t="e">
        <v>#REF!</v>
      </c>
      <c r="H314" s="49">
        <v>10.11</v>
      </c>
      <c r="I314" s="49" t="e">
        <v>#REF!</v>
      </c>
      <c r="J314" s="50"/>
    </row>
    <row r="315" outlineLevel="1" spans="1:10">
      <c r="A315" s="50">
        <v>260</v>
      </c>
      <c r="B315" s="51" t="str">
        <v>栏板C30</v>
      </c>
      <c r="C315" s="51" t="e">
        <v>#REF!</v>
      </c>
      <c r="D315" s="51" t="str">
        <v/>
      </c>
      <c r="E315" s="51" t="str">
        <v/>
      </c>
      <c r="F315" s="52" t="e">
        <v>#REF!</v>
      </c>
      <c r="G315" s="48" t="e">
        <v>#REF!</v>
      </c>
      <c r="H315" s="49">
        <v>17.26</v>
      </c>
      <c r="I315" s="49" t="e">
        <v>#REF!</v>
      </c>
      <c r="J315" s="50"/>
    </row>
    <row r="316" outlineLevel="1" spans="1:10">
      <c r="A316" s="50">
        <v>261</v>
      </c>
      <c r="B316" s="51" t="str">
        <v>直形楼梯C30</v>
      </c>
      <c r="C316" s="51" t="e">
        <v>#REF!</v>
      </c>
      <c r="D316" s="51" t="str">
        <v/>
      </c>
      <c r="E316" s="51" t="str">
        <v/>
      </c>
      <c r="F316" s="52" t="e">
        <v>#REF!</v>
      </c>
      <c r="G316" s="48" t="e">
        <v>#REF!</v>
      </c>
      <c r="H316" s="49">
        <v>6.14</v>
      </c>
      <c r="I316" s="49" t="e">
        <v>#REF!</v>
      </c>
      <c r="J316" s="50"/>
    </row>
    <row r="317" outlineLevel="1" spans="1:10">
      <c r="A317" s="50">
        <v>262</v>
      </c>
      <c r="B317" s="51" t="str">
        <v>设备基础C25</v>
      </c>
      <c r="C317" s="51" t="e">
        <v>#REF!</v>
      </c>
      <c r="D317" s="51" t="str">
        <v/>
      </c>
      <c r="E317" s="51" t="str">
        <v/>
      </c>
      <c r="F317" s="52" t="e">
        <v>#REF!</v>
      </c>
      <c r="G317" s="48" t="e">
        <v>#REF!</v>
      </c>
      <c r="H317" s="49">
        <v>0</v>
      </c>
      <c r="I317" s="49" t="e">
        <v>#REF!</v>
      </c>
      <c r="J317" s="50"/>
    </row>
    <row r="318" outlineLevel="1" spans="1:10">
      <c r="A318" s="50">
        <v>263</v>
      </c>
      <c r="B318" s="51" t="str">
        <v>自密实混凝土-50厚C30</v>
      </c>
      <c r="C318" s="51" t="e">
        <v>#REF!</v>
      </c>
      <c r="D318" s="51" t="str">
        <v/>
      </c>
      <c r="E318" s="51" t="str">
        <v/>
      </c>
      <c r="F318" s="52" t="e">
        <v>#REF!</v>
      </c>
      <c r="G318" s="48" t="e">
        <v>#REF!</v>
      </c>
      <c r="H318" s="49">
        <v>0</v>
      </c>
      <c r="I318" s="49" t="e">
        <v>#REF!</v>
      </c>
      <c r="J318" s="50"/>
    </row>
    <row r="319" ht="28.8" outlineLevel="1" spans="1:10">
      <c r="A319" s="50">
        <v>264</v>
      </c>
      <c r="B319" s="51" t="str">
        <v>预制钢筋混凝土叠合楼板</v>
      </c>
      <c r="C319" s="51" t="e">
        <v>#REF!</v>
      </c>
      <c r="D319" s="51" t="str">
        <v/>
      </c>
      <c r="E319" s="51" t="str">
        <v/>
      </c>
      <c r="F319" s="52" t="e">
        <v>#REF!</v>
      </c>
      <c r="G319" s="48" t="e">
        <v>#REF!</v>
      </c>
      <c r="H319" s="49">
        <v>0</v>
      </c>
      <c r="I319" s="49" t="e">
        <v>#REF!</v>
      </c>
      <c r="J319" s="50"/>
    </row>
    <row r="320" outlineLevel="1" spans="1:10">
      <c r="A320" s="50">
        <v>265</v>
      </c>
      <c r="B320" s="51" t="str">
        <v>预制钢筋混凝土空调板</v>
      </c>
      <c r="C320" s="51" t="e">
        <v>#REF!</v>
      </c>
      <c r="D320" s="51" t="str">
        <v/>
      </c>
      <c r="E320" s="51" t="str">
        <v/>
      </c>
      <c r="F320" s="52" t="e">
        <v>#REF!</v>
      </c>
      <c r="G320" s="48" t="e">
        <v>#REF!</v>
      </c>
      <c r="H320" s="49">
        <v>0</v>
      </c>
      <c r="I320" s="49" t="e">
        <v>#REF!</v>
      </c>
      <c r="J320" s="50"/>
    </row>
    <row r="321" outlineLevel="1" spans="1:10">
      <c r="A321" s="50">
        <v>266</v>
      </c>
      <c r="B321" s="51" t="str">
        <v>预制钢筋混凝土楼梯</v>
      </c>
      <c r="C321" s="51" t="e">
        <v>#REF!</v>
      </c>
      <c r="D321" s="51" t="str">
        <v/>
      </c>
      <c r="E321" s="51" t="str">
        <v/>
      </c>
      <c r="F321" s="52" t="e">
        <v>#REF!</v>
      </c>
      <c r="G321" s="48" t="e">
        <v>#REF!</v>
      </c>
      <c r="H321" s="49">
        <v>0</v>
      </c>
      <c r="I321" s="49" t="e">
        <v>#REF!</v>
      </c>
      <c r="J321" s="50"/>
    </row>
    <row r="322" outlineLevel="1" spans="1:10">
      <c r="A322" s="50" t="str">
        <v/>
      </c>
      <c r="B322" s="51" t="str">
        <v>A.02.02钢筋工程</v>
      </c>
      <c r="C322" s="51" t="str">
        <v/>
      </c>
      <c r="D322" s="51" t="str">
        <v/>
      </c>
      <c r="E322" s="51" t="str">
        <v/>
      </c>
      <c r="F322" s="52" t="str">
        <v/>
      </c>
      <c r="G322" s="48" t="str">
        <v/>
      </c>
      <c r="H322" s="49">
        <v>0</v>
      </c>
      <c r="I322" s="49" t="e">
        <v>#REF!</v>
      </c>
      <c r="J322" s="50"/>
    </row>
    <row r="323" ht="28.8" outlineLevel="1" spans="1:10">
      <c r="A323" s="50">
        <v>267</v>
      </c>
      <c r="B323" s="51" t="str">
        <v>地上现浇构件钢筋-φ10以内</v>
      </c>
      <c r="C323" s="51" t="e">
        <v>#REF!</v>
      </c>
      <c r="D323" s="51" t="str">
        <v/>
      </c>
      <c r="E323" s="51" t="str">
        <v/>
      </c>
      <c r="F323" s="52" t="e">
        <v>#REF!</v>
      </c>
      <c r="G323" s="48" t="e">
        <v>#REF!</v>
      </c>
      <c r="H323" s="49">
        <v>0.001</v>
      </c>
      <c r="I323" s="49" t="e">
        <v>#REF!</v>
      </c>
      <c r="J323" s="50"/>
    </row>
    <row r="324" ht="28.8" outlineLevel="1" spans="1:10">
      <c r="A324" s="50">
        <v>268</v>
      </c>
      <c r="B324" s="51" t="str">
        <v>地上现浇构件钢筋-三级钢筋 Φ6</v>
      </c>
      <c r="C324" s="51" t="e">
        <v>#REF!</v>
      </c>
      <c r="D324" s="51" t="str">
        <v/>
      </c>
      <c r="E324" s="51" t="str">
        <v/>
      </c>
      <c r="F324" s="52" t="e">
        <v>#REF!</v>
      </c>
      <c r="G324" s="48" t="e">
        <v>#REF!</v>
      </c>
      <c r="H324" s="49">
        <v>0.919</v>
      </c>
      <c r="I324" s="49" t="e">
        <v>#REF!</v>
      </c>
      <c r="J324" s="50"/>
    </row>
    <row r="325" ht="28.8" outlineLevel="1" spans="1:10">
      <c r="A325" s="50">
        <v>269</v>
      </c>
      <c r="B325" s="51" t="str">
        <v>地上现浇构件钢筋-三级钢筋 Φ8</v>
      </c>
      <c r="C325" s="51" t="e">
        <v>#REF!</v>
      </c>
      <c r="D325" s="51" t="str">
        <v/>
      </c>
      <c r="E325" s="51" t="str">
        <v/>
      </c>
      <c r="F325" s="52" t="e">
        <v>#REF!</v>
      </c>
      <c r="G325" s="48" t="e">
        <v>#REF!</v>
      </c>
      <c r="H325" s="49">
        <v>17.74</v>
      </c>
      <c r="I325" s="49" t="e">
        <v>#REF!</v>
      </c>
      <c r="J325" s="50"/>
    </row>
    <row r="326" ht="28.8" outlineLevel="1" spans="1:10">
      <c r="A326" s="50">
        <v>270</v>
      </c>
      <c r="B326" s="51" t="str">
        <v>地上现浇构件钢筋-三级钢筋 Φ10</v>
      </c>
      <c r="C326" s="51" t="e">
        <v>#REF!</v>
      </c>
      <c r="D326" s="51" t="str">
        <v/>
      </c>
      <c r="E326" s="51" t="str">
        <v/>
      </c>
      <c r="F326" s="52" t="e">
        <v>#REF!</v>
      </c>
      <c r="G326" s="48" t="e">
        <v>#REF!</v>
      </c>
      <c r="H326" s="49">
        <v>4.82</v>
      </c>
      <c r="I326" s="49" t="e">
        <v>#REF!</v>
      </c>
      <c r="J326" s="50"/>
    </row>
    <row r="327" ht="28.8" outlineLevel="1" spans="1:10">
      <c r="A327" s="50">
        <v>271</v>
      </c>
      <c r="B327" s="51" t="str">
        <v>地上现浇构件钢筋-三级钢筋 Φ12</v>
      </c>
      <c r="C327" s="51" t="e">
        <v>#REF!</v>
      </c>
      <c r="D327" s="51" t="str">
        <v/>
      </c>
      <c r="E327" s="51" t="str">
        <v/>
      </c>
      <c r="F327" s="52" t="e">
        <v>#REF!</v>
      </c>
      <c r="G327" s="48" t="e">
        <v>#REF!</v>
      </c>
      <c r="H327" s="49">
        <v>5.08</v>
      </c>
      <c r="I327" s="49" t="e">
        <v>#REF!</v>
      </c>
      <c r="J327" s="50"/>
    </row>
    <row r="328" ht="28.8" outlineLevel="1" spans="1:10">
      <c r="A328" s="50">
        <v>272</v>
      </c>
      <c r="B328" s="51" t="str">
        <v>地上现浇构件钢筋-三级钢筋 Φ14</v>
      </c>
      <c r="C328" s="51" t="e">
        <v>#REF!</v>
      </c>
      <c r="D328" s="51" t="str">
        <v/>
      </c>
      <c r="E328" s="51" t="str">
        <v/>
      </c>
      <c r="F328" s="52" t="e">
        <v>#REF!</v>
      </c>
      <c r="G328" s="48" t="e">
        <v>#REF!</v>
      </c>
      <c r="H328" s="49">
        <v>1.86</v>
      </c>
      <c r="I328" s="49" t="e">
        <v>#REF!</v>
      </c>
      <c r="J328" s="50"/>
    </row>
    <row r="329" ht="28.8" outlineLevel="1" spans="1:10">
      <c r="A329" s="50">
        <v>273</v>
      </c>
      <c r="B329" s="51" t="str">
        <v>地上现浇构件钢筋-三级钢筋 Φ16</v>
      </c>
      <c r="C329" s="51" t="e">
        <v>#REF!</v>
      </c>
      <c r="D329" s="51" t="str">
        <v/>
      </c>
      <c r="E329" s="51" t="str">
        <v/>
      </c>
      <c r="F329" s="52" t="e">
        <v>#REF!</v>
      </c>
      <c r="G329" s="48" t="e">
        <v>#REF!</v>
      </c>
      <c r="H329" s="49">
        <v>3.24</v>
      </c>
      <c r="I329" s="49" t="e">
        <v>#REF!</v>
      </c>
      <c r="J329" s="50"/>
    </row>
    <row r="330" ht="28.8" outlineLevel="1" spans="1:10">
      <c r="A330" s="50">
        <v>274</v>
      </c>
      <c r="B330" s="51" t="str">
        <v>地上现浇构件钢筋-三级钢筋 Φ18</v>
      </c>
      <c r="C330" s="51" t="e">
        <v>#REF!</v>
      </c>
      <c r="D330" s="51" t="str">
        <v/>
      </c>
      <c r="E330" s="51" t="str">
        <v/>
      </c>
      <c r="F330" s="52" t="e">
        <v>#REF!</v>
      </c>
      <c r="G330" s="48" t="e">
        <v>#REF!</v>
      </c>
      <c r="H330" s="49">
        <v>5.33</v>
      </c>
      <c r="I330" s="49" t="e">
        <v>#REF!</v>
      </c>
      <c r="J330" s="50"/>
    </row>
    <row r="331" ht="28.8" outlineLevel="1" spans="1:10">
      <c r="A331" s="50">
        <v>275</v>
      </c>
      <c r="B331" s="51" t="str">
        <v>地上现浇构件钢筋-三级钢筋 Φ20</v>
      </c>
      <c r="C331" s="51" t="e">
        <v>#REF!</v>
      </c>
      <c r="D331" s="51" t="str">
        <v/>
      </c>
      <c r="E331" s="51" t="str">
        <v/>
      </c>
      <c r="F331" s="52" t="e">
        <v>#REF!</v>
      </c>
      <c r="G331" s="48" t="e">
        <v>#REF!</v>
      </c>
      <c r="H331" s="49">
        <v>7.32</v>
      </c>
      <c r="I331" s="49" t="e">
        <v>#REF!</v>
      </c>
      <c r="J331" s="50"/>
    </row>
    <row r="332" ht="28.8" outlineLevel="1" spans="1:10">
      <c r="A332" s="50">
        <v>276</v>
      </c>
      <c r="B332" s="51" t="str">
        <v>地上现浇构件钢筋-三级钢筋 Φ22</v>
      </c>
      <c r="C332" s="51" t="e">
        <v>#REF!</v>
      </c>
      <c r="D332" s="51" t="str">
        <v/>
      </c>
      <c r="E332" s="51" t="str">
        <v/>
      </c>
      <c r="F332" s="52" t="e">
        <v>#REF!</v>
      </c>
      <c r="G332" s="48" t="e">
        <v>#REF!</v>
      </c>
      <c r="H332" s="49">
        <v>7.79</v>
      </c>
      <c r="I332" s="49" t="e">
        <v>#REF!</v>
      </c>
      <c r="J332" s="50"/>
    </row>
    <row r="333" ht="28.8" outlineLevel="1" spans="1:10">
      <c r="A333" s="50">
        <v>277</v>
      </c>
      <c r="B333" s="51" t="str">
        <v>地上现浇构件钢筋-三级钢筋 Φ25</v>
      </c>
      <c r="C333" s="51" t="e">
        <v>#REF!</v>
      </c>
      <c r="D333" s="51" t="str">
        <v/>
      </c>
      <c r="E333" s="51" t="str">
        <v/>
      </c>
      <c r="F333" s="52" t="e">
        <v>#REF!</v>
      </c>
      <c r="G333" s="48" t="e">
        <v>#REF!</v>
      </c>
      <c r="H333" s="49">
        <v>13.02</v>
      </c>
      <c r="I333" s="49" t="e">
        <v>#REF!</v>
      </c>
      <c r="J333" s="50"/>
    </row>
    <row r="334" ht="28.8" outlineLevel="1" spans="1:10">
      <c r="A334" s="50">
        <v>278</v>
      </c>
      <c r="B334" s="51" t="str">
        <v>地上现浇构件措施钢筋-三级钢筋 Φ10</v>
      </c>
      <c r="C334" s="51" t="e">
        <v>#REF!</v>
      </c>
      <c r="D334" s="51" t="str">
        <v/>
      </c>
      <c r="E334" s="51" t="str">
        <v/>
      </c>
      <c r="F334" s="52" t="e">
        <v>#REF!</v>
      </c>
      <c r="G334" s="48" t="e">
        <v>#REF!</v>
      </c>
      <c r="H334" s="49">
        <v>0.18</v>
      </c>
      <c r="I334" s="49" t="e">
        <v>#REF!</v>
      </c>
      <c r="J334" s="50"/>
    </row>
    <row r="335" ht="28.8" outlineLevel="1" spans="1:10">
      <c r="A335" s="50">
        <v>279</v>
      </c>
      <c r="B335" s="51" t="str">
        <v>钢筋接头-直螺纹连接-φ20以内</v>
      </c>
      <c r="C335" s="51" t="e">
        <v>#REF!</v>
      </c>
      <c r="D335" s="51" t="str">
        <v/>
      </c>
      <c r="E335" s="51" t="str">
        <v/>
      </c>
      <c r="F335" s="52" t="e">
        <v>#REF!</v>
      </c>
      <c r="G335" s="48" t="e">
        <v>#REF!</v>
      </c>
      <c r="H335" s="49">
        <v>347</v>
      </c>
      <c r="I335" s="49" t="e">
        <v>#REF!</v>
      </c>
      <c r="J335" s="50"/>
    </row>
    <row r="336" ht="28.8" outlineLevel="1" spans="1:10">
      <c r="A336" s="50">
        <v>280</v>
      </c>
      <c r="B336" s="51" t="str">
        <v>钢筋接头-直螺纹连接-Φ30以内</v>
      </c>
      <c r="C336" s="51" t="e">
        <v>#REF!</v>
      </c>
      <c r="D336" s="51" t="str">
        <v/>
      </c>
      <c r="E336" s="51" t="str">
        <v/>
      </c>
      <c r="F336" s="52" t="e">
        <v>#REF!</v>
      </c>
      <c r="G336" s="48" t="e">
        <v>#REF!</v>
      </c>
      <c r="H336" s="49">
        <v>0</v>
      </c>
      <c r="I336" s="49" t="e">
        <v>#REF!</v>
      </c>
      <c r="J336" s="50"/>
    </row>
    <row r="337" outlineLevel="1" spans="1:10">
      <c r="A337" s="50">
        <v>281</v>
      </c>
      <c r="B337" s="51" t="str">
        <v>钢筋接头-电渣压力焊</v>
      </c>
      <c r="C337" s="51" t="e">
        <v>#REF!</v>
      </c>
      <c r="D337" s="51" t="str">
        <v/>
      </c>
      <c r="E337" s="51" t="str">
        <v/>
      </c>
      <c r="F337" s="52" t="e">
        <v>#REF!</v>
      </c>
      <c r="G337" s="48" t="e">
        <v>#REF!</v>
      </c>
      <c r="H337" s="49">
        <v>876</v>
      </c>
      <c r="I337" s="49" t="e">
        <v>#REF!</v>
      </c>
      <c r="J337" s="50"/>
    </row>
    <row r="338" outlineLevel="1" spans="1:10">
      <c r="A338" s="50" t="str">
        <v/>
      </c>
      <c r="B338" s="51" t="str">
        <v>A.03二次结构工程</v>
      </c>
      <c r="C338" s="51" t="str">
        <v/>
      </c>
      <c r="D338" s="51" t="str">
        <v/>
      </c>
      <c r="E338" s="51" t="str">
        <v/>
      </c>
      <c r="F338" s="52" t="str">
        <v/>
      </c>
      <c r="G338" s="48" t="str">
        <v/>
      </c>
      <c r="H338" s="49">
        <v>0</v>
      </c>
      <c r="I338" s="49" t="e">
        <v>#REF!</v>
      </c>
      <c r="J338" s="50"/>
    </row>
    <row r="339" outlineLevel="1" spans="1:10">
      <c r="A339" s="50" t="str">
        <v/>
      </c>
      <c r="B339" s="51" t="str">
        <v>A.03.01砌筑工程</v>
      </c>
      <c r="C339" s="51" t="str">
        <v/>
      </c>
      <c r="D339" s="51" t="str">
        <v/>
      </c>
      <c r="E339" s="51" t="str">
        <v/>
      </c>
      <c r="F339" s="52" t="str">
        <v/>
      </c>
      <c r="G339" s="48" t="str">
        <v/>
      </c>
      <c r="H339" s="49">
        <v>0</v>
      </c>
      <c r="I339" s="49" t="e">
        <v>#REF!</v>
      </c>
      <c r="J339" s="50"/>
    </row>
    <row r="340" outlineLevel="1" spans="1:10">
      <c r="A340" s="50">
        <v>282</v>
      </c>
      <c r="B340" s="51" t="str">
        <v>出屋面砖台阶</v>
      </c>
      <c r="C340" s="51" t="e">
        <v>#REF!</v>
      </c>
      <c r="D340" s="51" t="str">
        <v/>
      </c>
      <c r="E340" s="51" t="str">
        <v/>
      </c>
      <c r="F340" s="52" t="e">
        <v>#REF!</v>
      </c>
      <c r="G340" s="48" t="e">
        <v>#REF!</v>
      </c>
      <c r="H340" s="49">
        <v>0</v>
      </c>
      <c r="I340" s="49" t="e">
        <v>#REF!</v>
      </c>
      <c r="J340" s="50"/>
    </row>
    <row r="341" outlineLevel="1" spans="1:10">
      <c r="A341" s="50">
        <v>283</v>
      </c>
      <c r="B341" s="51" t="str">
        <v>加气混凝土砌块</v>
      </c>
      <c r="C341" s="51" t="e">
        <v>#REF!</v>
      </c>
      <c r="D341" s="51" t="str">
        <v/>
      </c>
      <c r="E341" s="51" t="str">
        <v/>
      </c>
      <c r="F341" s="52" t="e">
        <v>#REF!</v>
      </c>
      <c r="G341" s="48" t="e">
        <v>#REF!</v>
      </c>
      <c r="H341" s="49">
        <v>125.71</v>
      </c>
      <c r="I341" s="49" t="e">
        <v>#REF!</v>
      </c>
      <c r="J341" s="50"/>
    </row>
    <row r="342" outlineLevel="1" spans="1:10">
      <c r="A342" s="50">
        <v>284</v>
      </c>
      <c r="B342" s="51" t="str">
        <v>管道包封砌筑</v>
      </c>
      <c r="C342" s="51" t="e">
        <v>#REF!</v>
      </c>
      <c r="D342" s="51" t="str">
        <v/>
      </c>
      <c r="E342" s="51" t="str">
        <v/>
      </c>
      <c r="F342" s="52" t="e">
        <v>#REF!</v>
      </c>
      <c r="G342" s="48" t="e">
        <v>#REF!</v>
      </c>
      <c r="H342" s="49">
        <v>0</v>
      </c>
      <c r="I342" s="49" t="e">
        <v>#REF!</v>
      </c>
      <c r="J342" s="50"/>
    </row>
    <row r="343" ht="28.8" outlineLevel="1" spans="1:10">
      <c r="A343" s="50">
        <v>285</v>
      </c>
      <c r="B343" s="51" t="str">
        <v>轻集料混凝土条板-100mm以内</v>
      </c>
      <c r="C343" s="51" t="e">
        <v>#REF!</v>
      </c>
      <c r="D343" s="51" t="str">
        <v/>
      </c>
      <c r="E343" s="51" t="str">
        <v/>
      </c>
      <c r="F343" s="52" t="e">
        <v>#REF!</v>
      </c>
      <c r="G343" s="48" t="e">
        <v>#REF!</v>
      </c>
      <c r="H343" s="49">
        <v>0</v>
      </c>
      <c r="I343" s="49" t="e">
        <v>#REF!</v>
      </c>
      <c r="J343" s="50"/>
    </row>
    <row r="344" ht="28.8" outlineLevel="1" spans="1:10">
      <c r="A344" s="50">
        <v>286</v>
      </c>
      <c r="B344" s="51" t="str">
        <v>轻集料混凝土条板-200mm以内</v>
      </c>
      <c r="C344" s="51" t="e">
        <v>#REF!</v>
      </c>
      <c r="D344" s="51" t="str">
        <v/>
      </c>
      <c r="E344" s="51" t="str">
        <v/>
      </c>
      <c r="F344" s="52" t="e">
        <v>#REF!</v>
      </c>
      <c r="G344" s="48" t="e">
        <v>#REF!</v>
      </c>
      <c r="H344" s="49">
        <v>0</v>
      </c>
      <c r="I344" s="49" t="e">
        <v>#REF!</v>
      </c>
      <c r="J344" s="50"/>
    </row>
    <row r="345" outlineLevel="1" spans="1:10">
      <c r="A345" s="50">
        <v>287</v>
      </c>
      <c r="B345" s="51" t="str">
        <v>AAC内墙板-180mm以内</v>
      </c>
      <c r="C345" s="51" t="e">
        <v>#REF!</v>
      </c>
      <c r="D345" s="51" t="str">
        <v/>
      </c>
      <c r="E345" s="51" t="str">
        <v/>
      </c>
      <c r="F345" s="52" t="e">
        <v>#REF!</v>
      </c>
      <c r="G345" s="48" t="e">
        <v>#REF!</v>
      </c>
      <c r="H345" s="49">
        <v>0</v>
      </c>
      <c r="I345" s="49" t="e">
        <v>#REF!</v>
      </c>
      <c r="J345" s="50"/>
    </row>
    <row r="346" outlineLevel="1" spans="1:10">
      <c r="A346" s="50">
        <v>288</v>
      </c>
      <c r="B346" s="51" t="str">
        <v>AAC外墙板-100mm以内</v>
      </c>
      <c r="C346" s="51" t="e">
        <v>#REF!</v>
      </c>
      <c r="D346" s="51" t="str">
        <v/>
      </c>
      <c r="E346" s="51" t="str">
        <v/>
      </c>
      <c r="F346" s="52" t="e">
        <v>#REF!</v>
      </c>
      <c r="G346" s="48" t="e">
        <v>#REF!</v>
      </c>
      <c r="H346" s="49">
        <v>0</v>
      </c>
      <c r="I346" s="49" t="e">
        <v>#REF!</v>
      </c>
      <c r="J346" s="50"/>
    </row>
    <row r="347" outlineLevel="1" spans="1:10">
      <c r="A347" s="50">
        <v>289</v>
      </c>
      <c r="B347" s="51" t="str">
        <v>AAC外墙板-180mm以内</v>
      </c>
      <c r="C347" s="51" t="e">
        <v>#REF!</v>
      </c>
      <c r="D347" s="51" t="str">
        <v/>
      </c>
      <c r="E347" s="51" t="str">
        <v/>
      </c>
      <c r="F347" s="52" t="e">
        <v>#REF!</v>
      </c>
      <c r="G347" s="48" t="e">
        <v>#REF!</v>
      </c>
      <c r="H347" s="49">
        <v>0</v>
      </c>
      <c r="I347" s="49" t="e">
        <v>#REF!</v>
      </c>
      <c r="J347" s="50"/>
    </row>
    <row r="348" outlineLevel="1" spans="1:10">
      <c r="A348" s="50">
        <v>290</v>
      </c>
      <c r="B348" s="51" t="str">
        <v>AAC外墙板-280mm以内</v>
      </c>
      <c r="C348" s="51" t="e">
        <v>#REF!</v>
      </c>
      <c r="D348" s="51" t="str">
        <v/>
      </c>
      <c r="E348" s="51" t="str">
        <v/>
      </c>
      <c r="F348" s="52" t="e">
        <v>#REF!</v>
      </c>
      <c r="G348" s="48" t="e">
        <v>#REF!</v>
      </c>
      <c r="H348" s="49">
        <v>0</v>
      </c>
      <c r="I348" s="49" t="e">
        <v>#REF!</v>
      </c>
      <c r="J348" s="50"/>
    </row>
    <row r="349" outlineLevel="1" spans="1:10">
      <c r="A349" s="50">
        <v>291</v>
      </c>
      <c r="B349" s="51" t="str">
        <v>AAC自保温砌块</v>
      </c>
      <c r="C349" s="51" t="e">
        <v>#REF!</v>
      </c>
      <c r="D349" s="51" t="str">
        <v/>
      </c>
      <c r="E349" s="51" t="str">
        <v/>
      </c>
      <c r="F349" s="52" t="e">
        <v>#REF!</v>
      </c>
      <c r="G349" s="48" t="e">
        <v>#REF!</v>
      </c>
      <c r="H349" s="49">
        <v>0</v>
      </c>
      <c r="I349" s="49" t="e">
        <v>#REF!</v>
      </c>
      <c r="J349" s="50"/>
    </row>
    <row r="350" outlineLevel="1" spans="1:10">
      <c r="A350" s="50" t="str">
        <v/>
      </c>
      <c r="B350" s="51" t="str">
        <v>A.03.02混凝土工程</v>
      </c>
      <c r="C350" s="51" t="str">
        <v/>
      </c>
      <c r="D350" s="51" t="str">
        <v/>
      </c>
      <c r="E350" s="51" t="str">
        <v/>
      </c>
      <c r="F350" s="52" t="str">
        <v/>
      </c>
      <c r="G350" s="48" t="str">
        <v/>
      </c>
      <c r="H350" s="49">
        <v>0</v>
      </c>
      <c r="I350" s="49" t="e">
        <v>#REF!</v>
      </c>
      <c r="J350" s="50"/>
    </row>
    <row r="351" outlineLevel="1" spans="1:10">
      <c r="A351" s="50">
        <v>292</v>
      </c>
      <c r="B351" s="51" t="str">
        <v>构造柱C25</v>
      </c>
      <c r="C351" s="51" t="e">
        <v>#REF!</v>
      </c>
      <c r="D351" s="51" t="str">
        <v/>
      </c>
      <c r="E351" s="51" t="str">
        <v/>
      </c>
      <c r="F351" s="52" t="e">
        <v>#REF!</v>
      </c>
      <c r="G351" s="48" t="e">
        <v>#REF!</v>
      </c>
      <c r="H351" s="49">
        <v>9.82</v>
      </c>
      <c r="I351" s="49" t="e">
        <v>#REF!</v>
      </c>
      <c r="J351" s="50"/>
    </row>
    <row r="352" outlineLevel="1" spans="1:10">
      <c r="A352" s="50">
        <v>293</v>
      </c>
      <c r="B352" s="51" t="str">
        <v>圈梁C25</v>
      </c>
      <c r="C352" s="51" t="e">
        <v>#REF!</v>
      </c>
      <c r="D352" s="51" t="str">
        <v/>
      </c>
      <c r="E352" s="51" t="str">
        <v/>
      </c>
      <c r="F352" s="52" t="e">
        <v>#REF!</v>
      </c>
      <c r="G352" s="48" t="e">
        <v>#REF!</v>
      </c>
      <c r="H352" s="49">
        <v>0.28</v>
      </c>
      <c r="I352" s="49" t="e">
        <v>#REF!</v>
      </c>
      <c r="J352" s="50"/>
    </row>
    <row r="353" outlineLevel="1" spans="1:10">
      <c r="A353" s="50">
        <v>294</v>
      </c>
      <c r="B353" s="51" t="str">
        <v>门槛C20细石</v>
      </c>
      <c r="C353" s="51" t="e">
        <v>#REF!</v>
      </c>
      <c r="D353" s="51" t="str">
        <v/>
      </c>
      <c r="E353" s="51" t="str">
        <v/>
      </c>
      <c r="F353" s="52" t="e">
        <v>#REF!</v>
      </c>
      <c r="G353" s="48" t="e">
        <v>#REF!</v>
      </c>
      <c r="H353" s="49">
        <v>1</v>
      </c>
      <c r="I353" s="49" t="e">
        <v>#REF!</v>
      </c>
      <c r="J353" s="50"/>
    </row>
    <row r="354" outlineLevel="1" spans="1:10">
      <c r="A354" s="50">
        <v>295</v>
      </c>
      <c r="B354" s="51" t="str">
        <v>反坎C20</v>
      </c>
      <c r="C354" s="51" t="e">
        <v>#REF!</v>
      </c>
      <c r="D354" s="51" t="str">
        <v/>
      </c>
      <c r="E354" s="51" t="str">
        <v/>
      </c>
      <c r="F354" s="52" t="e">
        <v>#REF!</v>
      </c>
      <c r="G354" s="48" t="e">
        <v>#REF!</v>
      </c>
      <c r="H354" s="49">
        <v>0</v>
      </c>
      <c r="I354" s="49" t="e">
        <v>#REF!</v>
      </c>
      <c r="J354" s="50"/>
    </row>
    <row r="355" outlineLevel="1" spans="1:10">
      <c r="A355" s="50">
        <v>296</v>
      </c>
      <c r="B355" s="51" t="str">
        <v>过梁C25</v>
      </c>
      <c r="C355" s="51" t="e">
        <v>#REF!</v>
      </c>
      <c r="D355" s="51" t="str">
        <v/>
      </c>
      <c r="E355" s="51" t="str">
        <v/>
      </c>
      <c r="F355" s="52" t="e">
        <v>#REF!</v>
      </c>
      <c r="G355" s="48" t="e">
        <v>#REF!</v>
      </c>
      <c r="H355" s="49">
        <v>1.54</v>
      </c>
      <c r="I355" s="49" t="e">
        <v>#REF!</v>
      </c>
      <c r="J355" s="50"/>
    </row>
    <row r="356" outlineLevel="1" spans="1:10">
      <c r="A356" s="50">
        <v>297</v>
      </c>
      <c r="B356" s="51" t="str">
        <v>压顶C25</v>
      </c>
      <c r="C356" s="51" t="e">
        <v>#REF!</v>
      </c>
      <c r="D356" s="51" t="str">
        <v/>
      </c>
      <c r="E356" s="51" t="str">
        <v/>
      </c>
      <c r="F356" s="52" t="e">
        <v>#REF!</v>
      </c>
      <c r="G356" s="48" t="e">
        <v>#REF!</v>
      </c>
      <c r="H356" s="49">
        <v>1.2</v>
      </c>
      <c r="I356" s="49" t="e">
        <v>#REF!</v>
      </c>
      <c r="J356" s="50"/>
    </row>
    <row r="357" outlineLevel="1" spans="1:10">
      <c r="A357" s="50" t="str">
        <v/>
      </c>
      <c r="B357" s="51" t="str">
        <v>散水</v>
      </c>
      <c r="C357" s="51" t="str">
        <v/>
      </c>
      <c r="D357" s="51" t="str">
        <v/>
      </c>
      <c r="E357" s="51" t="str">
        <v/>
      </c>
      <c r="F357" s="52" t="str">
        <v/>
      </c>
      <c r="G357" s="48" t="str">
        <v/>
      </c>
      <c r="H357" s="49">
        <v>0</v>
      </c>
      <c r="I357" s="49">
        <v>0</v>
      </c>
      <c r="J357" s="50"/>
    </row>
    <row r="358" outlineLevel="1" spans="1:10">
      <c r="A358" s="50">
        <v>298</v>
      </c>
      <c r="B358" s="51" t="str">
        <v>散水-40厚C20细石</v>
      </c>
      <c r="C358" s="51" t="e">
        <v>#REF!</v>
      </c>
      <c r="D358" s="51" t="str">
        <v/>
      </c>
      <c r="E358" s="51" t="str">
        <v/>
      </c>
      <c r="F358" s="52" t="e">
        <v>#REF!</v>
      </c>
      <c r="G358" s="48" t="e">
        <v>#REF!</v>
      </c>
      <c r="H358" s="49">
        <v>60.04</v>
      </c>
      <c r="I358" s="49" t="e">
        <v>#REF!</v>
      </c>
      <c r="J358" s="50"/>
    </row>
    <row r="359" outlineLevel="1" spans="1:10">
      <c r="A359" s="50">
        <v>299</v>
      </c>
      <c r="B359" s="51" t="str">
        <v>散水-150厚3:7灰土</v>
      </c>
      <c r="C359" s="51" t="e">
        <v>#REF!</v>
      </c>
      <c r="D359" s="51" t="str">
        <v/>
      </c>
      <c r="E359" s="51" t="str">
        <v/>
      </c>
      <c r="F359" s="52" t="e">
        <v>#REF!</v>
      </c>
      <c r="G359" s="48" t="e">
        <v>#REF!</v>
      </c>
      <c r="H359" s="49">
        <v>60.04</v>
      </c>
      <c r="I359" s="49" t="e">
        <v>#REF!</v>
      </c>
      <c r="J359" s="50"/>
    </row>
    <row r="360" outlineLevel="1" spans="1:10">
      <c r="A360" s="50">
        <v>300</v>
      </c>
      <c r="B360" s="51" t="str">
        <v>散水-素土夯实</v>
      </c>
      <c r="C360" s="51" t="e">
        <v>#REF!</v>
      </c>
      <c r="D360" s="51" t="str">
        <v/>
      </c>
      <c r="E360" s="51" t="str">
        <v/>
      </c>
      <c r="F360" s="52" t="e">
        <v>#REF!</v>
      </c>
      <c r="G360" s="48" t="e">
        <v>#REF!</v>
      </c>
      <c r="H360" s="49">
        <v>60.04</v>
      </c>
      <c r="I360" s="49" t="e">
        <v>#REF!</v>
      </c>
      <c r="J360" s="50"/>
    </row>
    <row r="361" outlineLevel="1" spans="1:10">
      <c r="A361" s="50" t="str">
        <v/>
      </c>
      <c r="B361" s="51" t="str">
        <v/>
      </c>
      <c r="C361" s="51" t="str">
        <v>成品明沟</v>
      </c>
      <c r="D361" s="51" t="str">
        <v/>
      </c>
      <c r="E361" s="51" t="str">
        <v/>
      </c>
      <c r="F361" s="52" t="str">
        <v/>
      </c>
      <c r="G361" s="48" t="str">
        <v/>
      </c>
      <c r="H361" s="49">
        <v>0</v>
      </c>
      <c r="I361" s="49">
        <v>0</v>
      </c>
      <c r="J361" s="50"/>
    </row>
    <row r="362" ht="28.8" outlineLevel="1" spans="1:10">
      <c r="A362" s="50">
        <v>298</v>
      </c>
      <c r="B362" s="51" t="str">
        <v>成品排水沟（含结构篦子）</v>
      </c>
      <c r="C362" s="51" t="e">
        <v>#REF!</v>
      </c>
      <c r="D362" s="51" t="str">
        <v/>
      </c>
      <c r="E362" s="51" t="str">
        <v/>
      </c>
      <c r="F362" s="52" t="e">
        <v>#REF!</v>
      </c>
      <c r="G362" s="48" t="e">
        <v>#REF!</v>
      </c>
      <c r="H362" s="49">
        <v>0</v>
      </c>
      <c r="I362" s="49" t="e">
        <v>#REF!</v>
      </c>
      <c r="J362" s="50"/>
    </row>
    <row r="363" outlineLevel="1" spans="1:10">
      <c r="A363" s="50" t="str">
        <v/>
      </c>
      <c r="B363" s="51" t="str">
        <v>明沟</v>
      </c>
      <c r="C363" s="51" t="str">
        <v/>
      </c>
      <c r="D363" s="51" t="str">
        <v/>
      </c>
      <c r="E363" s="51" t="str">
        <v/>
      </c>
      <c r="F363" s="52" t="str">
        <v/>
      </c>
      <c r="G363" s="48" t="str">
        <v/>
      </c>
      <c r="H363" s="49">
        <v>0</v>
      </c>
      <c r="I363" s="49">
        <v>0</v>
      </c>
      <c r="J363" s="50"/>
    </row>
    <row r="364" outlineLevel="1" spans="1:10">
      <c r="A364" s="50">
        <v>301</v>
      </c>
      <c r="B364" s="51" t="str">
        <v>明沟-雨水篦子</v>
      </c>
      <c r="C364" s="51" t="e">
        <v>#REF!</v>
      </c>
      <c r="D364" s="51" t="str">
        <v/>
      </c>
      <c r="E364" s="51" t="str">
        <v/>
      </c>
      <c r="F364" s="52" t="e">
        <v>#REF!</v>
      </c>
      <c r="G364" s="48" t="e">
        <v>#REF!</v>
      </c>
      <c r="H364" s="49">
        <v>0</v>
      </c>
      <c r="I364" s="49" t="e">
        <v>#REF!</v>
      </c>
      <c r="J364" s="50"/>
    </row>
    <row r="365" outlineLevel="1" spans="1:10">
      <c r="A365" s="50">
        <v>302</v>
      </c>
      <c r="B365" s="51" t="str">
        <v>明沟-20厚M20水泥砂浆</v>
      </c>
      <c r="C365" s="51" t="e">
        <v>#REF!</v>
      </c>
      <c r="D365" s="51" t="str">
        <v/>
      </c>
      <c r="E365" s="51" t="str">
        <v/>
      </c>
      <c r="F365" s="52" t="e">
        <v>#REF!</v>
      </c>
      <c r="G365" s="48" t="e">
        <v>#REF!</v>
      </c>
      <c r="H365" s="49">
        <v>0</v>
      </c>
      <c r="I365" s="49" t="e">
        <v>#REF!</v>
      </c>
      <c r="J365" s="50"/>
    </row>
    <row r="366" ht="28.8" outlineLevel="1" spans="1:10">
      <c r="A366" s="50">
        <v>303</v>
      </c>
      <c r="B366" s="51" t="str">
        <v>明沟-20厚C20细石砼找坡</v>
      </c>
      <c r="C366" s="51" t="e">
        <v>#REF!</v>
      </c>
      <c r="D366" s="51" t="str">
        <v/>
      </c>
      <c r="E366" s="51" t="str">
        <v/>
      </c>
      <c r="F366" s="52" t="e">
        <v>#REF!</v>
      </c>
      <c r="G366" s="48" t="e">
        <v>#REF!</v>
      </c>
      <c r="H366" s="49">
        <v>0</v>
      </c>
      <c r="I366" s="49" t="e">
        <v>#REF!</v>
      </c>
      <c r="J366" s="50"/>
    </row>
    <row r="367" outlineLevel="1" spans="1:10">
      <c r="A367" s="50">
        <v>304</v>
      </c>
      <c r="B367" s="51" t="str">
        <v>明沟-80厚C20砼</v>
      </c>
      <c r="C367" s="51" t="e">
        <v>#REF!</v>
      </c>
      <c r="D367" s="51" t="str">
        <v/>
      </c>
      <c r="E367" s="51" t="str">
        <v/>
      </c>
      <c r="F367" s="52" t="e">
        <v>#REF!</v>
      </c>
      <c r="G367" s="48" t="e">
        <v>#REF!</v>
      </c>
      <c r="H367" s="49">
        <v>0</v>
      </c>
      <c r="I367" s="49" t="e">
        <v>#REF!</v>
      </c>
      <c r="J367" s="50"/>
    </row>
    <row r="368" outlineLevel="1" spans="1:10">
      <c r="A368" s="50">
        <v>305</v>
      </c>
      <c r="B368" s="51" t="str">
        <v>明沟-100厚3:7灰土</v>
      </c>
      <c r="C368" s="51" t="e">
        <v>#REF!</v>
      </c>
      <c r="D368" s="51" t="str">
        <v/>
      </c>
      <c r="E368" s="51" t="str">
        <v/>
      </c>
      <c r="F368" s="52" t="e">
        <v>#REF!</v>
      </c>
      <c r="G368" s="48" t="e">
        <v>#REF!</v>
      </c>
      <c r="H368" s="49">
        <v>0</v>
      </c>
      <c r="I368" s="49" t="e">
        <v>#REF!</v>
      </c>
      <c r="J368" s="50"/>
    </row>
    <row r="369" ht="28.8" outlineLevel="1" spans="1:10">
      <c r="A369" s="50" t="str">
        <v/>
      </c>
      <c r="B369" s="51" t="str">
        <v>台阶（参12J1-155-台6，结构面交付）</v>
      </c>
      <c r="C369" s="51" t="str">
        <v/>
      </c>
      <c r="D369" s="51" t="str">
        <v/>
      </c>
      <c r="E369" s="51" t="str">
        <v/>
      </c>
      <c r="F369" s="52" t="str">
        <v/>
      </c>
      <c r="G369" s="48" t="str">
        <v/>
      </c>
      <c r="H369" s="49">
        <v>0</v>
      </c>
      <c r="I369" s="49">
        <v>0</v>
      </c>
      <c r="J369" s="50"/>
    </row>
    <row r="370" outlineLevel="1" spans="1:10">
      <c r="A370" s="50">
        <v>306</v>
      </c>
      <c r="B370" s="51" t="str">
        <v>台阶-60厚C15砼</v>
      </c>
      <c r="C370" s="51" t="e">
        <v>#REF!</v>
      </c>
      <c r="D370" s="51" t="str">
        <v/>
      </c>
      <c r="E370" s="51" t="str">
        <v/>
      </c>
      <c r="F370" s="52" t="e">
        <v>#REF!</v>
      </c>
      <c r="G370" s="48" t="e">
        <v>#REF!</v>
      </c>
      <c r="H370" s="49">
        <v>133.5</v>
      </c>
      <c r="I370" s="49" t="e">
        <v>#REF!</v>
      </c>
      <c r="J370" s="50"/>
    </row>
    <row r="371" outlineLevel="1" spans="1:10">
      <c r="A371" s="50">
        <v>307</v>
      </c>
      <c r="B371" s="51" t="str">
        <v>台阶-300厚3:7灰土</v>
      </c>
      <c r="C371" s="51" t="e">
        <v>#REF!</v>
      </c>
      <c r="D371" s="51" t="str">
        <v/>
      </c>
      <c r="E371" s="51" t="str">
        <v/>
      </c>
      <c r="F371" s="52" t="e">
        <v>#REF!</v>
      </c>
      <c r="G371" s="48" t="e">
        <v>#REF!</v>
      </c>
      <c r="H371" s="49">
        <v>133.5</v>
      </c>
      <c r="I371" s="49" t="e">
        <v>#REF!</v>
      </c>
      <c r="J371" s="50"/>
    </row>
    <row r="372" outlineLevel="1" spans="1:10">
      <c r="A372" s="50">
        <v>308</v>
      </c>
      <c r="B372" s="51" t="str">
        <v>台阶-素土夯实</v>
      </c>
      <c r="C372" s="51" t="e">
        <v>#REF!</v>
      </c>
      <c r="D372" s="51" t="str">
        <v/>
      </c>
      <c r="E372" s="51" t="str">
        <v/>
      </c>
      <c r="F372" s="52" t="e">
        <v>#REF!</v>
      </c>
      <c r="G372" s="48" t="e">
        <v>#REF!</v>
      </c>
      <c r="H372" s="49">
        <v>133.5</v>
      </c>
      <c r="I372" s="49" t="e">
        <v>#REF!</v>
      </c>
      <c r="J372" s="50"/>
    </row>
    <row r="373" ht="28.8" outlineLevel="1" spans="1:10">
      <c r="A373" s="50" t="str">
        <v/>
      </c>
      <c r="B373" s="51" t="str">
        <v>坡道（参12J12-25-3，结构面交付）</v>
      </c>
      <c r="C373" s="51" t="str">
        <v/>
      </c>
      <c r="D373" s="51" t="str">
        <v/>
      </c>
      <c r="E373" s="51" t="str">
        <v/>
      </c>
      <c r="F373" s="52" t="str">
        <v/>
      </c>
      <c r="G373" s="48" t="str">
        <v/>
      </c>
      <c r="H373" s="49">
        <v>0</v>
      </c>
      <c r="I373" s="49">
        <v>0</v>
      </c>
      <c r="J373" s="50"/>
    </row>
    <row r="374" outlineLevel="1" spans="1:10">
      <c r="A374" s="50">
        <v>309</v>
      </c>
      <c r="B374" s="51" t="str">
        <v>坡道-100厚C15</v>
      </c>
      <c r="C374" s="51" t="e">
        <v>#REF!</v>
      </c>
      <c r="D374" s="51" t="str">
        <v/>
      </c>
      <c r="E374" s="51" t="str">
        <v/>
      </c>
      <c r="F374" s="52" t="e">
        <v>#REF!</v>
      </c>
      <c r="G374" s="48" t="e">
        <v>#REF!</v>
      </c>
      <c r="H374" s="49">
        <v>106.32</v>
      </c>
      <c r="I374" s="49" t="e">
        <v>#REF!</v>
      </c>
      <c r="J374" s="50"/>
    </row>
    <row r="375" outlineLevel="1" spans="1:10">
      <c r="A375" s="50">
        <v>310</v>
      </c>
      <c r="B375" s="51" t="str">
        <v>坡道-300厚3:7灰土</v>
      </c>
      <c r="C375" s="51" t="e">
        <v>#REF!</v>
      </c>
      <c r="D375" s="51" t="str">
        <v/>
      </c>
      <c r="E375" s="51" t="str">
        <v/>
      </c>
      <c r="F375" s="52" t="e">
        <v>#REF!</v>
      </c>
      <c r="G375" s="48" t="e">
        <v>#REF!</v>
      </c>
      <c r="H375" s="49">
        <v>106.32</v>
      </c>
      <c r="I375" s="49" t="e">
        <v>#REF!</v>
      </c>
      <c r="J375" s="50"/>
    </row>
    <row r="376" outlineLevel="1" spans="1:10">
      <c r="A376" s="50">
        <v>311</v>
      </c>
      <c r="B376" s="51" t="str">
        <v>坡道-素土夯实</v>
      </c>
      <c r="C376" s="51" t="e">
        <v>#REF!</v>
      </c>
      <c r="D376" s="51" t="str">
        <v/>
      </c>
      <c r="E376" s="51" t="str">
        <v/>
      </c>
      <c r="F376" s="52" t="e">
        <v>#REF!</v>
      </c>
      <c r="G376" s="48" t="e">
        <v>#REF!</v>
      </c>
      <c r="H376" s="49">
        <v>106.32</v>
      </c>
      <c r="I376" s="49" t="e">
        <v>#REF!</v>
      </c>
      <c r="J376" s="50"/>
    </row>
    <row r="377" outlineLevel="1" spans="1:10">
      <c r="A377" s="50">
        <v>312</v>
      </c>
      <c r="B377" s="51" t="str">
        <v>水簸箕-C20细石砼</v>
      </c>
      <c r="C377" s="51" t="e">
        <v>#REF!</v>
      </c>
      <c r="D377" s="51" t="str">
        <v/>
      </c>
      <c r="E377" s="51" t="str">
        <v/>
      </c>
      <c r="F377" s="52" t="e">
        <v>#REF!</v>
      </c>
      <c r="G377" s="48" t="e">
        <v>#REF!</v>
      </c>
      <c r="H377" s="49">
        <v>1</v>
      </c>
      <c r="I377" s="49" t="e">
        <v>#REF!</v>
      </c>
      <c r="J377" s="50"/>
    </row>
    <row r="378" outlineLevel="1" spans="1:10">
      <c r="A378" s="50">
        <v>313</v>
      </c>
      <c r="B378" s="51" t="str">
        <v>卫生间排气道</v>
      </c>
      <c r="C378" s="51" t="e">
        <v>#REF!</v>
      </c>
      <c r="D378" s="51" t="str">
        <v/>
      </c>
      <c r="E378" s="51" t="str">
        <v/>
      </c>
      <c r="F378" s="52" t="e">
        <v>#REF!</v>
      </c>
      <c r="G378" s="48" t="e">
        <v>#REF!</v>
      </c>
      <c r="H378" s="49">
        <v>4.9</v>
      </c>
      <c r="I378" s="49" t="e">
        <v>#REF!</v>
      </c>
      <c r="J378" s="50"/>
    </row>
    <row r="379" outlineLevel="1" spans="1:10">
      <c r="A379" s="50">
        <v>314</v>
      </c>
      <c r="B379" s="51" t="str">
        <v>厨房排气道</v>
      </c>
      <c r="C379" s="51" t="e">
        <v>#REF!</v>
      </c>
      <c r="D379" s="51" t="str">
        <v/>
      </c>
      <c r="E379" s="51" t="str">
        <v/>
      </c>
      <c r="F379" s="52" t="e">
        <v>#REF!</v>
      </c>
      <c r="G379" s="48" t="e">
        <v>#REF!</v>
      </c>
      <c r="H379" s="49">
        <v>0</v>
      </c>
      <c r="I379" s="49" t="e">
        <v>#REF!</v>
      </c>
      <c r="J379" s="50"/>
    </row>
    <row r="380" outlineLevel="1" spans="1:10">
      <c r="A380" s="50" t="str">
        <v/>
      </c>
      <c r="B380" s="51" t="str">
        <v>A.03.03钢筋工程</v>
      </c>
      <c r="C380" s="51" t="str">
        <v/>
      </c>
      <c r="D380" s="51" t="str">
        <v/>
      </c>
      <c r="E380" s="51" t="str">
        <v/>
      </c>
      <c r="F380" s="52" t="str">
        <v/>
      </c>
      <c r="G380" s="48" t="str">
        <v/>
      </c>
      <c r="H380" s="49">
        <v>0</v>
      </c>
      <c r="I380" s="49" t="e">
        <v>#REF!</v>
      </c>
      <c r="J380" s="50"/>
    </row>
    <row r="381" ht="28.8" outlineLevel="1" spans="1:10">
      <c r="A381" s="50">
        <v>315</v>
      </c>
      <c r="B381" s="51" t="str">
        <v>地上现浇构件钢筋-φ10以内</v>
      </c>
      <c r="C381" s="51" t="e">
        <v>#REF!</v>
      </c>
      <c r="D381" s="51" t="str">
        <v/>
      </c>
      <c r="E381" s="51" t="str">
        <v/>
      </c>
      <c r="F381" s="52" t="e">
        <v>#REF!</v>
      </c>
      <c r="G381" s="48" t="e">
        <v>#REF!</v>
      </c>
      <c r="H381" s="49">
        <v>0.001</v>
      </c>
      <c r="I381" s="49" t="e">
        <v>#REF!</v>
      </c>
      <c r="J381" s="50"/>
    </row>
    <row r="382" ht="28.8" outlineLevel="1" spans="1:10">
      <c r="A382" s="50">
        <v>316</v>
      </c>
      <c r="B382" s="51" t="str">
        <v>地上现浇构件钢筋-三级钢筋 Φ6</v>
      </c>
      <c r="C382" s="51" t="e">
        <v>#REF!</v>
      </c>
      <c r="D382" s="51" t="str">
        <v/>
      </c>
      <c r="E382" s="51" t="str">
        <v/>
      </c>
      <c r="F382" s="52" t="e">
        <v>#REF!</v>
      </c>
      <c r="G382" s="48" t="e">
        <v>#REF!</v>
      </c>
      <c r="H382" s="49">
        <v>0.202</v>
      </c>
      <c r="I382" s="49" t="e">
        <v>#REF!</v>
      </c>
      <c r="J382" s="50"/>
    </row>
    <row r="383" ht="28.8" outlineLevel="1" spans="1:10">
      <c r="A383" s="50">
        <v>317</v>
      </c>
      <c r="B383" s="51" t="str">
        <v>地上现浇构件钢筋-三级钢筋 Φ8</v>
      </c>
      <c r="C383" s="51" t="e">
        <v>#REF!</v>
      </c>
      <c r="D383" s="51" t="str">
        <v/>
      </c>
      <c r="E383" s="51" t="str">
        <v/>
      </c>
      <c r="F383" s="52" t="e">
        <v>#REF!</v>
      </c>
      <c r="G383" s="48" t="e">
        <v>#REF!</v>
      </c>
      <c r="H383" s="49">
        <v>0.202</v>
      </c>
      <c r="I383" s="49" t="e">
        <v>#REF!</v>
      </c>
      <c r="J383" s="50"/>
    </row>
    <row r="384" ht="28.8" outlineLevel="1" spans="1:10">
      <c r="A384" s="50">
        <v>318</v>
      </c>
      <c r="B384" s="51" t="str">
        <v>地上现浇构件钢筋-三级钢筋 Φ10</v>
      </c>
      <c r="C384" s="51" t="e">
        <v>#REF!</v>
      </c>
      <c r="D384" s="51" t="str">
        <v/>
      </c>
      <c r="E384" s="51" t="str">
        <v/>
      </c>
      <c r="F384" s="52" t="e">
        <v>#REF!</v>
      </c>
      <c r="G384" s="48" t="e">
        <v>#REF!</v>
      </c>
      <c r="H384" s="49">
        <v>0.082</v>
      </c>
      <c r="I384" s="49" t="e">
        <v>#REF!</v>
      </c>
      <c r="J384" s="50"/>
    </row>
    <row r="385" ht="28.8" outlineLevel="1" spans="1:10">
      <c r="A385" s="50">
        <v>319</v>
      </c>
      <c r="B385" s="51" t="str">
        <v>地上现浇构件钢筋-三级钢筋 Φ12</v>
      </c>
      <c r="C385" s="51" t="e">
        <v>#REF!</v>
      </c>
      <c r="D385" s="51" t="str">
        <v/>
      </c>
      <c r="E385" s="51" t="str">
        <v/>
      </c>
      <c r="F385" s="52" t="e">
        <v>#REF!</v>
      </c>
      <c r="G385" s="48" t="e">
        <v>#REF!</v>
      </c>
      <c r="H385" s="49">
        <v>0.976</v>
      </c>
      <c r="I385" s="49" t="e">
        <v>#REF!</v>
      </c>
      <c r="J385" s="50"/>
    </row>
    <row r="386" ht="28.8" outlineLevel="1" spans="1:10">
      <c r="A386" s="50">
        <v>320</v>
      </c>
      <c r="B386" s="51" t="str">
        <v>地上砌体加筋-三级钢筋 Φ6</v>
      </c>
      <c r="C386" s="51" t="e">
        <v>#REF!</v>
      </c>
      <c r="D386" s="51" t="str">
        <v/>
      </c>
      <c r="E386" s="51" t="str">
        <v/>
      </c>
      <c r="F386" s="52" t="e">
        <v>#REF!</v>
      </c>
      <c r="G386" s="48" t="e">
        <v>#REF!</v>
      </c>
      <c r="H386" s="49">
        <v>1.166</v>
      </c>
      <c r="I386" s="49" t="e">
        <v>#REF!</v>
      </c>
      <c r="J386" s="50"/>
    </row>
    <row r="387" ht="28.8" outlineLevel="1" spans="1:10">
      <c r="A387" s="50">
        <v>321</v>
      </c>
      <c r="B387" s="51" t="str">
        <v>地上现浇构件钢筋-三级钢筋 Φ20</v>
      </c>
      <c r="C387" s="51" t="e">
        <v>#REF!</v>
      </c>
      <c r="D387" s="51" t="str">
        <v/>
      </c>
      <c r="E387" s="51" t="str">
        <v/>
      </c>
      <c r="F387" s="52" t="e">
        <v>#REF!</v>
      </c>
      <c r="G387" s="48" t="e">
        <v>#REF!</v>
      </c>
      <c r="H387" s="49">
        <v>0.053</v>
      </c>
      <c r="I387" s="49" t="e">
        <v>#REF!</v>
      </c>
      <c r="J387" s="50"/>
    </row>
    <row r="388" outlineLevel="1" spans="1:10">
      <c r="A388" s="50" t="str">
        <v/>
      </c>
      <c r="B388" s="51" t="str">
        <v>A.03.04金属工程</v>
      </c>
      <c r="C388" s="51" t="str">
        <v/>
      </c>
      <c r="D388" s="51" t="str">
        <v/>
      </c>
      <c r="E388" s="51" t="str">
        <v/>
      </c>
      <c r="F388" s="52" t="str">
        <v/>
      </c>
      <c r="G388" s="48" t="str">
        <v/>
      </c>
      <c r="H388" s="49">
        <v>0</v>
      </c>
      <c r="I388" s="49" t="e">
        <v>#REF!</v>
      </c>
      <c r="J388" s="50"/>
    </row>
    <row r="389" outlineLevel="1" spans="1:10">
      <c r="A389" s="50">
        <v>322</v>
      </c>
      <c r="B389" s="51" t="str">
        <v>钢爬梯-屋面检修</v>
      </c>
      <c r="C389" s="51" t="e">
        <v>#REF!</v>
      </c>
      <c r="D389" s="51" t="str">
        <v/>
      </c>
      <c r="E389" s="51" t="str">
        <v/>
      </c>
      <c r="F389" s="52" t="e">
        <v>#REF!</v>
      </c>
      <c r="G389" s="48" t="e">
        <v>#REF!</v>
      </c>
      <c r="H389" s="49">
        <v>0.025</v>
      </c>
      <c r="I389" s="49" t="e">
        <v>#REF!</v>
      </c>
      <c r="J389" s="50"/>
    </row>
    <row r="390" outlineLevel="1" spans="1:10">
      <c r="A390" s="50">
        <v>323</v>
      </c>
      <c r="B390" s="51" t="str">
        <v>机房钢梯</v>
      </c>
      <c r="C390" s="51" t="e">
        <v>#REF!</v>
      </c>
      <c r="D390" s="51" t="str">
        <v/>
      </c>
      <c r="E390" s="51" t="str">
        <v/>
      </c>
      <c r="F390" s="52" t="e">
        <v>#REF!</v>
      </c>
      <c r="G390" s="48" t="e">
        <v>#REF!</v>
      </c>
      <c r="H390" s="49">
        <v>0</v>
      </c>
      <c r="I390" s="49" t="e">
        <v>#REF!</v>
      </c>
      <c r="J390" s="50"/>
    </row>
    <row r="391" ht="28.8" outlineLevel="1" spans="1:10">
      <c r="A391" s="50">
        <v>324</v>
      </c>
      <c r="B391" s="51" t="str">
        <v>不同材质墙体交接处挂钢丝网</v>
      </c>
      <c r="C391" s="51" t="e">
        <v>#REF!</v>
      </c>
      <c r="D391" s="51" t="str">
        <v/>
      </c>
      <c r="E391" s="51" t="str">
        <v/>
      </c>
      <c r="F391" s="52" t="e">
        <v>#REF!</v>
      </c>
      <c r="G391" s="48" t="e">
        <v>#REF!</v>
      </c>
      <c r="H391" s="49">
        <v>219.36</v>
      </c>
      <c r="I391" s="49" t="e">
        <v>#REF!</v>
      </c>
      <c r="J391" s="50"/>
    </row>
    <row r="392" outlineLevel="1" spans="1:10">
      <c r="A392" s="50">
        <v>325</v>
      </c>
      <c r="B392" s="51" t="str">
        <v>砌块墙钢丝网满挂</v>
      </c>
      <c r="C392" s="51" t="e">
        <v>#REF!</v>
      </c>
      <c r="D392" s="51" t="str">
        <v/>
      </c>
      <c r="E392" s="51" t="str">
        <v/>
      </c>
      <c r="F392" s="52" t="e">
        <v>#REF!</v>
      </c>
      <c r="G392" s="48" t="e">
        <v>#REF!</v>
      </c>
      <c r="H392" s="49">
        <v>413.68</v>
      </c>
      <c r="I392" s="49" t="e">
        <v>#REF!</v>
      </c>
      <c r="J392" s="50"/>
    </row>
    <row r="393" outlineLevel="1" spans="1:10">
      <c r="A393" s="50">
        <v>326</v>
      </c>
      <c r="B393" s="51" t="str">
        <v>预埋铁件</v>
      </c>
      <c r="C393" s="51" t="e">
        <v>#REF!</v>
      </c>
      <c r="D393" s="51" t="str">
        <v/>
      </c>
      <c r="E393" s="51" t="str">
        <v/>
      </c>
      <c r="F393" s="52" t="e">
        <v>#REF!</v>
      </c>
      <c r="G393" s="48" t="e">
        <v>#REF!</v>
      </c>
      <c r="H393" s="49">
        <v>1.109</v>
      </c>
      <c r="I393" s="49" t="e">
        <v>#REF!</v>
      </c>
      <c r="J393" s="50"/>
    </row>
    <row r="394" outlineLevel="1" spans="1:10">
      <c r="A394" s="50" t="str">
        <v/>
      </c>
      <c r="B394" s="51" t="str">
        <v>A.04隔热防水工程</v>
      </c>
      <c r="C394" s="51" t="str">
        <v/>
      </c>
      <c r="D394" s="51" t="str">
        <v/>
      </c>
      <c r="E394" s="51" t="str">
        <v/>
      </c>
      <c r="F394" s="52" t="str">
        <v/>
      </c>
      <c r="G394" s="48" t="str">
        <v/>
      </c>
      <c r="H394" s="49">
        <v>0</v>
      </c>
      <c r="I394" s="49" t="e">
        <v>#REF!</v>
      </c>
      <c r="J394" s="50"/>
    </row>
    <row r="395" outlineLevel="1" spans="1:10">
      <c r="A395" s="50" t="str">
        <v/>
      </c>
      <c r="B395" s="51" t="str">
        <v>A.04.02屋面与防水工程</v>
      </c>
      <c r="C395" s="51" t="str">
        <v/>
      </c>
      <c r="D395" s="51" t="str">
        <v/>
      </c>
      <c r="E395" s="51" t="str">
        <v/>
      </c>
      <c r="F395" s="52" t="str">
        <v/>
      </c>
      <c r="G395" s="48" t="str">
        <v/>
      </c>
      <c r="H395" s="49">
        <v>0</v>
      </c>
      <c r="I395" s="49" t="e">
        <v>#REF!</v>
      </c>
      <c r="J395" s="50"/>
    </row>
    <row r="396" outlineLevel="1" spans="1:10">
      <c r="A396" s="50" t="str">
        <v/>
      </c>
      <c r="B396" s="51" t="str">
        <v>住宅上人屋面</v>
      </c>
      <c r="C396" s="51" t="str">
        <v/>
      </c>
      <c r="D396" s="51" t="str">
        <v/>
      </c>
      <c r="E396" s="51" t="str">
        <v/>
      </c>
      <c r="F396" s="52" t="str">
        <v/>
      </c>
      <c r="G396" s="48" t="str">
        <v/>
      </c>
      <c r="H396" s="49">
        <v>0</v>
      </c>
      <c r="I396" s="49">
        <v>0</v>
      </c>
      <c r="J396" s="50"/>
    </row>
    <row r="397" outlineLevel="1" spans="1:10">
      <c r="A397" s="50">
        <v>327</v>
      </c>
      <c r="B397" s="51" t="str">
        <v>屋面-40厚C20细石砼</v>
      </c>
      <c r="C397" s="51" t="e">
        <v>#REF!</v>
      </c>
      <c r="D397" s="51" t="str">
        <v/>
      </c>
      <c r="E397" s="51" t="str">
        <v/>
      </c>
      <c r="F397" s="52" t="e">
        <v>#REF!</v>
      </c>
      <c r="G397" s="48" t="e">
        <v>#REF!</v>
      </c>
      <c r="H397" s="49">
        <v>1</v>
      </c>
      <c r="I397" s="49" t="e">
        <v>#REF!</v>
      </c>
      <c r="J397" s="50"/>
    </row>
    <row r="398" outlineLevel="1" spans="1:10">
      <c r="A398" s="50">
        <v>328</v>
      </c>
      <c r="B398" s="51" t="str">
        <v>屋面-φ4@200钢筋网</v>
      </c>
      <c r="C398" s="51" t="e">
        <v>#REF!</v>
      </c>
      <c r="D398" s="51" t="str">
        <v/>
      </c>
      <c r="E398" s="51" t="str">
        <v/>
      </c>
      <c r="F398" s="52" t="e">
        <v>#REF!</v>
      </c>
      <c r="G398" s="48" t="e">
        <v>#REF!</v>
      </c>
      <c r="H398" s="49">
        <v>1</v>
      </c>
      <c r="I398" s="49" t="e">
        <v>#REF!</v>
      </c>
      <c r="J398" s="50"/>
    </row>
    <row r="399" outlineLevel="1" spans="1:10">
      <c r="A399" s="50">
        <v>329</v>
      </c>
      <c r="B399" s="51" t="str">
        <v>屋面-土工布</v>
      </c>
      <c r="C399" s="51" t="e">
        <v>#REF!</v>
      </c>
      <c r="D399" s="51" t="str">
        <v/>
      </c>
      <c r="E399" s="51" t="str">
        <v/>
      </c>
      <c r="F399" s="52" t="e">
        <v>#REF!</v>
      </c>
      <c r="G399" s="48" t="e">
        <v>#REF!</v>
      </c>
      <c r="H399" s="49">
        <v>1</v>
      </c>
      <c r="I399" s="49" t="e">
        <v>#REF!</v>
      </c>
      <c r="J399" s="50"/>
    </row>
    <row r="400" outlineLevel="1" spans="1:10">
      <c r="A400" s="50">
        <v>330</v>
      </c>
      <c r="B400" s="51" t="str">
        <v>屋面-3+3SBS</v>
      </c>
      <c r="C400" s="51" t="e">
        <v>#REF!</v>
      </c>
      <c r="D400" s="51" t="str">
        <v/>
      </c>
      <c r="E400" s="51" t="str">
        <v/>
      </c>
      <c r="F400" s="52" t="e">
        <v>#REF!</v>
      </c>
      <c r="G400" s="48" t="e">
        <v>#REF!</v>
      </c>
      <c r="H400" s="49">
        <v>1</v>
      </c>
      <c r="I400" s="49" t="e">
        <v>#REF!</v>
      </c>
      <c r="J400" s="50"/>
    </row>
    <row r="401" outlineLevel="1" spans="1:10">
      <c r="A401" s="50">
        <v>331</v>
      </c>
      <c r="B401" s="51" t="str">
        <v>屋面-30厚C20细石砼</v>
      </c>
      <c r="C401" s="51" t="e">
        <v>#REF!</v>
      </c>
      <c r="D401" s="51" t="str">
        <v>屋面</v>
      </c>
      <c r="E401" s="51" t="str">
        <v>屋面</v>
      </c>
      <c r="F401" s="52" t="e">
        <v>#REF!</v>
      </c>
      <c r="G401" s="48" t="e">
        <v>#REF!</v>
      </c>
      <c r="H401" s="49">
        <v>1</v>
      </c>
      <c r="I401" s="49" t="e">
        <v>#REF!</v>
      </c>
      <c r="J401" s="50"/>
    </row>
    <row r="402" ht="28.8" outlineLevel="1" spans="1:10">
      <c r="A402" s="50">
        <v>332</v>
      </c>
      <c r="B402" s="51" t="str">
        <v>屋面-最薄处30厚焦渣找坡</v>
      </c>
      <c r="C402" s="51" t="e">
        <v>#REF!</v>
      </c>
      <c r="D402" s="51" t="str">
        <v/>
      </c>
      <c r="E402" s="51" t="str">
        <v/>
      </c>
      <c r="F402" s="52" t="e">
        <v>#REF!</v>
      </c>
      <c r="G402" s="48" t="e">
        <v>#REF!</v>
      </c>
      <c r="H402" s="49">
        <v>1</v>
      </c>
      <c r="I402" s="49" t="e">
        <v>#REF!</v>
      </c>
      <c r="J402" s="50"/>
    </row>
    <row r="403" outlineLevel="1" spans="1:10">
      <c r="A403" s="50">
        <v>333</v>
      </c>
      <c r="B403" s="51" t="str">
        <v>屋面-110厚XPS</v>
      </c>
      <c r="C403" s="51" t="e">
        <v>#REF!</v>
      </c>
      <c r="D403" s="51" t="str">
        <v/>
      </c>
      <c r="E403" s="51" t="str">
        <v/>
      </c>
      <c r="F403" s="52" t="e">
        <v>#REF!</v>
      </c>
      <c r="G403" s="48" t="e">
        <v>#REF!</v>
      </c>
      <c r="H403" s="49">
        <v>0</v>
      </c>
      <c r="I403" s="49" t="e">
        <v>#REF!</v>
      </c>
      <c r="J403" s="50"/>
    </row>
    <row r="404" outlineLevel="1" spans="1:10">
      <c r="A404" s="50">
        <v>334</v>
      </c>
      <c r="B404" s="51" t="str">
        <v>屋面-190厚EPS</v>
      </c>
      <c r="C404" s="51" t="e">
        <v>#REF!</v>
      </c>
      <c r="D404" s="51" t="str">
        <v/>
      </c>
      <c r="E404" s="51" t="str">
        <v/>
      </c>
      <c r="F404" s="52" t="e">
        <v>#REF!</v>
      </c>
      <c r="G404" s="48" t="e">
        <v>#REF!</v>
      </c>
      <c r="H404" s="49">
        <v>1</v>
      </c>
      <c r="I404" s="49" t="e">
        <v>#REF!</v>
      </c>
      <c r="J404" s="50"/>
    </row>
    <row r="405" outlineLevel="1" spans="1:10">
      <c r="A405" s="50" t="str">
        <v/>
      </c>
      <c r="B405" s="51" t="str">
        <v>被动式住宅屋面</v>
      </c>
      <c r="C405" s="51" t="str">
        <v/>
      </c>
      <c r="D405" s="51" t="str">
        <v/>
      </c>
      <c r="E405" s="51" t="str">
        <v/>
      </c>
      <c r="F405" s="52" t="str">
        <v/>
      </c>
      <c r="G405" s="48" t="str">
        <v/>
      </c>
      <c r="H405" s="49">
        <v>0</v>
      </c>
      <c r="I405" s="49">
        <v>0</v>
      </c>
      <c r="J405" s="50"/>
    </row>
    <row r="406" outlineLevel="1" spans="1:10">
      <c r="A406" s="50">
        <v>335</v>
      </c>
      <c r="B406" s="51" t="str">
        <v>屋面-40厚C20细石砼</v>
      </c>
      <c r="C406" s="51" t="e">
        <v>#REF!</v>
      </c>
      <c r="D406" s="51" t="str">
        <v/>
      </c>
      <c r="E406" s="51" t="str">
        <v/>
      </c>
      <c r="F406" s="52" t="e">
        <v>#REF!</v>
      </c>
      <c r="G406" s="48" t="e">
        <v>#REF!</v>
      </c>
      <c r="H406" s="49">
        <v>611.61</v>
      </c>
      <c r="I406" s="49" t="e">
        <v>#REF!</v>
      </c>
      <c r="J406" s="50"/>
    </row>
    <row r="407" outlineLevel="1" spans="1:10">
      <c r="A407" s="50">
        <v>336</v>
      </c>
      <c r="B407" s="51" t="str">
        <v>屋面-φ4@200钢筋网</v>
      </c>
      <c r="C407" s="51" t="e">
        <v>#REF!</v>
      </c>
      <c r="D407" s="51" t="str">
        <v/>
      </c>
      <c r="E407" s="51" t="str">
        <v/>
      </c>
      <c r="F407" s="52" t="e">
        <v>#REF!</v>
      </c>
      <c r="G407" s="48" t="e">
        <v>#REF!</v>
      </c>
      <c r="H407" s="49">
        <v>611.61</v>
      </c>
      <c r="I407" s="49" t="e">
        <v>#REF!</v>
      </c>
      <c r="J407" s="50"/>
    </row>
    <row r="408" outlineLevel="1" spans="1:10">
      <c r="A408" s="50">
        <v>337</v>
      </c>
      <c r="B408" s="51" t="str">
        <v>屋面-M7.5水泥砂浆</v>
      </c>
      <c r="C408" s="51" t="e">
        <v>#REF!</v>
      </c>
      <c r="D408" s="51" t="str">
        <v/>
      </c>
      <c r="E408" s="51" t="str">
        <v/>
      </c>
      <c r="F408" s="52" t="e">
        <v>#REF!</v>
      </c>
      <c r="G408" s="48" t="e">
        <v>#REF!</v>
      </c>
      <c r="H408" s="49">
        <v>611.61</v>
      </c>
      <c r="I408" s="49" t="e">
        <v>#REF!</v>
      </c>
      <c r="J408" s="50"/>
    </row>
    <row r="409" ht="28.8" outlineLevel="1" spans="1:10">
      <c r="A409" s="50">
        <v>338</v>
      </c>
      <c r="B409" s="51" t="str">
        <v>屋面-4厚PE玻纤加强聚酯胎卷材</v>
      </c>
      <c r="C409" s="51" t="e">
        <v>#REF!</v>
      </c>
      <c r="D409" s="51" t="str">
        <v/>
      </c>
      <c r="E409" s="51" t="str">
        <v/>
      </c>
      <c r="F409" s="52" t="e">
        <v>#REF!</v>
      </c>
      <c r="G409" s="48" t="e">
        <v>#REF!</v>
      </c>
      <c r="H409" s="49">
        <v>611.61</v>
      </c>
      <c r="I409" s="49" t="e">
        <v>#REF!</v>
      </c>
      <c r="J409" s="50"/>
    </row>
    <row r="410" outlineLevel="1" spans="1:10">
      <c r="A410" s="50">
        <v>339</v>
      </c>
      <c r="B410" s="51" t="str">
        <v>屋面-3厚PE玻纤胎卷材</v>
      </c>
      <c r="C410" s="51" t="e">
        <v>#REF!</v>
      </c>
      <c r="D410" s="51" t="str">
        <v/>
      </c>
      <c r="E410" s="51" t="str">
        <v/>
      </c>
      <c r="F410" s="52" t="e">
        <v>#REF!</v>
      </c>
      <c r="G410" s="48" t="e">
        <v>#REF!</v>
      </c>
      <c r="H410" s="49">
        <v>611.61</v>
      </c>
      <c r="I410" s="49" t="e">
        <v>#REF!</v>
      </c>
      <c r="J410" s="50"/>
    </row>
    <row r="411" outlineLevel="1" spans="1:10">
      <c r="A411" s="50">
        <v>340</v>
      </c>
      <c r="B411" s="51" t="str">
        <v>屋面-250厚石墨聚苯板</v>
      </c>
      <c r="C411" s="51" t="e">
        <v>#REF!</v>
      </c>
      <c r="D411" s="51" t="str">
        <v/>
      </c>
      <c r="E411" s="51" t="str">
        <v/>
      </c>
      <c r="F411" s="52" t="e">
        <v>#REF!</v>
      </c>
      <c r="G411" s="48" t="e">
        <v>#REF!</v>
      </c>
      <c r="H411" s="49">
        <v>611.61</v>
      </c>
      <c r="I411" s="49" t="e">
        <v>#REF!</v>
      </c>
      <c r="J411" s="50"/>
    </row>
    <row r="412" ht="28.8" outlineLevel="1" spans="1:10">
      <c r="A412" s="50">
        <v>341</v>
      </c>
      <c r="B412" s="51" t="str">
        <v>屋面-1.2铝箔面玻纤胎卷材</v>
      </c>
      <c r="C412" s="51" t="e">
        <v>#REF!</v>
      </c>
      <c r="D412" s="51" t="str">
        <v/>
      </c>
      <c r="E412" s="51" t="str">
        <v/>
      </c>
      <c r="F412" s="52" t="e">
        <v>#REF!</v>
      </c>
      <c r="G412" s="48" t="e">
        <v>#REF!</v>
      </c>
      <c r="H412" s="49">
        <v>611.61</v>
      </c>
      <c r="I412" s="49" t="e">
        <v>#REF!</v>
      </c>
      <c r="J412" s="50"/>
    </row>
    <row r="413" ht="28.8" outlineLevel="1" spans="1:10">
      <c r="A413" s="50">
        <v>342</v>
      </c>
      <c r="B413" s="51" t="str">
        <v>屋面-30厚C20细石砼找坡</v>
      </c>
      <c r="C413" s="51" t="e">
        <v>#REF!</v>
      </c>
      <c r="D413" s="51" t="str">
        <v/>
      </c>
      <c r="E413" s="51" t="str">
        <v/>
      </c>
      <c r="F413" s="52" t="e">
        <v>#REF!</v>
      </c>
      <c r="G413" s="48" t="e">
        <v>#REF!</v>
      </c>
      <c r="H413" s="49">
        <v>611.61</v>
      </c>
      <c r="I413" s="49" t="e">
        <v>#REF!</v>
      </c>
      <c r="J413" s="50"/>
    </row>
    <row r="414" ht="28.8" outlineLevel="1" spans="1:10">
      <c r="A414" s="50" t="str">
        <v/>
      </c>
      <c r="B414" s="51" t="str">
        <v>住宅非上人屋面（楼梯间.门厅.水箱间等）</v>
      </c>
      <c r="C414" s="51" t="str">
        <v/>
      </c>
      <c r="D414" s="51" t="str">
        <v/>
      </c>
      <c r="E414" s="51" t="str">
        <v/>
      </c>
      <c r="F414" s="52" t="str">
        <v/>
      </c>
      <c r="G414" s="48" t="str">
        <v/>
      </c>
      <c r="H414" s="49">
        <v>0</v>
      </c>
      <c r="I414" s="49">
        <v>0</v>
      </c>
      <c r="J414" s="50"/>
    </row>
    <row r="415" ht="28.8" outlineLevel="1" spans="1:10">
      <c r="A415" s="50">
        <v>343</v>
      </c>
      <c r="B415" s="51" t="str">
        <v>屋面-20厚M15水泥砂浆保护层</v>
      </c>
      <c r="C415" s="51" t="e">
        <v>#REF!</v>
      </c>
      <c r="D415" s="51" t="str">
        <v/>
      </c>
      <c r="E415" s="51" t="str">
        <v/>
      </c>
      <c r="F415" s="52" t="e">
        <v>#REF!</v>
      </c>
      <c r="G415" s="48" t="e">
        <v>#REF!</v>
      </c>
      <c r="H415" s="49">
        <v>0</v>
      </c>
      <c r="I415" s="49" t="e">
        <v>#REF!</v>
      </c>
      <c r="J415" s="50"/>
    </row>
    <row r="416" outlineLevel="1" spans="1:10">
      <c r="A416" s="50">
        <v>344</v>
      </c>
      <c r="B416" s="51" t="str">
        <v>屋面-土工布</v>
      </c>
      <c r="C416" s="51" t="e">
        <v>#REF!</v>
      </c>
      <c r="D416" s="51" t="str">
        <v/>
      </c>
      <c r="E416" s="51" t="str">
        <v/>
      </c>
      <c r="F416" s="52" t="e">
        <v>#REF!</v>
      </c>
      <c r="G416" s="48" t="e">
        <v>#REF!</v>
      </c>
      <c r="H416" s="49">
        <v>0</v>
      </c>
      <c r="I416" s="49" t="e">
        <v>#REF!</v>
      </c>
      <c r="J416" s="50"/>
    </row>
    <row r="417" outlineLevel="1" spans="1:10">
      <c r="A417" s="50">
        <v>345</v>
      </c>
      <c r="B417" s="51" t="str">
        <v>屋面-3+3SBS</v>
      </c>
      <c r="C417" s="51" t="e">
        <v>#REF!</v>
      </c>
      <c r="D417" s="51" t="str">
        <v/>
      </c>
      <c r="E417" s="51" t="str">
        <v/>
      </c>
      <c r="F417" s="52" t="e">
        <v>#REF!</v>
      </c>
      <c r="G417" s="48" t="e">
        <v>#REF!</v>
      </c>
      <c r="H417" s="49">
        <v>0</v>
      </c>
      <c r="I417" s="49" t="e">
        <v>#REF!</v>
      </c>
      <c r="J417" s="50"/>
    </row>
    <row r="418" outlineLevel="1" spans="1:10">
      <c r="A418" s="50">
        <v>346</v>
      </c>
      <c r="B418" s="51" t="str">
        <v>屋面-30厚C20细石砼</v>
      </c>
      <c r="C418" s="51" t="e">
        <v>#REF!</v>
      </c>
      <c r="D418" s="51" t="str">
        <v/>
      </c>
      <c r="E418" s="51" t="str">
        <v/>
      </c>
      <c r="F418" s="52" t="e">
        <v>#REF!</v>
      </c>
      <c r="G418" s="48" t="e">
        <v>#REF!</v>
      </c>
      <c r="H418" s="49">
        <v>0</v>
      </c>
      <c r="I418" s="49" t="e">
        <v>#REF!</v>
      </c>
      <c r="J418" s="50"/>
    </row>
    <row r="419" ht="28.8" outlineLevel="1" spans="1:10">
      <c r="A419" s="50">
        <v>347</v>
      </c>
      <c r="B419" s="51" t="str">
        <v>屋面-最薄处30厚焦渣找坡</v>
      </c>
      <c r="C419" s="51" t="e">
        <v>#REF!</v>
      </c>
      <c r="D419" s="51" t="str">
        <v/>
      </c>
      <c r="E419" s="51" t="str">
        <v/>
      </c>
      <c r="F419" s="52" t="e">
        <v>#REF!</v>
      </c>
      <c r="G419" s="48" t="e">
        <v>#REF!</v>
      </c>
      <c r="H419" s="49">
        <v>0</v>
      </c>
      <c r="I419" s="49" t="e">
        <v>#REF!</v>
      </c>
      <c r="J419" s="50"/>
    </row>
    <row r="420" outlineLevel="1" spans="1:10">
      <c r="A420" s="50">
        <v>348</v>
      </c>
      <c r="B420" s="51" t="str">
        <v>屋面-110厚XPS</v>
      </c>
      <c r="C420" s="51" t="e">
        <v>#REF!</v>
      </c>
      <c r="D420" s="51" t="str">
        <v/>
      </c>
      <c r="E420" s="51" t="str">
        <v/>
      </c>
      <c r="F420" s="52" t="e">
        <v>#REF!</v>
      </c>
      <c r="G420" s="48" t="e">
        <v>#REF!</v>
      </c>
      <c r="H420" s="49">
        <v>0</v>
      </c>
      <c r="I420" s="49" t="e">
        <v>#REF!</v>
      </c>
      <c r="J420" s="50"/>
    </row>
    <row r="421" outlineLevel="1" spans="1:10">
      <c r="A421" s="50">
        <v>349</v>
      </c>
      <c r="B421" s="51" t="str">
        <v>屋面-190厚EPS</v>
      </c>
      <c r="C421" s="51" t="e">
        <v>#REF!</v>
      </c>
      <c r="D421" s="51" t="str">
        <v/>
      </c>
      <c r="E421" s="51" t="str">
        <v/>
      </c>
      <c r="F421" s="52" t="e">
        <v>#REF!</v>
      </c>
      <c r="G421" s="48" t="e">
        <v>#REF!</v>
      </c>
      <c r="H421" s="49">
        <v>0</v>
      </c>
      <c r="I421" s="49" t="e">
        <v>#REF!</v>
      </c>
      <c r="J421" s="50"/>
    </row>
    <row r="422" ht="43.2" outlineLevel="1" spans="1:10">
      <c r="A422" s="50" t="str">
        <v/>
      </c>
      <c r="B422" s="51" t="str">
        <v>住宅非上人屋面（楼梯间.门厅.水箱间等）与主楼相连</v>
      </c>
      <c r="C422" s="51" t="str">
        <v/>
      </c>
      <c r="D422" s="51" t="str">
        <v/>
      </c>
      <c r="E422" s="51" t="str">
        <v/>
      </c>
      <c r="F422" s="52" t="str">
        <v/>
      </c>
      <c r="G422" s="48" t="str">
        <v/>
      </c>
      <c r="H422" s="49">
        <v>0</v>
      </c>
      <c r="I422" s="49">
        <v>0</v>
      </c>
      <c r="J422" s="50"/>
    </row>
    <row r="423" ht="28.8" outlineLevel="1" spans="1:10">
      <c r="A423" s="50">
        <v>350</v>
      </c>
      <c r="B423" s="51" t="str">
        <v>屋面-20厚M15水泥砂浆保护层</v>
      </c>
      <c r="C423" s="51" t="e">
        <v>#REF!</v>
      </c>
      <c r="D423" s="51" t="str">
        <v/>
      </c>
      <c r="E423" s="51" t="str">
        <v/>
      </c>
      <c r="F423" s="52" t="e">
        <v>#REF!</v>
      </c>
      <c r="G423" s="48" t="e">
        <v>#REF!</v>
      </c>
      <c r="H423" s="49">
        <v>1</v>
      </c>
      <c r="I423" s="49" t="e">
        <v>#REF!</v>
      </c>
      <c r="J423" s="50"/>
    </row>
    <row r="424" outlineLevel="1" spans="1:10">
      <c r="A424" s="50">
        <v>351</v>
      </c>
      <c r="B424" s="51" t="str">
        <v>屋面-土工布</v>
      </c>
      <c r="C424" s="51" t="e">
        <v>#REF!</v>
      </c>
      <c r="D424" s="51" t="str">
        <v/>
      </c>
      <c r="E424" s="51" t="str">
        <v/>
      </c>
      <c r="F424" s="52" t="e">
        <v>#REF!</v>
      </c>
      <c r="G424" s="48" t="e">
        <v>#REF!</v>
      </c>
      <c r="H424" s="49">
        <v>1</v>
      </c>
      <c r="I424" s="49" t="e">
        <v>#REF!</v>
      </c>
      <c r="J424" s="50"/>
    </row>
    <row r="425" outlineLevel="1" spans="1:10">
      <c r="A425" s="50">
        <v>352</v>
      </c>
      <c r="B425" s="51" t="str">
        <v>屋面-4厚SBS</v>
      </c>
      <c r="C425" s="51" t="e">
        <v>#REF!</v>
      </c>
      <c r="D425" s="51" t="str">
        <v/>
      </c>
      <c r="E425" s="51" t="str">
        <v/>
      </c>
      <c r="F425" s="52" t="e">
        <v>#REF!</v>
      </c>
      <c r="G425" s="48" t="e">
        <v>#REF!</v>
      </c>
      <c r="H425" s="49">
        <v>1</v>
      </c>
      <c r="I425" s="49" t="e">
        <v>#REF!</v>
      </c>
      <c r="J425" s="50"/>
    </row>
    <row r="426" outlineLevel="1" spans="1:10">
      <c r="A426" s="50">
        <v>353</v>
      </c>
      <c r="B426" s="51" t="str">
        <v>屋面-30厚C20细石砼</v>
      </c>
      <c r="C426" s="51" t="e">
        <v>#REF!</v>
      </c>
      <c r="D426" s="51" t="str">
        <v/>
      </c>
      <c r="E426" s="51" t="str">
        <v/>
      </c>
      <c r="F426" s="52" t="e">
        <v>#REF!</v>
      </c>
      <c r="G426" s="48" t="e">
        <v>#REF!</v>
      </c>
      <c r="H426" s="49">
        <v>1</v>
      </c>
      <c r="I426" s="49" t="e">
        <v>#REF!</v>
      </c>
      <c r="J426" s="50"/>
    </row>
    <row r="427" ht="28.8" outlineLevel="1" spans="1:10">
      <c r="A427" s="50">
        <v>354</v>
      </c>
      <c r="B427" s="51" t="str">
        <v>屋面-最薄处30厚焦渣找坡</v>
      </c>
      <c r="C427" s="51" t="e">
        <v>#REF!</v>
      </c>
      <c r="D427" s="51" t="str">
        <v/>
      </c>
      <c r="E427" s="51" t="str">
        <v/>
      </c>
      <c r="F427" s="52" t="e">
        <v>#REF!</v>
      </c>
      <c r="G427" s="48" t="e">
        <v>#REF!</v>
      </c>
      <c r="H427" s="49">
        <v>1</v>
      </c>
      <c r="I427" s="49" t="e">
        <v>#REF!</v>
      </c>
      <c r="J427" s="50"/>
    </row>
    <row r="428" outlineLevel="1" spans="1:10">
      <c r="A428" s="50">
        <v>355</v>
      </c>
      <c r="B428" s="51" t="str">
        <v>屋面-190厚EPS</v>
      </c>
      <c r="C428" s="51" t="e">
        <v>#REF!</v>
      </c>
      <c r="D428" s="51" t="str">
        <v/>
      </c>
      <c r="E428" s="51" t="str">
        <v/>
      </c>
      <c r="F428" s="52" t="e">
        <v>#REF!</v>
      </c>
      <c r="G428" s="48" t="e">
        <v>#REF!</v>
      </c>
      <c r="H428" s="49">
        <v>1</v>
      </c>
      <c r="I428" s="49" t="e">
        <v>#REF!</v>
      </c>
      <c r="J428" s="50"/>
    </row>
    <row r="429" ht="43.2" outlineLevel="1" spans="1:10">
      <c r="A429" s="50" t="str">
        <v/>
      </c>
      <c r="B429" s="51" t="str">
        <v>住宅非上人屋面（楼梯间.门厅.水箱间等）不与主楼相连</v>
      </c>
      <c r="C429" s="51" t="str">
        <v/>
      </c>
      <c r="D429" s="51" t="str">
        <v/>
      </c>
      <c r="E429" s="51" t="str">
        <v/>
      </c>
      <c r="F429" s="52" t="str">
        <v/>
      </c>
      <c r="G429" s="48" t="str">
        <v/>
      </c>
      <c r="H429" s="49">
        <v>0</v>
      </c>
      <c r="I429" s="49">
        <v>0</v>
      </c>
      <c r="J429" s="50"/>
    </row>
    <row r="430" ht="28.8" outlineLevel="1" spans="1:10">
      <c r="A430" s="50">
        <v>356</v>
      </c>
      <c r="B430" s="51" t="str">
        <v>屋面-20厚M15水泥砂浆保护层</v>
      </c>
      <c r="C430" s="51" t="e">
        <v>#REF!</v>
      </c>
      <c r="D430" s="51" t="str">
        <v/>
      </c>
      <c r="E430" s="51" t="str">
        <v/>
      </c>
      <c r="F430" s="52" t="e">
        <v>#REF!</v>
      </c>
      <c r="G430" s="48" t="e">
        <v>#REF!</v>
      </c>
      <c r="H430" s="49">
        <v>1</v>
      </c>
      <c r="I430" s="49" t="e">
        <v>#REF!</v>
      </c>
      <c r="J430" s="50"/>
    </row>
    <row r="431" outlineLevel="1" spans="1:10">
      <c r="A431" s="50">
        <v>357</v>
      </c>
      <c r="B431" s="51" t="str">
        <v>屋面-土工布</v>
      </c>
      <c r="C431" s="51" t="e">
        <v>#REF!</v>
      </c>
      <c r="D431" s="51" t="str">
        <v/>
      </c>
      <c r="E431" s="51" t="str">
        <v/>
      </c>
      <c r="F431" s="52" t="e">
        <v>#REF!</v>
      </c>
      <c r="G431" s="48" t="e">
        <v>#REF!</v>
      </c>
      <c r="H431" s="49">
        <v>1</v>
      </c>
      <c r="I431" s="49" t="e">
        <v>#REF!</v>
      </c>
      <c r="J431" s="50"/>
    </row>
    <row r="432" outlineLevel="1" spans="1:10">
      <c r="A432" s="50">
        <v>358</v>
      </c>
      <c r="B432" s="51" t="str">
        <v>屋面-4厚SBS</v>
      </c>
      <c r="C432" s="51" t="e">
        <v>#REF!</v>
      </c>
      <c r="D432" s="51" t="str">
        <v/>
      </c>
      <c r="E432" s="51" t="str">
        <v/>
      </c>
      <c r="F432" s="52" t="e">
        <v>#REF!</v>
      </c>
      <c r="G432" s="48" t="e">
        <v>#REF!</v>
      </c>
      <c r="H432" s="49">
        <v>1</v>
      </c>
      <c r="I432" s="49" t="e">
        <v>#REF!</v>
      </c>
      <c r="J432" s="50"/>
    </row>
    <row r="433" outlineLevel="1" spans="1:10">
      <c r="A433" s="50">
        <v>359</v>
      </c>
      <c r="B433" s="51" t="str">
        <v>屋面-30厚C20细石砼</v>
      </c>
      <c r="C433" s="51" t="e">
        <v>#REF!</v>
      </c>
      <c r="D433" s="51" t="str">
        <v/>
      </c>
      <c r="E433" s="51" t="str">
        <v/>
      </c>
      <c r="F433" s="52" t="e">
        <v>#REF!</v>
      </c>
      <c r="G433" s="48" t="e">
        <v>#REF!</v>
      </c>
      <c r="H433" s="49">
        <v>1</v>
      </c>
      <c r="I433" s="49" t="e">
        <v>#REF!</v>
      </c>
      <c r="J433" s="50"/>
    </row>
    <row r="434" ht="28.8" outlineLevel="1" spans="1:10">
      <c r="A434" s="50">
        <v>360</v>
      </c>
      <c r="B434" s="51" t="str">
        <v>屋面-最薄处30厚焦渣找坡</v>
      </c>
      <c r="C434" s="51" t="e">
        <v>#REF!</v>
      </c>
      <c r="D434" s="51" t="str">
        <v/>
      </c>
      <c r="E434" s="51" t="str">
        <v/>
      </c>
      <c r="F434" s="52" t="e">
        <v>#REF!</v>
      </c>
      <c r="G434" s="48" t="e">
        <v>#REF!</v>
      </c>
      <c r="H434" s="49">
        <v>1</v>
      </c>
      <c r="I434" s="49" t="e">
        <v>#REF!</v>
      </c>
      <c r="J434" s="50"/>
    </row>
    <row r="435" outlineLevel="1" spans="1:10">
      <c r="A435" s="50" t="str">
        <v/>
      </c>
      <c r="B435" s="51" t="str">
        <v>住宅屋面挑檐</v>
      </c>
      <c r="C435" s="51" t="str">
        <v/>
      </c>
      <c r="D435" s="51" t="str">
        <v/>
      </c>
      <c r="E435" s="51" t="str">
        <v/>
      </c>
      <c r="F435" s="52" t="str">
        <v/>
      </c>
      <c r="G435" s="48" t="str">
        <v/>
      </c>
      <c r="H435" s="49">
        <v>0</v>
      </c>
      <c r="I435" s="49">
        <v>0</v>
      </c>
      <c r="J435" s="50"/>
    </row>
    <row r="436" ht="28.8" outlineLevel="1" spans="1:10">
      <c r="A436" s="50">
        <v>361</v>
      </c>
      <c r="B436" s="51" t="str">
        <v>屋面-20厚M15水泥砂浆保护层</v>
      </c>
      <c r="C436" s="51" t="e">
        <v>#REF!</v>
      </c>
      <c r="D436" s="51" t="str">
        <v/>
      </c>
      <c r="E436" s="51" t="str">
        <v/>
      </c>
      <c r="F436" s="52" t="e">
        <v>#REF!</v>
      </c>
      <c r="G436" s="48" t="e">
        <v>#REF!</v>
      </c>
      <c r="H436" s="49">
        <v>1</v>
      </c>
      <c r="I436" s="49" t="e">
        <v>#REF!</v>
      </c>
      <c r="J436" s="50"/>
    </row>
    <row r="437" outlineLevel="1" spans="1:10">
      <c r="A437" s="50">
        <v>362</v>
      </c>
      <c r="B437" s="51" t="str">
        <v>屋面-土工布</v>
      </c>
      <c r="C437" s="51" t="e">
        <v>#REF!</v>
      </c>
      <c r="D437" s="51" t="str">
        <v/>
      </c>
      <c r="E437" s="51" t="str">
        <v/>
      </c>
      <c r="F437" s="52" t="e">
        <v>#REF!</v>
      </c>
      <c r="G437" s="48" t="e">
        <v>#REF!</v>
      </c>
      <c r="H437" s="49">
        <v>1</v>
      </c>
      <c r="I437" s="49" t="e">
        <v>#REF!</v>
      </c>
      <c r="J437" s="50"/>
    </row>
    <row r="438" outlineLevel="1" spans="1:10">
      <c r="A438" s="50">
        <v>363</v>
      </c>
      <c r="B438" s="51" t="str">
        <v>屋面-4厚SBS</v>
      </c>
      <c r="C438" s="51" t="e">
        <v>#REF!</v>
      </c>
      <c r="D438" s="51" t="str">
        <v/>
      </c>
      <c r="E438" s="51" t="str">
        <v/>
      </c>
      <c r="F438" s="52" t="e">
        <v>#REF!</v>
      </c>
      <c r="G438" s="48" t="e">
        <v>#REF!</v>
      </c>
      <c r="H438" s="49">
        <v>1</v>
      </c>
      <c r="I438" s="49" t="e">
        <v>#REF!</v>
      </c>
      <c r="J438" s="50"/>
    </row>
    <row r="439" ht="28.8" outlineLevel="1" spans="1:10">
      <c r="A439" s="50">
        <v>364</v>
      </c>
      <c r="B439" s="51" t="str">
        <v>屋面-20厚M20水泥砂浆找坡</v>
      </c>
      <c r="C439" s="51" t="e">
        <v>#REF!</v>
      </c>
      <c r="D439" s="51" t="str">
        <v/>
      </c>
      <c r="E439" s="51" t="str">
        <v/>
      </c>
      <c r="F439" s="52" t="e">
        <v>#REF!</v>
      </c>
      <c r="G439" s="48" t="e">
        <v>#REF!</v>
      </c>
      <c r="H439" s="49">
        <v>1</v>
      </c>
      <c r="I439" s="49" t="e">
        <v>#REF!</v>
      </c>
      <c r="J439" s="50"/>
    </row>
    <row r="440" outlineLevel="1" spans="1:10">
      <c r="A440" s="50" t="str">
        <v/>
      </c>
      <c r="B440" s="51" t="str">
        <v>住宅坡屋面</v>
      </c>
      <c r="C440" s="51" t="str">
        <v/>
      </c>
      <c r="D440" s="51" t="str">
        <v/>
      </c>
      <c r="E440" s="51" t="str">
        <v/>
      </c>
      <c r="F440" s="52" t="str">
        <v/>
      </c>
      <c r="G440" s="48" t="str">
        <v/>
      </c>
      <c r="H440" s="49">
        <v>0</v>
      </c>
      <c r="I440" s="49">
        <v>0</v>
      </c>
      <c r="J440" s="50"/>
    </row>
    <row r="441" outlineLevel="1" spans="1:10">
      <c r="A441" s="50">
        <v>365</v>
      </c>
      <c r="B441" s="51" t="str">
        <v>屋面-45厚C20细石砼</v>
      </c>
      <c r="C441" s="51" t="e">
        <v>#REF!</v>
      </c>
      <c r="D441" s="51" t="str">
        <v/>
      </c>
      <c r="E441" s="51" t="str">
        <v/>
      </c>
      <c r="F441" s="52" t="e">
        <v>#REF!</v>
      </c>
      <c r="G441" s="48" t="e">
        <v>#REF!</v>
      </c>
      <c r="H441" s="49">
        <v>1</v>
      </c>
      <c r="I441" s="49" t="e">
        <v>#REF!</v>
      </c>
      <c r="J441" s="50"/>
    </row>
    <row r="442" outlineLevel="1" spans="1:10">
      <c r="A442" s="50">
        <v>366</v>
      </c>
      <c r="B442" s="51" t="str">
        <v>屋面-φ4@200钢筋网</v>
      </c>
      <c r="C442" s="51" t="e">
        <v>#REF!</v>
      </c>
      <c r="D442" s="51" t="str">
        <v/>
      </c>
      <c r="E442" s="51" t="str">
        <v/>
      </c>
      <c r="F442" s="52" t="e">
        <v>#REF!</v>
      </c>
      <c r="G442" s="48" t="e">
        <v>#REF!</v>
      </c>
      <c r="H442" s="49">
        <v>1</v>
      </c>
      <c r="I442" s="49" t="e">
        <v>#REF!</v>
      </c>
      <c r="J442" s="50"/>
    </row>
    <row r="443" outlineLevel="1" spans="1:10">
      <c r="A443" s="50">
        <v>367</v>
      </c>
      <c r="B443" s="51" t="str">
        <v>屋面-土工布</v>
      </c>
      <c r="C443" s="51" t="e">
        <v>#REF!</v>
      </c>
      <c r="D443" s="51" t="str">
        <v/>
      </c>
      <c r="E443" s="51" t="str">
        <v/>
      </c>
      <c r="F443" s="52" t="e">
        <v>#REF!</v>
      </c>
      <c r="G443" s="48" t="e">
        <v>#REF!</v>
      </c>
      <c r="H443" s="49">
        <v>1</v>
      </c>
      <c r="I443" s="49" t="e">
        <v>#REF!</v>
      </c>
      <c r="J443" s="50"/>
    </row>
    <row r="444" outlineLevel="1" spans="1:10">
      <c r="A444" s="50">
        <v>368</v>
      </c>
      <c r="B444" s="51" t="str">
        <v>屋面-4厚SBS</v>
      </c>
      <c r="C444" s="51" t="e">
        <v>#REF!</v>
      </c>
      <c r="D444" s="51" t="str">
        <v/>
      </c>
      <c r="E444" s="51" t="str">
        <v/>
      </c>
      <c r="F444" s="52" t="e">
        <v>#REF!</v>
      </c>
      <c r="G444" s="48" t="e">
        <v>#REF!</v>
      </c>
      <c r="H444" s="49">
        <v>1</v>
      </c>
      <c r="I444" s="49" t="e">
        <v>#REF!</v>
      </c>
      <c r="J444" s="50"/>
    </row>
    <row r="445" outlineLevel="1" spans="1:10">
      <c r="A445" s="50">
        <v>369</v>
      </c>
      <c r="B445" s="51" t="str">
        <v>屋面-30厚C20细石砼</v>
      </c>
      <c r="C445" s="51" t="e">
        <v>#REF!</v>
      </c>
      <c r="D445" s="51" t="str">
        <v/>
      </c>
      <c r="E445" s="51" t="str">
        <v/>
      </c>
      <c r="F445" s="52" t="e">
        <v>#REF!</v>
      </c>
      <c r="G445" s="48" t="e">
        <v>#REF!</v>
      </c>
      <c r="H445" s="49">
        <v>1</v>
      </c>
      <c r="I445" s="49" t="e">
        <v>#REF!</v>
      </c>
      <c r="J445" s="50"/>
    </row>
    <row r="446" outlineLevel="1" spans="1:10">
      <c r="A446" s="50">
        <v>370</v>
      </c>
      <c r="B446" s="51" t="str">
        <v>屋面-190厚EPS聚苯板</v>
      </c>
      <c r="C446" s="51" t="e">
        <v>#REF!</v>
      </c>
      <c r="D446" s="51" t="str">
        <v/>
      </c>
      <c r="E446" s="51" t="str">
        <v/>
      </c>
      <c r="F446" s="52" t="e">
        <v>#REF!</v>
      </c>
      <c r="G446" s="48" t="e">
        <v>#REF!</v>
      </c>
      <c r="H446" s="49">
        <v>1</v>
      </c>
      <c r="I446" s="49" t="e">
        <v>#REF!</v>
      </c>
      <c r="J446" s="50"/>
    </row>
    <row r="447" outlineLevel="1" spans="1:10">
      <c r="A447" s="50" t="str">
        <v/>
      </c>
      <c r="B447" s="51" t="str">
        <v>住宅坡女儿墙（法式）</v>
      </c>
      <c r="C447" s="51" t="str">
        <v/>
      </c>
      <c r="D447" s="51" t="str">
        <v/>
      </c>
      <c r="E447" s="51" t="str">
        <v/>
      </c>
      <c r="F447" s="52" t="str">
        <v/>
      </c>
      <c r="G447" s="48" t="str">
        <v/>
      </c>
      <c r="H447" s="49">
        <v>0</v>
      </c>
      <c r="I447" s="49">
        <v>0</v>
      </c>
      <c r="J447" s="50"/>
    </row>
    <row r="448" outlineLevel="1" spans="1:10">
      <c r="A448" s="50">
        <v>371</v>
      </c>
      <c r="B448" s="51" t="str">
        <v>屋面-屋面瓦</v>
      </c>
      <c r="C448" s="51" t="e">
        <v>#REF!</v>
      </c>
      <c r="D448" s="51" t="str">
        <v/>
      </c>
      <c r="E448" s="51" t="str">
        <v/>
      </c>
      <c r="F448" s="52" t="e">
        <v>#REF!</v>
      </c>
      <c r="G448" s="48" t="e">
        <v>#REF!</v>
      </c>
      <c r="H448" s="49">
        <v>1</v>
      </c>
      <c r="I448" s="49" t="e">
        <v>#REF!</v>
      </c>
      <c r="J448" s="50"/>
    </row>
    <row r="449" ht="28.8" outlineLevel="1" spans="1:10">
      <c r="A449" s="50">
        <v>372</v>
      </c>
      <c r="B449" s="51" t="str">
        <v>屋面-20厚无机保温砂浆I型</v>
      </c>
      <c r="C449" s="51" t="e">
        <v>#REF!</v>
      </c>
      <c r="D449" s="51" t="str">
        <v/>
      </c>
      <c r="E449" s="51" t="str">
        <v/>
      </c>
      <c r="F449" s="52" t="e">
        <v>#REF!</v>
      </c>
      <c r="G449" s="48" t="e">
        <v>#REF!</v>
      </c>
      <c r="H449" s="49">
        <v>1</v>
      </c>
      <c r="I449" s="49" t="e">
        <v>#REF!</v>
      </c>
      <c r="J449" s="50"/>
    </row>
    <row r="450" outlineLevel="1" spans="1:10">
      <c r="A450" s="50">
        <v>373</v>
      </c>
      <c r="B450" s="51" t="str">
        <v>屋面-风井窗井</v>
      </c>
      <c r="C450" s="51" t="e">
        <v>#REF!</v>
      </c>
      <c r="D450" s="51" t="str">
        <v/>
      </c>
      <c r="E450" s="51" t="str">
        <v/>
      </c>
      <c r="F450" s="52" t="e">
        <v>#REF!</v>
      </c>
      <c r="G450" s="48" t="e">
        <v>#REF!</v>
      </c>
      <c r="H450" s="49">
        <v>0</v>
      </c>
      <c r="I450" s="49" t="e">
        <v>#REF!</v>
      </c>
      <c r="J450" s="50"/>
    </row>
    <row r="451" outlineLevel="1" spans="1:10">
      <c r="A451" s="50">
        <v>374</v>
      </c>
      <c r="B451" s="51" t="str">
        <v>屋面-雨棚上</v>
      </c>
      <c r="C451" s="51" t="e">
        <v>#REF!</v>
      </c>
      <c r="D451" s="51" t="str">
        <v/>
      </c>
      <c r="E451" s="51" t="str">
        <v/>
      </c>
      <c r="F451" s="52" t="e">
        <v>#REF!</v>
      </c>
      <c r="G451" s="48" t="e">
        <v>#REF!</v>
      </c>
      <c r="H451" s="49">
        <v>0</v>
      </c>
      <c r="I451" s="49" t="e">
        <v>#REF!</v>
      </c>
      <c r="J451" s="50"/>
    </row>
    <row r="452" outlineLevel="1" spans="1:10">
      <c r="A452" s="50">
        <v>375</v>
      </c>
      <c r="B452" s="51" t="str">
        <v>墙面防水-墙基防潮层</v>
      </c>
      <c r="C452" s="51" t="e">
        <v>#REF!</v>
      </c>
      <c r="D452" s="51" t="str">
        <v/>
      </c>
      <c r="E452" s="51" t="str">
        <v/>
      </c>
      <c r="F452" s="52" t="e">
        <v>#REF!</v>
      </c>
      <c r="G452" s="48" t="e">
        <v>#REF!</v>
      </c>
      <c r="H452" s="49">
        <v>26.32</v>
      </c>
      <c r="I452" s="49" t="e">
        <v>#REF!</v>
      </c>
      <c r="J452" s="50"/>
    </row>
    <row r="453" outlineLevel="1" spans="1:10">
      <c r="A453" s="50">
        <v>376</v>
      </c>
      <c r="B453" s="51" t="str">
        <v>屋面-出屋面风道保温</v>
      </c>
      <c r="C453" s="51" t="e">
        <v>#REF!</v>
      </c>
      <c r="D453" s="51" t="str">
        <v/>
      </c>
      <c r="E453" s="51" t="str">
        <v/>
      </c>
      <c r="F453" s="52" t="e">
        <v>#REF!</v>
      </c>
      <c r="G453" s="48" t="e">
        <v>#REF!</v>
      </c>
      <c r="H453" s="49">
        <v>0</v>
      </c>
      <c r="I453" s="49" t="e">
        <v>#REF!</v>
      </c>
      <c r="J453" s="50"/>
    </row>
    <row r="454" outlineLevel="1" spans="1:10">
      <c r="A454" s="50" t="str">
        <v/>
      </c>
      <c r="B454" s="51" t="str">
        <v>后贴保温层</v>
      </c>
      <c r="C454" s="51" t="str">
        <v/>
      </c>
      <c r="D454" s="51" t="str">
        <v/>
      </c>
      <c r="E454" s="51" t="str">
        <v/>
      </c>
      <c r="F454" s="52" t="str">
        <v/>
      </c>
      <c r="G454" s="48" t="str">
        <v/>
      </c>
      <c r="H454" s="49">
        <v>0</v>
      </c>
      <c r="I454" s="49">
        <v>0</v>
      </c>
      <c r="J454" s="50"/>
    </row>
    <row r="455" outlineLevel="1" spans="1:10">
      <c r="A455" s="50">
        <v>377</v>
      </c>
      <c r="B455" s="51" t="str">
        <v>外墙面-180厚XPS</v>
      </c>
      <c r="C455" s="51" t="e">
        <v>#REF!</v>
      </c>
      <c r="D455" s="51" t="str">
        <v/>
      </c>
      <c r="E455" s="51" t="str">
        <v/>
      </c>
      <c r="F455" s="52" t="e">
        <v>#REF!</v>
      </c>
      <c r="G455" s="48" t="e">
        <v>#REF!</v>
      </c>
      <c r="H455" s="49">
        <v>1</v>
      </c>
      <c r="I455" s="49" t="e">
        <v>#REF!</v>
      </c>
      <c r="J455" s="50"/>
    </row>
    <row r="456" outlineLevel="1" spans="1:10">
      <c r="A456" s="50">
        <v>378</v>
      </c>
      <c r="B456" s="51" t="str">
        <v>外墙面-3厚抗裂砂浆</v>
      </c>
      <c r="C456" s="51" t="e">
        <v>#REF!</v>
      </c>
      <c r="D456" s="51" t="str">
        <v/>
      </c>
      <c r="E456" s="51" t="str">
        <v/>
      </c>
      <c r="F456" s="52" t="e">
        <v>#REF!</v>
      </c>
      <c r="G456" s="48" t="e">
        <v>#REF!</v>
      </c>
      <c r="H456" s="49">
        <v>1</v>
      </c>
      <c r="I456" s="49" t="e">
        <v>#REF!</v>
      </c>
      <c r="J456" s="50"/>
    </row>
    <row r="457" outlineLevel="1" spans="1:10">
      <c r="A457" s="50">
        <v>379</v>
      </c>
      <c r="B457" s="51" t="str">
        <v>外墙面-网格布</v>
      </c>
      <c r="C457" s="51" t="e">
        <v>#REF!</v>
      </c>
      <c r="D457" s="51" t="str">
        <v/>
      </c>
      <c r="E457" s="51" t="str">
        <v/>
      </c>
      <c r="F457" s="52" t="e">
        <v>#REF!</v>
      </c>
      <c r="G457" s="48" t="e">
        <v>#REF!</v>
      </c>
      <c r="H457" s="49">
        <v>1</v>
      </c>
      <c r="I457" s="49" t="e">
        <v>#REF!</v>
      </c>
      <c r="J457" s="50"/>
    </row>
    <row r="458" outlineLevel="1" spans="1:10">
      <c r="A458" s="50">
        <v>380</v>
      </c>
      <c r="B458" s="51" t="str">
        <v>屋面-Φ110UPVC雨水管</v>
      </c>
      <c r="C458" s="51" t="e">
        <v>#REF!</v>
      </c>
      <c r="D458" s="51" t="str">
        <v/>
      </c>
      <c r="E458" s="51" t="str">
        <v/>
      </c>
      <c r="F458" s="52" t="e">
        <v>#REF!</v>
      </c>
      <c r="G458" s="48" t="e">
        <v>#REF!</v>
      </c>
      <c r="H458" s="49">
        <v>0</v>
      </c>
      <c r="I458" s="49" t="e">
        <v>#REF!</v>
      </c>
      <c r="J458" s="50"/>
    </row>
    <row r="459" outlineLevel="1" spans="1:10">
      <c r="A459" s="50">
        <v>381</v>
      </c>
      <c r="B459" s="51" t="str">
        <v>屋面-Φ50泄水口</v>
      </c>
      <c r="C459" s="51" t="e">
        <v>#REF!</v>
      </c>
      <c r="D459" s="51" t="str">
        <v/>
      </c>
      <c r="E459" s="51" t="str">
        <v/>
      </c>
      <c r="F459" s="52" t="e">
        <v>#REF!</v>
      </c>
      <c r="G459" s="48" t="e">
        <v>#REF!</v>
      </c>
      <c r="H459" s="49">
        <v>0</v>
      </c>
      <c r="I459" s="49" t="e">
        <v>#REF!</v>
      </c>
      <c r="J459" s="50"/>
    </row>
    <row r="460" outlineLevel="1" spans="1:10">
      <c r="A460" s="50">
        <v>382</v>
      </c>
      <c r="B460" s="51" t="str">
        <v>外墙（屋面）面-变形缝</v>
      </c>
      <c r="C460" s="51" t="e">
        <v>#REF!</v>
      </c>
      <c r="D460" s="51" t="str">
        <v/>
      </c>
      <c r="E460" s="51" t="str">
        <v/>
      </c>
      <c r="F460" s="52" t="e">
        <v>#REF!</v>
      </c>
      <c r="G460" s="48" t="e">
        <v>#REF!</v>
      </c>
      <c r="H460" s="49">
        <v>0</v>
      </c>
      <c r="I460" s="49" t="e">
        <v>#REF!</v>
      </c>
      <c r="J460" s="50"/>
    </row>
    <row r="461" outlineLevel="1" spans="1:10">
      <c r="A461" s="50" t="str">
        <v/>
      </c>
      <c r="B461" s="51" t="str">
        <v>A.04.03保温一体化工程</v>
      </c>
      <c r="C461" s="51" t="str">
        <v/>
      </c>
      <c r="D461" s="51" t="str">
        <v/>
      </c>
      <c r="E461" s="51" t="str">
        <v/>
      </c>
      <c r="F461" s="52" t="str">
        <v/>
      </c>
      <c r="G461" s="48" t="str">
        <v/>
      </c>
      <c r="H461" s="49">
        <v>0</v>
      </c>
      <c r="I461" s="49" t="e">
        <v>#REF!</v>
      </c>
      <c r="J461" s="50"/>
    </row>
    <row r="462" ht="28.8" outlineLevel="1" spans="1:10">
      <c r="A462" s="50">
        <v>383</v>
      </c>
      <c r="B462" s="51" t="str">
        <v>130厚轻质发泡复合保温板-浇筑施工</v>
      </c>
      <c r="C462" s="51" t="e">
        <v>#REF!</v>
      </c>
      <c r="D462" s="51" t="str">
        <v/>
      </c>
      <c r="E462" s="51" t="str">
        <v/>
      </c>
      <c r="F462" s="52" t="e">
        <v>#REF!</v>
      </c>
      <c r="G462" s="48" t="e">
        <v>#REF!</v>
      </c>
      <c r="H462" s="49">
        <v>1</v>
      </c>
      <c r="I462" s="49" t="e">
        <v>#REF!</v>
      </c>
      <c r="J462" s="50"/>
    </row>
    <row r="463" ht="28.8" outlineLevel="1" spans="1:10">
      <c r="A463" s="50">
        <v>384</v>
      </c>
      <c r="B463" s="51" t="str">
        <v>130厚轻质发泡复合保温板-后贴施工</v>
      </c>
      <c r="C463" s="51" t="e">
        <v>#REF!</v>
      </c>
      <c r="D463" s="51" t="str">
        <v/>
      </c>
      <c r="E463" s="51" t="str">
        <v/>
      </c>
      <c r="F463" s="52" t="e">
        <v>#REF!</v>
      </c>
      <c r="G463" s="48" t="e">
        <v>#REF!</v>
      </c>
      <c r="H463" s="49">
        <v>1</v>
      </c>
      <c r="I463" s="49" t="e">
        <v>#REF!</v>
      </c>
      <c r="J463" s="50"/>
    </row>
    <row r="464" ht="28.8" outlineLevel="1" spans="1:10">
      <c r="A464" s="50">
        <v>385</v>
      </c>
      <c r="B464" s="51" t="str">
        <v>120厚轻质发泡复合保温板-浇筑施工</v>
      </c>
      <c r="C464" s="51" t="e">
        <v>#REF!</v>
      </c>
      <c r="D464" s="51" t="str">
        <v/>
      </c>
      <c r="E464" s="51" t="str">
        <v/>
      </c>
      <c r="F464" s="52" t="e">
        <v>#REF!</v>
      </c>
      <c r="G464" s="48" t="e">
        <v>#REF!</v>
      </c>
      <c r="H464" s="49">
        <v>1</v>
      </c>
      <c r="I464" s="49" t="e">
        <v>#REF!</v>
      </c>
      <c r="J464" s="50"/>
    </row>
    <row r="465" ht="28.8" outlineLevel="1" spans="1:10">
      <c r="A465" s="50">
        <v>386</v>
      </c>
      <c r="B465" s="51" t="str">
        <v>120厚轻质发泡复合保温板-后贴施工</v>
      </c>
      <c r="C465" s="51" t="e">
        <v>#REF!</v>
      </c>
      <c r="D465" s="51" t="str">
        <v/>
      </c>
      <c r="E465" s="51" t="str">
        <v/>
      </c>
      <c r="F465" s="52" t="e">
        <v>#REF!</v>
      </c>
      <c r="G465" s="48" t="e">
        <v>#REF!</v>
      </c>
      <c r="H465" s="49">
        <v>1</v>
      </c>
      <c r="I465" s="49" t="e">
        <v>#REF!</v>
      </c>
      <c r="J465" s="50"/>
    </row>
    <row r="466" ht="28.8" outlineLevel="1" spans="1:10">
      <c r="A466" s="50">
        <v>387</v>
      </c>
      <c r="B466" s="51" t="str">
        <v>110厚轻质发泡复合保温板-浇筑施工</v>
      </c>
      <c r="C466" s="51" t="e">
        <v>#REF!</v>
      </c>
      <c r="D466" s="51" t="str">
        <v/>
      </c>
      <c r="E466" s="51" t="str">
        <v/>
      </c>
      <c r="F466" s="52" t="e">
        <v>#REF!</v>
      </c>
      <c r="G466" s="48" t="e">
        <v>#REF!</v>
      </c>
      <c r="H466" s="49">
        <v>1</v>
      </c>
      <c r="I466" s="49" t="e">
        <v>#REF!</v>
      </c>
      <c r="J466" s="50"/>
    </row>
    <row r="467" ht="28.8" outlineLevel="1" spans="1:10">
      <c r="A467" s="50">
        <v>388</v>
      </c>
      <c r="B467" s="51" t="str">
        <v>110厚轻质发泡复合保温板-后贴施工</v>
      </c>
      <c r="C467" s="51" t="e">
        <v>#REF!</v>
      </c>
      <c r="D467" s="51" t="str">
        <v/>
      </c>
      <c r="E467" s="51" t="str">
        <v/>
      </c>
      <c r="F467" s="52" t="e">
        <v>#REF!</v>
      </c>
      <c r="G467" s="48" t="e">
        <v>#REF!</v>
      </c>
      <c r="H467" s="49">
        <v>1</v>
      </c>
      <c r="I467" s="49" t="e">
        <v>#REF!</v>
      </c>
      <c r="J467" s="50"/>
    </row>
    <row r="468" ht="28.8" outlineLevel="1" spans="1:10">
      <c r="A468" s="50">
        <v>389</v>
      </c>
      <c r="B468" s="51" t="str">
        <v>100厚轻质发泡复合保温板-浇筑施工</v>
      </c>
      <c r="C468" s="51" t="e">
        <v>#REF!</v>
      </c>
      <c r="D468" s="51" t="str">
        <v/>
      </c>
      <c r="E468" s="51" t="str">
        <v/>
      </c>
      <c r="F468" s="52" t="e">
        <v>#REF!</v>
      </c>
      <c r="G468" s="48" t="e">
        <v>#REF!</v>
      </c>
      <c r="H468" s="49">
        <v>1</v>
      </c>
      <c r="I468" s="49" t="e">
        <v>#REF!</v>
      </c>
      <c r="J468" s="50"/>
    </row>
    <row r="469" ht="28.8" outlineLevel="1" spans="1:10">
      <c r="A469" s="50">
        <v>390</v>
      </c>
      <c r="B469" s="51" t="str">
        <v>100厚轻质发泡复合保温板-后贴施工</v>
      </c>
      <c r="C469" s="51" t="e">
        <v>#REF!</v>
      </c>
      <c r="D469" s="51" t="str">
        <v/>
      </c>
      <c r="E469" s="51" t="str">
        <v/>
      </c>
      <c r="F469" s="52" t="e">
        <v>#REF!</v>
      </c>
      <c r="G469" s="48" t="e">
        <v>#REF!</v>
      </c>
      <c r="H469" s="49">
        <v>1</v>
      </c>
      <c r="I469" s="49" t="e">
        <v>#REF!</v>
      </c>
      <c r="J469" s="50"/>
    </row>
    <row r="470" ht="28.8" outlineLevel="1" spans="1:10">
      <c r="A470" s="50">
        <v>391</v>
      </c>
      <c r="B470" s="51" t="str">
        <v>90厚轻质发泡复合保温板-浇筑施工</v>
      </c>
      <c r="C470" s="51" t="e">
        <v>#REF!</v>
      </c>
      <c r="D470" s="51" t="str">
        <v/>
      </c>
      <c r="E470" s="51" t="str">
        <v/>
      </c>
      <c r="F470" s="52" t="e">
        <v>#REF!</v>
      </c>
      <c r="G470" s="48" t="e">
        <v>#REF!</v>
      </c>
      <c r="H470" s="49">
        <v>1</v>
      </c>
      <c r="I470" s="49" t="e">
        <v>#REF!</v>
      </c>
      <c r="J470" s="50"/>
    </row>
    <row r="471" ht="28.8" outlineLevel="1" spans="1:10">
      <c r="A471" s="50">
        <v>392</v>
      </c>
      <c r="B471" s="51" t="str">
        <v>90厚轻质发泡复合保温板后贴施工</v>
      </c>
      <c r="C471" s="51" t="e">
        <v>#REF!</v>
      </c>
      <c r="D471" s="51" t="str">
        <v/>
      </c>
      <c r="E471" s="51" t="str">
        <v/>
      </c>
      <c r="F471" s="52" t="e">
        <v>#REF!</v>
      </c>
      <c r="G471" s="48" t="e">
        <v>#REF!</v>
      </c>
      <c r="H471" s="49">
        <v>1</v>
      </c>
      <c r="I471" s="49" t="e">
        <v>#REF!</v>
      </c>
      <c r="J471" s="50"/>
    </row>
    <row r="472" ht="28.8" outlineLevel="1" spans="1:10">
      <c r="A472" s="50">
        <v>393</v>
      </c>
      <c r="B472" s="51" t="str">
        <v>80厚轻质发泡复合保温板-浇筑施工</v>
      </c>
      <c r="C472" s="51" t="e">
        <v>#REF!</v>
      </c>
      <c r="D472" s="51" t="str">
        <v/>
      </c>
      <c r="E472" s="51" t="str">
        <v/>
      </c>
      <c r="F472" s="52" t="e">
        <v>#REF!</v>
      </c>
      <c r="G472" s="48" t="e">
        <v>#REF!</v>
      </c>
      <c r="H472" s="49">
        <v>1</v>
      </c>
      <c r="I472" s="49" t="e">
        <v>#REF!</v>
      </c>
      <c r="J472" s="50"/>
    </row>
    <row r="473" ht="28.8" outlineLevel="1" spans="1:10">
      <c r="A473" s="50">
        <v>394</v>
      </c>
      <c r="B473" s="51" t="str">
        <v>80厚轻质发泡复合保温板-后贴施工</v>
      </c>
      <c r="C473" s="51" t="e">
        <v>#REF!</v>
      </c>
      <c r="D473" s="51" t="str">
        <v/>
      </c>
      <c r="E473" s="51" t="str">
        <v/>
      </c>
      <c r="F473" s="52" t="e">
        <v>#REF!</v>
      </c>
      <c r="G473" s="48" t="e">
        <v>#REF!</v>
      </c>
      <c r="H473" s="49">
        <v>1</v>
      </c>
      <c r="I473" s="49" t="e">
        <v>#REF!</v>
      </c>
      <c r="J473" s="50"/>
    </row>
    <row r="474" ht="28.8" outlineLevel="1" spans="1:10">
      <c r="A474" s="50">
        <v>395</v>
      </c>
      <c r="B474" s="51" t="str">
        <v>70厚轻质发泡复合保温板-浇筑施工</v>
      </c>
      <c r="C474" s="51" t="e">
        <v>#REF!</v>
      </c>
      <c r="D474" s="51" t="str">
        <v/>
      </c>
      <c r="E474" s="51" t="str">
        <v/>
      </c>
      <c r="F474" s="52" t="e">
        <v>#REF!</v>
      </c>
      <c r="G474" s="48" t="e">
        <v>#REF!</v>
      </c>
      <c r="H474" s="49">
        <v>1</v>
      </c>
      <c r="I474" s="49" t="e">
        <v>#REF!</v>
      </c>
      <c r="J474" s="50"/>
    </row>
    <row r="475" ht="28.8" outlineLevel="1" spans="1:10">
      <c r="A475" s="50">
        <v>396</v>
      </c>
      <c r="B475" s="51" t="str">
        <v>70厚轻质发泡复合保温板-后贴施工</v>
      </c>
      <c r="C475" s="51" t="e">
        <v>#REF!</v>
      </c>
      <c r="D475" s="51" t="str">
        <v/>
      </c>
      <c r="E475" s="51" t="str">
        <v/>
      </c>
      <c r="F475" s="52" t="e">
        <v>#REF!</v>
      </c>
      <c r="G475" s="48" t="e">
        <v>#REF!</v>
      </c>
      <c r="H475" s="49">
        <v>1</v>
      </c>
      <c r="I475" s="49" t="e">
        <v>#REF!</v>
      </c>
      <c r="J475" s="50"/>
    </row>
    <row r="476" ht="28.8" outlineLevel="1" spans="1:10">
      <c r="A476" s="50" t="str">
        <v/>
      </c>
      <c r="B476" s="51" t="str">
        <v>保温隔热墙面（被动式）</v>
      </c>
      <c r="C476" s="51" t="str">
        <v/>
      </c>
      <c r="D476" s="51" t="str">
        <v/>
      </c>
      <c r="E476" s="51" t="str">
        <v/>
      </c>
      <c r="F476" s="52" t="str">
        <v/>
      </c>
      <c r="G476" s="48" t="str">
        <v/>
      </c>
      <c r="H476" s="49">
        <v>0</v>
      </c>
      <c r="I476" s="49">
        <v>0</v>
      </c>
      <c r="J476" s="50"/>
    </row>
    <row r="477" ht="28.8" outlineLevel="1" spans="1:10">
      <c r="A477" s="50">
        <v>397</v>
      </c>
      <c r="B477" s="51" t="str">
        <v>外墙保温-260厚石墨聚苯板</v>
      </c>
      <c r="C477" s="51" t="e">
        <v>#REF!</v>
      </c>
      <c r="D477" s="51" t="str">
        <v/>
      </c>
      <c r="E477" s="51" t="str">
        <v/>
      </c>
      <c r="F477" s="52" t="e">
        <v>#REF!</v>
      </c>
      <c r="G477" s="48" t="e">
        <v>#REF!</v>
      </c>
      <c r="H477" s="49">
        <v>0</v>
      </c>
      <c r="I477" s="49" t="e">
        <v>#REF!</v>
      </c>
      <c r="J477" s="50"/>
    </row>
    <row r="478" outlineLevel="1" spans="1:10">
      <c r="A478" s="50">
        <v>398</v>
      </c>
      <c r="B478" s="51" t="str">
        <v>外墙保温-界面修补</v>
      </c>
      <c r="C478" s="51" t="e">
        <v>#REF!</v>
      </c>
      <c r="D478" s="51" t="str">
        <v/>
      </c>
      <c r="E478" s="51" t="str">
        <v/>
      </c>
      <c r="F478" s="52" t="e">
        <v>#REF!</v>
      </c>
      <c r="G478" s="48" t="e">
        <v>#REF!</v>
      </c>
      <c r="H478" s="49">
        <v>0</v>
      </c>
      <c r="I478" s="49" t="e">
        <v>#REF!</v>
      </c>
      <c r="J478" s="50"/>
    </row>
    <row r="479" ht="28.8" outlineLevel="1" spans="1:10">
      <c r="A479" s="50">
        <v>399</v>
      </c>
      <c r="B479" s="51" t="str">
        <v>外墙保温-5厚干粉聚合物砂浆</v>
      </c>
      <c r="C479" s="51" t="e">
        <v>#REF!</v>
      </c>
      <c r="D479" s="51" t="str">
        <v/>
      </c>
      <c r="E479" s="51" t="str">
        <v/>
      </c>
      <c r="F479" s="52" t="e">
        <v>#REF!</v>
      </c>
      <c r="G479" s="48" t="e">
        <v>#REF!</v>
      </c>
      <c r="H479" s="49">
        <v>0</v>
      </c>
      <c r="I479" s="49" t="e">
        <v>#REF!</v>
      </c>
      <c r="J479" s="50"/>
    </row>
    <row r="480" outlineLevel="1" spans="1:10">
      <c r="A480" s="50">
        <v>400</v>
      </c>
      <c r="B480" s="51" t="str">
        <v>外墙面-网格布</v>
      </c>
      <c r="C480" s="51" t="e">
        <v>#REF!</v>
      </c>
      <c r="D480" s="51" t="str">
        <v/>
      </c>
      <c r="E480" s="51" t="str">
        <v/>
      </c>
      <c r="F480" s="52" t="e">
        <v>#REF!</v>
      </c>
      <c r="G480" s="48" t="e">
        <v>#REF!</v>
      </c>
      <c r="H480" s="49">
        <v>0</v>
      </c>
      <c r="I480" s="49" t="e">
        <v>#REF!</v>
      </c>
      <c r="J480" s="50"/>
    </row>
    <row r="481" outlineLevel="1" spans="1:10">
      <c r="A481" s="50" t="str">
        <v/>
      </c>
      <c r="B481" s="51" t="str">
        <v>自密实混凝土墙保温</v>
      </c>
      <c r="C481" s="51" t="str">
        <v/>
      </c>
      <c r="D481" s="51" t="str">
        <v/>
      </c>
      <c r="E481" s="51" t="str">
        <v/>
      </c>
      <c r="F481" s="52" t="str">
        <v/>
      </c>
      <c r="G481" s="48" t="str">
        <v/>
      </c>
      <c r="H481" s="49">
        <v>0</v>
      </c>
      <c r="I481" s="49">
        <v>0</v>
      </c>
      <c r="J481" s="50"/>
    </row>
    <row r="482" ht="28.8" outlineLevel="1" spans="1:10">
      <c r="A482" s="50">
        <v>401</v>
      </c>
      <c r="B482" s="51" t="str">
        <v>外墙保温-320厚石墨聚苯板（单层网）</v>
      </c>
      <c r="C482" s="51" t="e">
        <v>#REF!</v>
      </c>
      <c r="D482" s="51" t="str">
        <v/>
      </c>
      <c r="E482" s="51" t="str">
        <v/>
      </c>
      <c r="F482" s="52" t="e">
        <v>#REF!</v>
      </c>
      <c r="G482" s="48" t="e">
        <v>#REF!</v>
      </c>
      <c r="H482" s="49">
        <v>0</v>
      </c>
      <c r="I482" s="49" t="e">
        <v>#REF!</v>
      </c>
      <c r="J482" s="50"/>
    </row>
    <row r="483" outlineLevel="1" spans="1:10">
      <c r="A483" s="50">
        <v>402</v>
      </c>
      <c r="B483" s="51" t="str">
        <v>外墙保温-界面修补</v>
      </c>
      <c r="C483" s="51" t="e">
        <v>#REF!</v>
      </c>
      <c r="D483" s="51" t="str">
        <v/>
      </c>
      <c r="E483" s="51" t="str">
        <v/>
      </c>
      <c r="F483" s="52" t="e">
        <v>#REF!</v>
      </c>
      <c r="G483" s="48" t="e">
        <v>#REF!</v>
      </c>
      <c r="H483" s="49">
        <v>0</v>
      </c>
      <c r="I483" s="49" t="e">
        <v>#REF!</v>
      </c>
      <c r="J483" s="50"/>
    </row>
    <row r="484" ht="28.8" outlineLevel="1" spans="1:10">
      <c r="A484" s="50">
        <v>403</v>
      </c>
      <c r="B484" s="51" t="str">
        <v>外墙保温-5厚干粉聚合物砂浆</v>
      </c>
      <c r="C484" s="51" t="e">
        <v>#REF!</v>
      </c>
      <c r="D484" s="51" t="str">
        <v/>
      </c>
      <c r="E484" s="51" t="str">
        <v/>
      </c>
      <c r="F484" s="52" t="e">
        <v>#REF!</v>
      </c>
      <c r="G484" s="48" t="e">
        <v>#REF!</v>
      </c>
      <c r="H484" s="49">
        <v>0</v>
      </c>
      <c r="I484" s="49" t="e">
        <v>#REF!</v>
      </c>
      <c r="J484" s="50"/>
    </row>
    <row r="485" outlineLevel="1" spans="1:10">
      <c r="A485" s="50">
        <v>404</v>
      </c>
      <c r="B485" s="51" t="str">
        <v>外墙面-网格布</v>
      </c>
      <c r="C485" s="51" t="e">
        <v>#REF!</v>
      </c>
      <c r="D485" s="51" t="str">
        <v/>
      </c>
      <c r="E485" s="51" t="str">
        <v/>
      </c>
      <c r="F485" s="52" t="e">
        <v>#REF!</v>
      </c>
      <c r="G485" s="48" t="e">
        <v>#REF!</v>
      </c>
      <c r="H485" s="49">
        <v>0</v>
      </c>
      <c r="I485" s="49" t="e">
        <v>#REF!</v>
      </c>
      <c r="J485" s="50"/>
    </row>
    <row r="486" outlineLevel="1" spans="1:10">
      <c r="A486" s="50" t="str">
        <v/>
      </c>
      <c r="B486" s="51" t="str">
        <v>自密实混凝土墙保温</v>
      </c>
      <c r="C486" s="51" t="str">
        <v/>
      </c>
      <c r="D486" s="51" t="str">
        <v/>
      </c>
      <c r="E486" s="51" t="str">
        <v/>
      </c>
      <c r="F486" s="52" t="str">
        <v/>
      </c>
      <c r="G486" s="48" t="str">
        <v/>
      </c>
      <c r="H486" s="49">
        <v>0</v>
      </c>
      <c r="I486" s="49">
        <v>0</v>
      </c>
      <c r="J486" s="50"/>
    </row>
    <row r="487" ht="28.8" outlineLevel="1" spans="1:10">
      <c r="A487" s="50">
        <v>405</v>
      </c>
      <c r="B487" s="51" t="str">
        <v>外墙保温-320厚石墨聚苯板（双层网）</v>
      </c>
      <c r="C487" s="51" t="e">
        <v>#REF!</v>
      </c>
      <c r="D487" s="51" t="str">
        <v/>
      </c>
      <c r="E487" s="51" t="str">
        <v/>
      </c>
      <c r="F487" s="52" t="e">
        <v>#REF!</v>
      </c>
      <c r="G487" s="48" t="e">
        <v>#REF!</v>
      </c>
      <c r="H487" s="49">
        <v>0</v>
      </c>
      <c r="I487" s="49" t="e">
        <v>#REF!</v>
      </c>
      <c r="J487" s="50"/>
    </row>
    <row r="488" outlineLevel="1" spans="1:10">
      <c r="A488" s="50">
        <v>406</v>
      </c>
      <c r="B488" s="51" t="str">
        <v>外墙保温-界面修补</v>
      </c>
      <c r="C488" s="51" t="e">
        <v>#REF!</v>
      </c>
      <c r="D488" s="51" t="str">
        <v/>
      </c>
      <c r="E488" s="51" t="str">
        <v/>
      </c>
      <c r="F488" s="52" t="e">
        <v>#REF!</v>
      </c>
      <c r="G488" s="48" t="e">
        <v>#REF!</v>
      </c>
      <c r="H488" s="49">
        <v>0</v>
      </c>
      <c r="I488" s="49" t="e">
        <v>#REF!</v>
      </c>
      <c r="J488" s="50"/>
    </row>
    <row r="489" ht="28.8" outlineLevel="1" spans="1:10">
      <c r="A489" s="50">
        <v>407</v>
      </c>
      <c r="B489" s="51" t="str">
        <v>外墙保温-5厚干粉聚合物砂浆</v>
      </c>
      <c r="C489" s="51" t="e">
        <v>#REF!</v>
      </c>
      <c r="D489" s="51" t="str">
        <v/>
      </c>
      <c r="E489" s="51" t="str">
        <v/>
      </c>
      <c r="F489" s="52" t="e">
        <v>#REF!</v>
      </c>
      <c r="G489" s="48" t="e">
        <v>#REF!</v>
      </c>
      <c r="H489" s="49">
        <v>0</v>
      </c>
      <c r="I489" s="49" t="e">
        <v>#REF!</v>
      </c>
      <c r="J489" s="50"/>
    </row>
    <row r="490" outlineLevel="1" spans="1:10">
      <c r="A490" s="50">
        <v>408</v>
      </c>
      <c r="B490" s="51" t="str">
        <v>外墙面-网格布</v>
      </c>
      <c r="C490" s="51" t="e">
        <v>#REF!</v>
      </c>
      <c r="D490" s="51" t="str">
        <v/>
      </c>
      <c r="E490" s="51" t="str">
        <v/>
      </c>
      <c r="F490" s="52" t="e">
        <v>#REF!</v>
      </c>
      <c r="G490" s="48" t="e">
        <v>#REF!</v>
      </c>
      <c r="H490" s="49">
        <v>0</v>
      </c>
      <c r="I490" s="49" t="e">
        <v>#REF!</v>
      </c>
      <c r="J490" s="50"/>
    </row>
    <row r="491" outlineLevel="1" spans="1:10">
      <c r="A491" s="50" t="str">
        <v/>
      </c>
      <c r="B491" s="51" t="str">
        <v>A.05简易装修工程</v>
      </c>
      <c r="C491" s="51" t="str">
        <v/>
      </c>
      <c r="D491" s="51" t="str">
        <v/>
      </c>
      <c r="E491" s="51" t="str">
        <v/>
      </c>
      <c r="F491" s="52" t="str">
        <v/>
      </c>
      <c r="G491" s="48" t="str">
        <v/>
      </c>
      <c r="H491" s="49">
        <v>0</v>
      </c>
      <c r="I491" s="49" t="e">
        <v>#REF!</v>
      </c>
      <c r="J491" s="50"/>
    </row>
    <row r="492" outlineLevel="1" spans="1:10">
      <c r="A492" s="50" t="str">
        <v/>
      </c>
      <c r="B492" s="51" t="str">
        <v>A.05.01地面装饰工程</v>
      </c>
      <c r="C492" s="51" t="str">
        <v/>
      </c>
      <c r="D492" s="51" t="str">
        <v/>
      </c>
      <c r="E492" s="51" t="str">
        <v/>
      </c>
      <c r="F492" s="52" t="str">
        <v/>
      </c>
      <c r="G492" s="48" t="str">
        <v/>
      </c>
      <c r="H492" s="49">
        <v>0</v>
      </c>
      <c r="I492" s="49" t="e">
        <v>#REF!</v>
      </c>
      <c r="J492" s="50"/>
    </row>
    <row r="493" outlineLevel="1" spans="1:10">
      <c r="A493" s="50">
        <v>409</v>
      </c>
      <c r="B493" s="51" t="str">
        <v>楼地面-楼梯间（30厚）</v>
      </c>
      <c r="C493" s="51" t="e">
        <v>#REF!</v>
      </c>
      <c r="D493" s="51" t="str">
        <v/>
      </c>
      <c r="E493" s="51" t="str">
        <v/>
      </c>
      <c r="F493" s="52" t="e">
        <v>#REF!</v>
      </c>
      <c r="G493" s="48" t="e">
        <v>#REF!</v>
      </c>
      <c r="H493" s="49">
        <v>0</v>
      </c>
      <c r="I493" s="49" t="e">
        <v>#REF!</v>
      </c>
      <c r="J493" s="50"/>
    </row>
    <row r="494" outlineLevel="1" spans="1:10">
      <c r="A494" s="50">
        <v>410</v>
      </c>
      <c r="B494" s="51" t="str">
        <v>楼地面-楼梯间（20厚）</v>
      </c>
      <c r="C494" s="51" t="e">
        <v>#REF!</v>
      </c>
      <c r="D494" s="51" t="str">
        <v/>
      </c>
      <c r="E494" s="51" t="str">
        <v/>
      </c>
      <c r="F494" s="52" t="e">
        <v>#REF!</v>
      </c>
      <c r="G494" s="48" t="e">
        <v>#REF!</v>
      </c>
      <c r="H494" s="49">
        <v>26.9</v>
      </c>
      <c r="I494" s="49" t="e">
        <v>#REF!</v>
      </c>
      <c r="J494" s="50"/>
    </row>
    <row r="495" outlineLevel="1" spans="1:10">
      <c r="A495" s="50" t="str">
        <v/>
      </c>
      <c r="B495" s="51" t="str">
        <v>装配式干法地暖楼地面</v>
      </c>
      <c r="C495" s="51" t="str">
        <v/>
      </c>
      <c r="D495" s="51" t="str">
        <v/>
      </c>
      <c r="E495" s="51" t="str">
        <v/>
      </c>
      <c r="F495" s="52" t="str">
        <v/>
      </c>
      <c r="G495" s="48" t="str">
        <v/>
      </c>
      <c r="H495" s="49">
        <v>0</v>
      </c>
      <c r="I495" s="49">
        <v>0</v>
      </c>
      <c r="J495" s="50"/>
    </row>
    <row r="496" outlineLevel="1" spans="1:10">
      <c r="A496" s="50">
        <v>411</v>
      </c>
      <c r="B496" s="51" t="str">
        <v>楼地面-7厚抗裂砂浆</v>
      </c>
      <c r="C496" s="51" t="e">
        <v>#REF!</v>
      </c>
      <c r="D496" s="51" t="str">
        <v/>
      </c>
      <c r="E496" s="51" t="str">
        <v/>
      </c>
      <c r="F496" s="52" t="e">
        <v>#REF!</v>
      </c>
      <c r="G496" s="48" t="e">
        <v>#REF!</v>
      </c>
      <c r="H496" s="49">
        <v>0</v>
      </c>
      <c r="I496" s="49" t="e">
        <v>#REF!</v>
      </c>
      <c r="J496" s="50"/>
    </row>
    <row r="497" outlineLevel="1" spans="1:10">
      <c r="A497" s="50">
        <v>412</v>
      </c>
      <c r="B497" s="51" t="str">
        <v>楼地面-玻纤网</v>
      </c>
      <c r="C497" s="51" t="e">
        <v>#REF!</v>
      </c>
      <c r="D497" s="51" t="str">
        <v/>
      </c>
      <c r="E497" s="51" t="str">
        <v/>
      </c>
      <c r="F497" s="52" t="e">
        <v>#REF!</v>
      </c>
      <c r="G497" s="48" t="e">
        <v>#REF!</v>
      </c>
      <c r="H497" s="49">
        <v>0</v>
      </c>
      <c r="I497" s="49" t="e">
        <v>#REF!</v>
      </c>
      <c r="J497" s="50"/>
    </row>
    <row r="498" ht="28.8" outlineLevel="1" spans="1:10">
      <c r="A498" s="50">
        <v>413</v>
      </c>
      <c r="B498" s="51" t="str">
        <v>楼地面-干法地暖薄粘结剂</v>
      </c>
      <c r="C498" s="51" t="e">
        <v>#REF!</v>
      </c>
      <c r="D498" s="51" t="str">
        <v/>
      </c>
      <c r="E498" s="51" t="str">
        <v/>
      </c>
      <c r="F498" s="52" t="e">
        <v>#REF!</v>
      </c>
      <c r="G498" s="48" t="e">
        <v>#REF!</v>
      </c>
      <c r="H498" s="49">
        <v>0</v>
      </c>
      <c r="I498" s="49" t="e">
        <v>#REF!</v>
      </c>
      <c r="J498" s="50"/>
    </row>
    <row r="499" ht="28.8" outlineLevel="1" spans="1:10">
      <c r="A499" s="50">
        <v>414</v>
      </c>
      <c r="B499" s="51" t="str">
        <v>楼地面-干法地暖厚粘结剂</v>
      </c>
      <c r="C499" s="51" t="e">
        <v>#REF!</v>
      </c>
      <c r="D499" s="51" t="str">
        <v/>
      </c>
      <c r="E499" s="51" t="str">
        <v/>
      </c>
      <c r="F499" s="52" t="e">
        <v>#REF!</v>
      </c>
      <c r="G499" s="48" t="e">
        <v>#REF!</v>
      </c>
      <c r="H499" s="49">
        <v>0</v>
      </c>
      <c r="I499" s="49" t="e">
        <v>#REF!</v>
      </c>
      <c r="J499" s="50"/>
    </row>
    <row r="500" outlineLevel="1" spans="1:10">
      <c r="A500" s="50">
        <v>415</v>
      </c>
      <c r="B500" s="51" t="str">
        <v>楼地面-砂浆粘结层</v>
      </c>
      <c r="C500" s="51" t="e">
        <v>#REF!</v>
      </c>
      <c r="D500" s="51" t="str">
        <v/>
      </c>
      <c r="E500" s="51" t="str">
        <v/>
      </c>
      <c r="F500" s="52" t="e">
        <v>#REF!</v>
      </c>
      <c r="G500" s="48" t="e">
        <v>#REF!</v>
      </c>
      <c r="H500" s="49">
        <v>0</v>
      </c>
      <c r="I500" s="49" t="e">
        <v>#REF!</v>
      </c>
      <c r="J500" s="50"/>
    </row>
    <row r="501" ht="28.8" outlineLevel="1" spans="1:10">
      <c r="A501" s="50" t="str">
        <v/>
      </c>
      <c r="B501" s="51" t="str">
        <v>湿法地暖楼地面（通用做法）</v>
      </c>
      <c r="C501" s="51" t="str">
        <v/>
      </c>
      <c r="D501" s="51" t="str">
        <v/>
      </c>
      <c r="E501" s="51" t="str">
        <v/>
      </c>
      <c r="F501" s="52" t="str">
        <v/>
      </c>
      <c r="G501" s="48" t="str">
        <v/>
      </c>
      <c r="H501" s="49">
        <v>0</v>
      </c>
      <c r="I501" s="49">
        <v>0</v>
      </c>
      <c r="J501" s="50"/>
    </row>
    <row r="502" ht="28.8" outlineLevel="1" spans="1:10">
      <c r="A502" s="50">
        <v>416</v>
      </c>
      <c r="B502" s="51" t="str">
        <v>楼地面-单层Φ3@50钢筋网</v>
      </c>
      <c r="C502" s="51" t="e">
        <v>#REF!</v>
      </c>
      <c r="D502" s="51" t="str">
        <v/>
      </c>
      <c r="E502" s="51" t="str">
        <v/>
      </c>
      <c r="F502" s="52" t="e">
        <v>#REF!</v>
      </c>
      <c r="G502" s="48" t="e">
        <v>#REF!</v>
      </c>
      <c r="H502" s="49">
        <v>0</v>
      </c>
      <c r="I502" s="49" t="e">
        <v>#REF!</v>
      </c>
      <c r="J502" s="50"/>
    </row>
    <row r="503" outlineLevel="1" spans="1:10">
      <c r="A503" s="50">
        <v>417</v>
      </c>
      <c r="B503" s="51" t="str">
        <v>楼地面-铝箔纸</v>
      </c>
      <c r="C503" s="51" t="e">
        <v>#REF!</v>
      </c>
      <c r="D503" s="51" t="str">
        <v/>
      </c>
      <c r="E503" s="51" t="str">
        <v/>
      </c>
      <c r="F503" s="52" t="e">
        <v>#REF!</v>
      </c>
      <c r="G503" s="48" t="e">
        <v>#REF!</v>
      </c>
      <c r="H503" s="49">
        <v>0</v>
      </c>
      <c r="I503" s="49" t="e">
        <v>#REF!</v>
      </c>
      <c r="J503" s="50"/>
    </row>
    <row r="504" outlineLevel="1" spans="1:10">
      <c r="A504" s="50">
        <v>418</v>
      </c>
      <c r="B504" s="51" t="str">
        <v>楼地面-20厚XPS</v>
      </c>
      <c r="C504" s="51" t="e">
        <v>#REF!</v>
      </c>
      <c r="D504" s="51" t="str">
        <v/>
      </c>
      <c r="E504" s="51" t="str">
        <v/>
      </c>
      <c r="F504" s="52" t="e">
        <v>#REF!</v>
      </c>
      <c r="G504" s="48" t="e">
        <v>#REF!</v>
      </c>
      <c r="H504" s="49">
        <v>0</v>
      </c>
      <c r="I504" s="49" t="e">
        <v>#REF!</v>
      </c>
      <c r="J504" s="50"/>
    </row>
    <row r="505" outlineLevel="1" spans="1:10">
      <c r="A505" s="50" t="str">
        <v/>
      </c>
      <c r="B505" s="51" t="str">
        <v>卫生间地面（有覆土）</v>
      </c>
      <c r="C505" s="51" t="str">
        <v/>
      </c>
      <c r="D505" s="51" t="str">
        <v/>
      </c>
      <c r="E505" s="51" t="str">
        <v/>
      </c>
      <c r="F505" s="52" t="str">
        <v/>
      </c>
      <c r="G505" s="48" t="str">
        <v/>
      </c>
      <c r="H505" s="49">
        <v>0</v>
      </c>
      <c r="I505" s="49">
        <v>0</v>
      </c>
      <c r="J505" s="50"/>
    </row>
    <row r="506" ht="28.8" outlineLevel="1" spans="1:10">
      <c r="A506" s="50">
        <v>419</v>
      </c>
      <c r="B506" s="51" t="str">
        <v>楼地面-60厚C15豆石砼找坡</v>
      </c>
      <c r="C506" s="51" t="e">
        <v>#REF!</v>
      </c>
      <c r="D506" s="51" t="str">
        <v/>
      </c>
      <c r="E506" s="51" t="str">
        <v/>
      </c>
      <c r="F506" s="52" t="e">
        <v>#REF!</v>
      </c>
      <c r="G506" s="48" t="e">
        <v>#REF!</v>
      </c>
      <c r="H506" s="49">
        <v>1</v>
      </c>
      <c r="I506" s="49" t="e">
        <v>#REF!</v>
      </c>
      <c r="J506" s="50"/>
    </row>
    <row r="507" outlineLevel="1" spans="1:10">
      <c r="A507" s="50">
        <v>420</v>
      </c>
      <c r="B507" s="51" t="str">
        <v>楼地面-玻纤网</v>
      </c>
      <c r="C507" s="51" t="e">
        <v>#REF!</v>
      </c>
      <c r="D507" s="51" t="str">
        <v/>
      </c>
      <c r="E507" s="51" t="str">
        <v/>
      </c>
      <c r="F507" s="52" t="e">
        <v>#REF!</v>
      </c>
      <c r="G507" s="48" t="e">
        <v>#REF!</v>
      </c>
      <c r="H507" s="49">
        <v>1</v>
      </c>
      <c r="I507" s="49" t="e">
        <v>#REF!</v>
      </c>
      <c r="J507" s="50"/>
    </row>
    <row r="508" ht="28.8" outlineLevel="1" spans="1:10">
      <c r="A508" s="50">
        <v>421</v>
      </c>
      <c r="B508" s="51" t="str">
        <v>楼地面-15厚M20水泥砂浆</v>
      </c>
      <c r="C508" s="51" t="e">
        <v>#REF!</v>
      </c>
      <c r="D508" s="51" t="str">
        <v/>
      </c>
      <c r="E508" s="51" t="str">
        <v/>
      </c>
      <c r="F508" s="52" t="e">
        <v>#REF!</v>
      </c>
      <c r="G508" s="48" t="e">
        <v>#REF!</v>
      </c>
      <c r="H508" s="49">
        <v>1</v>
      </c>
      <c r="I508" s="49" t="e">
        <v>#REF!</v>
      </c>
      <c r="J508" s="50"/>
    </row>
    <row r="509" outlineLevel="1" spans="1:10">
      <c r="A509" s="50">
        <v>422</v>
      </c>
      <c r="B509" s="51" t="str">
        <v>楼地面-60厚C15细石砼</v>
      </c>
      <c r="C509" s="51" t="e">
        <v>#REF!</v>
      </c>
      <c r="D509" s="51" t="str">
        <v/>
      </c>
      <c r="E509" s="51" t="str">
        <v/>
      </c>
      <c r="F509" s="52" t="e">
        <v>#REF!</v>
      </c>
      <c r="G509" s="48" t="e">
        <v>#REF!</v>
      </c>
      <c r="H509" s="49">
        <v>1</v>
      </c>
      <c r="I509" s="49" t="e">
        <v>#REF!</v>
      </c>
      <c r="J509" s="50"/>
    </row>
    <row r="510" outlineLevel="1" spans="1:10">
      <c r="A510" s="50">
        <v>423</v>
      </c>
      <c r="B510" s="51" t="str">
        <v>楼地面-塑料膜</v>
      </c>
      <c r="C510" s="51" t="e">
        <v>#REF!</v>
      </c>
      <c r="D510" s="51" t="str">
        <v/>
      </c>
      <c r="E510" s="51" t="str">
        <v/>
      </c>
      <c r="F510" s="52" t="e">
        <v>#REF!</v>
      </c>
      <c r="G510" s="48" t="e">
        <v>#REF!</v>
      </c>
      <c r="H510" s="49">
        <v>1</v>
      </c>
      <c r="I510" s="49" t="e">
        <v>#REF!</v>
      </c>
      <c r="J510" s="50"/>
    </row>
    <row r="511" ht="28.8" outlineLevel="1" spans="1:10">
      <c r="A511" s="50">
        <v>424</v>
      </c>
      <c r="B511" s="51" t="str">
        <v>楼地面-150厚3:7灰土夯实</v>
      </c>
      <c r="C511" s="51" t="e">
        <v>#REF!</v>
      </c>
      <c r="D511" s="51" t="str">
        <v/>
      </c>
      <c r="E511" s="51" t="str">
        <v/>
      </c>
      <c r="F511" s="52" t="e">
        <v>#REF!</v>
      </c>
      <c r="G511" s="48" t="e">
        <v>#REF!</v>
      </c>
      <c r="H511" s="49">
        <v>1</v>
      </c>
      <c r="I511" s="49" t="e">
        <v>#REF!</v>
      </c>
      <c r="J511" s="50"/>
    </row>
    <row r="512" outlineLevel="1" spans="1:10">
      <c r="A512" s="50">
        <v>425</v>
      </c>
      <c r="B512" s="51" t="str">
        <v>楼地面-素土夯实</v>
      </c>
      <c r="C512" s="51" t="e">
        <v>#REF!</v>
      </c>
      <c r="D512" s="51" t="str">
        <v/>
      </c>
      <c r="E512" s="51" t="str">
        <v/>
      </c>
      <c r="F512" s="52" t="e">
        <v>#REF!</v>
      </c>
      <c r="G512" s="48" t="e">
        <v>#REF!</v>
      </c>
      <c r="H512" s="49">
        <v>1</v>
      </c>
      <c r="I512" s="49" t="e">
        <v>#REF!</v>
      </c>
      <c r="J512" s="50"/>
    </row>
    <row r="513" outlineLevel="1" spans="1:10">
      <c r="A513" s="50" t="str">
        <v/>
      </c>
      <c r="B513" s="51" t="str">
        <v>卫生间地面（有覆土）</v>
      </c>
      <c r="C513" s="51" t="str">
        <v/>
      </c>
      <c r="D513" s="51" t="str">
        <v/>
      </c>
      <c r="E513" s="51" t="str">
        <v/>
      </c>
      <c r="F513" s="52" t="str">
        <v/>
      </c>
      <c r="G513" s="48" t="str">
        <v/>
      </c>
      <c r="H513" s="49">
        <v>0</v>
      </c>
      <c r="I513" s="49">
        <v>0</v>
      </c>
      <c r="J513" s="50"/>
    </row>
    <row r="514" outlineLevel="1" spans="1:10">
      <c r="A514" s="50">
        <v>426</v>
      </c>
      <c r="B514" s="51" t="str">
        <v>楼地面-60厚C15细石砼</v>
      </c>
      <c r="C514" s="51" t="e">
        <v>#REF!</v>
      </c>
      <c r="D514" s="51" t="str">
        <v/>
      </c>
      <c r="E514" s="51" t="str">
        <v/>
      </c>
      <c r="F514" s="52" t="e">
        <v>#REF!</v>
      </c>
      <c r="G514" s="48" t="e">
        <v>#REF!</v>
      </c>
      <c r="H514" s="49">
        <v>1</v>
      </c>
      <c r="I514" s="49" t="e">
        <v>#REF!</v>
      </c>
      <c r="J514" s="50"/>
    </row>
    <row r="515" outlineLevel="1" spans="1:10">
      <c r="A515" s="50">
        <v>427</v>
      </c>
      <c r="B515" s="51" t="str">
        <v>楼地面-60厚C15砼</v>
      </c>
      <c r="C515" s="51" t="e">
        <v>#REF!</v>
      </c>
      <c r="D515" s="51" t="str">
        <v/>
      </c>
      <c r="E515" s="51" t="str">
        <v/>
      </c>
      <c r="F515" s="52" t="e">
        <v>#REF!</v>
      </c>
      <c r="G515" s="48" t="e">
        <v>#REF!</v>
      </c>
      <c r="H515" s="49">
        <v>1</v>
      </c>
      <c r="I515" s="49" t="e">
        <v>#REF!</v>
      </c>
      <c r="J515" s="50"/>
    </row>
    <row r="516" ht="28.8" outlineLevel="1" spans="1:10">
      <c r="A516" s="50">
        <v>428</v>
      </c>
      <c r="B516" s="51" t="str">
        <v>楼地面-双层Φ3@50钢筋网</v>
      </c>
      <c r="C516" s="51" t="e">
        <v>#REF!</v>
      </c>
      <c r="D516" s="51" t="str">
        <v/>
      </c>
      <c r="E516" s="51" t="str">
        <v/>
      </c>
      <c r="F516" s="52" t="e">
        <v>#REF!</v>
      </c>
      <c r="G516" s="48" t="e">
        <v>#REF!</v>
      </c>
      <c r="H516" s="49">
        <v>1</v>
      </c>
      <c r="I516" s="49" t="e">
        <v>#REF!</v>
      </c>
      <c r="J516" s="50"/>
    </row>
    <row r="517" outlineLevel="1" spans="1:10">
      <c r="A517" s="50">
        <v>429</v>
      </c>
      <c r="B517" s="51" t="str">
        <v>楼地面-塑料膜</v>
      </c>
      <c r="C517" s="51" t="e">
        <v>#REF!</v>
      </c>
      <c r="D517" s="51" t="str">
        <v/>
      </c>
      <c r="E517" s="51" t="str">
        <v/>
      </c>
      <c r="F517" s="52" t="e">
        <v>#REF!</v>
      </c>
      <c r="G517" s="48" t="e">
        <v>#REF!</v>
      </c>
      <c r="H517" s="49">
        <v>1</v>
      </c>
      <c r="I517" s="49" t="e">
        <v>#REF!</v>
      </c>
      <c r="J517" s="50"/>
    </row>
    <row r="518" ht="28.8" outlineLevel="1" spans="1:10">
      <c r="A518" s="50">
        <v>430</v>
      </c>
      <c r="B518" s="51" t="str">
        <v>楼地面-150厚3:7灰土夯实</v>
      </c>
      <c r="C518" s="51" t="e">
        <v>#REF!</v>
      </c>
      <c r="D518" s="51" t="str">
        <v/>
      </c>
      <c r="E518" s="51" t="str">
        <v/>
      </c>
      <c r="F518" s="52" t="e">
        <v>#REF!</v>
      </c>
      <c r="G518" s="48" t="e">
        <v>#REF!</v>
      </c>
      <c r="H518" s="49">
        <v>1</v>
      </c>
      <c r="I518" s="49" t="e">
        <v>#REF!</v>
      </c>
      <c r="J518" s="50"/>
    </row>
    <row r="519" outlineLevel="1" spans="1:10">
      <c r="A519" s="50">
        <v>431</v>
      </c>
      <c r="B519" s="51" t="str">
        <v>楼地面-素土夯实</v>
      </c>
      <c r="C519" s="51" t="e">
        <v>#REF!</v>
      </c>
      <c r="D519" s="51" t="str">
        <v/>
      </c>
      <c r="E519" s="51" t="str">
        <v/>
      </c>
      <c r="F519" s="52" t="e">
        <v>#REF!</v>
      </c>
      <c r="G519" s="48" t="e">
        <v>#REF!</v>
      </c>
      <c r="H519" s="49">
        <v>1</v>
      </c>
      <c r="I519" s="49" t="e">
        <v>#REF!</v>
      </c>
      <c r="J519" s="50"/>
    </row>
    <row r="520" outlineLevel="1" spans="1:10">
      <c r="A520" s="50" t="str">
        <v/>
      </c>
      <c r="B520" s="51" t="str">
        <v>卫生间地面（有覆土）</v>
      </c>
      <c r="C520" s="51" t="str">
        <v/>
      </c>
      <c r="D520" s="51" t="str">
        <v/>
      </c>
      <c r="E520" s="51" t="str">
        <v/>
      </c>
      <c r="F520" s="52" t="str">
        <v/>
      </c>
      <c r="G520" s="48" t="str">
        <v/>
      </c>
      <c r="H520" s="49">
        <v>0</v>
      </c>
      <c r="I520" s="49">
        <v>0</v>
      </c>
      <c r="J520" s="50"/>
    </row>
    <row r="521" ht="28.8" outlineLevel="1" spans="1:10">
      <c r="A521" s="50">
        <v>432</v>
      </c>
      <c r="B521" s="51" t="str">
        <v>楼地面-60厚C15豆石砼找坡</v>
      </c>
      <c r="C521" s="51" t="e">
        <v>#REF!</v>
      </c>
      <c r="D521" s="51" t="str">
        <v/>
      </c>
      <c r="E521" s="51" t="str">
        <v/>
      </c>
      <c r="F521" s="52" t="e">
        <v>#REF!</v>
      </c>
      <c r="G521" s="48" t="e">
        <v>#REF!</v>
      </c>
      <c r="H521" s="49">
        <v>1</v>
      </c>
      <c r="I521" s="49" t="e">
        <v>#REF!</v>
      </c>
      <c r="J521" s="50"/>
    </row>
    <row r="522" outlineLevel="1" spans="1:10">
      <c r="A522" s="50">
        <v>433</v>
      </c>
      <c r="B522" s="51" t="str">
        <v>楼地面-60厚C15细石砼</v>
      </c>
      <c r="C522" s="51" t="e">
        <v>#REF!</v>
      </c>
      <c r="D522" s="51" t="str">
        <v/>
      </c>
      <c r="E522" s="51" t="str">
        <v/>
      </c>
      <c r="F522" s="52" t="e">
        <v>#REF!</v>
      </c>
      <c r="G522" s="48" t="e">
        <v>#REF!</v>
      </c>
      <c r="H522" s="49">
        <v>1</v>
      </c>
      <c r="I522" s="49" t="e">
        <v>#REF!</v>
      </c>
      <c r="J522" s="50"/>
    </row>
    <row r="523" outlineLevel="1" spans="1:10">
      <c r="A523" s="50">
        <v>434</v>
      </c>
      <c r="B523" s="51" t="str">
        <v>楼地面-塑料膜</v>
      </c>
      <c r="C523" s="51" t="e">
        <v>#REF!</v>
      </c>
      <c r="D523" s="51" t="str">
        <v/>
      </c>
      <c r="E523" s="51" t="str">
        <v/>
      </c>
      <c r="F523" s="52" t="e">
        <v>#REF!</v>
      </c>
      <c r="G523" s="48" t="e">
        <v>#REF!</v>
      </c>
      <c r="H523" s="49">
        <v>1</v>
      </c>
      <c r="I523" s="49" t="e">
        <v>#REF!</v>
      </c>
      <c r="J523" s="50"/>
    </row>
    <row r="524" ht="28.8" outlineLevel="1" spans="1:10">
      <c r="A524" s="50">
        <v>435</v>
      </c>
      <c r="B524" s="51" t="str">
        <v>楼地面-150厚3:7灰土夯实</v>
      </c>
      <c r="C524" s="51" t="e">
        <v>#REF!</v>
      </c>
      <c r="D524" s="51" t="str">
        <v/>
      </c>
      <c r="E524" s="51" t="str">
        <v/>
      </c>
      <c r="F524" s="52" t="e">
        <v>#REF!</v>
      </c>
      <c r="G524" s="48" t="e">
        <v>#REF!</v>
      </c>
      <c r="H524" s="49">
        <v>1</v>
      </c>
      <c r="I524" s="49" t="e">
        <v>#REF!</v>
      </c>
      <c r="J524" s="50"/>
    </row>
    <row r="525" outlineLevel="1" spans="1:10">
      <c r="A525" s="50">
        <v>436</v>
      </c>
      <c r="B525" s="51" t="str">
        <v>楼地面-素土夯实</v>
      </c>
      <c r="C525" s="51" t="e">
        <v>#REF!</v>
      </c>
      <c r="D525" s="51" t="str">
        <v/>
      </c>
      <c r="E525" s="51" t="str">
        <v/>
      </c>
      <c r="F525" s="52" t="e">
        <v>#REF!</v>
      </c>
      <c r="G525" s="48" t="e">
        <v>#REF!</v>
      </c>
      <c r="H525" s="49">
        <v>1</v>
      </c>
      <c r="I525" s="49" t="e">
        <v>#REF!</v>
      </c>
      <c r="J525" s="50"/>
    </row>
    <row r="526" outlineLevel="1" spans="1:10">
      <c r="A526" s="50" t="str">
        <v/>
      </c>
      <c r="B526" s="51" t="str">
        <v>卫生间地面（无覆土）</v>
      </c>
      <c r="C526" s="51" t="str">
        <v/>
      </c>
      <c r="D526" s="51" t="str">
        <v/>
      </c>
      <c r="E526" s="51" t="str">
        <v/>
      </c>
      <c r="F526" s="52" t="str">
        <v/>
      </c>
      <c r="G526" s="48" t="str">
        <v/>
      </c>
      <c r="H526" s="49">
        <v>0</v>
      </c>
      <c r="I526" s="49">
        <v>0</v>
      </c>
      <c r="J526" s="50"/>
    </row>
    <row r="527" outlineLevel="1" spans="1:10">
      <c r="A527" s="50">
        <v>437</v>
      </c>
      <c r="B527" s="51" t="str">
        <v>楼地面-60厚C15细石砼</v>
      </c>
      <c r="C527" s="51" t="e">
        <v>#REF!</v>
      </c>
      <c r="D527" s="51" t="str">
        <v/>
      </c>
      <c r="E527" s="51" t="str">
        <v/>
      </c>
      <c r="F527" s="52" t="e">
        <v>#REF!</v>
      </c>
      <c r="G527" s="48" t="e">
        <v>#REF!</v>
      </c>
      <c r="H527" s="49">
        <v>1</v>
      </c>
      <c r="I527" s="49" t="e">
        <v>#REF!</v>
      </c>
      <c r="J527" s="50"/>
    </row>
    <row r="528" outlineLevel="1" spans="1:10">
      <c r="A528" s="50" t="str">
        <v/>
      </c>
      <c r="B528" s="51" t="str">
        <v>卫生间地面（无覆土）</v>
      </c>
      <c r="C528" s="51" t="str">
        <v/>
      </c>
      <c r="D528" s="51" t="str">
        <v/>
      </c>
      <c r="E528" s="51" t="str">
        <v/>
      </c>
      <c r="F528" s="52" t="str">
        <v/>
      </c>
      <c r="G528" s="48" t="str">
        <v/>
      </c>
      <c r="H528" s="49">
        <v>0</v>
      </c>
      <c r="I528" s="49">
        <v>0</v>
      </c>
      <c r="J528" s="50"/>
    </row>
    <row r="529" ht="28.8" outlineLevel="1" spans="1:10">
      <c r="A529" s="50">
        <v>438</v>
      </c>
      <c r="B529" s="51" t="str">
        <v>楼地面-65厚C15豆石砼找坡</v>
      </c>
      <c r="C529" s="51" t="e">
        <v>#REF!</v>
      </c>
      <c r="D529" s="51" t="str">
        <v/>
      </c>
      <c r="E529" s="51" t="str">
        <v/>
      </c>
      <c r="F529" s="52" t="e">
        <v>#REF!</v>
      </c>
      <c r="G529" s="48" t="e">
        <v>#REF!</v>
      </c>
      <c r="H529" s="49">
        <v>1</v>
      </c>
      <c r="I529" s="49" t="e">
        <v>#REF!</v>
      </c>
      <c r="J529" s="50"/>
    </row>
    <row r="530" outlineLevel="1" spans="1:10">
      <c r="A530" s="50">
        <v>439</v>
      </c>
      <c r="B530" s="51" t="str">
        <v>楼地面-玻纤网</v>
      </c>
      <c r="C530" s="51" t="e">
        <v>#REF!</v>
      </c>
      <c r="D530" s="51" t="str">
        <v/>
      </c>
      <c r="E530" s="51" t="str">
        <v/>
      </c>
      <c r="F530" s="52" t="e">
        <v>#REF!</v>
      </c>
      <c r="G530" s="48" t="e">
        <v>#REF!</v>
      </c>
      <c r="H530" s="49">
        <v>1</v>
      </c>
      <c r="I530" s="49" t="e">
        <v>#REF!</v>
      </c>
      <c r="J530" s="50"/>
    </row>
    <row r="531" ht="28.8" outlineLevel="1" spans="1:10">
      <c r="A531" s="50">
        <v>440</v>
      </c>
      <c r="B531" s="51" t="str">
        <v>楼地面-15厚M20水泥砂浆</v>
      </c>
      <c r="C531" s="51" t="e">
        <v>#REF!</v>
      </c>
      <c r="D531" s="51" t="str">
        <v/>
      </c>
      <c r="E531" s="51" t="str">
        <v/>
      </c>
      <c r="F531" s="52" t="e">
        <v>#REF!</v>
      </c>
      <c r="G531" s="48" t="e">
        <v>#REF!</v>
      </c>
      <c r="H531" s="49">
        <v>0</v>
      </c>
      <c r="I531" s="49" t="e">
        <v>#REF!</v>
      </c>
      <c r="J531" s="50"/>
    </row>
    <row r="532" ht="28.8" outlineLevel="1" spans="1:10">
      <c r="A532" s="50" t="str">
        <v/>
      </c>
      <c r="B532" s="51" t="str">
        <v>户内除卫生间楼面（有覆土）</v>
      </c>
      <c r="C532" s="51" t="str">
        <v/>
      </c>
      <c r="D532" s="51" t="str">
        <v/>
      </c>
      <c r="E532" s="51" t="str">
        <v/>
      </c>
      <c r="F532" s="52" t="str">
        <v/>
      </c>
      <c r="G532" s="48" t="str">
        <v/>
      </c>
      <c r="H532" s="49">
        <v>0</v>
      </c>
      <c r="I532" s="49">
        <v>0</v>
      </c>
      <c r="J532" s="50"/>
    </row>
    <row r="533" ht="28.8" outlineLevel="1" spans="1:10">
      <c r="A533" s="50">
        <v>441</v>
      </c>
      <c r="B533" s="51" t="str">
        <v>楼地面-50厚C15细石砼（毛坯）</v>
      </c>
      <c r="C533" s="51" t="e">
        <v>#REF!</v>
      </c>
      <c r="D533" s="51" t="str">
        <v/>
      </c>
      <c r="E533" s="51" t="str">
        <v/>
      </c>
      <c r="F533" s="52" t="e">
        <v>#REF!</v>
      </c>
      <c r="G533" s="48" t="e">
        <v>#REF!</v>
      </c>
      <c r="H533" s="49">
        <v>1</v>
      </c>
      <c r="I533" s="49" t="e">
        <v>#REF!</v>
      </c>
      <c r="J533" s="50"/>
    </row>
    <row r="534" outlineLevel="1" spans="1:10">
      <c r="A534" s="50">
        <v>442</v>
      </c>
      <c r="B534" s="51" t="str">
        <v>楼地面-60厚C15砼</v>
      </c>
      <c r="C534" s="51" t="e">
        <v>#REF!</v>
      </c>
      <c r="D534" s="51" t="str">
        <v/>
      </c>
      <c r="E534" s="51" t="str">
        <v/>
      </c>
      <c r="F534" s="52" t="e">
        <v>#REF!</v>
      </c>
      <c r="G534" s="48" t="e">
        <v>#REF!</v>
      </c>
      <c r="H534" s="49">
        <v>1</v>
      </c>
      <c r="I534" s="49" t="e">
        <v>#REF!</v>
      </c>
      <c r="J534" s="50"/>
    </row>
    <row r="535" ht="28.8" outlineLevel="1" spans="1:10">
      <c r="A535" s="50">
        <v>443</v>
      </c>
      <c r="B535" s="51" t="str">
        <v>楼地面-双层Φ3@50钢筋网</v>
      </c>
      <c r="C535" s="51" t="e">
        <v>#REF!</v>
      </c>
      <c r="D535" s="51" t="str">
        <v/>
      </c>
      <c r="E535" s="51" t="str">
        <v/>
      </c>
      <c r="F535" s="52" t="e">
        <v>#REF!</v>
      </c>
      <c r="G535" s="48" t="e">
        <v>#REF!</v>
      </c>
      <c r="H535" s="49">
        <v>1</v>
      </c>
      <c r="I535" s="49" t="e">
        <v>#REF!</v>
      </c>
      <c r="J535" s="50"/>
    </row>
    <row r="536" outlineLevel="1" spans="1:10">
      <c r="A536" s="50">
        <v>444</v>
      </c>
      <c r="B536" s="51" t="str">
        <v>楼地面-塑料膜</v>
      </c>
      <c r="C536" s="51" t="e">
        <v>#REF!</v>
      </c>
      <c r="D536" s="51" t="str">
        <v/>
      </c>
      <c r="E536" s="51" t="str">
        <v/>
      </c>
      <c r="F536" s="52" t="e">
        <v>#REF!</v>
      </c>
      <c r="G536" s="48" t="e">
        <v>#REF!</v>
      </c>
      <c r="H536" s="49">
        <v>1</v>
      </c>
      <c r="I536" s="49" t="e">
        <v>#REF!</v>
      </c>
      <c r="J536" s="50"/>
    </row>
    <row r="537" ht="28.8" outlineLevel="1" spans="1:10">
      <c r="A537" s="50">
        <v>445</v>
      </c>
      <c r="B537" s="51" t="str">
        <v>楼地面-150厚3:7灰土夯实</v>
      </c>
      <c r="C537" s="51" t="e">
        <v>#REF!</v>
      </c>
      <c r="D537" s="51" t="str">
        <v/>
      </c>
      <c r="E537" s="51" t="str">
        <v/>
      </c>
      <c r="F537" s="52" t="e">
        <v>#REF!</v>
      </c>
      <c r="G537" s="48" t="e">
        <v>#REF!</v>
      </c>
      <c r="H537" s="49">
        <v>1</v>
      </c>
      <c r="I537" s="49" t="e">
        <v>#REF!</v>
      </c>
      <c r="J537" s="50"/>
    </row>
    <row r="538" outlineLevel="1" spans="1:10">
      <c r="A538" s="50">
        <v>446</v>
      </c>
      <c r="B538" s="51" t="str">
        <v>楼地面-素土夯实</v>
      </c>
      <c r="C538" s="51" t="e">
        <v>#REF!</v>
      </c>
      <c r="D538" s="51" t="str">
        <v/>
      </c>
      <c r="E538" s="51" t="str">
        <v/>
      </c>
      <c r="F538" s="52" t="e">
        <v>#REF!</v>
      </c>
      <c r="G538" s="48" t="e">
        <v>#REF!</v>
      </c>
      <c r="H538" s="49">
        <v>1</v>
      </c>
      <c r="I538" s="49" t="e">
        <v>#REF!</v>
      </c>
      <c r="J538" s="50"/>
    </row>
    <row r="539" ht="28.8" outlineLevel="1" spans="1:10">
      <c r="A539" s="50" t="str">
        <v/>
      </c>
      <c r="B539" s="51" t="str">
        <v>户内除卫生间楼面（有覆土）</v>
      </c>
      <c r="C539" s="51" t="str">
        <v/>
      </c>
      <c r="D539" s="51" t="str">
        <v/>
      </c>
      <c r="E539" s="51" t="str">
        <v/>
      </c>
      <c r="F539" s="52" t="str">
        <v/>
      </c>
      <c r="G539" s="48" t="str">
        <v/>
      </c>
      <c r="H539" s="49">
        <v>0</v>
      </c>
      <c r="I539" s="49">
        <v>0</v>
      </c>
      <c r="J539" s="50"/>
    </row>
    <row r="540" outlineLevel="1" spans="1:10">
      <c r="A540" s="50">
        <v>447</v>
      </c>
      <c r="B540" s="51" t="str">
        <v>楼地面-60厚C15细石砼</v>
      </c>
      <c r="C540" s="51" t="e">
        <v>#REF!</v>
      </c>
      <c r="D540" s="51" t="str">
        <v/>
      </c>
      <c r="E540" s="51" t="str">
        <v/>
      </c>
      <c r="F540" s="52" t="e">
        <v>#REF!</v>
      </c>
      <c r="G540" s="48" t="e">
        <v>#REF!</v>
      </c>
      <c r="H540" s="49">
        <v>0</v>
      </c>
      <c r="I540" s="49" t="e">
        <v>#REF!</v>
      </c>
      <c r="J540" s="50"/>
    </row>
    <row r="541" outlineLevel="1" spans="1:10">
      <c r="A541" s="50">
        <v>448</v>
      </c>
      <c r="B541" s="51" t="str">
        <v>楼地面-塑料膜</v>
      </c>
      <c r="C541" s="51" t="e">
        <v>#REF!</v>
      </c>
      <c r="D541" s="51" t="str">
        <v/>
      </c>
      <c r="E541" s="51" t="str">
        <v/>
      </c>
      <c r="F541" s="52" t="e">
        <v>#REF!</v>
      </c>
      <c r="G541" s="48" t="e">
        <v>#REF!</v>
      </c>
      <c r="H541" s="49">
        <v>0</v>
      </c>
      <c r="I541" s="49" t="e">
        <v>#REF!</v>
      </c>
      <c r="J541" s="50"/>
    </row>
    <row r="542" ht="28.8" outlineLevel="1" spans="1:10">
      <c r="A542" s="50">
        <v>449</v>
      </c>
      <c r="B542" s="51" t="str">
        <v>楼地面-150厚3:7灰土夯实</v>
      </c>
      <c r="C542" s="51" t="e">
        <v>#REF!</v>
      </c>
      <c r="D542" s="51" t="str">
        <v/>
      </c>
      <c r="E542" s="51" t="str">
        <v/>
      </c>
      <c r="F542" s="52" t="e">
        <v>#REF!</v>
      </c>
      <c r="G542" s="48" t="e">
        <v>#REF!</v>
      </c>
      <c r="H542" s="49">
        <v>0</v>
      </c>
      <c r="I542" s="49" t="e">
        <v>#REF!</v>
      </c>
      <c r="J542" s="50"/>
    </row>
    <row r="543" outlineLevel="1" spans="1:10">
      <c r="A543" s="50">
        <v>450</v>
      </c>
      <c r="B543" s="51" t="str">
        <v>楼地面-素土夯实</v>
      </c>
      <c r="C543" s="51" t="e">
        <v>#REF!</v>
      </c>
      <c r="D543" s="51" t="str">
        <v/>
      </c>
      <c r="E543" s="51" t="str">
        <v/>
      </c>
      <c r="F543" s="52" t="e">
        <v>#REF!</v>
      </c>
      <c r="G543" s="48" t="e">
        <v>#REF!</v>
      </c>
      <c r="H543" s="49">
        <v>0</v>
      </c>
      <c r="I543" s="49" t="e">
        <v>#REF!</v>
      </c>
      <c r="J543" s="50"/>
    </row>
    <row r="544" ht="28.8" outlineLevel="1" spans="1:10">
      <c r="A544" s="50" t="str">
        <v/>
      </c>
      <c r="B544" s="51" t="str">
        <v>卫生间楼面（有覆土）用于售楼部</v>
      </c>
      <c r="C544" s="51" t="str">
        <v/>
      </c>
      <c r="D544" s="51" t="str">
        <v/>
      </c>
      <c r="E544" s="51" t="str">
        <v/>
      </c>
      <c r="F544" s="52" t="str">
        <v/>
      </c>
      <c r="G544" s="48" t="str">
        <v/>
      </c>
      <c r="H544" s="49">
        <v>0</v>
      </c>
      <c r="I544" s="49">
        <v>0</v>
      </c>
      <c r="J544" s="50"/>
    </row>
    <row r="545" ht="28.8" outlineLevel="1" spans="1:10">
      <c r="A545" s="50">
        <v>451</v>
      </c>
      <c r="B545" s="51" t="str">
        <v>楼地面-65厚C15豆石砼找坡</v>
      </c>
      <c r="C545" s="51" t="e">
        <v>#REF!</v>
      </c>
      <c r="D545" s="51" t="str">
        <v/>
      </c>
      <c r="E545" s="51" t="str">
        <v/>
      </c>
      <c r="F545" s="52" t="e">
        <v>#REF!</v>
      </c>
      <c r="G545" s="48" t="e">
        <v>#REF!</v>
      </c>
      <c r="H545" s="49">
        <v>1</v>
      </c>
      <c r="I545" s="49" t="e">
        <v>#REF!</v>
      </c>
      <c r="J545" s="50"/>
    </row>
    <row r="546" outlineLevel="1" spans="1:10">
      <c r="A546" s="50">
        <v>452</v>
      </c>
      <c r="B546" s="51" t="str">
        <v>楼地面-玻纤网</v>
      </c>
      <c r="C546" s="51" t="e">
        <v>#REF!</v>
      </c>
      <c r="D546" s="51" t="str">
        <v/>
      </c>
      <c r="E546" s="51" t="str">
        <v/>
      </c>
      <c r="F546" s="52" t="e">
        <v>#REF!</v>
      </c>
      <c r="G546" s="48" t="e">
        <v>#REF!</v>
      </c>
      <c r="H546" s="49">
        <v>1</v>
      </c>
      <c r="I546" s="49" t="e">
        <v>#REF!</v>
      </c>
      <c r="J546" s="50"/>
    </row>
    <row r="547" outlineLevel="1" spans="1:10">
      <c r="A547" s="50">
        <v>453</v>
      </c>
      <c r="B547" s="51" t="str">
        <v>楼地面-100厚C20砼</v>
      </c>
      <c r="C547" s="51" t="e">
        <v>#REF!</v>
      </c>
      <c r="D547" s="51" t="str">
        <v/>
      </c>
      <c r="E547" s="51" t="str">
        <v/>
      </c>
      <c r="F547" s="52" t="e">
        <v>#REF!</v>
      </c>
      <c r="G547" s="48" t="e">
        <v>#REF!</v>
      </c>
      <c r="H547" s="49">
        <v>1</v>
      </c>
      <c r="I547" s="49" t="e">
        <v>#REF!</v>
      </c>
      <c r="J547" s="50"/>
    </row>
    <row r="548" outlineLevel="1" spans="1:10">
      <c r="A548" s="50">
        <v>454</v>
      </c>
      <c r="B548" s="51" t="str">
        <v>楼地面-塑料膜</v>
      </c>
      <c r="C548" s="51" t="e">
        <v>#REF!</v>
      </c>
      <c r="D548" s="51" t="str">
        <v/>
      </c>
      <c r="E548" s="51" t="str">
        <v/>
      </c>
      <c r="F548" s="52" t="e">
        <v>#REF!</v>
      </c>
      <c r="G548" s="48" t="e">
        <v>#REF!</v>
      </c>
      <c r="H548" s="49">
        <v>1</v>
      </c>
      <c r="I548" s="49" t="e">
        <v>#REF!</v>
      </c>
      <c r="J548" s="50"/>
    </row>
    <row r="549" ht="28.8" outlineLevel="1" spans="1:10">
      <c r="A549" s="50">
        <v>455</v>
      </c>
      <c r="B549" s="51" t="str">
        <v>楼地面-150厚3:7灰土夯实</v>
      </c>
      <c r="C549" s="51" t="e">
        <v>#REF!</v>
      </c>
      <c r="D549" s="51" t="str">
        <v/>
      </c>
      <c r="E549" s="51" t="str">
        <v/>
      </c>
      <c r="F549" s="52" t="e">
        <v>#REF!</v>
      </c>
      <c r="G549" s="48" t="e">
        <v>#REF!</v>
      </c>
      <c r="H549" s="49">
        <v>1</v>
      </c>
      <c r="I549" s="49" t="e">
        <v>#REF!</v>
      </c>
      <c r="J549" s="50"/>
    </row>
    <row r="550" outlineLevel="1" spans="1:10">
      <c r="A550" s="50">
        <v>456</v>
      </c>
      <c r="B550" s="51" t="str">
        <v>楼地面-素土夯实</v>
      </c>
      <c r="C550" s="51" t="e">
        <v>#REF!</v>
      </c>
      <c r="D550" s="51" t="str">
        <v/>
      </c>
      <c r="E550" s="51" t="str">
        <v/>
      </c>
      <c r="F550" s="52" t="e">
        <v>#REF!</v>
      </c>
      <c r="G550" s="48" t="e">
        <v>#REF!</v>
      </c>
      <c r="H550" s="49">
        <v>1</v>
      </c>
      <c r="I550" s="49" t="e">
        <v>#REF!</v>
      </c>
      <c r="J550" s="50"/>
    </row>
    <row r="551" ht="28.8" outlineLevel="1" spans="1:10">
      <c r="A551" s="50" t="str">
        <v/>
      </c>
      <c r="B551" s="51" t="str">
        <v>户内除卫生间楼面（有覆土）</v>
      </c>
      <c r="C551" s="51" t="str">
        <v/>
      </c>
      <c r="D551" s="51" t="str">
        <v/>
      </c>
      <c r="E551" s="51" t="str">
        <v/>
      </c>
      <c r="F551" s="52" t="str">
        <v/>
      </c>
      <c r="G551" s="48" t="str">
        <v/>
      </c>
      <c r="H551" s="49">
        <v>0</v>
      </c>
      <c r="I551" s="49">
        <v>0</v>
      </c>
      <c r="J551" s="50"/>
    </row>
    <row r="552" outlineLevel="1" spans="1:10">
      <c r="A552" s="50">
        <v>457</v>
      </c>
      <c r="B552" s="51" t="str">
        <v>楼地面-50厚C15豆石砼</v>
      </c>
      <c r="C552" s="51" t="e">
        <v>#REF!</v>
      </c>
      <c r="D552" s="51" t="str">
        <v/>
      </c>
      <c r="E552" s="51" t="str">
        <v/>
      </c>
      <c r="F552" s="52" t="e">
        <v>#REF!</v>
      </c>
      <c r="G552" s="48" t="e">
        <v>#REF!</v>
      </c>
      <c r="H552" s="49">
        <v>1</v>
      </c>
      <c r="I552" s="49" t="e">
        <v>#REF!</v>
      </c>
      <c r="J552" s="50"/>
    </row>
    <row r="553" outlineLevel="1" spans="1:10">
      <c r="A553" s="50">
        <v>458</v>
      </c>
      <c r="B553" s="51" t="str">
        <v>楼地面-玻纤网</v>
      </c>
      <c r="C553" s="51" t="e">
        <v>#REF!</v>
      </c>
      <c r="D553" s="51" t="str">
        <v/>
      </c>
      <c r="E553" s="51" t="str">
        <v/>
      </c>
      <c r="F553" s="52" t="e">
        <v>#REF!</v>
      </c>
      <c r="G553" s="48" t="e">
        <v>#REF!</v>
      </c>
      <c r="H553" s="49">
        <v>1</v>
      </c>
      <c r="I553" s="49" t="e">
        <v>#REF!</v>
      </c>
      <c r="J553" s="50"/>
    </row>
    <row r="554" ht="28.8" outlineLevel="1" spans="1:10">
      <c r="A554" s="50">
        <v>459</v>
      </c>
      <c r="B554" s="51" t="str">
        <v>楼地面-15厚M20水泥砂浆</v>
      </c>
      <c r="C554" s="51" t="e">
        <v>#REF!</v>
      </c>
      <c r="D554" s="51" t="str">
        <v/>
      </c>
      <c r="E554" s="51" t="str">
        <v/>
      </c>
      <c r="F554" s="52" t="e">
        <v>#REF!</v>
      </c>
      <c r="G554" s="48" t="e">
        <v>#REF!</v>
      </c>
      <c r="H554" s="49">
        <v>1</v>
      </c>
      <c r="I554" s="49" t="e">
        <v>#REF!</v>
      </c>
      <c r="J554" s="50"/>
    </row>
    <row r="555" outlineLevel="1" spans="1:10">
      <c r="A555" s="50">
        <v>460</v>
      </c>
      <c r="B555" s="51" t="str">
        <v>楼地面-60厚C15细石砼</v>
      </c>
      <c r="C555" s="51" t="e">
        <v>#REF!</v>
      </c>
      <c r="D555" s="51" t="str">
        <v/>
      </c>
      <c r="E555" s="51" t="str">
        <v/>
      </c>
      <c r="F555" s="52" t="e">
        <v>#REF!</v>
      </c>
      <c r="G555" s="48" t="e">
        <v>#REF!</v>
      </c>
      <c r="H555" s="49">
        <v>1</v>
      </c>
      <c r="I555" s="49" t="e">
        <v>#REF!</v>
      </c>
      <c r="J555" s="50"/>
    </row>
    <row r="556" outlineLevel="1" spans="1:10">
      <c r="A556" s="50">
        <v>461</v>
      </c>
      <c r="B556" s="51" t="str">
        <v>楼地面-塑料膜</v>
      </c>
      <c r="C556" s="51" t="e">
        <v>#REF!</v>
      </c>
      <c r="D556" s="51" t="str">
        <v/>
      </c>
      <c r="E556" s="51" t="str">
        <v/>
      </c>
      <c r="F556" s="52" t="e">
        <v>#REF!</v>
      </c>
      <c r="G556" s="48" t="e">
        <v>#REF!</v>
      </c>
      <c r="H556" s="49">
        <v>1</v>
      </c>
      <c r="I556" s="49" t="e">
        <v>#REF!</v>
      </c>
      <c r="J556" s="50"/>
    </row>
    <row r="557" ht="28.8" outlineLevel="1" spans="1:10">
      <c r="A557" s="50">
        <v>462</v>
      </c>
      <c r="B557" s="51" t="str">
        <v>楼地面-150厚3:7灰土夯实</v>
      </c>
      <c r="C557" s="51" t="e">
        <v>#REF!</v>
      </c>
      <c r="D557" s="51" t="str">
        <v/>
      </c>
      <c r="E557" s="51" t="str">
        <v/>
      </c>
      <c r="F557" s="52" t="e">
        <v>#REF!</v>
      </c>
      <c r="G557" s="48" t="e">
        <v>#REF!</v>
      </c>
      <c r="H557" s="49">
        <v>1</v>
      </c>
      <c r="I557" s="49" t="e">
        <v>#REF!</v>
      </c>
      <c r="J557" s="50"/>
    </row>
    <row r="558" outlineLevel="1" spans="1:10">
      <c r="A558" s="50">
        <v>463</v>
      </c>
      <c r="B558" s="51" t="str">
        <v>楼地面-素土夯实</v>
      </c>
      <c r="C558" s="51" t="e">
        <v>#REF!</v>
      </c>
      <c r="D558" s="51" t="str">
        <v/>
      </c>
      <c r="E558" s="51" t="str">
        <v/>
      </c>
      <c r="F558" s="52" t="e">
        <v>#REF!</v>
      </c>
      <c r="G558" s="48" t="e">
        <v>#REF!</v>
      </c>
      <c r="H558" s="49">
        <v>1</v>
      </c>
      <c r="I558" s="49" t="e">
        <v>#REF!</v>
      </c>
      <c r="J558" s="50"/>
    </row>
    <row r="559" ht="28.8" outlineLevel="1" spans="1:10">
      <c r="A559" s="50" t="str">
        <v/>
      </c>
      <c r="B559" s="51" t="str">
        <v>有覆土房间，地库以上，地面素土以下做法</v>
      </c>
      <c r="C559" s="51" t="str">
        <v/>
      </c>
      <c r="D559" s="51" t="str">
        <v/>
      </c>
      <c r="E559" s="51" t="str">
        <v/>
      </c>
      <c r="F559" s="52" t="str">
        <v/>
      </c>
      <c r="G559" s="48" t="str">
        <v/>
      </c>
      <c r="H559" s="49">
        <v>0</v>
      </c>
      <c r="I559" s="49">
        <v>0</v>
      </c>
      <c r="J559" s="50"/>
    </row>
    <row r="560" ht="28.8" outlineLevel="1" spans="1:10">
      <c r="A560" s="50">
        <v>464</v>
      </c>
      <c r="B560" s="51" t="str">
        <v>楼地面-20厚M20水泥砂浆</v>
      </c>
      <c r="C560" s="51" t="e">
        <v>#REF!</v>
      </c>
      <c r="D560" s="51" t="str">
        <v/>
      </c>
      <c r="E560" s="51" t="str">
        <v/>
      </c>
      <c r="F560" s="52" t="e">
        <v>#REF!</v>
      </c>
      <c r="G560" s="48" t="e">
        <v>#REF!</v>
      </c>
      <c r="H560" s="49">
        <v>0</v>
      </c>
      <c r="I560" s="49" t="e">
        <v>#REF!</v>
      </c>
      <c r="J560" s="50"/>
    </row>
    <row r="561" outlineLevel="1" spans="1:10">
      <c r="A561" s="50">
        <v>465</v>
      </c>
      <c r="B561" s="51" t="str">
        <v>楼地面-聚氨酯防水涂料</v>
      </c>
      <c r="C561" s="51" t="e">
        <v>#REF!</v>
      </c>
      <c r="D561" s="51" t="str">
        <v/>
      </c>
      <c r="E561" s="51" t="str">
        <v/>
      </c>
      <c r="F561" s="52" t="e">
        <v>#REF!</v>
      </c>
      <c r="G561" s="48" t="e">
        <v>#REF!</v>
      </c>
      <c r="H561" s="49">
        <v>0</v>
      </c>
      <c r="I561" s="49" t="e">
        <v>#REF!</v>
      </c>
      <c r="J561" s="50"/>
    </row>
    <row r="562" ht="28.8" outlineLevel="1" spans="1:10">
      <c r="A562" s="50">
        <v>466</v>
      </c>
      <c r="B562" s="51" t="str">
        <v>楼地面-20厚M20水泥砂浆</v>
      </c>
      <c r="C562" s="51" t="e">
        <v>#REF!</v>
      </c>
      <c r="D562" s="51" t="str">
        <v/>
      </c>
      <c r="E562" s="51" t="str">
        <v/>
      </c>
      <c r="F562" s="52" t="e">
        <v>#REF!</v>
      </c>
      <c r="G562" s="48" t="e">
        <v>#REF!</v>
      </c>
      <c r="H562" s="49">
        <v>0</v>
      </c>
      <c r="I562" s="49" t="e">
        <v>#REF!</v>
      </c>
      <c r="J562" s="50"/>
    </row>
    <row r="563" ht="28.8" outlineLevel="1" spans="1:10">
      <c r="A563" s="50">
        <v>467</v>
      </c>
      <c r="B563" s="51" t="str">
        <v>楼地面-15厚水泥基自流平</v>
      </c>
      <c r="C563" s="51" t="e">
        <v>#REF!</v>
      </c>
      <c r="D563" s="51" t="str">
        <v/>
      </c>
      <c r="E563" s="51" t="str">
        <v/>
      </c>
      <c r="F563" s="52" t="e">
        <v>#REF!</v>
      </c>
      <c r="G563" s="48" t="e">
        <v>#REF!</v>
      </c>
      <c r="H563" s="49">
        <v>0</v>
      </c>
      <c r="I563" s="49" t="e">
        <v>#REF!</v>
      </c>
      <c r="J563" s="50"/>
    </row>
    <row r="564" ht="28.8" outlineLevel="1" spans="1:10">
      <c r="A564" s="50">
        <v>468</v>
      </c>
      <c r="B564" s="51" t="str">
        <v>楼地面-20厚水泥基自流平</v>
      </c>
      <c r="C564" s="51" t="e">
        <v>#REF!</v>
      </c>
      <c r="D564" s="51" t="str">
        <v/>
      </c>
      <c r="E564" s="51" t="str">
        <v/>
      </c>
      <c r="F564" s="52" t="e">
        <v>#REF!</v>
      </c>
      <c r="G564" s="48" t="e">
        <v>#REF!</v>
      </c>
      <c r="H564" s="49">
        <v>0</v>
      </c>
      <c r="I564" s="49" t="e">
        <v>#REF!</v>
      </c>
      <c r="J564" s="50"/>
    </row>
    <row r="565" ht="28.8" outlineLevel="1" spans="1:10">
      <c r="A565" s="50">
        <v>469</v>
      </c>
      <c r="B565" s="51" t="str">
        <v>楼地面-15厚石膏基自流平</v>
      </c>
      <c r="C565" s="51" t="e">
        <v>#REF!</v>
      </c>
      <c r="D565" s="51" t="str">
        <v/>
      </c>
      <c r="E565" s="51" t="str">
        <v/>
      </c>
      <c r="F565" s="52" t="e">
        <v>#REF!</v>
      </c>
      <c r="G565" s="48" t="e">
        <v>#REF!</v>
      </c>
      <c r="H565" s="49">
        <v>0</v>
      </c>
      <c r="I565" s="49" t="e">
        <v>#REF!</v>
      </c>
      <c r="J565" s="50"/>
    </row>
    <row r="566" ht="28.8" outlineLevel="1" spans="1:10">
      <c r="A566" s="50">
        <v>470</v>
      </c>
      <c r="B566" s="51" t="str">
        <v>楼地面-20厚石膏基自流平</v>
      </c>
      <c r="C566" s="51" t="e">
        <v>#REF!</v>
      </c>
      <c r="D566" s="51" t="str">
        <v/>
      </c>
      <c r="E566" s="51" t="str">
        <v/>
      </c>
      <c r="F566" s="52" t="e">
        <v>#REF!</v>
      </c>
      <c r="G566" s="48" t="e">
        <v>#REF!</v>
      </c>
      <c r="H566" s="49">
        <v>0</v>
      </c>
      <c r="I566" s="49" t="e">
        <v>#REF!</v>
      </c>
      <c r="J566" s="50"/>
    </row>
    <row r="567" outlineLevel="1" spans="1:10">
      <c r="A567" s="50" t="str">
        <v/>
      </c>
      <c r="B567" s="51" t="str">
        <v>其他房间</v>
      </c>
      <c r="C567" s="51" t="str">
        <v/>
      </c>
      <c r="D567" s="51" t="str">
        <v/>
      </c>
      <c r="E567" s="51" t="str">
        <v/>
      </c>
      <c r="F567" s="52" t="str">
        <v/>
      </c>
      <c r="G567" s="48" t="str">
        <v/>
      </c>
      <c r="H567" s="49">
        <v>0</v>
      </c>
      <c r="I567" s="49">
        <v>0</v>
      </c>
      <c r="J567" s="50"/>
    </row>
    <row r="568" outlineLevel="1" spans="1:10">
      <c r="A568" s="50">
        <v>471</v>
      </c>
      <c r="B568" s="51" t="str">
        <v>楼地面-50厚C20细石砼</v>
      </c>
      <c r="C568" s="51" t="e">
        <v>#REF!</v>
      </c>
      <c r="D568" s="51" t="str">
        <v/>
      </c>
      <c r="E568" s="51" t="str">
        <v/>
      </c>
      <c r="F568" s="52" t="e">
        <v>#REF!</v>
      </c>
      <c r="G568" s="48" t="e">
        <v>#REF!</v>
      </c>
      <c r="H568" s="49">
        <v>625.48</v>
      </c>
      <c r="I568" s="49" t="e">
        <v>#REF!</v>
      </c>
      <c r="J568" s="50"/>
    </row>
    <row r="569" outlineLevel="1" spans="1:10">
      <c r="A569" s="50">
        <v>472</v>
      </c>
      <c r="B569" s="51" t="str">
        <v>楼地面-聚氨酯防水涂料</v>
      </c>
      <c r="C569" s="51" t="e">
        <v>#REF!</v>
      </c>
      <c r="D569" s="51" t="str">
        <v/>
      </c>
      <c r="E569" s="51" t="str">
        <v/>
      </c>
      <c r="F569" s="52" t="e">
        <v>#REF!</v>
      </c>
      <c r="G569" s="48" t="e">
        <v>#REF!</v>
      </c>
      <c r="H569" s="49">
        <v>0</v>
      </c>
      <c r="I569" s="49" t="e">
        <v>#REF!</v>
      </c>
      <c r="J569" s="50"/>
    </row>
    <row r="570" ht="28.8" outlineLevel="1" spans="1:10">
      <c r="A570" s="50">
        <v>473</v>
      </c>
      <c r="B570" s="51" t="str">
        <v>楼地面-15厚M20水泥砂浆</v>
      </c>
      <c r="C570" s="51" t="e">
        <v>#REF!</v>
      </c>
      <c r="D570" s="51" t="str">
        <v/>
      </c>
      <c r="E570" s="51" t="str">
        <v/>
      </c>
      <c r="F570" s="52" t="e">
        <v>#REF!</v>
      </c>
      <c r="G570" s="48" t="e">
        <v>#REF!</v>
      </c>
      <c r="H570" s="49">
        <v>0</v>
      </c>
      <c r="I570" s="49" t="e">
        <v>#REF!</v>
      </c>
      <c r="J570" s="50"/>
    </row>
    <row r="571" outlineLevel="1" spans="1:10">
      <c r="A571" s="50">
        <v>474</v>
      </c>
      <c r="B571" s="51" t="str">
        <v>楼地面-玻纤网</v>
      </c>
      <c r="C571" s="51" t="e">
        <v>#REF!</v>
      </c>
      <c r="D571" s="51" t="str">
        <v/>
      </c>
      <c r="E571" s="51" t="str">
        <v/>
      </c>
      <c r="F571" s="52" t="e">
        <v>#REF!</v>
      </c>
      <c r="G571" s="48" t="e">
        <v>#REF!</v>
      </c>
      <c r="H571" s="49">
        <v>625.48</v>
      </c>
      <c r="I571" s="49" t="e">
        <v>#REF!</v>
      </c>
      <c r="J571" s="50"/>
    </row>
    <row r="572" outlineLevel="1" spans="1:10">
      <c r="A572" s="50">
        <v>475</v>
      </c>
      <c r="B572" s="51" t="str">
        <v>楼地面-塑料膜</v>
      </c>
      <c r="C572" s="51" t="e">
        <v>#REF!</v>
      </c>
      <c r="D572" s="51" t="str">
        <v/>
      </c>
      <c r="E572" s="51" t="str">
        <v/>
      </c>
      <c r="F572" s="52" t="e">
        <v>#REF!</v>
      </c>
      <c r="G572" s="48" t="e">
        <v>#REF!</v>
      </c>
      <c r="H572" s="49">
        <v>625.48</v>
      </c>
      <c r="I572" s="49" t="e">
        <v>#REF!</v>
      </c>
      <c r="J572" s="50"/>
    </row>
    <row r="573" outlineLevel="1" spans="1:10">
      <c r="A573" s="50">
        <v>476</v>
      </c>
      <c r="B573" s="51" t="str">
        <v>楼地面-180厚XPS</v>
      </c>
      <c r="C573" s="51" t="e">
        <v>#REF!</v>
      </c>
      <c r="D573" s="51" t="str">
        <v/>
      </c>
      <c r="E573" s="51" t="str">
        <v/>
      </c>
      <c r="F573" s="52" t="e">
        <v>#REF!</v>
      </c>
      <c r="G573" s="48" t="e">
        <v>#REF!</v>
      </c>
      <c r="H573" s="49">
        <v>625.48</v>
      </c>
      <c r="I573" s="49" t="e">
        <v>#REF!</v>
      </c>
      <c r="J573" s="50"/>
    </row>
    <row r="574" ht="28.8" outlineLevel="1" spans="1:10">
      <c r="A574" s="50">
        <v>477</v>
      </c>
      <c r="B574" s="51" t="str">
        <v>楼地面-15厚M20水泥砂浆</v>
      </c>
      <c r="C574" s="51" t="e">
        <v>#REF!</v>
      </c>
      <c r="D574" s="51" t="str">
        <v/>
      </c>
      <c r="E574" s="51" t="str">
        <v/>
      </c>
      <c r="F574" s="52" t="e">
        <v>#REF!</v>
      </c>
      <c r="G574" s="48" t="e">
        <v>#REF!</v>
      </c>
      <c r="H574" s="49">
        <v>625.48</v>
      </c>
      <c r="I574" s="49" t="e">
        <v>#REF!</v>
      </c>
      <c r="J574" s="50"/>
    </row>
    <row r="575" outlineLevel="1" spans="1:10">
      <c r="A575" s="50">
        <v>478</v>
      </c>
      <c r="B575" s="51" t="str">
        <v>楼地面-60厚C15细石砼</v>
      </c>
      <c r="C575" s="51" t="e">
        <v>#REF!</v>
      </c>
      <c r="D575" s="51" t="str">
        <v/>
      </c>
      <c r="E575" s="51" t="str">
        <v/>
      </c>
      <c r="F575" s="52" t="e">
        <v>#REF!</v>
      </c>
      <c r="G575" s="48" t="e">
        <v>#REF!</v>
      </c>
      <c r="H575" s="49">
        <v>625.48</v>
      </c>
      <c r="I575" s="49" t="e">
        <v>#REF!</v>
      </c>
      <c r="J575" s="50"/>
    </row>
    <row r="576" ht="28.8" outlineLevel="1" spans="1:10">
      <c r="A576" s="50">
        <v>479</v>
      </c>
      <c r="B576" s="51" t="str">
        <v>楼地面-双层Φ3@50钢筋网</v>
      </c>
      <c r="C576" s="51" t="e">
        <v>#REF!</v>
      </c>
      <c r="D576" s="51" t="str">
        <v/>
      </c>
      <c r="E576" s="51" t="str">
        <v/>
      </c>
      <c r="F576" s="52" t="e">
        <v>#REF!</v>
      </c>
      <c r="G576" s="48" t="e">
        <v>#REF!</v>
      </c>
      <c r="H576" s="49">
        <v>625.48</v>
      </c>
      <c r="I576" s="49" t="e">
        <v>#REF!</v>
      </c>
      <c r="J576" s="50"/>
    </row>
    <row r="577" outlineLevel="1" spans="1:10">
      <c r="A577" s="50">
        <v>480</v>
      </c>
      <c r="B577" s="51" t="str">
        <v>楼地面-塑料膜</v>
      </c>
      <c r="C577" s="51" t="e">
        <v>#REF!</v>
      </c>
      <c r="D577" s="51" t="str">
        <v/>
      </c>
      <c r="E577" s="51" t="str">
        <v/>
      </c>
      <c r="F577" s="52" t="e">
        <v>#REF!</v>
      </c>
      <c r="G577" s="48" t="e">
        <v>#REF!</v>
      </c>
      <c r="H577" s="49">
        <v>625.48</v>
      </c>
      <c r="I577" s="49" t="e">
        <v>#REF!</v>
      </c>
      <c r="J577" s="50"/>
    </row>
    <row r="578" ht="28.8" outlineLevel="1" spans="1:10">
      <c r="A578" s="50">
        <v>481</v>
      </c>
      <c r="B578" s="51" t="str">
        <v>楼地面-150厚3:7灰土夯实</v>
      </c>
      <c r="C578" s="51" t="e">
        <v>#REF!</v>
      </c>
      <c r="D578" s="51" t="str">
        <v/>
      </c>
      <c r="E578" s="51" t="str">
        <v/>
      </c>
      <c r="F578" s="52" t="e">
        <v>#REF!</v>
      </c>
      <c r="G578" s="48" t="e">
        <v>#REF!</v>
      </c>
      <c r="H578" s="49">
        <v>625.48</v>
      </c>
      <c r="I578" s="49" t="e">
        <v>#REF!</v>
      </c>
      <c r="J578" s="50"/>
    </row>
    <row r="579" outlineLevel="1" spans="1:10">
      <c r="A579" s="50">
        <v>482</v>
      </c>
      <c r="B579" s="51" t="str">
        <v>楼地面-素土夯实</v>
      </c>
      <c r="C579" s="51" t="e">
        <v>#REF!</v>
      </c>
      <c r="D579" s="51" t="str">
        <v/>
      </c>
      <c r="E579" s="51" t="str">
        <v/>
      </c>
      <c r="F579" s="52" t="e">
        <v>#REF!</v>
      </c>
      <c r="G579" s="48" t="e">
        <v>#REF!</v>
      </c>
      <c r="H579" s="49">
        <v>625.48</v>
      </c>
      <c r="I579" s="49" t="e">
        <v>#REF!</v>
      </c>
      <c r="J579" s="50"/>
    </row>
    <row r="580" ht="28.8" outlineLevel="1" spans="1:10">
      <c r="A580" s="50">
        <v>483</v>
      </c>
      <c r="B580" s="51" t="str">
        <v>楼地面-50厚C15细石砼（毛坯）</v>
      </c>
      <c r="C580" s="51" t="e">
        <v>#REF!</v>
      </c>
      <c r="D580" s="51" t="str">
        <v/>
      </c>
      <c r="E580" s="51" t="str">
        <v/>
      </c>
      <c r="F580" s="52" t="e">
        <v>#REF!</v>
      </c>
      <c r="G580" s="48" t="e">
        <v>#REF!</v>
      </c>
      <c r="H580" s="49">
        <v>229.78</v>
      </c>
      <c r="I580" s="49" t="e">
        <v>#REF!</v>
      </c>
      <c r="J580" s="50"/>
    </row>
    <row r="581" ht="28.8" outlineLevel="1" spans="1:10">
      <c r="A581" s="50">
        <v>484</v>
      </c>
      <c r="B581" s="51" t="str">
        <v>楼地面-50厚C15细石砼（毛坯）</v>
      </c>
      <c r="C581" s="51" t="e">
        <v>#REF!</v>
      </c>
      <c r="D581" s="51" t="str">
        <v/>
      </c>
      <c r="E581" s="51" t="str">
        <v/>
      </c>
      <c r="F581" s="52" t="e">
        <v>#REF!</v>
      </c>
      <c r="G581" s="48" t="e">
        <v>#REF!</v>
      </c>
      <c r="H581" s="49">
        <v>0</v>
      </c>
      <c r="I581" s="49" t="e">
        <v>#REF!</v>
      </c>
      <c r="J581" s="50"/>
    </row>
    <row r="582" outlineLevel="1" spans="1:10">
      <c r="A582" s="50" t="str">
        <v/>
      </c>
      <c r="B582" s="51" t="str">
        <v>阳台楼面（无覆土）</v>
      </c>
      <c r="C582" s="51" t="str">
        <v/>
      </c>
      <c r="D582" s="51" t="str">
        <v/>
      </c>
      <c r="E582" s="51" t="str">
        <v/>
      </c>
      <c r="F582" s="52" t="str">
        <v/>
      </c>
      <c r="G582" s="48" t="str">
        <v/>
      </c>
      <c r="H582" s="49">
        <v>0</v>
      </c>
      <c r="I582" s="49">
        <v>0</v>
      </c>
      <c r="J582" s="50"/>
    </row>
    <row r="583" ht="28.8" outlineLevel="1" spans="1:10">
      <c r="A583" s="50">
        <v>485</v>
      </c>
      <c r="B583" s="51" t="str">
        <v>楼地面-50厚C15豆石砼找坡</v>
      </c>
      <c r="C583" s="51" t="e">
        <v>#REF!</v>
      </c>
      <c r="D583" s="51" t="str">
        <v/>
      </c>
      <c r="E583" s="51" t="str">
        <v/>
      </c>
      <c r="F583" s="52" t="e">
        <v>#REF!</v>
      </c>
      <c r="G583" s="48" t="e">
        <v>#REF!</v>
      </c>
      <c r="H583" s="49">
        <v>0</v>
      </c>
      <c r="I583" s="49" t="e">
        <v>#REF!</v>
      </c>
      <c r="J583" s="50"/>
    </row>
    <row r="584" outlineLevel="1" spans="1:10">
      <c r="A584" s="50">
        <v>486</v>
      </c>
      <c r="B584" s="51" t="str">
        <v>楼地面-玻纤网</v>
      </c>
      <c r="C584" s="51" t="e">
        <v>#REF!</v>
      </c>
      <c r="D584" s="51" t="str">
        <v/>
      </c>
      <c r="E584" s="51" t="str">
        <v/>
      </c>
      <c r="F584" s="52" t="e">
        <v>#REF!</v>
      </c>
      <c r="G584" s="48" t="e">
        <v>#REF!</v>
      </c>
      <c r="H584" s="49">
        <v>0</v>
      </c>
      <c r="I584" s="49" t="e">
        <v>#REF!</v>
      </c>
      <c r="J584" s="50"/>
    </row>
    <row r="585" ht="28.8" outlineLevel="1" spans="1:10">
      <c r="A585" s="50">
        <v>487</v>
      </c>
      <c r="B585" s="51" t="str">
        <v>阳台地面-聚氨酯防水涂料</v>
      </c>
      <c r="C585" s="51" t="e">
        <v>#REF!</v>
      </c>
      <c r="D585" s="51" t="str">
        <v/>
      </c>
      <c r="E585" s="51" t="str">
        <v/>
      </c>
      <c r="F585" s="52" t="e">
        <v>#REF!</v>
      </c>
      <c r="G585" s="48" t="e">
        <v>#REF!</v>
      </c>
      <c r="H585" s="49">
        <v>0</v>
      </c>
      <c r="I585" s="49" t="e">
        <v>#REF!</v>
      </c>
      <c r="J585" s="50"/>
    </row>
    <row r="586" ht="28.8" outlineLevel="1" spans="1:10">
      <c r="A586" s="50">
        <v>488</v>
      </c>
      <c r="B586" s="51" t="str">
        <v>楼地面-30厚C15豆石砼找坡</v>
      </c>
      <c r="C586" s="51" t="e">
        <v>#REF!</v>
      </c>
      <c r="D586" s="51" t="str">
        <v/>
      </c>
      <c r="E586" s="51" t="str">
        <v/>
      </c>
      <c r="F586" s="52" t="e">
        <v>#REF!</v>
      </c>
      <c r="G586" s="48" t="e">
        <v>#REF!</v>
      </c>
      <c r="H586" s="49">
        <v>0</v>
      </c>
      <c r="I586" s="49" t="e">
        <v>#REF!</v>
      </c>
      <c r="J586" s="50"/>
    </row>
    <row r="587" ht="28.8" outlineLevel="1" spans="1:10">
      <c r="A587" s="50" t="str">
        <v/>
      </c>
      <c r="B587" s="51" t="str">
        <v>一层有覆土的阳台地漏一米范围内</v>
      </c>
      <c r="C587" s="51" t="str">
        <v/>
      </c>
      <c r="D587" s="51" t="str">
        <v/>
      </c>
      <c r="E587" s="51" t="str">
        <v/>
      </c>
      <c r="F587" s="52" t="str">
        <v/>
      </c>
      <c r="G587" s="48" t="str">
        <v/>
      </c>
      <c r="H587" s="49">
        <v>0</v>
      </c>
      <c r="I587" s="49">
        <v>0</v>
      </c>
      <c r="J587" s="50"/>
    </row>
    <row r="588" ht="28.8" outlineLevel="1" spans="1:10">
      <c r="A588" s="50">
        <v>489</v>
      </c>
      <c r="B588" s="51" t="str">
        <v>楼地面-30厚C15豆石砼找坡</v>
      </c>
      <c r="C588" s="51" t="e">
        <v>#REF!</v>
      </c>
      <c r="D588" s="51" t="str">
        <v/>
      </c>
      <c r="E588" s="51" t="str">
        <v/>
      </c>
      <c r="F588" s="52" t="e">
        <v>#REF!</v>
      </c>
      <c r="G588" s="48" t="e">
        <v>#REF!</v>
      </c>
      <c r="H588" s="49">
        <v>0</v>
      </c>
      <c r="I588" s="49" t="e">
        <v>#REF!</v>
      </c>
      <c r="J588" s="50"/>
    </row>
    <row r="589" ht="28.8" outlineLevel="1" spans="1:10">
      <c r="A589" s="50">
        <v>490</v>
      </c>
      <c r="B589" s="51" t="str">
        <v>阳台地面-聚氨酯防水涂料</v>
      </c>
      <c r="C589" s="51" t="e">
        <v>#REF!</v>
      </c>
      <c r="D589" s="51" t="str">
        <v/>
      </c>
      <c r="E589" s="51" t="str">
        <v/>
      </c>
      <c r="F589" s="52" t="e">
        <v>#REF!</v>
      </c>
      <c r="G589" s="48" t="e">
        <v>#REF!</v>
      </c>
      <c r="H589" s="49">
        <v>0</v>
      </c>
      <c r="I589" s="49" t="e">
        <v>#REF!</v>
      </c>
      <c r="J589" s="50"/>
    </row>
    <row r="590" outlineLevel="1" spans="1:10">
      <c r="A590" s="50">
        <v>491</v>
      </c>
      <c r="B590" s="51" t="str">
        <v>楼地面-60厚C15细石砼</v>
      </c>
      <c r="C590" s="51" t="e">
        <v>#REF!</v>
      </c>
      <c r="D590" s="51" t="str">
        <v/>
      </c>
      <c r="E590" s="51" t="str">
        <v/>
      </c>
      <c r="F590" s="52" t="e">
        <v>#REF!</v>
      </c>
      <c r="G590" s="48" t="e">
        <v>#REF!</v>
      </c>
      <c r="H590" s="49">
        <v>0</v>
      </c>
      <c r="I590" s="49" t="e">
        <v>#REF!</v>
      </c>
      <c r="J590" s="50"/>
    </row>
    <row r="591" outlineLevel="1" spans="1:10">
      <c r="A591" s="50">
        <v>492</v>
      </c>
      <c r="B591" s="51" t="str">
        <v>楼地面-塑料膜</v>
      </c>
      <c r="C591" s="51" t="e">
        <v>#REF!</v>
      </c>
      <c r="D591" s="51" t="str">
        <v/>
      </c>
      <c r="E591" s="51" t="str">
        <v/>
      </c>
      <c r="F591" s="52" t="e">
        <v>#REF!</v>
      </c>
      <c r="G591" s="48" t="e">
        <v>#REF!</v>
      </c>
      <c r="H591" s="49">
        <v>0</v>
      </c>
      <c r="I591" s="49" t="e">
        <v>#REF!</v>
      </c>
      <c r="J591" s="50"/>
    </row>
    <row r="592" ht="28.8" outlineLevel="1" spans="1:10">
      <c r="A592" s="50">
        <v>493</v>
      </c>
      <c r="B592" s="51" t="str">
        <v>楼地面-150厚3:7灰土夯实</v>
      </c>
      <c r="C592" s="51" t="e">
        <v>#REF!</v>
      </c>
      <c r="D592" s="51" t="str">
        <v/>
      </c>
      <c r="E592" s="51" t="str">
        <v/>
      </c>
      <c r="F592" s="52" t="e">
        <v>#REF!</v>
      </c>
      <c r="G592" s="48" t="e">
        <v>#REF!</v>
      </c>
      <c r="H592" s="49">
        <v>0</v>
      </c>
      <c r="I592" s="49" t="e">
        <v>#REF!</v>
      </c>
      <c r="J592" s="50"/>
    </row>
    <row r="593" outlineLevel="1" spans="1:10">
      <c r="A593" s="50">
        <v>494</v>
      </c>
      <c r="B593" s="51" t="str">
        <v>楼地面-水暖电井</v>
      </c>
      <c r="C593" s="51" t="e">
        <v>#REF!</v>
      </c>
      <c r="D593" s="51" t="str">
        <v/>
      </c>
      <c r="E593" s="51" t="str">
        <v/>
      </c>
      <c r="F593" s="52" t="e">
        <v>#REF!</v>
      </c>
      <c r="G593" s="48" t="e">
        <v>#REF!</v>
      </c>
      <c r="H593" s="49">
        <v>1</v>
      </c>
      <c r="I593" s="49" t="e">
        <v>#REF!</v>
      </c>
      <c r="J593" s="50"/>
    </row>
    <row r="594" outlineLevel="1" spans="1:10">
      <c r="A594" s="50" t="str">
        <v/>
      </c>
      <c r="B594" s="51" t="str">
        <v>厨房楼面（有覆土）</v>
      </c>
      <c r="C594" s="51" t="str">
        <v/>
      </c>
      <c r="D594" s="51" t="str">
        <v/>
      </c>
      <c r="E594" s="51" t="str">
        <v/>
      </c>
      <c r="F594" s="52" t="str">
        <v/>
      </c>
      <c r="G594" s="48" t="str">
        <v/>
      </c>
      <c r="H594" s="49">
        <v>0</v>
      </c>
      <c r="I594" s="49">
        <v>0</v>
      </c>
      <c r="J594" s="50"/>
    </row>
    <row r="595" outlineLevel="1" spans="1:10">
      <c r="A595" s="50">
        <v>495</v>
      </c>
      <c r="B595" s="51" t="str">
        <v>楼地面-60厚C15细石砼</v>
      </c>
      <c r="C595" s="51" t="e">
        <v>#REF!</v>
      </c>
      <c r="D595" s="51" t="str">
        <v/>
      </c>
      <c r="E595" s="51" t="str">
        <v/>
      </c>
      <c r="F595" s="52" t="e">
        <v>#REF!</v>
      </c>
      <c r="G595" s="48" t="e">
        <v>#REF!</v>
      </c>
      <c r="H595" s="49">
        <v>0</v>
      </c>
      <c r="I595" s="49" t="e">
        <v>#REF!</v>
      </c>
      <c r="J595" s="50"/>
    </row>
    <row r="596" outlineLevel="1" spans="1:10">
      <c r="A596" s="50">
        <v>496</v>
      </c>
      <c r="B596" s="51" t="str">
        <v>楼地面-玻纤网</v>
      </c>
      <c r="C596" s="51" t="e">
        <v>#REF!</v>
      </c>
      <c r="D596" s="51" t="str">
        <v/>
      </c>
      <c r="E596" s="51" t="str">
        <v/>
      </c>
      <c r="F596" s="52" t="e">
        <v>#REF!</v>
      </c>
      <c r="G596" s="48" t="e">
        <v>#REF!</v>
      </c>
      <c r="H596" s="49">
        <v>0</v>
      </c>
      <c r="I596" s="49" t="e">
        <v>#REF!</v>
      </c>
      <c r="J596" s="50"/>
    </row>
    <row r="597" outlineLevel="1" spans="1:10">
      <c r="A597" s="50">
        <v>497</v>
      </c>
      <c r="B597" s="51" t="str">
        <v>楼地面-塑料膜</v>
      </c>
      <c r="C597" s="51" t="e">
        <v>#REF!</v>
      </c>
      <c r="D597" s="51" t="str">
        <v/>
      </c>
      <c r="E597" s="51" t="str">
        <v/>
      </c>
      <c r="F597" s="52" t="e">
        <v>#REF!</v>
      </c>
      <c r="G597" s="48" t="e">
        <v>#REF!</v>
      </c>
      <c r="H597" s="49">
        <v>0</v>
      </c>
      <c r="I597" s="49" t="e">
        <v>#REF!</v>
      </c>
      <c r="J597" s="50"/>
    </row>
    <row r="598" ht="28.8" outlineLevel="1" spans="1:10">
      <c r="A598" s="50">
        <v>498</v>
      </c>
      <c r="B598" s="51" t="str">
        <v>楼地面-150厚3:7灰土夯实</v>
      </c>
      <c r="C598" s="51" t="e">
        <v>#REF!</v>
      </c>
      <c r="D598" s="51" t="str">
        <v/>
      </c>
      <c r="E598" s="51" t="str">
        <v/>
      </c>
      <c r="F598" s="52" t="e">
        <v>#REF!</v>
      </c>
      <c r="G598" s="48" t="e">
        <v>#REF!</v>
      </c>
      <c r="H598" s="49">
        <v>0</v>
      </c>
      <c r="I598" s="49" t="e">
        <v>#REF!</v>
      </c>
      <c r="J598" s="50"/>
    </row>
    <row r="599" outlineLevel="1" spans="1:10">
      <c r="A599" s="50">
        <v>499</v>
      </c>
      <c r="B599" s="51" t="str">
        <v>楼地面-素土夯实</v>
      </c>
      <c r="C599" s="51" t="e">
        <v>#REF!</v>
      </c>
      <c r="D599" s="51" t="str">
        <v/>
      </c>
      <c r="E599" s="51" t="str">
        <v/>
      </c>
      <c r="F599" s="52" t="e">
        <v>#REF!</v>
      </c>
      <c r="G599" s="48" t="e">
        <v>#REF!</v>
      </c>
      <c r="H599" s="49">
        <v>0</v>
      </c>
      <c r="I599" s="49" t="e">
        <v>#REF!</v>
      </c>
      <c r="J599" s="50"/>
    </row>
    <row r="600" ht="28.8" outlineLevel="1" spans="1:10">
      <c r="A600" s="50" t="str">
        <v/>
      </c>
      <c r="B600" s="51" t="str">
        <v>厨房、阳台楼面（有覆土）</v>
      </c>
      <c r="C600" s="51" t="str">
        <v/>
      </c>
      <c r="D600" s="51" t="str">
        <v/>
      </c>
      <c r="E600" s="51" t="str">
        <v/>
      </c>
      <c r="F600" s="52" t="str">
        <v/>
      </c>
      <c r="G600" s="48" t="str">
        <v/>
      </c>
      <c r="H600" s="49">
        <v>0</v>
      </c>
      <c r="I600" s="49">
        <v>0</v>
      </c>
      <c r="J600" s="50"/>
    </row>
    <row r="601" outlineLevel="1" spans="1:10">
      <c r="A601" s="50">
        <v>500</v>
      </c>
      <c r="B601" s="51" t="str">
        <v>楼地面-50厚C15豆石砼</v>
      </c>
      <c r="C601" s="51" t="e">
        <v>#REF!</v>
      </c>
      <c r="D601" s="51" t="str">
        <v/>
      </c>
      <c r="E601" s="51" t="str">
        <v/>
      </c>
      <c r="F601" s="52" t="e">
        <v>#REF!</v>
      </c>
      <c r="G601" s="48" t="e">
        <v>#REF!</v>
      </c>
      <c r="H601" s="49">
        <v>0</v>
      </c>
      <c r="I601" s="49" t="e">
        <v>#REF!</v>
      </c>
      <c r="J601" s="50"/>
    </row>
    <row r="602" outlineLevel="1" spans="1:10">
      <c r="A602" s="50">
        <v>501</v>
      </c>
      <c r="B602" s="51" t="str">
        <v>楼地面-60厚C15细石砼</v>
      </c>
      <c r="C602" s="51" t="e">
        <v>#REF!</v>
      </c>
      <c r="D602" s="51" t="str">
        <v/>
      </c>
      <c r="E602" s="51" t="str">
        <v/>
      </c>
      <c r="F602" s="52" t="e">
        <v>#REF!</v>
      </c>
      <c r="G602" s="48" t="e">
        <v>#REF!</v>
      </c>
      <c r="H602" s="49">
        <v>0</v>
      </c>
      <c r="I602" s="49" t="e">
        <v>#REF!</v>
      </c>
      <c r="J602" s="50"/>
    </row>
    <row r="603" outlineLevel="1" spans="1:10">
      <c r="A603" s="50">
        <v>502</v>
      </c>
      <c r="B603" s="51" t="str">
        <v>楼地面-玻纤网</v>
      </c>
      <c r="C603" s="51" t="e">
        <v>#REF!</v>
      </c>
      <c r="D603" s="51" t="str">
        <v/>
      </c>
      <c r="E603" s="51" t="str">
        <v/>
      </c>
      <c r="F603" s="52" t="e">
        <v>#REF!</v>
      </c>
      <c r="G603" s="48" t="e">
        <v>#REF!</v>
      </c>
      <c r="H603" s="49">
        <v>0</v>
      </c>
      <c r="I603" s="49" t="e">
        <v>#REF!</v>
      </c>
      <c r="J603" s="50"/>
    </row>
    <row r="604" outlineLevel="1" spans="1:10">
      <c r="A604" s="50">
        <v>503</v>
      </c>
      <c r="B604" s="51" t="str">
        <v>楼地面-塑料膜</v>
      </c>
      <c r="C604" s="51" t="e">
        <v>#REF!</v>
      </c>
      <c r="D604" s="51" t="str">
        <v/>
      </c>
      <c r="E604" s="51" t="str">
        <v/>
      </c>
      <c r="F604" s="52" t="e">
        <v>#REF!</v>
      </c>
      <c r="G604" s="48" t="e">
        <v>#REF!</v>
      </c>
      <c r="H604" s="49">
        <v>0</v>
      </c>
      <c r="I604" s="49" t="e">
        <v>#REF!</v>
      </c>
      <c r="J604" s="50"/>
    </row>
    <row r="605" ht="28.8" outlineLevel="1" spans="1:10">
      <c r="A605" s="50">
        <v>504</v>
      </c>
      <c r="B605" s="51" t="str">
        <v>楼地面-150厚3:7灰土夯实</v>
      </c>
      <c r="C605" s="51" t="e">
        <v>#REF!</v>
      </c>
      <c r="D605" s="51" t="str">
        <v/>
      </c>
      <c r="E605" s="51" t="str">
        <v/>
      </c>
      <c r="F605" s="52" t="e">
        <v>#REF!</v>
      </c>
      <c r="G605" s="48" t="e">
        <v>#REF!</v>
      </c>
      <c r="H605" s="49">
        <v>0</v>
      </c>
      <c r="I605" s="49" t="e">
        <v>#REF!</v>
      </c>
      <c r="J605" s="50"/>
    </row>
    <row r="606" outlineLevel="1" spans="1:10">
      <c r="A606" s="50">
        <v>505</v>
      </c>
      <c r="B606" s="51" t="str">
        <v>楼地面-素土夯实</v>
      </c>
      <c r="C606" s="51" t="e">
        <v>#REF!</v>
      </c>
      <c r="D606" s="51" t="str">
        <v/>
      </c>
      <c r="E606" s="51" t="str">
        <v/>
      </c>
      <c r="F606" s="52" t="e">
        <v>#REF!</v>
      </c>
      <c r="G606" s="48" t="e">
        <v>#REF!</v>
      </c>
      <c r="H606" s="49">
        <v>0</v>
      </c>
      <c r="I606" s="49" t="e">
        <v>#REF!</v>
      </c>
      <c r="J606" s="50"/>
    </row>
    <row r="607" ht="28.8" outlineLevel="1" spans="1:10">
      <c r="A607" s="50">
        <v>506</v>
      </c>
      <c r="B607" s="51" t="str">
        <v>楼地面-50厚C15细石砼（毛坯）</v>
      </c>
      <c r="C607" s="51" t="e">
        <v>#REF!</v>
      </c>
      <c r="D607" s="51" t="str">
        <v/>
      </c>
      <c r="E607" s="51" t="str">
        <v/>
      </c>
      <c r="F607" s="52" t="e">
        <v>#REF!</v>
      </c>
      <c r="G607" s="48" t="e">
        <v>#REF!</v>
      </c>
      <c r="H607" s="49">
        <v>0</v>
      </c>
      <c r="I607" s="49" t="e">
        <v>#REF!</v>
      </c>
      <c r="J607" s="50"/>
    </row>
    <row r="608" outlineLevel="1" spans="1:10">
      <c r="A608" s="50" t="str">
        <v/>
      </c>
      <c r="B608" s="51" t="str">
        <v>厨房楼面（无覆土）</v>
      </c>
      <c r="C608" s="51" t="str">
        <v/>
      </c>
      <c r="D608" s="51" t="str">
        <v/>
      </c>
      <c r="E608" s="51" t="str">
        <v/>
      </c>
      <c r="F608" s="52" t="str">
        <v/>
      </c>
      <c r="G608" s="48" t="str">
        <v/>
      </c>
      <c r="H608" s="49">
        <v>0</v>
      </c>
      <c r="I608" s="49">
        <v>0</v>
      </c>
      <c r="J608" s="50"/>
    </row>
    <row r="609" outlineLevel="1" spans="1:10">
      <c r="A609" s="50">
        <v>507</v>
      </c>
      <c r="B609" s="51" t="str">
        <v>楼地面-50厚C15豆石砼</v>
      </c>
      <c r="C609" s="51" t="e">
        <v>#REF!</v>
      </c>
      <c r="D609" s="51" t="str">
        <v/>
      </c>
      <c r="E609" s="51" t="str">
        <v/>
      </c>
      <c r="F609" s="52" t="e">
        <v>#REF!</v>
      </c>
      <c r="G609" s="48" t="e">
        <v>#REF!</v>
      </c>
      <c r="H609" s="49">
        <v>0</v>
      </c>
      <c r="I609" s="49" t="e">
        <v>#REF!</v>
      </c>
      <c r="J609" s="50"/>
    </row>
    <row r="610" outlineLevel="1" spans="1:10">
      <c r="A610" s="50">
        <v>508</v>
      </c>
      <c r="B610" s="51" t="str">
        <v>楼地面-玻纤网</v>
      </c>
      <c r="C610" s="51" t="e">
        <v>#REF!</v>
      </c>
      <c r="D610" s="51" t="str">
        <v/>
      </c>
      <c r="E610" s="51" t="str">
        <v/>
      </c>
      <c r="F610" s="52" t="e">
        <v>#REF!</v>
      </c>
      <c r="G610" s="48" t="e">
        <v>#REF!</v>
      </c>
      <c r="H610" s="49">
        <v>0</v>
      </c>
      <c r="I610" s="49" t="e">
        <v>#REF!</v>
      </c>
      <c r="J610" s="50"/>
    </row>
    <row r="611" outlineLevel="1" spans="1:10">
      <c r="A611" s="50" t="str">
        <v/>
      </c>
      <c r="B611" s="51" t="str">
        <v>其他房间-用于其他配套</v>
      </c>
      <c r="C611" s="51" t="str">
        <v/>
      </c>
      <c r="D611" s="51" t="str">
        <v/>
      </c>
      <c r="E611" s="51" t="str">
        <v/>
      </c>
      <c r="F611" s="52" t="str">
        <v/>
      </c>
      <c r="G611" s="48" t="str">
        <v/>
      </c>
      <c r="H611" s="49">
        <v>0</v>
      </c>
      <c r="I611" s="49">
        <v>0</v>
      </c>
      <c r="J611" s="50"/>
    </row>
    <row r="612" outlineLevel="1" spans="1:10">
      <c r="A612" s="50">
        <v>509</v>
      </c>
      <c r="B612" s="51" t="str">
        <v>楼地面-50厚C15豆石砼</v>
      </c>
      <c r="C612" s="51" t="e">
        <v>#REF!</v>
      </c>
      <c r="D612" s="51" t="str">
        <v/>
      </c>
      <c r="E612" s="51" t="str">
        <v/>
      </c>
      <c r="F612" s="52" t="e">
        <v>#REF!</v>
      </c>
      <c r="G612" s="48" t="e">
        <v>#REF!</v>
      </c>
      <c r="H612" s="49">
        <v>1</v>
      </c>
      <c r="I612" s="49" t="e">
        <v>#REF!</v>
      </c>
      <c r="J612" s="50"/>
    </row>
    <row r="613" outlineLevel="1" spans="1:10">
      <c r="A613" s="50">
        <v>510</v>
      </c>
      <c r="B613" s="51" t="str">
        <v>楼地面-玻纤网</v>
      </c>
      <c r="C613" s="51" t="e">
        <v>#REF!</v>
      </c>
      <c r="D613" s="51" t="str">
        <v/>
      </c>
      <c r="E613" s="51" t="str">
        <v/>
      </c>
      <c r="F613" s="52" t="e">
        <v>#REF!</v>
      </c>
      <c r="G613" s="48" t="e">
        <v>#REF!</v>
      </c>
      <c r="H613" s="49">
        <v>1</v>
      </c>
      <c r="I613" s="49" t="e">
        <v>#REF!</v>
      </c>
      <c r="J613" s="50"/>
    </row>
    <row r="614" outlineLevel="1" spans="1:10">
      <c r="A614" s="50">
        <v>511</v>
      </c>
      <c r="B614" s="51" t="str">
        <v>楼地面-60厚C15细石砼</v>
      </c>
      <c r="C614" s="51" t="e">
        <v>#REF!</v>
      </c>
      <c r="D614" s="51" t="str">
        <v/>
      </c>
      <c r="E614" s="51" t="str">
        <v/>
      </c>
      <c r="F614" s="52" t="e">
        <v>#REF!</v>
      </c>
      <c r="G614" s="48" t="e">
        <v>#REF!</v>
      </c>
      <c r="H614" s="49">
        <v>1</v>
      </c>
      <c r="I614" s="49" t="e">
        <v>#REF!</v>
      </c>
      <c r="J614" s="50"/>
    </row>
    <row r="615" outlineLevel="1" spans="1:10">
      <c r="A615" s="50">
        <v>512</v>
      </c>
      <c r="B615" s="51" t="str">
        <v>楼地面-塑料膜</v>
      </c>
      <c r="C615" s="51" t="e">
        <v>#REF!</v>
      </c>
      <c r="D615" s="51" t="str">
        <v/>
      </c>
      <c r="E615" s="51" t="str">
        <v/>
      </c>
      <c r="F615" s="52" t="e">
        <v>#REF!</v>
      </c>
      <c r="G615" s="48" t="e">
        <v>#REF!</v>
      </c>
      <c r="H615" s="49">
        <v>1</v>
      </c>
      <c r="I615" s="49" t="e">
        <v>#REF!</v>
      </c>
      <c r="J615" s="50"/>
    </row>
    <row r="616" ht="28.8" outlineLevel="1" spans="1:10">
      <c r="A616" s="50">
        <v>513</v>
      </c>
      <c r="B616" s="51" t="str">
        <v>楼地面-150厚3:7灰土夯实</v>
      </c>
      <c r="C616" s="51" t="e">
        <v>#REF!</v>
      </c>
      <c r="D616" s="51" t="str">
        <v/>
      </c>
      <c r="E616" s="51" t="str">
        <v/>
      </c>
      <c r="F616" s="52" t="e">
        <v>#REF!</v>
      </c>
      <c r="G616" s="48" t="e">
        <v>#REF!</v>
      </c>
      <c r="H616" s="49">
        <v>1</v>
      </c>
      <c r="I616" s="49" t="e">
        <v>#REF!</v>
      </c>
      <c r="J616" s="50"/>
    </row>
    <row r="617" outlineLevel="1" spans="1:10">
      <c r="A617" s="50">
        <v>514</v>
      </c>
      <c r="B617" s="51" t="str">
        <v>楼地面-素土夯实</v>
      </c>
      <c r="C617" s="51" t="e">
        <v>#REF!</v>
      </c>
      <c r="D617" s="51" t="str">
        <v/>
      </c>
      <c r="E617" s="51" t="str">
        <v/>
      </c>
      <c r="F617" s="52" t="e">
        <v>#REF!</v>
      </c>
      <c r="G617" s="48" t="e">
        <v>#REF!</v>
      </c>
      <c r="H617" s="49">
        <v>1</v>
      </c>
      <c r="I617" s="49" t="e">
        <v>#REF!</v>
      </c>
      <c r="J617" s="50"/>
    </row>
    <row r="618" outlineLevel="1" spans="1:10">
      <c r="A618" s="50" t="str">
        <v/>
      </c>
      <c r="B618" s="51" t="str">
        <v>其他房间-用于售楼处</v>
      </c>
      <c r="C618" s="51" t="str">
        <v/>
      </c>
      <c r="D618" s="51" t="str">
        <v/>
      </c>
      <c r="E618" s="51" t="str">
        <v/>
      </c>
      <c r="F618" s="52" t="str">
        <v/>
      </c>
      <c r="G618" s="48" t="str">
        <v/>
      </c>
      <c r="H618" s="49">
        <v>0</v>
      </c>
      <c r="I618" s="49">
        <v>0</v>
      </c>
      <c r="J618" s="50"/>
    </row>
    <row r="619" outlineLevel="1" spans="1:10">
      <c r="A619" s="50">
        <v>515</v>
      </c>
      <c r="B619" s="51" t="str">
        <v>楼地面-50厚C15豆石砼</v>
      </c>
      <c r="C619" s="51" t="e">
        <v>#REF!</v>
      </c>
      <c r="D619" s="51" t="str">
        <v/>
      </c>
      <c r="E619" s="51" t="str">
        <v/>
      </c>
      <c r="F619" s="52" t="e">
        <v>#REF!</v>
      </c>
      <c r="G619" s="48" t="e">
        <v>#REF!</v>
      </c>
      <c r="H619" s="49">
        <v>1</v>
      </c>
      <c r="I619" s="49" t="e">
        <v>#REF!</v>
      </c>
      <c r="J619" s="50"/>
    </row>
    <row r="620" outlineLevel="1" spans="1:10">
      <c r="A620" s="50">
        <v>516</v>
      </c>
      <c r="B620" s="51" t="str">
        <v>楼地面-70厚C15豆石砼</v>
      </c>
      <c r="C620" s="51" t="e">
        <v>#REF!</v>
      </c>
      <c r="D620" s="51" t="str">
        <v/>
      </c>
      <c r="E620" s="51" t="str">
        <v/>
      </c>
      <c r="F620" s="52" t="e">
        <v>#REF!</v>
      </c>
      <c r="G620" s="48" t="e">
        <v>#REF!</v>
      </c>
      <c r="H620" s="49">
        <v>0</v>
      </c>
      <c r="I620" s="49" t="e">
        <v>#REF!</v>
      </c>
      <c r="J620" s="50"/>
    </row>
    <row r="621" outlineLevel="1" spans="1:10">
      <c r="A621" s="50">
        <v>517</v>
      </c>
      <c r="B621" s="51" t="str">
        <v>楼地面-玻纤网</v>
      </c>
      <c r="C621" s="51" t="e">
        <v>#REF!</v>
      </c>
      <c r="D621" s="51" t="str">
        <v/>
      </c>
      <c r="E621" s="51" t="str">
        <v/>
      </c>
      <c r="F621" s="52" t="e">
        <v>#REF!</v>
      </c>
      <c r="G621" s="48" t="e">
        <v>#REF!</v>
      </c>
      <c r="H621" s="49">
        <v>1</v>
      </c>
      <c r="I621" s="49" t="e">
        <v>#REF!</v>
      </c>
      <c r="J621" s="50"/>
    </row>
    <row r="622" outlineLevel="1" spans="1:10">
      <c r="A622" s="50">
        <v>518</v>
      </c>
      <c r="B622" s="51" t="str">
        <v>楼地面-100厚C20砼</v>
      </c>
      <c r="C622" s="51" t="e">
        <v>#REF!</v>
      </c>
      <c r="D622" s="51" t="str">
        <v/>
      </c>
      <c r="E622" s="51" t="str">
        <v/>
      </c>
      <c r="F622" s="52" t="e">
        <v>#REF!</v>
      </c>
      <c r="G622" s="48" t="e">
        <v>#REF!</v>
      </c>
      <c r="H622" s="49">
        <v>1</v>
      </c>
      <c r="I622" s="49" t="e">
        <v>#REF!</v>
      </c>
      <c r="J622" s="50"/>
    </row>
    <row r="623" outlineLevel="1" spans="1:10">
      <c r="A623" s="50">
        <v>519</v>
      </c>
      <c r="B623" s="51" t="str">
        <v>楼地面-塑料膜</v>
      </c>
      <c r="C623" s="51" t="e">
        <v>#REF!</v>
      </c>
      <c r="D623" s="51" t="str">
        <v/>
      </c>
      <c r="E623" s="51" t="str">
        <v/>
      </c>
      <c r="F623" s="52" t="e">
        <v>#REF!</v>
      </c>
      <c r="G623" s="48" t="e">
        <v>#REF!</v>
      </c>
      <c r="H623" s="49">
        <v>1</v>
      </c>
      <c r="I623" s="49" t="e">
        <v>#REF!</v>
      </c>
      <c r="J623" s="50"/>
    </row>
    <row r="624" ht="28.8" outlineLevel="1" spans="1:10">
      <c r="A624" s="50">
        <v>520</v>
      </c>
      <c r="B624" s="51" t="str">
        <v>楼地面-150厚3:7灰土夯实</v>
      </c>
      <c r="C624" s="51" t="e">
        <v>#REF!</v>
      </c>
      <c r="D624" s="51" t="str">
        <v/>
      </c>
      <c r="E624" s="51" t="str">
        <v/>
      </c>
      <c r="F624" s="52" t="e">
        <v>#REF!</v>
      </c>
      <c r="G624" s="48" t="e">
        <v>#REF!</v>
      </c>
      <c r="H624" s="49">
        <v>1</v>
      </c>
      <c r="I624" s="49" t="e">
        <v>#REF!</v>
      </c>
      <c r="J624" s="50"/>
    </row>
    <row r="625" outlineLevel="1" spans="1:10">
      <c r="A625" s="50">
        <v>521</v>
      </c>
      <c r="B625" s="51" t="str">
        <v>楼地面-素土夯实</v>
      </c>
      <c r="C625" s="51" t="e">
        <v>#REF!</v>
      </c>
      <c r="D625" s="51" t="str">
        <v/>
      </c>
      <c r="E625" s="51" t="str">
        <v/>
      </c>
      <c r="F625" s="52" t="e">
        <v>#REF!</v>
      </c>
      <c r="G625" s="48" t="e">
        <v>#REF!</v>
      </c>
      <c r="H625" s="49">
        <v>1</v>
      </c>
      <c r="I625" s="49" t="e">
        <v>#REF!</v>
      </c>
      <c r="J625" s="50"/>
    </row>
    <row r="626" ht="28.8" outlineLevel="1" spans="1:10">
      <c r="A626" s="50" t="str">
        <v/>
      </c>
      <c r="B626" s="51" t="str">
        <v>电井、进线间、热计量间</v>
      </c>
      <c r="C626" s="51" t="str">
        <v/>
      </c>
      <c r="D626" s="51" t="str">
        <v/>
      </c>
      <c r="E626" s="51" t="str">
        <v/>
      </c>
      <c r="F626" s="52" t="str">
        <v/>
      </c>
      <c r="G626" s="48" t="str">
        <v/>
      </c>
      <c r="H626" s="49">
        <v>0</v>
      </c>
      <c r="I626" s="49">
        <v>0</v>
      </c>
      <c r="J626" s="50"/>
    </row>
    <row r="627" outlineLevel="1" spans="1:10">
      <c r="A627" s="50">
        <v>522</v>
      </c>
      <c r="B627" s="51" t="str">
        <v>楼地面-60厚C15细石砼</v>
      </c>
      <c r="C627" s="51" t="e">
        <v>#REF!</v>
      </c>
      <c r="D627" s="51" t="str">
        <v/>
      </c>
      <c r="E627" s="51" t="str">
        <v/>
      </c>
      <c r="F627" s="52" t="e">
        <v>#REF!</v>
      </c>
      <c r="G627" s="48" t="e">
        <v>#REF!</v>
      </c>
      <c r="H627" s="49">
        <v>1</v>
      </c>
      <c r="I627" s="49" t="e">
        <v>#REF!</v>
      </c>
      <c r="J627" s="50"/>
    </row>
    <row r="628" outlineLevel="1" spans="1:10">
      <c r="A628" s="50">
        <v>523</v>
      </c>
      <c r="B628" s="51" t="str">
        <v>楼地面</v>
      </c>
      <c r="C628" s="51" t="e">
        <v>#REF!</v>
      </c>
      <c r="D628" s="51" t="str">
        <v/>
      </c>
      <c r="E628" s="51" t="str">
        <v/>
      </c>
      <c r="F628" s="52" t="e">
        <v>#REF!</v>
      </c>
      <c r="G628" s="48" t="e">
        <v>#REF!</v>
      </c>
      <c r="H628" s="49">
        <v>0</v>
      </c>
      <c r="I628" s="49" t="e">
        <v>#REF!</v>
      </c>
      <c r="J628" s="50"/>
    </row>
    <row r="629" outlineLevel="1" spans="1:10">
      <c r="A629" s="50">
        <v>524</v>
      </c>
      <c r="B629" s="51" t="str">
        <v>楼地面-塑料膜</v>
      </c>
      <c r="C629" s="51" t="e">
        <v>#REF!</v>
      </c>
      <c r="D629" s="51" t="str">
        <v/>
      </c>
      <c r="E629" s="51" t="str">
        <v/>
      </c>
      <c r="F629" s="52" t="e">
        <v>#REF!</v>
      </c>
      <c r="G629" s="48" t="e">
        <v>#REF!</v>
      </c>
      <c r="H629" s="49">
        <v>1</v>
      </c>
      <c r="I629" s="49" t="e">
        <v>#REF!</v>
      </c>
      <c r="J629" s="50"/>
    </row>
    <row r="630" ht="28.8" outlineLevel="1" spans="1:10">
      <c r="A630" s="50">
        <v>525</v>
      </c>
      <c r="B630" s="51" t="str">
        <v>楼地面-150厚3:7灰土夯实</v>
      </c>
      <c r="C630" s="51" t="e">
        <v>#REF!</v>
      </c>
      <c r="D630" s="51" t="str">
        <v/>
      </c>
      <c r="E630" s="51" t="str">
        <v/>
      </c>
      <c r="F630" s="52" t="e">
        <v>#REF!</v>
      </c>
      <c r="G630" s="48" t="e">
        <v>#REF!</v>
      </c>
      <c r="H630" s="49">
        <v>1</v>
      </c>
      <c r="I630" s="49" t="e">
        <v>#REF!</v>
      </c>
      <c r="J630" s="50"/>
    </row>
    <row r="631" outlineLevel="1" spans="1:10">
      <c r="A631" s="50">
        <v>526</v>
      </c>
      <c r="B631" s="51" t="str">
        <v>楼地面-素土夯实</v>
      </c>
      <c r="C631" s="51" t="e">
        <v>#REF!</v>
      </c>
      <c r="D631" s="51" t="str">
        <v/>
      </c>
      <c r="E631" s="51" t="str">
        <v/>
      </c>
      <c r="F631" s="52" t="e">
        <v>#REF!</v>
      </c>
      <c r="G631" s="48" t="e">
        <v>#REF!</v>
      </c>
      <c r="H631" s="49">
        <v>1</v>
      </c>
      <c r="I631" s="49" t="e">
        <v>#REF!</v>
      </c>
      <c r="J631" s="50"/>
    </row>
    <row r="632" outlineLevel="1" spans="1:10">
      <c r="A632" s="50" t="str">
        <v/>
      </c>
      <c r="B632" s="51" t="str">
        <v>住宅室外连廊楼面</v>
      </c>
      <c r="C632" s="51" t="str">
        <v/>
      </c>
      <c r="D632" s="51" t="str">
        <v/>
      </c>
      <c r="E632" s="51" t="str">
        <v/>
      </c>
      <c r="F632" s="52" t="str">
        <v/>
      </c>
      <c r="G632" s="48" t="str">
        <v/>
      </c>
      <c r="H632" s="49">
        <v>0</v>
      </c>
      <c r="I632" s="49">
        <v>0</v>
      </c>
      <c r="J632" s="50"/>
    </row>
    <row r="633" ht="28.8" outlineLevel="1" spans="1:10">
      <c r="A633" s="50">
        <v>527</v>
      </c>
      <c r="B633" s="51" t="str">
        <v>楼地面-30厚水泥砂浆找坡</v>
      </c>
      <c r="C633" s="51" t="e">
        <v>#REF!</v>
      </c>
      <c r="D633" s="51" t="str">
        <v/>
      </c>
      <c r="E633" s="51" t="str">
        <v/>
      </c>
      <c r="F633" s="52" t="e">
        <v>#REF!</v>
      </c>
      <c r="G633" s="48" t="e">
        <v>#REF!</v>
      </c>
      <c r="H633" s="49">
        <v>0</v>
      </c>
      <c r="I633" s="49" t="e">
        <v>#REF!</v>
      </c>
      <c r="J633" s="50"/>
    </row>
    <row r="634" outlineLevel="1" spans="1:10">
      <c r="A634" s="50">
        <v>528</v>
      </c>
      <c r="B634" s="51" t="str">
        <v>楼地面-电梯机房地面</v>
      </c>
      <c r="C634" s="51" t="e">
        <v>#REF!</v>
      </c>
      <c r="D634" s="51" t="str">
        <v/>
      </c>
      <c r="E634" s="51" t="str">
        <v/>
      </c>
      <c r="F634" s="52" t="e">
        <v>#REF!</v>
      </c>
      <c r="G634" s="48" t="e">
        <v>#REF!</v>
      </c>
      <c r="H634" s="49">
        <v>0</v>
      </c>
      <c r="I634" s="49" t="e">
        <v>#REF!</v>
      </c>
      <c r="J634" s="50"/>
    </row>
    <row r="635" outlineLevel="1" spans="1:10">
      <c r="A635" s="50" t="str">
        <v/>
      </c>
      <c r="B635" s="51" t="str">
        <v>屋顶加压送风机房地面</v>
      </c>
      <c r="C635" s="51" t="str">
        <v/>
      </c>
      <c r="D635" s="51" t="str">
        <v/>
      </c>
      <c r="E635" s="51" t="str">
        <v/>
      </c>
      <c r="F635" s="52" t="str">
        <v/>
      </c>
      <c r="G635" s="48" t="str">
        <v/>
      </c>
      <c r="H635" s="49">
        <v>0</v>
      </c>
      <c r="I635" s="49">
        <v>0</v>
      </c>
      <c r="J635" s="50"/>
    </row>
    <row r="636" outlineLevel="1" spans="1:10">
      <c r="A636" s="50">
        <v>529</v>
      </c>
      <c r="B636" s="51" t="str">
        <v>楼地面-50厚C20砼</v>
      </c>
      <c r="C636" s="51" t="e">
        <v>#REF!</v>
      </c>
      <c r="D636" s="51" t="str">
        <v/>
      </c>
      <c r="E636" s="51" t="str">
        <v/>
      </c>
      <c r="F636" s="52" t="e">
        <v>#REF!</v>
      </c>
      <c r="G636" s="48" t="e">
        <v>#REF!</v>
      </c>
      <c r="H636" s="49">
        <v>0</v>
      </c>
      <c r="I636" s="49" t="e">
        <v>#REF!</v>
      </c>
      <c r="J636" s="50"/>
    </row>
    <row r="637" outlineLevel="1" spans="1:10">
      <c r="A637" s="50">
        <v>530</v>
      </c>
      <c r="B637" s="51" t="str">
        <v>楼地面-玻纤网</v>
      </c>
      <c r="C637" s="51" t="e">
        <v>#REF!</v>
      </c>
      <c r="D637" s="51" t="str">
        <v/>
      </c>
      <c r="E637" s="51" t="str">
        <v/>
      </c>
      <c r="F637" s="52" t="e">
        <v>#REF!</v>
      </c>
      <c r="G637" s="48" t="e">
        <v>#REF!</v>
      </c>
      <c r="H637" s="49">
        <v>0</v>
      </c>
      <c r="I637" s="49" t="e">
        <v>#REF!</v>
      </c>
      <c r="J637" s="50"/>
    </row>
    <row r="638" outlineLevel="1" spans="1:10">
      <c r="A638" s="50">
        <v>531</v>
      </c>
      <c r="B638" s="51" t="str">
        <v>楼地面-190厚EPS</v>
      </c>
      <c r="C638" s="51" t="e">
        <v>#REF!</v>
      </c>
      <c r="D638" s="51" t="str">
        <v/>
      </c>
      <c r="E638" s="51" t="str">
        <v/>
      </c>
      <c r="F638" s="52" t="e">
        <v>#REF!</v>
      </c>
      <c r="G638" s="48" t="e">
        <v>#REF!</v>
      </c>
      <c r="H638" s="49">
        <v>0</v>
      </c>
      <c r="I638" s="49" t="e">
        <v>#REF!</v>
      </c>
      <c r="J638" s="50"/>
    </row>
    <row r="639" outlineLevel="1" spans="1:10">
      <c r="A639" s="50" t="str">
        <v/>
      </c>
      <c r="B639" s="51" t="str">
        <v>水箱间地面</v>
      </c>
      <c r="C639" s="51" t="str">
        <v/>
      </c>
      <c r="D639" s="51" t="str">
        <v/>
      </c>
      <c r="E639" s="51" t="str">
        <v/>
      </c>
      <c r="F639" s="52" t="str">
        <v/>
      </c>
      <c r="G639" s="48" t="str">
        <v/>
      </c>
      <c r="H639" s="49">
        <v>0</v>
      </c>
      <c r="I639" s="49">
        <v>0</v>
      </c>
      <c r="J639" s="50"/>
    </row>
    <row r="640" outlineLevel="1" spans="1:10">
      <c r="A640" s="50">
        <v>532</v>
      </c>
      <c r="B640" s="51" t="str">
        <v>楼地面-40厚C20细石砼</v>
      </c>
      <c r="C640" s="51" t="e">
        <v>#REF!</v>
      </c>
      <c r="D640" s="51" t="str">
        <v/>
      </c>
      <c r="E640" s="51" t="str">
        <v/>
      </c>
      <c r="F640" s="52" t="e">
        <v>#REF!</v>
      </c>
      <c r="G640" s="48" t="e">
        <v>#REF!</v>
      </c>
      <c r="H640" s="49">
        <v>0</v>
      </c>
      <c r="I640" s="49" t="e">
        <v>#REF!</v>
      </c>
      <c r="J640" s="50"/>
    </row>
    <row r="641" outlineLevel="1" spans="1:10">
      <c r="A641" s="50">
        <v>533</v>
      </c>
      <c r="B641" s="51" t="str">
        <v>楼地面-土工布</v>
      </c>
      <c r="C641" s="51" t="e">
        <v>#REF!</v>
      </c>
      <c r="D641" s="51" t="str">
        <v/>
      </c>
      <c r="E641" s="51" t="str">
        <v/>
      </c>
      <c r="F641" s="52" t="e">
        <v>#REF!</v>
      </c>
      <c r="G641" s="48" t="e">
        <v>#REF!</v>
      </c>
      <c r="H641" s="49">
        <v>0</v>
      </c>
      <c r="I641" s="49" t="e">
        <v>#REF!</v>
      </c>
      <c r="J641" s="50"/>
    </row>
    <row r="642" outlineLevel="1" spans="1:10">
      <c r="A642" s="50">
        <v>534</v>
      </c>
      <c r="B642" s="51" t="str">
        <v>楼地面-3+3厚SBS</v>
      </c>
      <c r="C642" s="51" t="e">
        <v>#REF!</v>
      </c>
      <c r="D642" s="51" t="str">
        <v/>
      </c>
      <c r="E642" s="51" t="str">
        <v/>
      </c>
      <c r="F642" s="52" t="e">
        <v>#REF!</v>
      </c>
      <c r="G642" s="48" t="e">
        <v>#REF!</v>
      </c>
      <c r="H642" s="49">
        <v>0</v>
      </c>
      <c r="I642" s="49" t="e">
        <v>#REF!</v>
      </c>
      <c r="J642" s="50"/>
    </row>
    <row r="643" ht="28.8" outlineLevel="1" spans="1:10">
      <c r="A643" s="50">
        <v>535</v>
      </c>
      <c r="B643" s="51" t="str">
        <v>楼地面-20厚M15水泥砂浆</v>
      </c>
      <c r="C643" s="51" t="e">
        <v>#REF!</v>
      </c>
      <c r="D643" s="51" t="str">
        <v/>
      </c>
      <c r="E643" s="51" t="str">
        <v/>
      </c>
      <c r="F643" s="52" t="e">
        <v>#REF!</v>
      </c>
      <c r="G643" s="48" t="e">
        <v>#REF!</v>
      </c>
      <c r="H643" s="49">
        <v>0</v>
      </c>
      <c r="I643" s="49" t="e">
        <v>#REF!</v>
      </c>
      <c r="J643" s="50"/>
    </row>
    <row r="644" outlineLevel="1" spans="1:10">
      <c r="A644" s="50" t="str">
        <v/>
      </c>
      <c r="B644" s="51" t="str">
        <v>消防控制室</v>
      </c>
      <c r="C644" s="51" t="str">
        <v/>
      </c>
      <c r="D644" s="51" t="str">
        <v/>
      </c>
      <c r="E644" s="51" t="str">
        <v/>
      </c>
      <c r="F644" s="52" t="str">
        <v/>
      </c>
      <c r="G644" s="48" t="str">
        <v/>
      </c>
      <c r="H644" s="49">
        <v>0</v>
      </c>
      <c r="I644" s="49">
        <v>0</v>
      </c>
      <c r="J644" s="50"/>
    </row>
    <row r="645" outlineLevel="1" spans="1:10">
      <c r="A645" s="50">
        <v>536</v>
      </c>
      <c r="B645" s="51" t="str">
        <v>楼地面-60厚C15砼</v>
      </c>
      <c r="C645" s="51" t="e">
        <v>#REF!</v>
      </c>
      <c r="D645" s="51" t="str">
        <v/>
      </c>
      <c r="E645" s="51" t="str">
        <v/>
      </c>
      <c r="F645" s="52" t="e">
        <v>#REF!</v>
      </c>
      <c r="G645" s="48" t="e">
        <v>#REF!</v>
      </c>
      <c r="H645" s="49">
        <v>1</v>
      </c>
      <c r="I645" s="49" t="e">
        <v>#REF!</v>
      </c>
      <c r="J645" s="50"/>
    </row>
    <row r="646" outlineLevel="1" spans="1:10">
      <c r="A646" s="50">
        <v>537</v>
      </c>
      <c r="B646" s="51" t="str">
        <v>楼地面-塑料膜</v>
      </c>
      <c r="C646" s="51" t="e">
        <v>#REF!</v>
      </c>
      <c r="D646" s="51" t="str">
        <v/>
      </c>
      <c r="E646" s="51" t="str">
        <v/>
      </c>
      <c r="F646" s="52" t="e">
        <v>#REF!</v>
      </c>
      <c r="G646" s="48" t="e">
        <v>#REF!</v>
      </c>
      <c r="H646" s="49">
        <v>1</v>
      </c>
      <c r="I646" s="49" t="e">
        <v>#REF!</v>
      </c>
      <c r="J646" s="50"/>
    </row>
    <row r="647" ht="28.8" outlineLevel="1" spans="1:10">
      <c r="A647" s="50">
        <v>538</v>
      </c>
      <c r="B647" s="51" t="str">
        <v>楼地面-150厚3:7灰土夯实</v>
      </c>
      <c r="C647" s="51" t="e">
        <v>#REF!</v>
      </c>
      <c r="D647" s="51" t="str">
        <v/>
      </c>
      <c r="E647" s="51" t="str">
        <v/>
      </c>
      <c r="F647" s="52" t="e">
        <v>#REF!</v>
      </c>
      <c r="G647" s="48" t="e">
        <v>#REF!</v>
      </c>
      <c r="H647" s="49">
        <v>1</v>
      </c>
      <c r="I647" s="49" t="e">
        <v>#REF!</v>
      </c>
      <c r="J647" s="50"/>
    </row>
    <row r="648" outlineLevel="1" spans="1:10">
      <c r="A648" s="50">
        <v>539</v>
      </c>
      <c r="B648" s="51" t="str">
        <v>楼地面-素土夯实</v>
      </c>
      <c r="C648" s="51" t="e">
        <v>#REF!</v>
      </c>
      <c r="D648" s="51" t="str">
        <v/>
      </c>
      <c r="E648" s="51" t="str">
        <v/>
      </c>
      <c r="F648" s="52" t="e">
        <v>#REF!</v>
      </c>
      <c r="G648" s="48" t="e">
        <v>#REF!</v>
      </c>
      <c r="H648" s="49">
        <v>1</v>
      </c>
      <c r="I648" s="49" t="e">
        <v>#REF!</v>
      </c>
      <c r="J648" s="50"/>
    </row>
    <row r="649" outlineLevel="1" spans="1:10">
      <c r="A649" s="50">
        <v>540</v>
      </c>
      <c r="B649" s="51" t="str">
        <v>踢脚线-100mm灰色涂料</v>
      </c>
      <c r="C649" s="51" t="e">
        <v>#REF!</v>
      </c>
      <c r="D649" s="51" t="str">
        <v/>
      </c>
      <c r="E649" s="51" t="str">
        <v/>
      </c>
      <c r="F649" s="52" t="e">
        <v>#REF!</v>
      </c>
      <c r="G649" s="48" t="e">
        <v>#REF!</v>
      </c>
      <c r="H649" s="49">
        <v>0</v>
      </c>
      <c r="I649" s="49" t="e">
        <v>#REF!</v>
      </c>
      <c r="J649" s="50"/>
    </row>
    <row r="650" outlineLevel="1" spans="1:10">
      <c r="A650" s="50">
        <v>541</v>
      </c>
      <c r="B650" s="51" t="str">
        <v>楼地面-聚氨酯防水涂料</v>
      </c>
      <c r="C650" s="51" t="e">
        <v>#REF!</v>
      </c>
      <c r="D650" s="51" t="str">
        <v/>
      </c>
      <c r="E650" s="51" t="str">
        <v/>
      </c>
      <c r="F650" s="52" t="e">
        <v>#REF!</v>
      </c>
      <c r="G650" s="48" t="e">
        <v>#REF!</v>
      </c>
      <c r="H650" s="49">
        <v>1</v>
      </c>
      <c r="I650" s="49" t="e">
        <v>#REF!</v>
      </c>
      <c r="J650" s="50"/>
    </row>
    <row r="651" outlineLevel="1" spans="1:10">
      <c r="A651" s="50" t="str">
        <v/>
      </c>
      <c r="B651" s="51" t="str">
        <v>A.05.02墙柱装饰工程</v>
      </c>
      <c r="C651" s="51" t="str">
        <v/>
      </c>
      <c r="D651" s="51" t="str">
        <v/>
      </c>
      <c r="E651" s="51" t="str">
        <v/>
      </c>
      <c r="F651" s="52" t="str">
        <v/>
      </c>
      <c r="G651" s="48" t="str">
        <v/>
      </c>
      <c r="H651" s="49">
        <v>0</v>
      </c>
      <c r="I651" s="49" t="e">
        <v>#REF!</v>
      </c>
      <c r="J651" s="50"/>
    </row>
    <row r="652" outlineLevel="1" spans="1:10">
      <c r="A652" s="50" t="str">
        <v/>
      </c>
      <c r="B652" s="51" t="str">
        <v>分户墙(其他）</v>
      </c>
      <c r="C652" s="51" t="str">
        <v/>
      </c>
      <c r="D652" s="51" t="str">
        <v/>
      </c>
      <c r="E652" s="51" t="str">
        <v/>
      </c>
      <c r="F652" s="52" t="str">
        <v/>
      </c>
      <c r="G652" s="48" t="str">
        <v/>
      </c>
      <c r="H652" s="49">
        <v>0</v>
      </c>
      <c r="I652" s="49">
        <v>0</v>
      </c>
      <c r="J652" s="50"/>
    </row>
    <row r="653" outlineLevel="1" spans="1:10">
      <c r="A653" s="50">
        <v>542</v>
      </c>
      <c r="B653" s="51" t="str">
        <v>内墙面-界面剂</v>
      </c>
      <c r="C653" s="51" t="e">
        <v>#REF!</v>
      </c>
      <c r="D653" s="51" t="str">
        <v/>
      </c>
      <c r="E653" s="51" t="str">
        <v/>
      </c>
      <c r="F653" s="52" t="e">
        <v>#REF!</v>
      </c>
      <c r="G653" s="48" t="e">
        <v>#REF!</v>
      </c>
      <c r="H653" s="49">
        <v>0</v>
      </c>
      <c r="I653" s="49" t="e">
        <v>#REF!</v>
      </c>
      <c r="J653" s="50"/>
    </row>
    <row r="654" ht="28.8" outlineLevel="1" spans="1:10">
      <c r="A654" s="50">
        <v>543</v>
      </c>
      <c r="B654" s="51" t="str">
        <v>内墙面-15厚无机保温砂浆</v>
      </c>
      <c r="C654" s="51" t="e">
        <v>#REF!</v>
      </c>
      <c r="D654" s="51" t="str">
        <v/>
      </c>
      <c r="E654" s="51" t="str">
        <v/>
      </c>
      <c r="F654" s="52" t="e">
        <v>#REF!</v>
      </c>
      <c r="G654" s="48" t="e">
        <v>#REF!</v>
      </c>
      <c r="H654" s="49">
        <v>0</v>
      </c>
      <c r="I654" s="49" t="e">
        <v>#REF!</v>
      </c>
      <c r="J654" s="50"/>
    </row>
    <row r="655" ht="28.8" outlineLevel="1" spans="1:10">
      <c r="A655" s="50">
        <v>544</v>
      </c>
      <c r="B655" s="51" t="str">
        <v>内墙面-10厚无机保温砂浆</v>
      </c>
      <c r="C655" s="51" t="e">
        <v>#REF!</v>
      </c>
      <c r="D655" s="51" t="str">
        <v/>
      </c>
      <c r="E655" s="51" t="str">
        <v/>
      </c>
      <c r="F655" s="52" t="e">
        <v>#REF!</v>
      </c>
      <c r="G655" s="48" t="e">
        <v>#REF!</v>
      </c>
      <c r="H655" s="49">
        <v>0</v>
      </c>
      <c r="I655" s="49" t="e">
        <v>#REF!</v>
      </c>
      <c r="J655" s="50"/>
    </row>
    <row r="656" outlineLevel="1" spans="1:10">
      <c r="A656" s="50">
        <v>545</v>
      </c>
      <c r="B656" s="51" t="str">
        <v>内墙面-3厚抗裂砂浆</v>
      </c>
      <c r="C656" s="51" t="e">
        <v>#REF!</v>
      </c>
      <c r="D656" s="51" t="str">
        <v/>
      </c>
      <c r="E656" s="51" t="str">
        <v/>
      </c>
      <c r="F656" s="52" t="e">
        <v>#REF!</v>
      </c>
      <c r="G656" s="48" t="e">
        <v>#REF!</v>
      </c>
      <c r="H656" s="49">
        <v>0</v>
      </c>
      <c r="I656" s="49" t="e">
        <v>#REF!</v>
      </c>
      <c r="J656" s="50"/>
    </row>
    <row r="657" outlineLevel="1" spans="1:10">
      <c r="A657" s="50">
        <v>546</v>
      </c>
      <c r="B657" s="51" t="str">
        <v>内墙面-玻纤网</v>
      </c>
      <c r="C657" s="51" t="e">
        <v>#REF!</v>
      </c>
      <c r="D657" s="51" t="str">
        <v/>
      </c>
      <c r="E657" s="51" t="str">
        <v/>
      </c>
      <c r="F657" s="52" t="e">
        <v>#REF!</v>
      </c>
      <c r="G657" s="48" t="e">
        <v>#REF!</v>
      </c>
      <c r="H657" s="49">
        <v>0</v>
      </c>
      <c r="I657" s="49" t="e">
        <v>#REF!</v>
      </c>
      <c r="J657" s="50"/>
    </row>
    <row r="658" outlineLevel="1" spans="1:10">
      <c r="A658" s="50">
        <v>547</v>
      </c>
      <c r="B658" s="51" t="str">
        <v>内墙面-交接处玻纤网</v>
      </c>
      <c r="C658" s="51" t="e">
        <v>#REF!</v>
      </c>
      <c r="D658" s="51" t="str">
        <v/>
      </c>
      <c r="E658" s="51" t="str">
        <v/>
      </c>
      <c r="F658" s="52" t="e">
        <v>#REF!</v>
      </c>
      <c r="G658" s="48" t="e">
        <v>#REF!</v>
      </c>
      <c r="H658" s="49">
        <v>0</v>
      </c>
      <c r="I658" s="49" t="e">
        <v>#REF!</v>
      </c>
      <c r="J658" s="50"/>
    </row>
    <row r="659" ht="28.8" outlineLevel="1" spans="1:10">
      <c r="A659" s="50" t="str">
        <v/>
      </c>
      <c r="B659" s="51" t="str">
        <v>采暖与不采暖房间的隔墙</v>
      </c>
      <c r="C659" s="51" t="str">
        <v/>
      </c>
      <c r="D659" s="51" t="str">
        <v/>
      </c>
      <c r="E659" s="51" t="str">
        <v/>
      </c>
      <c r="F659" s="52" t="str">
        <v/>
      </c>
      <c r="G659" s="48" t="str">
        <v/>
      </c>
      <c r="H659" s="49">
        <v>0</v>
      </c>
      <c r="I659" s="49">
        <v>0</v>
      </c>
      <c r="J659" s="50"/>
    </row>
    <row r="660" outlineLevel="1" spans="1:10">
      <c r="A660" s="50">
        <v>548</v>
      </c>
      <c r="B660" s="51" t="str">
        <v>内墙面-界面剂</v>
      </c>
      <c r="C660" s="51" t="e">
        <v>#REF!</v>
      </c>
      <c r="D660" s="51" t="str">
        <v/>
      </c>
      <c r="E660" s="51" t="str">
        <v/>
      </c>
      <c r="F660" s="52" t="e">
        <v>#REF!</v>
      </c>
      <c r="G660" s="48" t="e">
        <v>#REF!</v>
      </c>
      <c r="H660" s="49">
        <v>1</v>
      </c>
      <c r="I660" s="49" t="e">
        <v>#REF!</v>
      </c>
      <c r="J660" s="50"/>
    </row>
    <row r="661" ht="28.8" outlineLevel="1" spans="1:10">
      <c r="A661" s="50">
        <v>549</v>
      </c>
      <c r="B661" s="51" t="str">
        <v>内墙面-20厚无机保温砂浆</v>
      </c>
      <c r="C661" s="51" t="e">
        <v>#REF!</v>
      </c>
      <c r="D661" s="51" t="str">
        <v/>
      </c>
      <c r="E661" s="51" t="str">
        <v/>
      </c>
      <c r="F661" s="52" t="e">
        <v>#REF!</v>
      </c>
      <c r="G661" s="48" t="e">
        <v>#REF!</v>
      </c>
      <c r="H661" s="49">
        <v>1</v>
      </c>
      <c r="I661" s="49" t="e">
        <v>#REF!</v>
      </c>
      <c r="J661" s="50"/>
    </row>
    <row r="662" outlineLevel="1" spans="1:10">
      <c r="A662" s="50">
        <v>550</v>
      </c>
      <c r="B662" s="51" t="str">
        <v>内墙面-3厚抗裂砂浆</v>
      </c>
      <c r="C662" s="51" t="e">
        <v>#REF!</v>
      </c>
      <c r="D662" s="51" t="str">
        <v/>
      </c>
      <c r="E662" s="51" t="str">
        <v/>
      </c>
      <c r="F662" s="52" t="e">
        <v>#REF!</v>
      </c>
      <c r="G662" s="48" t="e">
        <v>#REF!</v>
      </c>
      <c r="H662" s="49">
        <v>1</v>
      </c>
      <c r="I662" s="49" t="e">
        <v>#REF!</v>
      </c>
      <c r="J662" s="50"/>
    </row>
    <row r="663" outlineLevel="1" spans="1:10">
      <c r="A663" s="50">
        <v>551</v>
      </c>
      <c r="B663" s="51" t="str">
        <v>内墙面-玻纤网</v>
      </c>
      <c r="C663" s="51" t="e">
        <v>#REF!</v>
      </c>
      <c r="D663" s="51" t="str">
        <v/>
      </c>
      <c r="E663" s="51" t="str">
        <v/>
      </c>
      <c r="F663" s="52" t="e">
        <v>#REF!</v>
      </c>
      <c r="G663" s="48" t="e">
        <v>#REF!</v>
      </c>
      <c r="H663" s="49">
        <v>1</v>
      </c>
      <c r="I663" s="49" t="e">
        <v>#REF!</v>
      </c>
      <c r="J663" s="50"/>
    </row>
    <row r="664" outlineLevel="1" spans="1:10">
      <c r="A664" s="50" t="str">
        <v/>
      </c>
      <c r="B664" s="51" t="str">
        <v>分户墙处卫生间内墙</v>
      </c>
      <c r="C664" s="51" t="str">
        <v/>
      </c>
      <c r="D664" s="51" t="str">
        <v/>
      </c>
      <c r="E664" s="51" t="str">
        <v/>
      </c>
      <c r="F664" s="52" t="str">
        <v/>
      </c>
      <c r="G664" s="48" t="str">
        <v/>
      </c>
      <c r="H664" s="49">
        <v>0</v>
      </c>
      <c r="I664" s="49">
        <v>0</v>
      </c>
      <c r="J664" s="50"/>
    </row>
    <row r="665" outlineLevel="1" spans="1:10">
      <c r="A665" s="50">
        <v>552</v>
      </c>
      <c r="B665" s="51" t="str">
        <v>内墙面-界面剂</v>
      </c>
      <c r="C665" s="51" t="e">
        <v>#REF!</v>
      </c>
      <c r="D665" s="51" t="str">
        <v/>
      </c>
      <c r="E665" s="51" t="str">
        <v/>
      </c>
      <c r="F665" s="52" t="e">
        <v>#REF!</v>
      </c>
      <c r="G665" s="48" t="e">
        <v>#REF!</v>
      </c>
      <c r="H665" s="49">
        <v>0</v>
      </c>
      <c r="I665" s="49" t="e">
        <v>#REF!</v>
      </c>
      <c r="J665" s="50"/>
    </row>
    <row r="666" ht="28.8" outlineLevel="1" spans="1:10">
      <c r="A666" s="50">
        <v>553</v>
      </c>
      <c r="B666" s="51" t="str">
        <v>内墙面-15厚无机保温砂浆</v>
      </c>
      <c r="C666" s="51" t="e">
        <v>#REF!</v>
      </c>
      <c r="D666" s="51" t="str">
        <v/>
      </c>
      <c r="E666" s="51" t="str">
        <v/>
      </c>
      <c r="F666" s="52" t="e">
        <v>#REF!</v>
      </c>
      <c r="G666" s="48" t="e">
        <v>#REF!</v>
      </c>
      <c r="H666" s="49">
        <v>0</v>
      </c>
      <c r="I666" s="49" t="e">
        <v>#REF!</v>
      </c>
      <c r="J666" s="50"/>
    </row>
    <row r="667" ht="28.8" outlineLevel="1" spans="1:10">
      <c r="A667" s="50">
        <v>554</v>
      </c>
      <c r="B667" s="51" t="str">
        <v>内墙面-10厚无机保温砂浆</v>
      </c>
      <c r="C667" s="51" t="e">
        <v>#REF!</v>
      </c>
      <c r="D667" s="51" t="str">
        <v/>
      </c>
      <c r="E667" s="51" t="str">
        <v/>
      </c>
      <c r="F667" s="52" t="e">
        <v>#REF!</v>
      </c>
      <c r="G667" s="48" t="e">
        <v>#REF!</v>
      </c>
      <c r="H667" s="49">
        <v>0</v>
      </c>
      <c r="I667" s="49" t="e">
        <v>#REF!</v>
      </c>
      <c r="J667" s="50"/>
    </row>
    <row r="668" outlineLevel="1" spans="1:10">
      <c r="A668" s="50">
        <v>555</v>
      </c>
      <c r="B668" s="51" t="str">
        <v>内墙面-3厚抗裂砂浆</v>
      </c>
      <c r="C668" s="51" t="e">
        <v>#REF!</v>
      </c>
      <c r="D668" s="51" t="str">
        <v/>
      </c>
      <c r="E668" s="51" t="str">
        <v/>
      </c>
      <c r="F668" s="52" t="e">
        <v>#REF!</v>
      </c>
      <c r="G668" s="48" t="e">
        <v>#REF!</v>
      </c>
      <c r="H668" s="49">
        <v>0</v>
      </c>
      <c r="I668" s="49" t="e">
        <v>#REF!</v>
      </c>
      <c r="J668" s="50"/>
    </row>
    <row r="669" outlineLevel="1" spans="1:10">
      <c r="A669" s="50">
        <v>556</v>
      </c>
      <c r="B669" s="51" t="str">
        <v>内墙面-镀锌钢丝网</v>
      </c>
      <c r="C669" s="51" t="e">
        <v>#REF!</v>
      </c>
      <c r="D669" s="51" t="str">
        <v/>
      </c>
      <c r="E669" s="51" t="str">
        <v/>
      </c>
      <c r="F669" s="52" t="e">
        <v>#REF!</v>
      </c>
      <c r="G669" s="48" t="e">
        <v>#REF!</v>
      </c>
      <c r="H669" s="49">
        <v>0</v>
      </c>
      <c r="I669" s="49" t="e">
        <v>#REF!</v>
      </c>
      <c r="J669" s="50"/>
    </row>
    <row r="670" ht="43.2" outlineLevel="1" spans="1:10">
      <c r="A670" s="50" t="str">
        <v/>
      </c>
      <c r="B670" s="51" t="str">
        <v>交通核非精装区域与住宅相邻内墙（交通核侧）</v>
      </c>
      <c r="C670" s="51" t="str">
        <v/>
      </c>
      <c r="D670" s="51" t="str">
        <v/>
      </c>
      <c r="E670" s="51" t="str">
        <v/>
      </c>
      <c r="F670" s="52" t="str">
        <v/>
      </c>
      <c r="G670" s="48" t="str">
        <v/>
      </c>
      <c r="H670" s="49">
        <v>0</v>
      </c>
      <c r="I670" s="49">
        <v>0</v>
      </c>
      <c r="J670" s="50"/>
    </row>
    <row r="671" outlineLevel="1" spans="1:10">
      <c r="A671" s="50">
        <v>557</v>
      </c>
      <c r="B671" s="51" t="str">
        <v>内墙面-30厚MPC</v>
      </c>
      <c r="C671" s="51" t="e">
        <v>#REF!</v>
      </c>
      <c r="D671" s="51" t="str">
        <v/>
      </c>
      <c r="E671" s="51" t="str">
        <v/>
      </c>
      <c r="F671" s="52" t="e">
        <v>#REF!</v>
      </c>
      <c r="G671" s="48" t="e">
        <v>#REF!</v>
      </c>
      <c r="H671" s="49">
        <v>0</v>
      </c>
      <c r="I671" s="49" t="e">
        <v>#REF!</v>
      </c>
      <c r="J671" s="50"/>
    </row>
    <row r="672" outlineLevel="1" spans="1:10">
      <c r="A672" s="50">
        <v>558</v>
      </c>
      <c r="B672" s="51" t="str">
        <v>内墙面-玻纤网</v>
      </c>
      <c r="C672" s="51" t="e">
        <v>#REF!</v>
      </c>
      <c r="D672" s="51" t="str">
        <v/>
      </c>
      <c r="E672" s="51" t="str">
        <v/>
      </c>
      <c r="F672" s="52" t="e">
        <v>#REF!</v>
      </c>
      <c r="G672" s="48" t="e">
        <v>#REF!</v>
      </c>
      <c r="H672" s="49">
        <v>0</v>
      </c>
      <c r="I672" s="49" t="e">
        <v>#REF!</v>
      </c>
      <c r="J672" s="50"/>
    </row>
    <row r="673" ht="43.2" outlineLevel="1" spans="1:10">
      <c r="A673" s="50" t="str">
        <v/>
      </c>
      <c r="B673" s="51" t="str">
        <v>交通核非精装区域不与住宅相邻内墙（交通核侧）</v>
      </c>
      <c r="C673" s="51" t="str">
        <v/>
      </c>
      <c r="D673" s="51" t="str">
        <v/>
      </c>
      <c r="E673" s="51" t="str">
        <v/>
      </c>
      <c r="F673" s="52" t="str">
        <v/>
      </c>
      <c r="G673" s="48" t="str">
        <v/>
      </c>
      <c r="H673" s="49">
        <v>0</v>
      </c>
      <c r="I673" s="49">
        <v>0</v>
      </c>
      <c r="J673" s="50"/>
    </row>
    <row r="674" ht="28.8" outlineLevel="1" spans="1:10">
      <c r="A674" s="50">
        <v>559</v>
      </c>
      <c r="B674" s="51" t="str">
        <v>内墙面-15厚M20水泥砂浆</v>
      </c>
      <c r="C674" s="51" t="e">
        <v>#REF!</v>
      </c>
      <c r="D674" s="51" t="str">
        <v/>
      </c>
      <c r="E674" s="51" t="str">
        <v/>
      </c>
      <c r="F674" s="52" t="e">
        <v>#REF!</v>
      </c>
      <c r="G674" s="48" t="e">
        <v>#REF!</v>
      </c>
      <c r="H674" s="49">
        <v>0</v>
      </c>
      <c r="I674" s="49" t="e">
        <v>#REF!</v>
      </c>
      <c r="J674" s="50"/>
    </row>
    <row r="675" outlineLevel="1" spans="1:10">
      <c r="A675" s="50">
        <v>560</v>
      </c>
      <c r="B675" s="51" t="str">
        <v>内墙面-玻纤网</v>
      </c>
      <c r="C675" s="51" t="e">
        <v>#REF!</v>
      </c>
      <c r="D675" s="51" t="str">
        <v/>
      </c>
      <c r="E675" s="51" t="str">
        <v/>
      </c>
      <c r="F675" s="52" t="e">
        <v>#REF!</v>
      </c>
      <c r="G675" s="48" t="e">
        <v>#REF!</v>
      </c>
      <c r="H675" s="49">
        <v>0</v>
      </c>
      <c r="I675" s="49" t="e">
        <v>#REF!</v>
      </c>
      <c r="J675" s="50"/>
    </row>
    <row r="676" ht="43.2" outlineLevel="1" spans="1:10">
      <c r="A676" s="50" t="str">
        <v/>
      </c>
      <c r="B676" s="51" t="str">
        <v>一层与户内相邻的门厅.合用前室的隔墙的一侧,及一层楼梯间</v>
      </c>
      <c r="C676" s="51" t="str">
        <v/>
      </c>
      <c r="D676" s="51" t="str">
        <v/>
      </c>
      <c r="E676" s="51" t="str">
        <v/>
      </c>
      <c r="F676" s="52" t="str">
        <v/>
      </c>
      <c r="G676" s="48" t="str">
        <v/>
      </c>
      <c r="H676" s="49">
        <v>0</v>
      </c>
      <c r="I676" s="49">
        <v>0</v>
      </c>
      <c r="J676" s="50"/>
    </row>
    <row r="677" outlineLevel="1" spans="1:10">
      <c r="A677" s="50">
        <v>561</v>
      </c>
      <c r="B677" s="51" t="str">
        <v>内墙面-界面剂</v>
      </c>
      <c r="C677" s="51" t="e">
        <v>#REF!</v>
      </c>
      <c r="D677" s="51" t="str">
        <v/>
      </c>
      <c r="E677" s="51" t="str">
        <v/>
      </c>
      <c r="F677" s="52" t="e">
        <v>#REF!</v>
      </c>
      <c r="G677" s="48" t="e">
        <v>#REF!</v>
      </c>
      <c r="H677" s="49">
        <v>0</v>
      </c>
      <c r="I677" s="49" t="e">
        <v>#REF!</v>
      </c>
      <c r="J677" s="50"/>
    </row>
    <row r="678" ht="28.8" outlineLevel="1" spans="1:10">
      <c r="A678" s="50">
        <v>562</v>
      </c>
      <c r="B678" s="51" t="str">
        <v>内墙面-20厚无机保温砂浆</v>
      </c>
      <c r="C678" s="51" t="e">
        <v>#REF!</v>
      </c>
      <c r="D678" s="51" t="str">
        <v/>
      </c>
      <c r="E678" s="51" t="str">
        <v/>
      </c>
      <c r="F678" s="52" t="e">
        <v>#REF!</v>
      </c>
      <c r="G678" s="48" t="e">
        <v>#REF!</v>
      </c>
      <c r="H678" s="49">
        <v>0</v>
      </c>
      <c r="I678" s="49" t="e">
        <v>#REF!</v>
      </c>
      <c r="J678" s="50"/>
    </row>
    <row r="679" ht="28.8" outlineLevel="1" spans="1:10">
      <c r="A679" s="50" t="str">
        <v/>
      </c>
      <c r="B679" s="51" t="str">
        <v>不与户内相邻的门厅.合用前室的隔墙的一侧</v>
      </c>
      <c r="C679" s="51" t="str">
        <v/>
      </c>
      <c r="D679" s="51" t="str">
        <v/>
      </c>
      <c r="E679" s="51" t="str">
        <v/>
      </c>
      <c r="F679" s="52" t="str">
        <v/>
      </c>
      <c r="G679" s="48" t="str">
        <v/>
      </c>
      <c r="H679" s="49">
        <v>0</v>
      </c>
      <c r="I679" s="49">
        <v>0</v>
      </c>
      <c r="J679" s="50"/>
    </row>
    <row r="680" outlineLevel="1" spans="1:10">
      <c r="A680" s="50">
        <v>563</v>
      </c>
      <c r="B680" s="51" t="str">
        <v>内墙面-界面剂</v>
      </c>
      <c r="C680" s="51" t="e">
        <v>#REF!</v>
      </c>
      <c r="D680" s="51" t="str">
        <v/>
      </c>
      <c r="E680" s="51" t="str">
        <v/>
      </c>
      <c r="F680" s="52" t="e">
        <v>#REF!</v>
      </c>
      <c r="G680" s="48" t="e">
        <v>#REF!</v>
      </c>
      <c r="H680" s="49">
        <v>0</v>
      </c>
      <c r="I680" s="49" t="e">
        <v>#REF!</v>
      </c>
      <c r="J680" s="50"/>
    </row>
    <row r="681" ht="28.8" outlineLevel="1" spans="1:10">
      <c r="A681" s="50">
        <v>564</v>
      </c>
      <c r="B681" s="51" t="str">
        <v>内墙面-9厚M7.5水泥砂浆</v>
      </c>
      <c r="C681" s="51" t="e">
        <v>#REF!</v>
      </c>
      <c r="D681" s="51" t="str">
        <v/>
      </c>
      <c r="E681" s="51" t="str">
        <v/>
      </c>
      <c r="F681" s="52" t="e">
        <v>#REF!</v>
      </c>
      <c r="G681" s="48" t="e">
        <v>#REF!</v>
      </c>
      <c r="H681" s="49">
        <v>0</v>
      </c>
      <c r="I681" s="49" t="e">
        <v>#REF!</v>
      </c>
      <c r="J681" s="50"/>
    </row>
    <row r="682" ht="57.6" outlineLevel="1" spans="1:10">
      <c r="A682" s="50" t="str">
        <v/>
      </c>
      <c r="B682" s="51" t="str">
        <v>不与户内相邻的门厅.合用前室的隔墙的一侧/配套电井、进线间、热计量间或其他</v>
      </c>
      <c r="C682" s="51" t="str">
        <v/>
      </c>
      <c r="D682" s="51" t="str">
        <v/>
      </c>
      <c r="E682" s="51" t="str">
        <v/>
      </c>
      <c r="F682" s="52" t="str">
        <v/>
      </c>
      <c r="G682" s="48" t="str">
        <v/>
      </c>
      <c r="H682" s="49">
        <v>0</v>
      </c>
      <c r="I682" s="49">
        <v>0</v>
      </c>
      <c r="J682" s="50"/>
    </row>
    <row r="683" outlineLevel="1" spans="1:10">
      <c r="A683" s="50">
        <v>565</v>
      </c>
      <c r="B683" s="51" t="str">
        <v>内墙面-界面剂</v>
      </c>
      <c r="C683" s="51" t="e">
        <v>#REF!</v>
      </c>
      <c r="D683" s="51" t="str">
        <v/>
      </c>
      <c r="E683" s="51" t="str">
        <v/>
      </c>
      <c r="F683" s="52" t="e">
        <v>#REF!</v>
      </c>
      <c r="G683" s="48" t="e">
        <v>#REF!</v>
      </c>
      <c r="H683" s="49">
        <v>2</v>
      </c>
      <c r="I683" s="49" t="e">
        <v>#REF!</v>
      </c>
      <c r="J683" s="50"/>
    </row>
    <row r="684" outlineLevel="1" spans="1:10">
      <c r="A684" s="50">
        <v>566</v>
      </c>
      <c r="B684" s="51" t="str">
        <v>内墙面-7厚M5石灰砂浆</v>
      </c>
      <c r="C684" s="51" t="e">
        <v>#REF!</v>
      </c>
      <c r="D684" s="51" t="str">
        <v/>
      </c>
      <c r="E684" s="51" t="str">
        <v/>
      </c>
      <c r="F684" s="52" t="e">
        <v>#REF!</v>
      </c>
      <c r="G684" s="48" t="e">
        <v>#REF!</v>
      </c>
      <c r="H684" s="49">
        <v>2</v>
      </c>
      <c r="I684" s="49" t="e">
        <v>#REF!</v>
      </c>
      <c r="J684" s="50"/>
    </row>
    <row r="685" ht="28.8" outlineLevel="1" spans="1:10">
      <c r="A685" s="50">
        <v>567</v>
      </c>
      <c r="B685" s="51" t="str">
        <v>内墙面-6厚M7.5石灰砂浆</v>
      </c>
      <c r="C685" s="51" t="e">
        <v>#REF!</v>
      </c>
      <c r="D685" s="51" t="str">
        <v/>
      </c>
      <c r="E685" s="51" t="str">
        <v/>
      </c>
      <c r="F685" s="52" t="e">
        <v>#REF!</v>
      </c>
      <c r="G685" s="48" t="e">
        <v>#REF!</v>
      </c>
      <c r="H685" s="49">
        <v>2</v>
      </c>
      <c r="I685" s="49" t="e">
        <v>#REF!</v>
      </c>
      <c r="J685" s="50"/>
    </row>
    <row r="686" ht="28.8" outlineLevel="1" spans="1:10">
      <c r="A686" s="50" t="str">
        <v/>
      </c>
      <c r="B686" s="51" t="str">
        <v>不与户内相邻的门厅.合用前室的隔墙的一侧</v>
      </c>
      <c r="C686" s="51" t="str">
        <v/>
      </c>
      <c r="D686" s="51" t="str">
        <v/>
      </c>
      <c r="E686" s="51" t="str">
        <v/>
      </c>
      <c r="F686" s="52" t="str">
        <v/>
      </c>
      <c r="G686" s="48" t="str">
        <v/>
      </c>
      <c r="H686" s="49">
        <v>0</v>
      </c>
      <c r="I686" s="49">
        <v>0</v>
      </c>
      <c r="J686" s="50"/>
    </row>
    <row r="687" outlineLevel="1" spans="1:10">
      <c r="A687" s="50">
        <v>568</v>
      </c>
      <c r="B687" s="51" t="str">
        <v>内墙面-玻纤网</v>
      </c>
      <c r="C687" s="51" t="e">
        <v>#REF!</v>
      </c>
      <c r="D687" s="51" t="str">
        <v/>
      </c>
      <c r="E687" s="51" t="str">
        <v/>
      </c>
      <c r="F687" s="52" t="e">
        <v>#REF!</v>
      </c>
      <c r="G687" s="48" t="e">
        <v>#REF!</v>
      </c>
      <c r="H687" s="49">
        <v>0</v>
      </c>
      <c r="I687" s="49" t="e">
        <v>#REF!</v>
      </c>
      <c r="J687" s="50"/>
    </row>
    <row r="688" outlineLevel="1" spans="1:10">
      <c r="A688" s="50">
        <v>569</v>
      </c>
      <c r="B688" s="51" t="str">
        <v>内墙面-界面剂</v>
      </c>
      <c r="C688" s="51" t="e">
        <v>#REF!</v>
      </c>
      <c r="D688" s="51" t="str">
        <v/>
      </c>
      <c r="E688" s="51" t="str">
        <v/>
      </c>
      <c r="F688" s="52" t="e">
        <v>#REF!</v>
      </c>
      <c r="G688" s="48" t="e">
        <v>#REF!</v>
      </c>
      <c r="H688" s="49">
        <v>0</v>
      </c>
      <c r="I688" s="49" t="e">
        <v>#REF!</v>
      </c>
      <c r="J688" s="50"/>
    </row>
    <row r="689" outlineLevel="1" spans="1:10">
      <c r="A689" s="50">
        <v>570</v>
      </c>
      <c r="B689" s="51" t="str">
        <v>内墙面-3-5厚砂浆打底</v>
      </c>
      <c r="C689" s="51" t="e">
        <v>#REF!</v>
      </c>
      <c r="D689" s="51" t="str">
        <v/>
      </c>
      <c r="E689" s="51" t="str">
        <v/>
      </c>
      <c r="F689" s="52" t="e">
        <v>#REF!</v>
      </c>
      <c r="G689" s="48" t="e">
        <v>#REF!</v>
      </c>
      <c r="H689" s="49">
        <v>0</v>
      </c>
      <c r="I689" s="49" t="e">
        <v>#REF!</v>
      </c>
      <c r="J689" s="50"/>
    </row>
    <row r="690" ht="28.8" outlineLevel="1" spans="1:10">
      <c r="A690" s="50" t="str">
        <v/>
      </c>
      <c r="B690" s="51" t="str">
        <v>二层及以上合用前室不与住宅户内相邻的隔墙</v>
      </c>
      <c r="C690" s="51" t="str">
        <v/>
      </c>
      <c r="D690" s="51" t="str">
        <v/>
      </c>
      <c r="E690" s="51" t="str">
        <v/>
      </c>
      <c r="F690" s="52" t="str">
        <v/>
      </c>
      <c r="G690" s="48" t="str">
        <v/>
      </c>
      <c r="H690" s="49">
        <v>0</v>
      </c>
      <c r="I690" s="49">
        <v>0</v>
      </c>
      <c r="J690" s="50"/>
    </row>
    <row r="691" outlineLevel="1" spans="1:10">
      <c r="A691" s="50">
        <v>571</v>
      </c>
      <c r="B691" s="51" t="str">
        <v>内墙面-玻纤网</v>
      </c>
      <c r="C691" s="51" t="e">
        <v>#REF!</v>
      </c>
      <c r="D691" s="51" t="str">
        <v/>
      </c>
      <c r="E691" s="51" t="str">
        <v/>
      </c>
      <c r="F691" s="52" t="e">
        <v>#REF!</v>
      </c>
      <c r="G691" s="48" t="e">
        <v>#REF!</v>
      </c>
      <c r="H691" s="49">
        <v>0</v>
      </c>
      <c r="I691" s="49" t="e">
        <v>#REF!</v>
      </c>
      <c r="J691" s="50"/>
    </row>
    <row r="692" outlineLevel="1" spans="1:10">
      <c r="A692" s="50">
        <v>572</v>
      </c>
      <c r="B692" s="51" t="str">
        <v>内墙面-界面剂</v>
      </c>
      <c r="C692" s="51" t="e">
        <v>#REF!</v>
      </c>
      <c r="D692" s="51" t="str">
        <v/>
      </c>
      <c r="E692" s="51" t="str">
        <v/>
      </c>
      <c r="F692" s="52" t="e">
        <v>#REF!</v>
      </c>
      <c r="G692" s="48" t="e">
        <v>#REF!</v>
      </c>
      <c r="H692" s="49">
        <v>0</v>
      </c>
      <c r="I692" s="49" t="e">
        <v>#REF!</v>
      </c>
      <c r="J692" s="50"/>
    </row>
    <row r="693" outlineLevel="1" spans="1:10">
      <c r="A693" s="50">
        <v>573</v>
      </c>
      <c r="B693" s="51" t="str">
        <v>内墙面-3-5厚砂浆打底</v>
      </c>
      <c r="C693" s="51" t="e">
        <v>#REF!</v>
      </c>
      <c r="D693" s="51" t="str">
        <v/>
      </c>
      <c r="E693" s="51" t="str">
        <v/>
      </c>
      <c r="F693" s="52" t="e">
        <v>#REF!</v>
      </c>
      <c r="G693" s="48" t="e">
        <v>#REF!</v>
      </c>
      <c r="H693" s="49">
        <v>0</v>
      </c>
      <c r="I693" s="49" t="e">
        <v>#REF!</v>
      </c>
      <c r="J693" s="50"/>
    </row>
    <row r="694" ht="28.8" outlineLevel="1" spans="1:10">
      <c r="A694" s="50">
        <v>574</v>
      </c>
      <c r="B694" s="51" t="str">
        <v>内墙面-6厚M7.5石灰砂浆</v>
      </c>
      <c r="C694" s="51" t="e">
        <v>#REF!</v>
      </c>
      <c r="D694" s="51" t="str">
        <v/>
      </c>
      <c r="E694" s="51" t="str">
        <v/>
      </c>
      <c r="F694" s="52" t="e">
        <v>#REF!</v>
      </c>
      <c r="G694" s="48" t="e">
        <v>#REF!</v>
      </c>
      <c r="H694" s="49">
        <v>0</v>
      </c>
      <c r="I694" s="49" t="e">
        <v>#REF!</v>
      </c>
      <c r="J694" s="50"/>
    </row>
    <row r="695" ht="43.2" outlineLevel="1" spans="1:10">
      <c r="A695" s="50" t="str">
        <v/>
      </c>
      <c r="B695" s="51" t="str">
        <v>二层及以上楼梯间与住宅户内相邻的隔墙的楼梯间一侧 及一层楼梯间</v>
      </c>
      <c r="C695" s="51" t="str">
        <v/>
      </c>
      <c r="D695" s="51" t="str">
        <v/>
      </c>
      <c r="E695" s="51" t="str">
        <v/>
      </c>
      <c r="F695" s="52" t="str">
        <v/>
      </c>
      <c r="G695" s="48" t="str">
        <v/>
      </c>
      <c r="H695" s="49">
        <v>0</v>
      </c>
      <c r="I695" s="49">
        <v>0</v>
      </c>
      <c r="J695" s="50"/>
    </row>
    <row r="696" outlineLevel="1" spans="1:10">
      <c r="A696" s="50">
        <v>575</v>
      </c>
      <c r="B696" s="51" t="str">
        <v>内墙面-界面剂</v>
      </c>
      <c r="C696" s="51" t="e">
        <v>#REF!</v>
      </c>
      <c r="D696" s="51" t="str">
        <v/>
      </c>
      <c r="E696" s="51" t="str">
        <v/>
      </c>
      <c r="F696" s="52" t="e">
        <v>#REF!</v>
      </c>
      <c r="G696" s="48" t="e">
        <v>#REF!</v>
      </c>
      <c r="H696" s="49">
        <v>0</v>
      </c>
      <c r="I696" s="49" t="e">
        <v>#REF!</v>
      </c>
      <c r="J696" s="50"/>
    </row>
    <row r="697" ht="28.8" outlineLevel="1" spans="1:10">
      <c r="A697" s="50">
        <v>576</v>
      </c>
      <c r="B697" s="51" t="str">
        <v>内墙面-20厚无机保温砂浆</v>
      </c>
      <c r="C697" s="51" t="e">
        <v>#REF!</v>
      </c>
      <c r="D697" s="51" t="str">
        <v/>
      </c>
      <c r="E697" s="51" t="str">
        <v/>
      </c>
      <c r="F697" s="52" t="e">
        <v>#REF!</v>
      </c>
      <c r="G697" s="48" t="e">
        <v>#REF!</v>
      </c>
      <c r="H697" s="49">
        <v>0</v>
      </c>
      <c r="I697" s="49" t="e">
        <v>#REF!</v>
      </c>
      <c r="J697" s="50"/>
    </row>
    <row r="698" outlineLevel="1" spans="1:10">
      <c r="A698" s="50">
        <v>577</v>
      </c>
      <c r="B698" s="51" t="str">
        <v>内墙面-3厚抗裂砂浆</v>
      </c>
      <c r="C698" s="51" t="e">
        <v>#REF!</v>
      </c>
      <c r="D698" s="51" t="str">
        <v/>
      </c>
      <c r="E698" s="51" t="str">
        <v/>
      </c>
      <c r="F698" s="52" t="e">
        <v>#REF!</v>
      </c>
      <c r="G698" s="48" t="e">
        <v>#REF!</v>
      </c>
      <c r="H698" s="49">
        <v>0</v>
      </c>
      <c r="I698" s="49" t="e">
        <v>#REF!</v>
      </c>
      <c r="J698" s="50"/>
    </row>
    <row r="699" outlineLevel="1" spans="1:10">
      <c r="A699" s="50">
        <v>578</v>
      </c>
      <c r="B699" s="51" t="str">
        <v>内墙面-玻纤网</v>
      </c>
      <c r="C699" s="51" t="e">
        <v>#REF!</v>
      </c>
      <c r="D699" s="51" t="str">
        <v/>
      </c>
      <c r="E699" s="51" t="str">
        <v/>
      </c>
      <c r="F699" s="52" t="e">
        <v>#REF!</v>
      </c>
      <c r="G699" s="48" t="e">
        <v>#REF!</v>
      </c>
      <c r="H699" s="49">
        <v>0</v>
      </c>
      <c r="I699" s="49" t="e">
        <v>#REF!</v>
      </c>
      <c r="J699" s="50"/>
    </row>
    <row r="700" ht="57.6" outlineLevel="1" spans="1:10">
      <c r="A700" s="50" t="str">
        <v/>
      </c>
      <c r="B700" s="51" t="str">
        <v>二层及以上合用前室、电梯厅不与住宅户内相邻隔墙的
合用前室、电梯厅一侧</v>
      </c>
      <c r="C700" s="51" t="str">
        <v/>
      </c>
      <c r="D700" s="51" t="str">
        <v/>
      </c>
      <c r="E700" s="51" t="str">
        <v/>
      </c>
      <c r="F700" s="52" t="str">
        <v/>
      </c>
      <c r="G700" s="48" t="str">
        <v/>
      </c>
      <c r="H700" s="49">
        <v>0</v>
      </c>
      <c r="I700" s="49">
        <v>0</v>
      </c>
      <c r="J700" s="50"/>
    </row>
    <row r="701" outlineLevel="1" spans="1:10">
      <c r="A701" s="50">
        <v>579</v>
      </c>
      <c r="B701" s="51" t="str">
        <v>内墙面-界面剂</v>
      </c>
      <c r="C701" s="51" t="e">
        <v>#REF!</v>
      </c>
      <c r="D701" s="51" t="str">
        <v/>
      </c>
      <c r="E701" s="51" t="str">
        <v/>
      </c>
      <c r="F701" s="52" t="e">
        <v>#REF!</v>
      </c>
      <c r="G701" s="48" t="e">
        <v>#REF!</v>
      </c>
      <c r="H701" s="49">
        <v>0</v>
      </c>
      <c r="I701" s="49" t="e">
        <v>#REF!</v>
      </c>
      <c r="J701" s="50"/>
    </row>
    <row r="702" outlineLevel="1" spans="1:10">
      <c r="A702" s="50">
        <v>580</v>
      </c>
      <c r="B702" s="51" t="str">
        <v>内墙面-7厚M5石灰砂浆</v>
      </c>
      <c r="C702" s="51" t="e">
        <v>#REF!</v>
      </c>
      <c r="D702" s="51" t="str">
        <v/>
      </c>
      <c r="E702" s="51" t="str">
        <v/>
      </c>
      <c r="F702" s="52" t="e">
        <v>#REF!</v>
      </c>
      <c r="G702" s="48" t="e">
        <v>#REF!</v>
      </c>
      <c r="H702" s="49">
        <v>0</v>
      </c>
      <c r="I702" s="49" t="e">
        <v>#REF!</v>
      </c>
      <c r="J702" s="50"/>
    </row>
    <row r="703" ht="28.8" outlineLevel="1" spans="1:10">
      <c r="A703" s="50">
        <v>581</v>
      </c>
      <c r="B703" s="51" t="str">
        <v>内墙面-6厚M7.5石灰砂浆</v>
      </c>
      <c r="C703" s="51" t="e">
        <v>#REF!</v>
      </c>
      <c r="D703" s="51" t="str">
        <v/>
      </c>
      <c r="E703" s="51" t="str">
        <v/>
      </c>
      <c r="F703" s="52" t="e">
        <v>#REF!</v>
      </c>
      <c r="G703" s="48" t="e">
        <v>#REF!</v>
      </c>
      <c r="H703" s="49">
        <v>0</v>
      </c>
      <c r="I703" s="49" t="e">
        <v>#REF!</v>
      </c>
      <c r="J703" s="50"/>
    </row>
    <row r="704" outlineLevel="1" spans="1:10">
      <c r="A704" s="50" t="str">
        <v/>
      </c>
      <c r="B704" s="51" t="str">
        <v>卫生间.厨房内墙</v>
      </c>
      <c r="C704" s="51" t="str">
        <v/>
      </c>
      <c r="D704" s="51" t="str">
        <v/>
      </c>
      <c r="E704" s="51" t="str">
        <v/>
      </c>
      <c r="F704" s="52" t="str">
        <v/>
      </c>
      <c r="G704" s="48" t="str">
        <v/>
      </c>
      <c r="H704" s="49">
        <v>0</v>
      </c>
      <c r="I704" s="49">
        <v>0</v>
      </c>
      <c r="J704" s="50"/>
    </row>
    <row r="705" ht="28.8" outlineLevel="1" spans="1:10">
      <c r="A705" s="50">
        <v>582</v>
      </c>
      <c r="B705" s="51" t="str">
        <v>内墙面-10厚M20水泥砂浆</v>
      </c>
      <c r="C705" s="51" t="e">
        <v>#REF!</v>
      </c>
      <c r="D705" s="51" t="str">
        <v/>
      </c>
      <c r="E705" s="51" t="str">
        <v/>
      </c>
      <c r="F705" s="52" t="e">
        <v>#REF!</v>
      </c>
      <c r="G705" s="48" t="e">
        <v>#REF!</v>
      </c>
      <c r="H705" s="49">
        <v>0</v>
      </c>
      <c r="I705" s="49" t="e">
        <v>#REF!</v>
      </c>
      <c r="J705" s="50"/>
    </row>
    <row r="706" outlineLevel="1" spans="1:10">
      <c r="A706" s="50">
        <v>583</v>
      </c>
      <c r="B706" s="51" t="str">
        <v>内墙面-玻纤网</v>
      </c>
      <c r="C706" s="51" t="e">
        <v>#REF!</v>
      </c>
      <c r="D706" s="51" t="str">
        <v/>
      </c>
      <c r="E706" s="51" t="str">
        <v/>
      </c>
      <c r="F706" s="52" t="e">
        <v>#REF!</v>
      </c>
      <c r="G706" s="48" t="e">
        <v>#REF!</v>
      </c>
      <c r="H706" s="49">
        <v>0</v>
      </c>
      <c r="I706" s="49" t="e">
        <v>#REF!</v>
      </c>
      <c r="J706" s="50"/>
    </row>
    <row r="707" outlineLevel="1" spans="1:10">
      <c r="A707" s="50" t="str">
        <v/>
      </c>
      <c r="B707" s="51" t="str">
        <v>卫生间、厨房内墙</v>
      </c>
      <c r="C707" s="51" t="str">
        <v/>
      </c>
      <c r="D707" s="51" t="str">
        <v/>
      </c>
      <c r="E707" s="51" t="str">
        <v/>
      </c>
      <c r="F707" s="52" t="str">
        <v/>
      </c>
      <c r="G707" s="48" t="str">
        <v/>
      </c>
      <c r="H707" s="49">
        <v>0</v>
      </c>
      <c r="I707" s="49">
        <v>0</v>
      </c>
      <c r="J707" s="50"/>
    </row>
    <row r="708" outlineLevel="1" spans="1:10">
      <c r="A708" s="50">
        <v>584</v>
      </c>
      <c r="B708" s="51" t="str">
        <v>内墙面-界面剂</v>
      </c>
      <c r="C708" s="51" t="e">
        <v>#REF!</v>
      </c>
      <c r="D708" s="51" t="str">
        <v/>
      </c>
      <c r="E708" s="51" t="str">
        <v/>
      </c>
      <c r="F708" s="52" t="e">
        <v>#REF!</v>
      </c>
      <c r="G708" s="48" t="e">
        <v>#REF!</v>
      </c>
      <c r="H708" s="49">
        <v>1</v>
      </c>
      <c r="I708" s="49" t="e">
        <v>#REF!</v>
      </c>
      <c r="J708" s="50"/>
    </row>
    <row r="709" ht="28.8" outlineLevel="1" spans="1:10">
      <c r="A709" s="50">
        <v>585</v>
      </c>
      <c r="B709" s="51" t="str">
        <v>内墙面-15厚M7.5水泥砂浆</v>
      </c>
      <c r="C709" s="51" t="e">
        <v>#REF!</v>
      </c>
      <c r="D709" s="51" t="str">
        <v/>
      </c>
      <c r="E709" s="51" t="str">
        <v/>
      </c>
      <c r="F709" s="52" t="e">
        <v>#REF!</v>
      </c>
      <c r="G709" s="48" t="e">
        <v>#REF!</v>
      </c>
      <c r="H709" s="49">
        <v>1</v>
      </c>
      <c r="I709" s="49" t="e">
        <v>#REF!</v>
      </c>
      <c r="J709" s="50"/>
    </row>
    <row r="710" outlineLevel="1" spans="1:10">
      <c r="A710" s="50" t="str">
        <v/>
      </c>
      <c r="B710" s="51" t="str">
        <v>卫生间.厨房内墙</v>
      </c>
      <c r="C710" s="51" t="str">
        <v/>
      </c>
      <c r="D710" s="51" t="str">
        <v/>
      </c>
      <c r="E710" s="51" t="str">
        <v/>
      </c>
      <c r="F710" s="52" t="str">
        <v/>
      </c>
      <c r="G710" s="48" t="str">
        <v/>
      </c>
      <c r="H710" s="49">
        <v>0</v>
      </c>
      <c r="I710" s="49">
        <v>0</v>
      </c>
      <c r="J710" s="50"/>
    </row>
    <row r="711" outlineLevel="1" spans="1:10">
      <c r="A711" s="50">
        <v>586</v>
      </c>
      <c r="B711" s="51" t="str">
        <v>内墙面-玻纤网</v>
      </c>
      <c r="C711" s="51" t="e">
        <v>#REF!</v>
      </c>
      <c r="D711" s="51" t="str">
        <v/>
      </c>
      <c r="E711" s="51" t="str">
        <v/>
      </c>
      <c r="F711" s="52" t="e">
        <v>#REF!</v>
      </c>
      <c r="G711" s="48" t="e">
        <v>#REF!</v>
      </c>
      <c r="H711" s="49">
        <v>0</v>
      </c>
      <c r="I711" s="49" t="e">
        <v>#REF!</v>
      </c>
      <c r="J711" s="50"/>
    </row>
    <row r="712" outlineLevel="1" spans="1:10">
      <c r="A712" s="50">
        <v>587</v>
      </c>
      <c r="B712" s="51" t="str">
        <v>内墙面-界面剂</v>
      </c>
      <c r="C712" s="51" t="e">
        <v>#REF!</v>
      </c>
      <c r="D712" s="51" t="str">
        <v/>
      </c>
      <c r="E712" s="51" t="str">
        <v/>
      </c>
      <c r="F712" s="52" t="e">
        <v>#REF!</v>
      </c>
      <c r="G712" s="48" t="e">
        <v>#REF!</v>
      </c>
      <c r="H712" s="49">
        <v>0</v>
      </c>
      <c r="I712" s="49" t="e">
        <v>#REF!</v>
      </c>
      <c r="J712" s="50"/>
    </row>
    <row r="713" outlineLevel="1" spans="1:10">
      <c r="A713" s="50">
        <v>588</v>
      </c>
      <c r="B713" s="51" t="str">
        <v>内墙面-3-5厚砂浆打底</v>
      </c>
      <c r="C713" s="51" t="e">
        <v>#REF!</v>
      </c>
      <c r="D713" s="51" t="str">
        <v/>
      </c>
      <c r="E713" s="51" t="str">
        <v/>
      </c>
      <c r="F713" s="52" t="e">
        <v>#REF!</v>
      </c>
      <c r="G713" s="48" t="e">
        <v>#REF!</v>
      </c>
      <c r="H713" s="49">
        <v>0</v>
      </c>
      <c r="I713" s="49" t="e">
        <v>#REF!</v>
      </c>
      <c r="J713" s="50"/>
    </row>
    <row r="714" outlineLevel="1" spans="1:10">
      <c r="A714" s="50" t="str">
        <v/>
      </c>
      <c r="B714" s="51" t="str">
        <v>卫生间.厨房内墙</v>
      </c>
      <c r="C714" s="51" t="str">
        <v/>
      </c>
      <c r="D714" s="51" t="str">
        <v/>
      </c>
      <c r="E714" s="51" t="str">
        <v/>
      </c>
      <c r="F714" s="52" t="str">
        <v/>
      </c>
      <c r="G714" s="48" t="str">
        <v/>
      </c>
      <c r="H714" s="49">
        <v>0</v>
      </c>
      <c r="I714" s="49">
        <v>0</v>
      </c>
      <c r="J714" s="50"/>
    </row>
    <row r="715" outlineLevel="1" spans="1:10">
      <c r="A715" s="50">
        <v>589</v>
      </c>
      <c r="B715" s="51" t="str">
        <v>内墙面-界面剂</v>
      </c>
      <c r="C715" s="51" t="e">
        <v>#REF!</v>
      </c>
      <c r="D715" s="51" t="str">
        <v/>
      </c>
      <c r="E715" s="51" t="str">
        <v/>
      </c>
      <c r="F715" s="52" t="e">
        <v>#REF!</v>
      </c>
      <c r="G715" s="48" t="e">
        <v>#REF!</v>
      </c>
      <c r="H715" s="49">
        <v>1</v>
      </c>
      <c r="I715" s="49" t="e">
        <v>#REF!</v>
      </c>
      <c r="J715" s="50"/>
    </row>
    <row r="716" outlineLevel="1" spans="1:10">
      <c r="A716" s="50">
        <v>590</v>
      </c>
      <c r="B716" s="51" t="str">
        <v>内墙面-7厚M5石灰砂浆</v>
      </c>
      <c r="C716" s="51" t="e">
        <v>#REF!</v>
      </c>
      <c r="D716" s="51" t="str">
        <v/>
      </c>
      <c r="E716" s="51" t="str">
        <v/>
      </c>
      <c r="F716" s="52" t="e">
        <v>#REF!</v>
      </c>
      <c r="G716" s="48" t="e">
        <v>#REF!</v>
      </c>
      <c r="H716" s="49">
        <v>1</v>
      </c>
      <c r="I716" s="49" t="e">
        <v>#REF!</v>
      </c>
      <c r="J716" s="50"/>
    </row>
    <row r="717" ht="28.8" outlineLevel="1" spans="1:10">
      <c r="A717" s="50">
        <v>591</v>
      </c>
      <c r="B717" s="51" t="str">
        <v>内墙面-6厚M7.5石灰砂浆</v>
      </c>
      <c r="C717" s="51" t="e">
        <v>#REF!</v>
      </c>
      <c r="D717" s="51" t="str">
        <v/>
      </c>
      <c r="E717" s="51" t="str">
        <v/>
      </c>
      <c r="F717" s="52" t="e">
        <v>#REF!</v>
      </c>
      <c r="G717" s="48" t="e">
        <v>#REF!</v>
      </c>
      <c r="H717" s="49">
        <v>1</v>
      </c>
      <c r="I717" s="49" t="e">
        <v>#REF!</v>
      </c>
      <c r="J717" s="50"/>
    </row>
    <row r="718" ht="28.8" outlineLevel="1" spans="1:10">
      <c r="A718" s="50" t="str">
        <v/>
      </c>
      <c r="B718" s="51" t="str">
        <v>用于客厅.餐厅.卧室.书房内墙</v>
      </c>
      <c r="C718" s="51" t="str">
        <v/>
      </c>
      <c r="D718" s="51" t="str">
        <v/>
      </c>
      <c r="E718" s="51" t="str">
        <v/>
      </c>
      <c r="F718" s="52" t="str">
        <v/>
      </c>
      <c r="G718" s="48" t="str">
        <v/>
      </c>
      <c r="H718" s="49">
        <v>0</v>
      </c>
      <c r="I718" s="49">
        <v>0</v>
      </c>
      <c r="J718" s="50"/>
    </row>
    <row r="719" outlineLevel="1" spans="1:10">
      <c r="A719" s="50">
        <v>592</v>
      </c>
      <c r="B719" s="51" t="str">
        <v>内墙面-界面剂</v>
      </c>
      <c r="C719" s="51" t="e">
        <v>#REF!</v>
      </c>
      <c r="D719" s="51" t="str">
        <v/>
      </c>
      <c r="E719" s="51" t="str">
        <v/>
      </c>
      <c r="F719" s="52" t="e">
        <v>#REF!</v>
      </c>
      <c r="G719" s="48" t="e">
        <v>#REF!</v>
      </c>
      <c r="H719" s="49">
        <v>1</v>
      </c>
      <c r="I719" s="49" t="e">
        <v>#REF!</v>
      </c>
      <c r="J719" s="50"/>
    </row>
    <row r="720" outlineLevel="1" spans="1:10">
      <c r="A720" s="50">
        <v>593</v>
      </c>
      <c r="B720" s="51" t="str">
        <v>内墙面-9厚M5石灰砂浆</v>
      </c>
      <c r="C720" s="51" t="e">
        <v>#REF!</v>
      </c>
      <c r="D720" s="51" t="str">
        <v/>
      </c>
      <c r="E720" s="51" t="str">
        <v/>
      </c>
      <c r="F720" s="52" t="e">
        <v>#REF!</v>
      </c>
      <c r="G720" s="48" t="e">
        <v>#REF!</v>
      </c>
      <c r="H720" s="49">
        <v>1</v>
      </c>
      <c r="I720" s="49" t="e">
        <v>#REF!</v>
      </c>
      <c r="J720" s="50"/>
    </row>
    <row r="721" ht="28.8" outlineLevel="1" spans="1:10">
      <c r="A721" s="50">
        <v>594</v>
      </c>
      <c r="B721" s="51" t="str">
        <v>内墙面-6厚M7.5石灰砂浆</v>
      </c>
      <c r="C721" s="51" t="e">
        <v>#REF!</v>
      </c>
      <c r="D721" s="51" t="str">
        <v/>
      </c>
      <c r="E721" s="51" t="str">
        <v/>
      </c>
      <c r="F721" s="52" t="e">
        <v>#REF!</v>
      </c>
      <c r="G721" s="48" t="e">
        <v>#REF!</v>
      </c>
      <c r="H721" s="49">
        <v>1</v>
      </c>
      <c r="I721" s="49" t="e">
        <v>#REF!</v>
      </c>
      <c r="J721" s="50"/>
    </row>
    <row r="722" outlineLevel="1" spans="1:10">
      <c r="A722" s="50">
        <v>595</v>
      </c>
      <c r="B722" s="51" t="str">
        <v>内墙面-玻纤网</v>
      </c>
      <c r="C722" s="51" t="e">
        <v>#REF!</v>
      </c>
      <c r="D722" s="51" t="str">
        <v/>
      </c>
      <c r="E722" s="51" t="str">
        <v/>
      </c>
      <c r="F722" s="52" t="e">
        <v>#REF!</v>
      </c>
      <c r="G722" s="48" t="e">
        <v>#REF!</v>
      </c>
      <c r="H722" s="49">
        <v>1</v>
      </c>
      <c r="I722" s="49" t="e">
        <v>#REF!</v>
      </c>
      <c r="J722" s="50"/>
    </row>
    <row r="723" ht="28.8" outlineLevel="1" spans="1:10">
      <c r="A723" s="50" t="str">
        <v/>
      </c>
      <c r="B723" s="51" t="str">
        <v>户内除厨房.卫生间外的房间</v>
      </c>
      <c r="C723" s="51" t="str">
        <v/>
      </c>
      <c r="D723" s="51" t="str">
        <v/>
      </c>
      <c r="E723" s="51" t="str">
        <v/>
      </c>
      <c r="F723" s="52" t="str">
        <v/>
      </c>
      <c r="G723" s="48" t="str">
        <v/>
      </c>
      <c r="H723" s="49">
        <v>0</v>
      </c>
      <c r="I723" s="49">
        <v>0</v>
      </c>
      <c r="J723" s="50"/>
    </row>
    <row r="724" outlineLevel="1" spans="1:10">
      <c r="A724" s="50">
        <v>596</v>
      </c>
      <c r="B724" s="51" t="str">
        <v>内墙面-界面剂</v>
      </c>
      <c r="C724" s="51" t="e">
        <v>#REF!</v>
      </c>
      <c r="D724" s="51" t="str">
        <v/>
      </c>
      <c r="E724" s="51" t="str">
        <v/>
      </c>
      <c r="F724" s="52" t="e">
        <v>#REF!</v>
      </c>
      <c r="G724" s="48" t="e">
        <v>#REF!</v>
      </c>
      <c r="H724" s="49">
        <v>0</v>
      </c>
      <c r="I724" s="49" t="e">
        <v>#REF!</v>
      </c>
      <c r="J724" s="50"/>
    </row>
    <row r="725" outlineLevel="1" spans="1:10">
      <c r="A725" s="50">
        <v>597</v>
      </c>
      <c r="B725" s="51" t="str">
        <v>内墙面-7厚M5石灰砂浆</v>
      </c>
      <c r="C725" s="51" t="e">
        <v>#REF!</v>
      </c>
      <c r="D725" s="51" t="str">
        <v/>
      </c>
      <c r="E725" s="51" t="str">
        <v/>
      </c>
      <c r="F725" s="52" t="e">
        <v>#REF!</v>
      </c>
      <c r="G725" s="48" t="e">
        <v>#REF!</v>
      </c>
      <c r="H725" s="49">
        <v>0</v>
      </c>
      <c r="I725" s="49" t="e">
        <v>#REF!</v>
      </c>
      <c r="J725" s="50"/>
    </row>
    <row r="726" ht="28.8" outlineLevel="1" spans="1:10">
      <c r="A726" s="50">
        <v>598</v>
      </c>
      <c r="B726" s="51" t="str">
        <v>内墙面-6厚M7.5石灰砂浆</v>
      </c>
      <c r="C726" s="51" t="e">
        <v>#REF!</v>
      </c>
      <c r="D726" s="51" t="str">
        <v/>
      </c>
      <c r="E726" s="51" t="str">
        <v/>
      </c>
      <c r="F726" s="52" t="e">
        <v>#REF!</v>
      </c>
      <c r="G726" s="48" t="e">
        <v>#REF!</v>
      </c>
      <c r="H726" s="49">
        <v>0</v>
      </c>
      <c r="I726" s="49" t="e">
        <v>#REF!</v>
      </c>
      <c r="J726" s="50"/>
    </row>
    <row r="727" outlineLevel="1" spans="1:10">
      <c r="A727" s="50">
        <v>599</v>
      </c>
      <c r="B727" s="51" t="str">
        <v>内墙面-15厚粉刷石膏</v>
      </c>
      <c r="C727" s="51" t="e">
        <v>#REF!</v>
      </c>
      <c r="D727" s="51" t="str">
        <v/>
      </c>
      <c r="E727" s="51" t="str">
        <v/>
      </c>
      <c r="F727" s="52" t="e">
        <v>#REF!</v>
      </c>
      <c r="G727" s="48" t="e">
        <v>#REF!</v>
      </c>
      <c r="H727" s="49">
        <v>0</v>
      </c>
      <c r="I727" s="49" t="e">
        <v>#REF!</v>
      </c>
      <c r="J727" s="50"/>
    </row>
    <row r="728" outlineLevel="1" spans="1:10">
      <c r="A728" s="50">
        <v>600</v>
      </c>
      <c r="B728" s="51" t="str">
        <v>内墙面-玻纤网</v>
      </c>
      <c r="C728" s="51" t="e">
        <v>#REF!</v>
      </c>
      <c r="D728" s="51" t="str">
        <v/>
      </c>
      <c r="E728" s="51" t="str">
        <v/>
      </c>
      <c r="F728" s="52" t="e">
        <v>#REF!</v>
      </c>
      <c r="G728" s="48" t="e">
        <v>#REF!</v>
      </c>
      <c r="H728" s="49">
        <v>0</v>
      </c>
      <c r="I728" s="49" t="e">
        <v>#REF!</v>
      </c>
      <c r="J728" s="50"/>
    </row>
    <row r="729" ht="28.8" outlineLevel="1" spans="1:10">
      <c r="A729" s="50" t="str">
        <v/>
      </c>
      <c r="B729" s="51" t="str">
        <v>户内除厨房.卫生间外的房间</v>
      </c>
      <c r="C729" s="51" t="str">
        <v/>
      </c>
      <c r="D729" s="51" t="str">
        <v/>
      </c>
      <c r="E729" s="51" t="str">
        <v/>
      </c>
      <c r="F729" s="52" t="str">
        <v/>
      </c>
      <c r="G729" s="48" t="str">
        <v/>
      </c>
      <c r="H729" s="49">
        <v>0</v>
      </c>
      <c r="I729" s="49">
        <v>0</v>
      </c>
      <c r="J729" s="50"/>
    </row>
    <row r="730" ht="28.8" outlineLevel="1" spans="1:10">
      <c r="A730" s="50">
        <v>601</v>
      </c>
      <c r="B730" s="51" t="str">
        <v>内墙面-6厚M7.5石灰砂浆</v>
      </c>
      <c r="C730" s="51" t="e">
        <v>#REF!</v>
      </c>
      <c r="D730" s="51" t="str">
        <v/>
      </c>
      <c r="E730" s="51" t="str">
        <v/>
      </c>
      <c r="F730" s="52" t="e">
        <v>#REF!</v>
      </c>
      <c r="G730" s="48" t="e">
        <v>#REF!</v>
      </c>
      <c r="H730" s="49">
        <v>0</v>
      </c>
      <c r="I730" s="49" t="e">
        <v>#REF!</v>
      </c>
      <c r="J730" s="50"/>
    </row>
    <row r="731" outlineLevel="1" spans="1:10">
      <c r="A731" s="50">
        <v>602</v>
      </c>
      <c r="B731" s="51" t="str">
        <v>内墙面-玻纤网</v>
      </c>
      <c r="C731" s="51" t="e">
        <v>#REF!</v>
      </c>
      <c r="D731" s="51" t="str">
        <v/>
      </c>
      <c r="E731" s="51" t="str">
        <v/>
      </c>
      <c r="F731" s="52" t="e">
        <v>#REF!</v>
      </c>
      <c r="G731" s="48" t="e">
        <v>#REF!</v>
      </c>
      <c r="H731" s="49">
        <v>0</v>
      </c>
      <c r="I731" s="49" t="e">
        <v>#REF!</v>
      </c>
      <c r="J731" s="50"/>
    </row>
    <row r="732" outlineLevel="1" spans="1:10">
      <c r="A732" s="50">
        <v>603</v>
      </c>
      <c r="B732" s="51" t="str">
        <v>内墙面-界面剂</v>
      </c>
      <c r="C732" s="51" t="e">
        <v>#REF!</v>
      </c>
      <c r="D732" s="51" t="str">
        <v/>
      </c>
      <c r="E732" s="51" t="str">
        <v/>
      </c>
      <c r="F732" s="52" t="e">
        <v>#REF!</v>
      </c>
      <c r="G732" s="48" t="e">
        <v>#REF!</v>
      </c>
      <c r="H732" s="49">
        <v>0</v>
      </c>
      <c r="I732" s="49" t="e">
        <v>#REF!</v>
      </c>
      <c r="J732" s="50"/>
    </row>
    <row r="733" outlineLevel="1" spans="1:10">
      <c r="A733" s="50">
        <v>604</v>
      </c>
      <c r="B733" s="51" t="str">
        <v>内墙面-3-5厚砂浆打底</v>
      </c>
      <c r="C733" s="51" t="e">
        <v>#REF!</v>
      </c>
      <c r="D733" s="51" t="str">
        <v/>
      </c>
      <c r="E733" s="51" t="str">
        <v/>
      </c>
      <c r="F733" s="52" t="e">
        <v>#REF!</v>
      </c>
      <c r="G733" s="48" t="e">
        <v>#REF!</v>
      </c>
      <c r="H733" s="49">
        <v>0</v>
      </c>
      <c r="I733" s="49" t="e">
        <v>#REF!</v>
      </c>
      <c r="J733" s="50"/>
    </row>
    <row r="734" ht="28.8" outlineLevel="1" spans="1:10">
      <c r="A734" s="50">
        <v>605</v>
      </c>
      <c r="B734" s="51" t="str">
        <v>内墙面-6厚M7.5石灰砂浆</v>
      </c>
      <c r="C734" s="51" t="e">
        <v>#REF!</v>
      </c>
      <c r="D734" s="51" t="str">
        <v/>
      </c>
      <c r="E734" s="51" t="str">
        <v/>
      </c>
      <c r="F734" s="52" t="e">
        <v>#REF!</v>
      </c>
      <c r="G734" s="48" t="e">
        <v>#REF!</v>
      </c>
      <c r="H734" s="49">
        <v>0</v>
      </c>
      <c r="I734" s="49" t="e">
        <v>#REF!</v>
      </c>
      <c r="J734" s="50"/>
    </row>
    <row r="735" outlineLevel="1" spans="1:10">
      <c r="A735" s="50">
        <v>606</v>
      </c>
      <c r="B735" s="51" t="str">
        <v>通风道真空绝热板</v>
      </c>
      <c r="C735" s="51" t="e">
        <v>#REF!</v>
      </c>
      <c r="D735" s="51" t="str">
        <v/>
      </c>
      <c r="E735" s="51" t="str">
        <v/>
      </c>
      <c r="F735" s="52" t="e">
        <v>#REF!</v>
      </c>
      <c r="G735" s="48" t="e">
        <v>#REF!</v>
      </c>
      <c r="H735" s="49">
        <v>0</v>
      </c>
      <c r="I735" s="49" t="e">
        <v>#REF!</v>
      </c>
      <c r="J735" s="50"/>
    </row>
    <row r="736" outlineLevel="1" spans="1:10">
      <c r="A736" s="50">
        <v>607</v>
      </c>
      <c r="B736" s="51" t="str">
        <v>砌块墙钢丝网满挂</v>
      </c>
      <c r="C736" s="51" t="e">
        <v>#REF!</v>
      </c>
      <c r="D736" s="51" t="str">
        <v/>
      </c>
      <c r="E736" s="51" t="str">
        <v/>
      </c>
      <c r="F736" s="52" t="e">
        <v>#REF!</v>
      </c>
      <c r="G736" s="48" t="e">
        <v>#REF!</v>
      </c>
      <c r="H736" s="49">
        <v>0</v>
      </c>
      <c r="I736" s="49" t="e">
        <v>#REF!</v>
      </c>
      <c r="J736" s="50"/>
    </row>
    <row r="737" outlineLevel="1" spans="1:10">
      <c r="A737" s="50">
        <v>608</v>
      </c>
      <c r="B737" s="51" t="str">
        <v>内墙面-界面剂</v>
      </c>
      <c r="C737" s="51" t="e">
        <v>#REF!</v>
      </c>
      <c r="D737" s="51" t="str">
        <v/>
      </c>
      <c r="E737" s="51" t="str">
        <v/>
      </c>
      <c r="F737" s="52" t="e">
        <v>#REF!</v>
      </c>
      <c r="G737" s="48" t="e">
        <v>#REF!</v>
      </c>
      <c r="H737" s="49">
        <v>1</v>
      </c>
      <c r="I737" s="49" t="e">
        <v>#REF!</v>
      </c>
      <c r="J737" s="50"/>
    </row>
    <row r="738" ht="28.8" outlineLevel="1" spans="1:10">
      <c r="A738" s="50">
        <v>609</v>
      </c>
      <c r="B738" s="51" t="str">
        <v>内墙面-15厚M7.5水泥砂浆</v>
      </c>
      <c r="C738" s="51" t="e">
        <v>#REF!</v>
      </c>
      <c r="D738" s="51" t="str">
        <v/>
      </c>
      <c r="E738" s="51" t="str">
        <v/>
      </c>
      <c r="F738" s="52" t="e">
        <v>#REF!</v>
      </c>
      <c r="G738" s="48" t="e">
        <v>#REF!</v>
      </c>
      <c r="H738" s="49">
        <v>1</v>
      </c>
      <c r="I738" s="49" t="e">
        <v>#REF!</v>
      </c>
      <c r="J738" s="50"/>
    </row>
    <row r="739" ht="28.8" outlineLevel="1" spans="1:10">
      <c r="A739" s="50">
        <v>610</v>
      </c>
      <c r="B739" s="51" t="str">
        <v>内墙面-15厚M7.5石灰砂浆</v>
      </c>
      <c r="C739" s="51" t="e">
        <v>#REF!</v>
      </c>
      <c r="D739" s="51" t="str">
        <v/>
      </c>
      <c r="E739" s="51" t="str">
        <v/>
      </c>
      <c r="F739" s="52" t="e">
        <v>#REF!</v>
      </c>
      <c r="G739" s="48" t="e">
        <v>#REF!</v>
      </c>
      <c r="H739" s="49">
        <v>1</v>
      </c>
      <c r="I739" s="49" t="e">
        <v>#REF!</v>
      </c>
      <c r="J739" s="50"/>
    </row>
    <row r="740" ht="28.8" outlineLevel="1" spans="1:10">
      <c r="A740" s="50">
        <v>611</v>
      </c>
      <c r="B740" s="51" t="str">
        <v>内墙面-13厚M7.5石灰砂浆</v>
      </c>
      <c r="C740" s="51" t="e">
        <v>#REF!</v>
      </c>
      <c r="D740" s="51" t="str">
        <v/>
      </c>
      <c r="E740" s="51" t="str">
        <v/>
      </c>
      <c r="F740" s="52" t="e">
        <v>#REF!</v>
      </c>
      <c r="G740" s="48" t="e">
        <v>#REF!</v>
      </c>
      <c r="H740" s="49">
        <v>1</v>
      </c>
      <c r="I740" s="49" t="e">
        <v>#REF!</v>
      </c>
      <c r="J740" s="50"/>
    </row>
    <row r="741" ht="28.8" outlineLevel="1" spans="1:10">
      <c r="A741" s="50">
        <v>612</v>
      </c>
      <c r="B741" s="51" t="str">
        <v>内墙面-13厚M7.5水泥砂浆</v>
      </c>
      <c r="C741" s="51" t="e">
        <v>#REF!</v>
      </c>
      <c r="D741" s="51" t="str">
        <v/>
      </c>
      <c r="E741" s="51" t="str">
        <v/>
      </c>
      <c r="F741" s="52" t="e">
        <v>#REF!</v>
      </c>
      <c r="G741" s="48" t="e">
        <v>#REF!</v>
      </c>
      <c r="H741" s="49">
        <v>1</v>
      </c>
      <c r="I741" s="49" t="e">
        <v>#REF!</v>
      </c>
      <c r="J741" s="50"/>
    </row>
    <row r="742" outlineLevel="1" spans="1:10">
      <c r="A742" s="50">
        <v>613</v>
      </c>
      <c r="B742" s="51" t="str">
        <v>内墙面-15厚M5水泥砂浆</v>
      </c>
      <c r="C742" s="51" t="e">
        <v>#REF!</v>
      </c>
      <c r="D742" s="51" t="str">
        <v/>
      </c>
      <c r="E742" s="51" t="str">
        <v/>
      </c>
      <c r="F742" s="52" t="e">
        <v>#REF!</v>
      </c>
      <c r="G742" s="48" t="e">
        <v>#REF!</v>
      </c>
      <c r="H742" s="49">
        <v>1</v>
      </c>
      <c r="I742" s="49" t="e">
        <v>#REF!</v>
      </c>
      <c r="J742" s="50"/>
    </row>
    <row r="743" outlineLevel="1" spans="1:10">
      <c r="A743" s="50">
        <v>614</v>
      </c>
      <c r="B743" s="51" t="str">
        <v>内墙面-15厚M5石灰砂浆</v>
      </c>
      <c r="C743" s="51" t="e">
        <v>#REF!</v>
      </c>
      <c r="D743" s="51" t="str">
        <v/>
      </c>
      <c r="E743" s="51" t="str">
        <v/>
      </c>
      <c r="F743" s="52" t="e">
        <v>#REF!</v>
      </c>
      <c r="G743" s="48" t="e">
        <v>#REF!</v>
      </c>
      <c r="H743" s="49">
        <v>1</v>
      </c>
      <c r="I743" s="49" t="e">
        <v>#REF!</v>
      </c>
      <c r="J743" s="50"/>
    </row>
    <row r="744" outlineLevel="1" spans="1:10">
      <c r="A744" s="50">
        <v>615</v>
      </c>
      <c r="B744" s="51" t="str">
        <v>内墙面-13厚M5水泥砂浆</v>
      </c>
      <c r="C744" s="51" t="e">
        <v>#REF!</v>
      </c>
      <c r="D744" s="51" t="str">
        <v/>
      </c>
      <c r="E744" s="51" t="str">
        <v/>
      </c>
      <c r="F744" s="52" t="e">
        <v>#REF!</v>
      </c>
      <c r="G744" s="48" t="e">
        <v>#REF!</v>
      </c>
      <c r="H744" s="49">
        <v>1</v>
      </c>
      <c r="I744" s="49" t="e">
        <v>#REF!</v>
      </c>
      <c r="J744" s="50"/>
    </row>
    <row r="745" outlineLevel="1" spans="1:10">
      <c r="A745" s="50">
        <v>616</v>
      </c>
      <c r="B745" s="51" t="str">
        <v>内墙面-13厚M5石灰砂浆</v>
      </c>
      <c r="C745" s="51" t="e">
        <v>#REF!</v>
      </c>
      <c r="D745" s="51" t="str">
        <v/>
      </c>
      <c r="E745" s="51" t="str">
        <v/>
      </c>
      <c r="F745" s="52" t="e">
        <v>#REF!</v>
      </c>
      <c r="G745" s="48" t="e">
        <v>#REF!</v>
      </c>
      <c r="H745" s="49">
        <v>1</v>
      </c>
      <c r="I745" s="49" t="e">
        <v>#REF!</v>
      </c>
      <c r="J745" s="50"/>
    </row>
    <row r="746" outlineLevel="1" spans="1:10">
      <c r="A746" s="50">
        <v>617</v>
      </c>
      <c r="B746" s="51" t="str">
        <v>内墙面-12厚M5水泥砂浆</v>
      </c>
      <c r="C746" s="51" t="e">
        <v>#REF!</v>
      </c>
      <c r="D746" s="51" t="str">
        <v/>
      </c>
      <c r="E746" s="51" t="str">
        <v/>
      </c>
      <c r="F746" s="52" t="e">
        <v>#REF!</v>
      </c>
      <c r="G746" s="48" t="e">
        <v>#REF!</v>
      </c>
      <c r="H746" s="49">
        <v>1</v>
      </c>
      <c r="I746" s="49" t="e">
        <v>#REF!</v>
      </c>
      <c r="J746" s="50"/>
    </row>
    <row r="747" outlineLevel="1" spans="1:10">
      <c r="A747" s="50">
        <v>618</v>
      </c>
      <c r="B747" s="51" t="str">
        <v>内墙面-12厚M5石灰砂浆</v>
      </c>
      <c r="C747" s="51" t="e">
        <v>#REF!</v>
      </c>
      <c r="D747" s="51" t="str">
        <v/>
      </c>
      <c r="E747" s="51" t="str">
        <v/>
      </c>
      <c r="F747" s="52" t="e">
        <v>#REF!</v>
      </c>
      <c r="G747" s="48" t="e">
        <v>#REF!</v>
      </c>
      <c r="H747" s="49">
        <v>1</v>
      </c>
      <c r="I747" s="49" t="e">
        <v>#REF!</v>
      </c>
      <c r="J747" s="50"/>
    </row>
    <row r="748" outlineLevel="1" spans="1:10">
      <c r="A748" s="50">
        <v>619</v>
      </c>
      <c r="B748" s="51" t="str">
        <v>内墙面-镀锌钢丝网</v>
      </c>
      <c r="C748" s="51" t="e">
        <v>#REF!</v>
      </c>
      <c r="D748" s="51" t="str">
        <v/>
      </c>
      <c r="E748" s="51" t="str">
        <v/>
      </c>
      <c r="F748" s="52" t="e">
        <v>#REF!</v>
      </c>
      <c r="G748" s="48" t="e">
        <v>#REF!</v>
      </c>
      <c r="H748" s="49">
        <v>1</v>
      </c>
      <c r="I748" s="49" t="e">
        <v>#REF!</v>
      </c>
      <c r="J748" s="50"/>
    </row>
    <row r="749" ht="28.8" outlineLevel="1" spans="1:10">
      <c r="A749" s="50" t="str">
        <v/>
      </c>
      <c r="B749" s="51" t="str">
        <v>水暖电井内墙（二次结构墙体）</v>
      </c>
      <c r="C749" s="51" t="str">
        <v/>
      </c>
      <c r="D749" s="51" t="str">
        <v/>
      </c>
      <c r="E749" s="51" t="str">
        <v/>
      </c>
      <c r="F749" s="52" t="str">
        <v/>
      </c>
      <c r="G749" s="48" t="str">
        <v/>
      </c>
      <c r="H749" s="49">
        <v>0</v>
      </c>
      <c r="I749" s="49">
        <v>0</v>
      </c>
      <c r="J749" s="50"/>
    </row>
    <row r="750" outlineLevel="1" spans="1:10">
      <c r="A750" s="50">
        <v>620</v>
      </c>
      <c r="B750" s="51" t="str">
        <v>内墙面-界面剂</v>
      </c>
      <c r="C750" s="51" t="e">
        <v>#REF!</v>
      </c>
      <c r="D750" s="51" t="str">
        <v/>
      </c>
      <c r="E750" s="51" t="str">
        <v/>
      </c>
      <c r="F750" s="52" t="e">
        <v>#REF!</v>
      </c>
      <c r="G750" s="48" t="e">
        <v>#REF!</v>
      </c>
      <c r="H750" s="49">
        <v>0</v>
      </c>
      <c r="I750" s="49" t="e">
        <v>#REF!</v>
      </c>
      <c r="J750" s="50"/>
    </row>
    <row r="751" outlineLevel="1" spans="1:10">
      <c r="A751" s="50">
        <v>621</v>
      </c>
      <c r="B751" s="51" t="str">
        <v>内墙面-7厚M5石灰砂浆</v>
      </c>
      <c r="C751" s="51" t="e">
        <v>#REF!</v>
      </c>
      <c r="D751" s="51" t="str">
        <v/>
      </c>
      <c r="E751" s="51" t="str">
        <v/>
      </c>
      <c r="F751" s="52" t="e">
        <v>#REF!</v>
      </c>
      <c r="G751" s="48" t="e">
        <v>#REF!</v>
      </c>
      <c r="H751" s="49">
        <v>0</v>
      </c>
      <c r="I751" s="49" t="e">
        <v>#REF!</v>
      </c>
      <c r="J751" s="50"/>
    </row>
    <row r="752" ht="28.8" outlineLevel="1" spans="1:10">
      <c r="A752" s="50">
        <v>622</v>
      </c>
      <c r="B752" s="51" t="str">
        <v>内墙面-6厚M7.5石灰砂浆</v>
      </c>
      <c r="C752" s="51" t="e">
        <v>#REF!</v>
      </c>
      <c r="D752" s="51" t="str">
        <v/>
      </c>
      <c r="E752" s="51" t="str">
        <v/>
      </c>
      <c r="F752" s="52" t="e">
        <v>#REF!</v>
      </c>
      <c r="G752" s="48" t="e">
        <v>#REF!</v>
      </c>
      <c r="H752" s="49">
        <v>0</v>
      </c>
      <c r="I752" s="49" t="e">
        <v>#REF!</v>
      </c>
      <c r="J752" s="50"/>
    </row>
    <row r="753" ht="28.8" outlineLevel="1" spans="1:10">
      <c r="A753" s="50" t="str">
        <v/>
      </c>
      <c r="B753" s="51" t="str">
        <v>水箱间.电梯机房内墙（二次结构墙）</v>
      </c>
      <c r="C753" s="51" t="str">
        <v/>
      </c>
      <c r="D753" s="51" t="str">
        <v/>
      </c>
      <c r="E753" s="51" t="str">
        <v/>
      </c>
      <c r="F753" s="52" t="str">
        <v/>
      </c>
      <c r="G753" s="48" t="str">
        <v/>
      </c>
      <c r="H753" s="49">
        <v>0</v>
      </c>
      <c r="I753" s="49">
        <v>0</v>
      </c>
      <c r="J753" s="50"/>
    </row>
    <row r="754" outlineLevel="1" spans="1:10">
      <c r="A754" s="50">
        <v>623</v>
      </c>
      <c r="B754" s="51" t="str">
        <v>内墙面-界面剂</v>
      </c>
      <c r="C754" s="51" t="e">
        <v>#REF!</v>
      </c>
      <c r="D754" s="51" t="str">
        <v/>
      </c>
      <c r="E754" s="51" t="str">
        <v/>
      </c>
      <c r="F754" s="52" t="e">
        <v>#REF!</v>
      </c>
      <c r="G754" s="48" t="e">
        <v>#REF!</v>
      </c>
      <c r="H754" s="49">
        <v>0</v>
      </c>
      <c r="I754" s="49" t="e">
        <v>#REF!</v>
      </c>
      <c r="J754" s="50"/>
    </row>
    <row r="755" outlineLevel="1" spans="1:10">
      <c r="A755" s="50">
        <v>624</v>
      </c>
      <c r="B755" s="51" t="str">
        <v>内墙面-7厚M5石灰砂浆</v>
      </c>
      <c r="C755" s="51" t="e">
        <v>#REF!</v>
      </c>
      <c r="D755" s="51" t="str">
        <v/>
      </c>
      <c r="E755" s="51" t="str">
        <v/>
      </c>
      <c r="F755" s="52" t="e">
        <v>#REF!</v>
      </c>
      <c r="G755" s="48" t="e">
        <v>#REF!</v>
      </c>
      <c r="H755" s="49">
        <v>0</v>
      </c>
      <c r="I755" s="49" t="e">
        <v>#REF!</v>
      </c>
      <c r="J755" s="50"/>
    </row>
    <row r="756" ht="28.8" outlineLevel="1" spans="1:10">
      <c r="A756" s="50">
        <v>625</v>
      </c>
      <c r="B756" s="51" t="str">
        <v>内墙面-6厚M7.5石灰砂浆</v>
      </c>
      <c r="C756" s="51" t="e">
        <v>#REF!</v>
      </c>
      <c r="D756" s="51" t="str">
        <v/>
      </c>
      <c r="E756" s="51" t="str">
        <v/>
      </c>
      <c r="F756" s="52" t="e">
        <v>#REF!</v>
      </c>
      <c r="G756" s="48" t="e">
        <v>#REF!</v>
      </c>
      <c r="H756" s="49">
        <v>0</v>
      </c>
      <c r="I756" s="49" t="e">
        <v>#REF!</v>
      </c>
      <c r="J756" s="50"/>
    </row>
    <row r="757" outlineLevel="1" spans="1:10">
      <c r="A757" s="50">
        <v>626</v>
      </c>
      <c r="B757" s="51" t="str">
        <v>内墙面-7厚M5水泥砂浆</v>
      </c>
      <c r="C757" s="51" t="e">
        <v>#REF!</v>
      </c>
      <c r="D757" s="51" t="str">
        <v/>
      </c>
      <c r="E757" s="51" t="str">
        <v/>
      </c>
      <c r="F757" s="52" t="e">
        <v>#REF!</v>
      </c>
      <c r="G757" s="48" t="e">
        <v>#REF!</v>
      </c>
      <c r="H757" s="49">
        <v>0</v>
      </c>
      <c r="I757" s="49" t="e">
        <v>#REF!</v>
      </c>
      <c r="J757" s="50"/>
    </row>
    <row r="758" ht="28.8" outlineLevel="1" spans="1:10">
      <c r="A758" s="50">
        <v>627</v>
      </c>
      <c r="B758" s="51" t="str">
        <v>内墙面-6厚M7.5水泥砂浆</v>
      </c>
      <c r="C758" s="51" t="e">
        <v>#REF!</v>
      </c>
      <c r="D758" s="51" t="str">
        <v/>
      </c>
      <c r="E758" s="51" t="str">
        <v/>
      </c>
      <c r="F758" s="52" t="e">
        <v>#REF!</v>
      </c>
      <c r="G758" s="48" t="e">
        <v>#REF!</v>
      </c>
      <c r="H758" s="49">
        <v>0</v>
      </c>
      <c r="I758" s="49" t="e">
        <v>#REF!</v>
      </c>
      <c r="J758" s="50"/>
    </row>
    <row r="759" outlineLevel="1" spans="1:10">
      <c r="A759" s="50">
        <v>628</v>
      </c>
      <c r="B759" s="51" t="str">
        <v>内墙面-窗井风井</v>
      </c>
      <c r="C759" s="51" t="e">
        <v>#REF!</v>
      </c>
      <c r="D759" s="51" t="str">
        <v/>
      </c>
      <c r="E759" s="51" t="str">
        <v/>
      </c>
      <c r="F759" s="52" t="e">
        <v>#REF!</v>
      </c>
      <c r="G759" s="48" t="e">
        <v>#REF!</v>
      </c>
      <c r="H759" s="49">
        <v>0</v>
      </c>
      <c r="I759" s="49" t="e">
        <v>#REF!</v>
      </c>
      <c r="J759" s="50"/>
    </row>
    <row r="760" outlineLevel="1" spans="1:10">
      <c r="A760" s="50" t="str">
        <v/>
      </c>
      <c r="B760" s="51" t="str">
        <v>A.05.03天棚装饰工程</v>
      </c>
      <c r="C760" s="51" t="str">
        <v/>
      </c>
      <c r="D760" s="51" t="str">
        <v/>
      </c>
      <c r="E760" s="51" t="str">
        <v/>
      </c>
      <c r="F760" s="52" t="str">
        <v/>
      </c>
      <c r="G760" s="48" t="str">
        <v/>
      </c>
      <c r="H760" s="49">
        <v>0</v>
      </c>
      <c r="I760" s="49" t="e">
        <v>#REF!</v>
      </c>
      <c r="J760" s="50"/>
    </row>
    <row r="761" outlineLevel="1" spans="1:10">
      <c r="A761" s="50">
        <v>629</v>
      </c>
      <c r="B761" s="51" t="str">
        <v>天棚-腻子两遍</v>
      </c>
      <c r="C761" s="51" t="e">
        <v>#REF!</v>
      </c>
      <c r="D761" s="51" t="str">
        <v/>
      </c>
      <c r="E761" s="51" t="str">
        <v/>
      </c>
      <c r="F761" s="52" t="e">
        <v>#REF!</v>
      </c>
      <c r="G761" s="48" t="e">
        <v>#REF!</v>
      </c>
      <c r="H761" s="49">
        <v>905.44</v>
      </c>
      <c r="I761" s="49" t="e">
        <v>#REF!</v>
      </c>
      <c r="J761" s="50"/>
    </row>
    <row r="762" outlineLevel="1" spans="1:10">
      <c r="A762" s="50" t="str">
        <v/>
      </c>
      <c r="B762" s="51" t="str">
        <v>A.05.04白水泥工程</v>
      </c>
      <c r="C762" s="51" t="str">
        <v/>
      </c>
      <c r="D762" s="51" t="str">
        <v/>
      </c>
      <c r="E762" s="51" t="str">
        <v/>
      </c>
      <c r="F762" s="52" t="str">
        <v/>
      </c>
      <c r="G762" s="48" t="str">
        <v/>
      </c>
      <c r="H762" s="49">
        <v>0</v>
      </c>
      <c r="I762" s="49" t="e">
        <v>#REF!</v>
      </c>
      <c r="J762" s="50"/>
    </row>
    <row r="763" outlineLevel="1" spans="1:10">
      <c r="A763" s="50">
        <v>630</v>
      </c>
      <c r="B763" s="51" t="str">
        <v>内墙面-地上白水泥</v>
      </c>
      <c r="C763" s="51" t="e">
        <v>#REF!</v>
      </c>
      <c r="D763" s="51" t="str">
        <v/>
      </c>
      <c r="E763" s="51" t="str">
        <v/>
      </c>
      <c r="F763" s="52" t="e">
        <v>#REF!</v>
      </c>
      <c r="G763" s="48" t="e">
        <v>#REF!</v>
      </c>
      <c r="H763" s="49">
        <v>0</v>
      </c>
      <c r="I763" s="49" t="e">
        <v>#REF!</v>
      </c>
      <c r="J763" s="50"/>
    </row>
    <row r="764" outlineLevel="1" spans="1:10">
      <c r="A764" s="50">
        <v>631</v>
      </c>
      <c r="B764" s="51" t="str">
        <v>天棚-地上白水泥</v>
      </c>
      <c r="C764" s="51" t="e">
        <v>#REF!</v>
      </c>
      <c r="D764" s="51" t="str">
        <v/>
      </c>
      <c r="E764" s="51" t="str">
        <v/>
      </c>
      <c r="F764" s="52" t="e">
        <v>#REF!</v>
      </c>
      <c r="G764" s="48" t="e">
        <v>#REF!</v>
      </c>
      <c r="H764" s="49">
        <v>0</v>
      </c>
      <c r="I764" s="49" t="e">
        <v>#REF!</v>
      </c>
      <c r="J764" s="50"/>
    </row>
    <row r="765" outlineLevel="1" spans="1:10">
      <c r="A765" s="50" t="str">
        <v/>
      </c>
      <c r="B765" s="51" t="str">
        <v>A.06外墙装饰工程</v>
      </c>
      <c r="C765" s="51" t="str">
        <v/>
      </c>
      <c r="D765" s="51" t="str">
        <v/>
      </c>
      <c r="E765" s="51" t="str">
        <v/>
      </c>
      <c r="F765" s="52" t="str">
        <v/>
      </c>
      <c r="G765" s="48" t="str">
        <v/>
      </c>
      <c r="H765" s="49">
        <v>0</v>
      </c>
      <c r="I765" s="49" t="e">
        <v>#REF!</v>
      </c>
      <c r="J765" s="50"/>
    </row>
    <row r="766" outlineLevel="1" spans="1:10">
      <c r="A766" s="50" t="str">
        <v/>
      </c>
      <c r="B766" s="51" t="str">
        <v>A.06.01保温隔热工程</v>
      </c>
      <c r="C766" s="51" t="str">
        <v/>
      </c>
      <c r="D766" s="51" t="str">
        <v/>
      </c>
      <c r="E766" s="51" t="str">
        <v/>
      </c>
      <c r="F766" s="52" t="str">
        <v/>
      </c>
      <c r="G766" s="48" t="str">
        <v/>
      </c>
      <c r="H766" s="49" t="e">
        <v>#REF!</v>
      </c>
      <c r="I766" s="49" t="e">
        <v>#REF!</v>
      </c>
      <c r="J766" s="50"/>
    </row>
    <row r="767" outlineLevel="1" spans="1:10">
      <c r="A767" s="50">
        <v>632</v>
      </c>
      <c r="B767" s="51" t="str">
        <v>外墙面-3厚抗裂砂浆</v>
      </c>
      <c r="C767" s="51" t="e">
        <v>#REF!</v>
      </c>
      <c r="D767" s="51" t="str">
        <v/>
      </c>
      <c r="E767" s="51" t="str">
        <v/>
      </c>
      <c r="F767" s="52" t="e">
        <v>#REF!</v>
      </c>
      <c r="G767" s="48" t="e">
        <v>#REF!</v>
      </c>
      <c r="H767" s="49" t="e">
        <v>#REF!</v>
      </c>
      <c r="I767" s="49" t="e">
        <v>#REF!</v>
      </c>
      <c r="J767" s="50"/>
    </row>
    <row r="768" ht="28.8" outlineLevel="1" spans="1:10">
      <c r="A768" s="50">
        <v>633</v>
      </c>
      <c r="B768" s="51" t="str">
        <v>外墙面-5厚防水抗裂砂浆</v>
      </c>
      <c r="C768" s="51" t="e">
        <v>#REF!</v>
      </c>
      <c r="D768" s="51" t="str">
        <v/>
      </c>
      <c r="E768" s="51" t="str">
        <v/>
      </c>
      <c r="F768" s="52" t="e">
        <v>#REF!</v>
      </c>
      <c r="G768" s="48" t="e">
        <v>#REF!</v>
      </c>
      <c r="H768" s="49" t="e">
        <v>#REF!</v>
      </c>
      <c r="I768" s="49" t="e">
        <v>#REF!</v>
      </c>
      <c r="J768" s="50"/>
    </row>
    <row r="769" outlineLevel="1" spans="1:10">
      <c r="A769" s="50">
        <v>634</v>
      </c>
      <c r="B769" s="51" t="str">
        <v>外墙面-网格布</v>
      </c>
      <c r="C769" s="51" t="e">
        <v>#REF!</v>
      </c>
      <c r="D769" s="51" t="str">
        <v/>
      </c>
      <c r="E769" s="51" t="str">
        <v/>
      </c>
      <c r="F769" s="52" t="e">
        <v>#REF!</v>
      </c>
      <c r="G769" s="48" t="e">
        <v>#REF!</v>
      </c>
      <c r="H769" s="49" t="e">
        <v>#REF!</v>
      </c>
      <c r="I769" s="49" t="e">
        <v>#REF!</v>
      </c>
      <c r="J769" s="50"/>
    </row>
    <row r="770" outlineLevel="1" spans="1:10">
      <c r="A770" s="50">
        <v>635</v>
      </c>
      <c r="B770" s="51" t="str">
        <v>外墙保温-200厚AEPS</v>
      </c>
      <c r="C770" s="51" t="e">
        <v>#REF!</v>
      </c>
      <c r="D770" s="51" t="str">
        <v/>
      </c>
      <c r="E770" s="51" t="str">
        <v/>
      </c>
      <c r="F770" s="52" t="e">
        <v>#REF!</v>
      </c>
      <c r="G770" s="48" t="e">
        <v>#REF!</v>
      </c>
      <c r="H770" s="49" t="e">
        <v>#REF!</v>
      </c>
      <c r="I770" s="49" t="e">
        <v>#REF!</v>
      </c>
      <c r="J770" s="50"/>
    </row>
    <row r="771" outlineLevel="1" spans="1:10">
      <c r="A771" s="50">
        <v>636</v>
      </c>
      <c r="B771" s="51" t="str">
        <v>外墙保温-100厚AEPS</v>
      </c>
      <c r="C771" s="51" t="e">
        <v>#REF!</v>
      </c>
      <c r="D771" s="51" t="str">
        <v/>
      </c>
      <c r="E771" s="51" t="str">
        <v/>
      </c>
      <c r="F771" s="52" t="e">
        <v>#REF!</v>
      </c>
      <c r="G771" s="48" t="e">
        <v>#REF!</v>
      </c>
      <c r="H771" s="49" t="e">
        <v>#REF!</v>
      </c>
      <c r="I771" s="49" t="e">
        <v>#REF!</v>
      </c>
      <c r="J771" s="50"/>
    </row>
    <row r="772" ht="28.8" outlineLevel="1" spans="1:10">
      <c r="A772" s="50">
        <v>637</v>
      </c>
      <c r="B772" s="51" t="str">
        <v>外墙保温-20厚无机保温砂浆</v>
      </c>
      <c r="C772" s="51" t="e">
        <v>#REF!</v>
      </c>
      <c r="D772" s="51" t="str">
        <v/>
      </c>
      <c r="E772" s="51" t="str">
        <v/>
      </c>
      <c r="F772" s="52" t="e">
        <v>#REF!</v>
      </c>
      <c r="G772" s="48" t="e">
        <v>#REF!</v>
      </c>
      <c r="H772" s="49" t="e">
        <v>#REF!</v>
      </c>
      <c r="I772" s="49" t="e">
        <v>#REF!</v>
      </c>
      <c r="J772" s="50"/>
    </row>
    <row r="773" ht="28.8" outlineLevel="1" spans="1:10">
      <c r="A773" s="50">
        <v>638</v>
      </c>
      <c r="B773" s="51" t="str">
        <v>外墙保温-20厚胶粉聚苯颗粒</v>
      </c>
      <c r="C773" s="51" t="e">
        <v>#REF!</v>
      </c>
      <c r="D773" s="51" t="str">
        <v/>
      </c>
      <c r="E773" s="51" t="str">
        <v/>
      </c>
      <c r="F773" s="52" t="e">
        <v>#REF!</v>
      </c>
      <c r="G773" s="48" t="e">
        <v>#REF!</v>
      </c>
      <c r="H773" s="49" t="e">
        <v>#REF!</v>
      </c>
      <c r="I773" s="49" t="e">
        <v>#REF!</v>
      </c>
      <c r="J773" s="50"/>
    </row>
    <row r="774" ht="28.8" outlineLevel="1" spans="1:10">
      <c r="A774" s="50">
        <v>639</v>
      </c>
      <c r="B774" s="51" t="str">
        <v>外墙保温-30厚无机保温砂浆</v>
      </c>
      <c r="C774" s="51" t="e">
        <v>#REF!</v>
      </c>
      <c r="D774" s="51" t="str">
        <v/>
      </c>
      <c r="E774" s="51" t="str">
        <v/>
      </c>
      <c r="F774" s="52" t="e">
        <v>#REF!</v>
      </c>
      <c r="G774" s="48" t="e">
        <v>#REF!</v>
      </c>
      <c r="H774" s="49">
        <v>0</v>
      </c>
      <c r="I774" s="49" t="e">
        <v>#REF!</v>
      </c>
      <c r="J774" s="50"/>
    </row>
    <row r="775" outlineLevel="1" spans="1:10">
      <c r="A775" s="50" t="str">
        <v/>
      </c>
      <c r="B775" s="51" t="str">
        <v>被动式墙保温</v>
      </c>
      <c r="C775" s="51" t="str">
        <v/>
      </c>
      <c r="D775" s="51" t="str">
        <v/>
      </c>
      <c r="E775" s="51" t="str">
        <v/>
      </c>
      <c r="F775" s="52" t="str">
        <v/>
      </c>
      <c r="G775" s="48" t="str">
        <v/>
      </c>
      <c r="H775" s="49">
        <v>0</v>
      </c>
      <c r="I775" s="49">
        <v>0</v>
      </c>
      <c r="J775" s="50"/>
    </row>
    <row r="776" ht="28.8" outlineLevel="1" spans="1:10">
      <c r="A776" s="50">
        <v>640</v>
      </c>
      <c r="B776" s="51" t="str">
        <v>外墙保温-320厚石墨聚苯板（双层网）</v>
      </c>
      <c r="C776" s="51" t="e">
        <v>#REF!</v>
      </c>
      <c r="D776" s="51" t="str">
        <v/>
      </c>
      <c r="E776" s="51" t="str">
        <v/>
      </c>
      <c r="F776" s="52" t="e">
        <v>#REF!</v>
      </c>
      <c r="G776" s="48" t="e">
        <v>#REF!</v>
      </c>
      <c r="H776" s="49">
        <v>0</v>
      </c>
      <c r="I776" s="49" t="e">
        <v>#REF!</v>
      </c>
      <c r="J776" s="50"/>
    </row>
    <row r="777" outlineLevel="1" spans="1:10">
      <c r="A777" s="50">
        <v>641</v>
      </c>
      <c r="B777" s="51" t="str">
        <v>自密实混凝土-50厚C30</v>
      </c>
      <c r="C777" s="51" t="e">
        <v>#REF!</v>
      </c>
      <c r="D777" s="51" t="str">
        <v/>
      </c>
      <c r="E777" s="51" t="str">
        <v/>
      </c>
      <c r="F777" s="52" t="e">
        <v>#REF!</v>
      </c>
      <c r="G777" s="48" t="e">
        <v>#REF!</v>
      </c>
      <c r="H777" s="49">
        <v>0</v>
      </c>
      <c r="I777" s="49" t="e">
        <v>#REF!</v>
      </c>
      <c r="J777" s="50"/>
    </row>
    <row r="778" outlineLevel="1" spans="1:10">
      <c r="A778" s="50">
        <v>642</v>
      </c>
      <c r="B778" s="51" t="str">
        <v>外墙保温-界面修补</v>
      </c>
      <c r="C778" s="51" t="e">
        <v>#REF!</v>
      </c>
      <c r="D778" s="51" t="str">
        <v/>
      </c>
      <c r="E778" s="51" t="str">
        <v/>
      </c>
      <c r="F778" s="52" t="e">
        <v>#REF!</v>
      </c>
      <c r="G778" s="48" t="e">
        <v>#REF!</v>
      </c>
      <c r="H778" s="49">
        <v>0</v>
      </c>
      <c r="I778" s="49" t="e">
        <v>#REF!</v>
      </c>
      <c r="J778" s="50"/>
    </row>
    <row r="779" ht="28.8" outlineLevel="1" spans="1:10">
      <c r="A779" s="50">
        <v>643</v>
      </c>
      <c r="B779" s="51" t="str">
        <v>外墙保温-5厚干粉聚合物砂浆</v>
      </c>
      <c r="C779" s="51" t="e">
        <v>#REF!</v>
      </c>
      <c r="D779" s="51" t="str">
        <v/>
      </c>
      <c r="E779" s="51" t="str">
        <v/>
      </c>
      <c r="F779" s="52" t="e">
        <v>#REF!</v>
      </c>
      <c r="G779" s="48" t="e">
        <v>#REF!</v>
      </c>
      <c r="H779" s="49">
        <v>0</v>
      </c>
      <c r="I779" s="49" t="e">
        <v>#REF!</v>
      </c>
      <c r="J779" s="50"/>
    </row>
    <row r="780" outlineLevel="1" spans="1:10">
      <c r="A780" s="50" t="str">
        <v/>
      </c>
      <c r="B780" s="51" t="str">
        <v>被动式墙保温</v>
      </c>
      <c r="C780" s="51" t="str">
        <v/>
      </c>
      <c r="D780" s="51" t="str">
        <v/>
      </c>
      <c r="E780" s="51" t="str">
        <v/>
      </c>
      <c r="F780" s="52" t="str">
        <v/>
      </c>
      <c r="G780" s="48" t="str">
        <v/>
      </c>
      <c r="H780" s="49">
        <v>0</v>
      </c>
      <c r="I780" s="49">
        <v>0</v>
      </c>
      <c r="J780" s="50"/>
    </row>
    <row r="781" ht="28.8" outlineLevel="1" spans="1:10">
      <c r="A781" s="50">
        <v>644</v>
      </c>
      <c r="B781" s="51" t="str">
        <v>外墙保温-260厚石墨聚苯板（双层网）</v>
      </c>
      <c r="C781" s="51" t="e">
        <v>#REF!</v>
      </c>
      <c r="D781" s="51" t="str">
        <v/>
      </c>
      <c r="E781" s="51" t="str">
        <v/>
      </c>
      <c r="F781" s="52" t="e">
        <v>#REF!</v>
      </c>
      <c r="G781" s="48" t="e">
        <v>#REF!</v>
      </c>
      <c r="H781" s="49">
        <v>0</v>
      </c>
      <c r="I781" s="49" t="e">
        <v>#REF!</v>
      </c>
      <c r="J781" s="50"/>
    </row>
    <row r="782" outlineLevel="1" spans="1:10">
      <c r="A782" s="50">
        <v>645</v>
      </c>
      <c r="B782" s="51" t="str">
        <v>自密实混凝土-50厚C35</v>
      </c>
      <c r="C782" s="51" t="e">
        <v>#REF!</v>
      </c>
      <c r="D782" s="51" t="str">
        <v/>
      </c>
      <c r="E782" s="51" t="str">
        <v/>
      </c>
      <c r="F782" s="52" t="e">
        <v>#REF!</v>
      </c>
      <c r="G782" s="48" t="e">
        <v>#REF!</v>
      </c>
      <c r="H782" s="49">
        <v>0</v>
      </c>
      <c r="I782" s="49" t="e">
        <v>#REF!</v>
      </c>
      <c r="J782" s="50"/>
    </row>
    <row r="783" outlineLevel="1" spans="1:10">
      <c r="A783" s="50">
        <v>646</v>
      </c>
      <c r="B783" s="51" t="str">
        <v>自密实混凝土-50厚C30</v>
      </c>
      <c r="C783" s="51" t="e">
        <v>#REF!</v>
      </c>
      <c r="D783" s="51" t="str">
        <v/>
      </c>
      <c r="E783" s="51" t="str">
        <v/>
      </c>
      <c r="F783" s="52" t="e">
        <v>#REF!</v>
      </c>
      <c r="G783" s="48" t="e">
        <v>#REF!</v>
      </c>
      <c r="H783" s="49">
        <v>0</v>
      </c>
      <c r="I783" s="49" t="e">
        <v>#REF!</v>
      </c>
      <c r="J783" s="50"/>
    </row>
    <row r="784" ht="28.8" outlineLevel="1" spans="1:10">
      <c r="A784" s="50">
        <v>647</v>
      </c>
      <c r="B784" s="51" t="str">
        <v>外墙保温-50厚C35细石砼</v>
      </c>
      <c r="C784" s="51" t="e">
        <v>#REF!</v>
      </c>
      <c r="D784" s="51" t="str">
        <v/>
      </c>
      <c r="E784" s="51" t="str">
        <v/>
      </c>
      <c r="F784" s="52" t="e">
        <v>#REF!</v>
      </c>
      <c r="G784" s="48" t="e">
        <v>#REF!</v>
      </c>
      <c r="H784" s="49">
        <v>0</v>
      </c>
      <c r="I784" s="49" t="e">
        <v>#REF!</v>
      </c>
      <c r="J784" s="50"/>
    </row>
    <row r="785" ht="28.8" outlineLevel="1" spans="1:10">
      <c r="A785" s="50">
        <v>648</v>
      </c>
      <c r="B785" s="51" t="str">
        <v>外墙保温-50厚C30细石砼</v>
      </c>
      <c r="C785" s="51" t="e">
        <v>#REF!</v>
      </c>
      <c r="D785" s="51" t="str">
        <v/>
      </c>
      <c r="E785" s="51" t="str">
        <v/>
      </c>
      <c r="F785" s="52" t="e">
        <v>#REF!</v>
      </c>
      <c r="G785" s="48" t="e">
        <v>#REF!</v>
      </c>
      <c r="H785" s="49">
        <v>0</v>
      </c>
      <c r="I785" s="49" t="e">
        <v>#REF!</v>
      </c>
      <c r="J785" s="50"/>
    </row>
    <row r="786" ht="28.8" outlineLevel="1" spans="1:10">
      <c r="A786" s="50">
        <v>649</v>
      </c>
      <c r="B786" s="51" t="str">
        <v>外墙保温-50厚C25细石砼</v>
      </c>
      <c r="C786" s="51" t="e">
        <v>#REF!</v>
      </c>
      <c r="D786" s="51" t="str">
        <v/>
      </c>
      <c r="E786" s="51" t="str">
        <v/>
      </c>
      <c r="F786" s="52" t="e">
        <v>#REF!</v>
      </c>
      <c r="G786" s="48" t="e">
        <v>#REF!</v>
      </c>
      <c r="H786" s="49">
        <v>0</v>
      </c>
      <c r="I786" s="49" t="e">
        <v>#REF!</v>
      </c>
      <c r="J786" s="50"/>
    </row>
    <row r="787" ht="28.8" outlineLevel="1" spans="1:10">
      <c r="A787" s="50">
        <v>650</v>
      </c>
      <c r="B787" s="51" t="str">
        <v>外墙保温-50厚C20细石砼</v>
      </c>
      <c r="C787" s="51" t="e">
        <v>#REF!</v>
      </c>
      <c r="D787" s="51" t="str">
        <v/>
      </c>
      <c r="E787" s="51" t="str">
        <v/>
      </c>
      <c r="F787" s="52" t="e">
        <v>#REF!</v>
      </c>
      <c r="G787" s="48" t="e">
        <v>#REF!</v>
      </c>
      <c r="H787" s="49">
        <v>0</v>
      </c>
      <c r="I787" s="49" t="e">
        <v>#REF!</v>
      </c>
      <c r="J787" s="50"/>
    </row>
    <row r="788" outlineLevel="1" spans="1:10">
      <c r="A788" s="50">
        <v>651</v>
      </c>
      <c r="B788" s="51" t="str">
        <v>外墙保温-界面修补</v>
      </c>
      <c r="C788" s="51" t="e">
        <v>#REF!</v>
      </c>
      <c r="D788" s="51" t="str">
        <v/>
      </c>
      <c r="E788" s="51" t="str">
        <v/>
      </c>
      <c r="F788" s="52" t="e">
        <v>#REF!</v>
      </c>
      <c r="G788" s="48" t="e">
        <v>#REF!</v>
      </c>
      <c r="H788" s="49">
        <v>0</v>
      </c>
      <c r="I788" s="49" t="e">
        <v>#REF!</v>
      </c>
      <c r="J788" s="50"/>
    </row>
    <row r="789" ht="28.8" outlineLevel="1" spans="1:10">
      <c r="A789" s="50">
        <v>652</v>
      </c>
      <c r="B789" s="51" t="str">
        <v>外墙保温-5厚干粉聚合物砂浆</v>
      </c>
      <c r="C789" s="51" t="e">
        <v>#REF!</v>
      </c>
      <c r="D789" s="51" t="str">
        <v/>
      </c>
      <c r="E789" s="51" t="str">
        <v/>
      </c>
      <c r="F789" s="52" t="e">
        <v>#REF!</v>
      </c>
      <c r="G789" s="48" t="e">
        <v>#REF!</v>
      </c>
      <c r="H789" s="49">
        <v>0</v>
      </c>
      <c r="I789" s="49" t="e">
        <v>#REF!</v>
      </c>
      <c r="J789" s="50"/>
    </row>
    <row r="790" ht="28.8" outlineLevel="1" spans="1:10">
      <c r="A790" s="50">
        <v>653</v>
      </c>
      <c r="B790" s="51" t="str">
        <v>外墙保温-20厚真空绝热板</v>
      </c>
      <c r="C790" s="51" t="e">
        <v>#REF!</v>
      </c>
      <c r="D790" s="51" t="str">
        <v/>
      </c>
      <c r="E790" s="51" t="str">
        <v/>
      </c>
      <c r="F790" s="52" t="e">
        <v>#REF!</v>
      </c>
      <c r="G790" s="48" t="e">
        <v>#REF!</v>
      </c>
      <c r="H790" s="49" t="e">
        <v>#REF!</v>
      </c>
      <c r="I790" s="49" t="e">
        <v>#REF!</v>
      </c>
      <c r="J790" s="50"/>
    </row>
    <row r="791" ht="28.8" outlineLevel="1" spans="1:10">
      <c r="A791" s="50">
        <v>654</v>
      </c>
      <c r="B791" s="51" t="str">
        <v>外墙保温-10厚真空绝热板</v>
      </c>
      <c r="C791" s="51" t="e">
        <v>#REF!</v>
      </c>
      <c r="D791" s="51" t="str">
        <v/>
      </c>
      <c r="E791" s="51" t="str">
        <v/>
      </c>
      <c r="F791" s="52" t="e">
        <v>#REF!</v>
      </c>
      <c r="G791" s="48" t="e">
        <v>#REF!</v>
      </c>
      <c r="H791" s="49" t="e">
        <v>#REF!</v>
      </c>
      <c r="I791" s="49" t="e">
        <v>#REF!</v>
      </c>
      <c r="J791" s="50"/>
    </row>
    <row r="792" ht="28.8" outlineLevel="1" spans="1:10">
      <c r="A792" s="50">
        <v>655</v>
      </c>
      <c r="B792" s="51" t="str">
        <v>外保温-连廊设备平台100厚岩棉保温</v>
      </c>
      <c r="C792" s="51" t="e">
        <v>#REF!</v>
      </c>
      <c r="D792" s="51" t="str">
        <v/>
      </c>
      <c r="E792" s="51" t="str">
        <v/>
      </c>
      <c r="F792" s="52" t="e">
        <v>#REF!</v>
      </c>
      <c r="G792" s="48" t="e">
        <v>#REF!</v>
      </c>
      <c r="H792" s="49">
        <v>0</v>
      </c>
      <c r="I792" s="49" t="e">
        <v>#REF!</v>
      </c>
      <c r="J792" s="50"/>
    </row>
    <row r="793" ht="28.8" outlineLevel="1" spans="1:10">
      <c r="A793" s="50">
        <v>656</v>
      </c>
      <c r="B793" s="51" t="str">
        <v>外保温-连廊设备平台100厚石墨聚苯板保温</v>
      </c>
      <c r="C793" s="51" t="e">
        <v>#REF!</v>
      </c>
      <c r="D793" s="51" t="str">
        <v/>
      </c>
      <c r="E793" s="51" t="str">
        <v/>
      </c>
      <c r="F793" s="52" t="e">
        <v>#REF!</v>
      </c>
      <c r="G793" s="48" t="e">
        <v>#REF!</v>
      </c>
      <c r="H793" s="49">
        <v>0</v>
      </c>
      <c r="I793" s="49" t="e">
        <v>#REF!</v>
      </c>
      <c r="J793" s="50"/>
    </row>
    <row r="794" outlineLevel="1" spans="1:10">
      <c r="A794" s="50" t="str">
        <v/>
      </c>
      <c r="B794" s="51" t="str">
        <v>复合岩棉板外墙保温</v>
      </c>
      <c r="C794" s="51" t="str">
        <v/>
      </c>
      <c r="D794" s="51" t="str">
        <v/>
      </c>
      <c r="E794" s="51" t="str">
        <v/>
      </c>
      <c r="F794" s="52" t="str">
        <v/>
      </c>
      <c r="G794" s="48" t="str">
        <v/>
      </c>
      <c r="H794" s="49">
        <v>0</v>
      </c>
      <c r="I794" s="49">
        <v>0</v>
      </c>
      <c r="J794" s="50"/>
    </row>
    <row r="795" outlineLevel="1" spans="1:10">
      <c r="A795" s="50">
        <v>657</v>
      </c>
      <c r="B795" s="51" t="str">
        <v>外墙面-5厚防水砂浆</v>
      </c>
      <c r="C795" s="51" t="e">
        <v>#REF!</v>
      </c>
      <c r="D795" s="51" t="str">
        <v/>
      </c>
      <c r="E795" s="51" t="str">
        <v/>
      </c>
      <c r="F795" s="52" t="e">
        <v>#REF!</v>
      </c>
      <c r="G795" s="48" t="e">
        <v>#REF!</v>
      </c>
      <c r="H795" s="49" t="e">
        <v>#REF!</v>
      </c>
      <c r="I795" s="49" t="e">
        <v>#REF!</v>
      </c>
      <c r="J795" s="50"/>
    </row>
    <row r="796" outlineLevel="1" spans="1:10">
      <c r="A796" s="50">
        <v>658</v>
      </c>
      <c r="B796" s="51" t="str">
        <v>外墙面-网格布</v>
      </c>
      <c r="C796" s="51" t="e">
        <v>#REF!</v>
      </c>
      <c r="D796" s="51" t="str">
        <v/>
      </c>
      <c r="E796" s="51" t="str">
        <v/>
      </c>
      <c r="F796" s="52" t="e">
        <v>#REF!</v>
      </c>
      <c r="G796" s="48" t="e">
        <v>#REF!</v>
      </c>
      <c r="H796" s="49" t="e">
        <v>#REF!</v>
      </c>
      <c r="I796" s="49" t="e">
        <v>#REF!</v>
      </c>
      <c r="J796" s="50"/>
    </row>
    <row r="797" outlineLevel="1" spans="1:10">
      <c r="A797" s="50">
        <v>659</v>
      </c>
      <c r="B797" s="51" t="str">
        <v>外墙面-5厚防水砂浆</v>
      </c>
      <c r="C797" s="51" t="e">
        <v>#REF!</v>
      </c>
      <c r="D797" s="51" t="str">
        <v/>
      </c>
      <c r="E797" s="51" t="str">
        <v/>
      </c>
      <c r="F797" s="52" t="e">
        <v>#REF!</v>
      </c>
      <c r="G797" s="48" t="e">
        <v>#REF!</v>
      </c>
      <c r="H797" s="49" t="e">
        <v>#REF!</v>
      </c>
      <c r="I797" s="49" t="e">
        <v>#REF!</v>
      </c>
      <c r="J797" s="50"/>
    </row>
    <row r="798" ht="28.8" outlineLevel="1" spans="1:10">
      <c r="A798" s="50">
        <v>660</v>
      </c>
      <c r="B798" s="51" t="str">
        <v>外墙保温-250厚复合岩棉板</v>
      </c>
      <c r="C798" s="51" t="e">
        <v>#REF!</v>
      </c>
      <c r="D798" s="51" t="str">
        <v/>
      </c>
      <c r="E798" s="51" t="str">
        <v/>
      </c>
      <c r="F798" s="52" t="e">
        <v>#REF!</v>
      </c>
      <c r="G798" s="48" t="e">
        <v>#REF!</v>
      </c>
      <c r="H798" s="49" t="e">
        <v>#REF!</v>
      </c>
      <c r="I798" s="49" t="e">
        <v>#REF!</v>
      </c>
      <c r="J798" s="50"/>
    </row>
    <row r="799" ht="28.8" outlineLevel="1" spans="1:10">
      <c r="A799" s="50">
        <v>661</v>
      </c>
      <c r="B799" s="51" t="str">
        <v>外墙保温-150厚复合岩棉板</v>
      </c>
      <c r="C799" s="51" t="e">
        <v>#REF!</v>
      </c>
      <c r="D799" s="51" t="str">
        <v/>
      </c>
      <c r="E799" s="51" t="str">
        <v/>
      </c>
      <c r="F799" s="52" t="e">
        <v>#REF!</v>
      </c>
      <c r="G799" s="48" t="e">
        <v>#REF!</v>
      </c>
      <c r="H799" s="49" t="e">
        <v>#REF!</v>
      </c>
      <c r="I799" s="49" t="e">
        <v>#REF!</v>
      </c>
      <c r="J799" s="50"/>
    </row>
    <row r="800" ht="28.8" outlineLevel="1" spans="1:10">
      <c r="A800" s="50">
        <v>662</v>
      </c>
      <c r="B800" s="51" t="str">
        <v>外墙保温-100厚复合岩棉板</v>
      </c>
      <c r="C800" s="51" t="e">
        <v>#REF!</v>
      </c>
      <c r="D800" s="51" t="str">
        <v/>
      </c>
      <c r="E800" s="51" t="str">
        <v/>
      </c>
      <c r="F800" s="52" t="e">
        <v>#REF!</v>
      </c>
      <c r="G800" s="48" t="e">
        <v>#REF!</v>
      </c>
      <c r="H800" s="49" t="e">
        <v>#REF!</v>
      </c>
      <c r="I800" s="49" t="e">
        <v>#REF!</v>
      </c>
      <c r="J800" s="50"/>
    </row>
    <row r="801" outlineLevel="1" spans="1:10">
      <c r="A801" s="50" t="str">
        <v/>
      </c>
      <c r="B801" s="51" t="str">
        <v>复合保温砂浆墙面</v>
      </c>
      <c r="C801" s="51" t="str">
        <v/>
      </c>
      <c r="D801" s="51" t="str">
        <v/>
      </c>
      <c r="E801" s="51" t="str">
        <v/>
      </c>
      <c r="F801" s="52" t="str">
        <v/>
      </c>
      <c r="G801" s="48" t="str">
        <v/>
      </c>
      <c r="H801" s="49">
        <v>0</v>
      </c>
      <c r="I801" s="49">
        <v>0</v>
      </c>
      <c r="J801" s="50"/>
    </row>
    <row r="802" outlineLevel="1" spans="1:10">
      <c r="A802" s="50">
        <v>663</v>
      </c>
      <c r="B802" s="51" t="str">
        <v>外墙面-界面剂</v>
      </c>
      <c r="C802" s="51" t="e">
        <v>#REF!</v>
      </c>
      <c r="D802" s="51" t="str">
        <v/>
      </c>
      <c r="E802" s="51" t="str">
        <v/>
      </c>
      <c r="F802" s="52" t="e">
        <v>#REF!</v>
      </c>
      <c r="G802" s="48" t="e">
        <v>#REF!</v>
      </c>
      <c r="H802" s="49">
        <v>0</v>
      </c>
      <c r="I802" s="49" t="e">
        <v>#REF!</v>
      </c>
      <c r="J802" s="50"/>
    </row>
    <row r="803" outlineLevel="1" spans="1:10">
      <c r="A803" s="50">
        <v>664</v>
      </c>
      <c r="B803" s="51" t="str">
        <v>外墙保温-20厚MPC</v>
      </c>
      <c r="C803" s="51" t="e">
        <v>#REF!</v>
      </c>
      <c r="D803" s="51" t="str">
        <v/>
      </c>
      <c r="E803" s="51" t="str">
        <v/>
      </c>
      <c r="F803" s="52" t="e">
        <v>#REF!</v>
      </c>
      <c r="G803" s="48" t="e">
        <v>#REF!</v>
      </c>
      <c r="H803" s="49">
        <v>0</v>
      </c>
      <c r="I803" s="49" t="e">
        <v>#REF!</v>
      </c>
      <c r="J803" s="50"/>
    </row>
    <row r="804" outlineLevel="1" spans="1:10">
      <c r="A804" s="50">
        <v>665</v>
      </c>
      <c r="B804" s="51" t="str">
        <v>外墙保温-15厚MPC</v>
      </c>
      <c r="C804" s="51" t="e">
        <v>#REF!</v>
      </c>
      <c r="D804" s="51" t="str">
        <v/>
      </c>
      <c r="E804" s="51" t="str">
        <v/>
      </c>
      <c r="F804" s="52" t="e">
        <v>#REF!</v>
      </c>
      <c r="G804" s="48" t="e">
        <v>#REF!</v>
      </c>
      <c r="H804" s="49">
        <v>0</v>
      </c>
      <c r="I804" s="49" t="e">
        <v>#REF!</v>
      </c>
      <c r="J804" s="50"/>
    </row>
    <row r="805" outlineLevel="1" spans="1:10">
      <c r="A805" s="50">
        <v>666</v>
      </c>
      <c r="B805" s="51" t="str">
        <v>外墙保温-30厚MPC</v>
      </c>
      <c r="C805" s="51" t="e">
        <v>#REF!</v>
      </c>
      <c r="D805" s="51" t="str">
        <v/>
      </c>
      <c r="E805" s="51" t="str">
        <v/>
      </c>
      <c r="F805" s="52" t="e">
        <v>#REF!</v>
      </c>
      <c r="G805" s="48" t="e">
        <v>#REF!</v>
      </c>
      <c r="H805" s="49">
        <v>0</v>
      </c>
      <c r="I805" s="49" t="e">
        <v>#REF!</v>
      </c>
      <c r="J805" s="50"/>
    </row>
    <row r="806" outlineLevel="1" spans="1:10">
      <c r="A806" s="50" t="str">
        <v/>
      </c>
      <c r="B806" s="51" t="str">
        <v>A.06.02线条装饰工程</v>
      </c>
      <c r="C806" s="51" t="str">
        <v/>
      </c>
      <c r="D806" s="51" t="str">
        <v/>
      </c>
      <c r="E806" s="51" t="str">
        <v/>
      </c>
      <c r="F806" s="52" t="str">
        <v/>
      </c>
      <c r="G806" s="48" t="str">
        <v/>
      </c>
      <c r="H806" s="49">
        <v>0</v>
      </c>
      <c r="I806" s="49" t="e">
        <v>#REF!</v>
      </c>
      <c r="J806" s="50"/>
    </row>
    <row r="807" outlineLevel="1" spans="1:10">
      <c r="A807" s="50">
        <v>667</v>
      </c>
      <c r="B807" s="51" t="str">
        <v>AAC保温条</v>
      </c>
      <c r="C807" s="51" t="e">
        <v>#REF!</v>
      </c>
      <c r="D807" s="51" t="str">
        <v/>
      </c>
      <c r="E807" s="51" t="str">
        <v/>
      </c>
      <c r="F807" s="52" t="e">
        <v>#REF!</v>
      </c>
      <c r="G807" s="48" t="e">
        <v>#REF!</v>
      </c>
      <c r="H807" s="49" t="e">
        <v>#REF!</v>
      </c>
      <c r="I807" s="49" t="e">
        <v>#REF!</v>
      </c>
      <c r="J807" s="50"/>
    </row>
    <row r="808" outlineLevel="1" spans="1:10">
      <c r="A808" s="50" t="str">
        <v/>
      </c>
      <c r="B808" s="51" t="str">
        <v>岩棉线条</v>
      </c>
      <c r="C808" s="51" t="str">
        <v/>
      </c>
      <c r="D808" s="51" t="str">
        <v/>
      </c>
      <c r="E808" s="51" t="str">
        <v/>
      </c>
      <c r="F808" s="52" t="str">
        <v/>
      </c>
      <c r="G808" s="48" t="str">
        <v/>
      </c>
      <c r="H808" s="49">
        <v>0</v>
      </c>
      <c r="I808" s="49">
        <v>0</v>
      </c>
      <c r="J808" s="50"/>
    </row>
    <row r="809" ht="28.8" outlineLevel="1" spans="1:10">
      <c r="A809" s="50">
        <v>668</v>
      </c>
      <c r="B809" s="51" t="str">
        <v>外墙面-岩棉线条150*150</v>
      </c>
      <c r="C809" s="51" t="e">
        <v>#REF!</v>
      </c>
      <c r="D809" s="51" t="str">
        <v/>
      </c>
      <c r="E809" s="51" t="str">
        <v/>
      </c>
      <c r="F809" s="52" t="e">
        <v>#REF!</v>
      </c>
      <c r="G809" s="48" t="e">
        <v>#REF!</v>
      </c>
      <c r="H809" s="49" t="e">
        <v>#REF!</v>
      </c>
      <c r="I809" s="49" t="e">
        <v>#REF!</v>
      </c>
      <c r="J809" s="50"/>
    </row>
    <row r="810" ht="28.8" outlineLevel="1" spans="1:10">
      <c r="A810" s="50">
        <v>669</v>
      </c>
      <c r="B810" s="51" t="str">
        <v>外墙保温-5厚干粉聚合物砂浆</v>
      </c>
      <c r="C810" s="51" t="e">
        <v>#REF!</v>
      </c>
      <c r="D810" s="51" t="str">
        <v/>
      </c>
      <c r="E810" s="51" t="str">
        <v/>
      </c>
      <c r="F810" s="52" t="e">
        <v>#REF!</v>
      </c>
      <c r="G810" s="48" t="e">
        <v>#REF!</v>
      </c>
      <c r="H810" s="49" t="e">
        <v>#REF!</v>
      </c>
      <c r="I810" s="49" t="e">
        <v>#REF!</v>
      </c>
      <c r="J810" s="50"/>
    </row>
    <row r="811" outlineLevel="1" spans="1:10">
      <c r="A811" s="50">
        <v>670</v>
      </c>
      <c r="B811" s="51" t="str">
        <v>外墙面-网格布</v>
      </c>
      <c r="C811" s="51" t="e">
        <v>#REF!</v>
      </c>
      <c r="D811" s="51" t="str">
        <v/>
      </c>
      <c r="E811" s="51" t="str">
        <v/>
      </c>
      <c r="F811" s="52" t="e">
        <v>#REF!</v>
      </c>
      <c r="G811" s="48" t="e">
        <v>#REF!</v>
      </c>
      <c r="H811" s="49" t="e">
        <v>#REF!</v>
      </c>
      <c r="I811" s="49" t="e">
        <v>#REF!</v>
      </c>
      <c r="J811" s="50"/>
    </row>
    <row r="812" outlineLevel="1" spans="1:10">
      <c r="A812" s="50" t="str">
        <v/>
      </c>
      <c r="B812" s="51" t="str">
        <v>EPS线条</v>
      </c>
      <c r="C812" s="51" t="str">
        <v/>
      </c>
      <c r="D812" s="51" t="str">
        <v/>
      </c>
      <c r="E812" s="51" t="str">
        <v/>
      </c>
      <c r="F812" s="52" t="str">
        <v/>
      </c>
      <c r="G812" s="48" t="str">
        <v/>
      </c>
      <c r="H812" s="49">
        <v>0</v>
      </c>
      <c r="I812" s="49">
        <v>0</v>
      </c>
      <c r="J812" s="50"/>
    </row>
    <row r="813" ht="28.8" outlineLevel="1" spans="1:10">
      <c r="A813" s="50">
        <v>671</v>
      </c>
      <c r="B813" s="51" t="str">
        <v>外墙EPS线条-线条100*50</v>
      </c>
      <c r="C813" s="51" t="e">
        <v>#REF!</v>
      </c>
      <c r="D813" s="51" t="str">
        <v/>
      </c>
      <c r="E813" s="51" t="str">
        <v/>
      </c>
      <c r="F813" s="52" t="e">
        <v>#REF!</v>
      </c>
      <c r="G813" s="48" t="e">
        <v>#REF!</v>
      </c>
      <c r="H813" s="49" t="e">
        <v>#REF!</v>
      </c>
      <c r="I813" s="49" t="e">
        <v>#REF!</v>
      </c>
      <c r="J813" s="50"/>
    </row>
    <row r="814" ht="28.8" outlineLevel="1" spans="1:10">
      <c r="A814" s="50">
        <v>672</v>
      </c>
      <c r="B814" s="51" t="str">
        <v>外墙EPS线条-线条120*100</v>
      </c>
      <c r="C814" s="51" t="e">
        <v>#REF!</v>
      </c>
      <c r="D814" s="51" t="str">
        <v/>
      </c>
      <c r="E814" s="51" t="str">
        <v/>
      </c>
      <c r="F814" s="52" t="e">
        <v>#REF!</v>
      </c>
      <c r="G814" s="48" t="e">
        <v>#REF!</v>
      </c>
      <c r="H814" s="49" t="e">
        <v>#REF!</v>
      </c>
      <c r="I814" s="49" t="e">
        <v>#REF!</v>
      </c>
      <c r="J814" s="50"/>
    </row>
    <row r="815" outlineLevel="1" spans="1:10">
      <c r="A815" s="50">
        <v>673</v>
      </c>
      <c r="B815" s="51" t="str">
        <v>外墙EPS线条-线条70*30</v>
      </c>
      <c r="C815" s="51" t="e">
        <v>#REF!</v>
      </c>
      <c r="D815" s="51" t="str">
        <v/>
      </c>
      <c r="E815" s="51" t="str">
        <v/>
      </c>
      <c r="F815" s="52" t="e">
        <v>#REF!</v>
      </c>
      <c r="G815" s="48" t="e">
        <v>#REF!</v>
      </c>
      <c r="H815" s="49" t="e">
        <v>#REF!</v>
      </c>
      <c r="I815" s="49" t="e">
        <v>#REF!</v>
      </c>
      <c r="J815" s="50"/>
    </row>
    <row r="816" ht="28.8" outlineLevel="1" spans="1:10">
      <c r="A816" s="50">
        <v>674</v>
      </c>
      <c r="B816" s="51" t="str">
        <v>外墙EPS线条-线条120*240</v>
      </c>
      <c r="C816" s="51" t="e">
        <v>#REF!</v>
      </c>
      <c r="D816" s="51" t="str">
        <v/>
      </c>
      <c r="E816" s="51" t="str">
        <v/>
      </c>
      <c r="F816" s="52" t="e">
        <v>#REF!</v>
      </c>
      <c r="G816" s="48" t="e">
        <v>#REF!</v>
      </c>
      <c r="H816" s="49" t="e">
        <v>#REF!</v>
      </c>
      <c r="I816" s="49" t="e">
        <v>#REF!</v>
      </c>
      <c r="J816" s="50"/>
    </row>
    <row r="817" ht="28.8" outlineLevel="1" spans="1:10">
      <c r="A817" s="50">
        <v>675</v>
      </c>
      <c r="B817" s="51" t="str">
        <v>外墙EPS线条-线条120*70</v>
      </c>
      <c r="C817" s="51" t="e">
        <v>#REF!</v>
      </c>
      <c r="D817" s="51" t="str">
        <v/>
      </c>
      <c r="E817" s="51" t="str">
        <v/>
      </c>
      <c r="F817" s="52" t="e">
        <v>#REF!</v>
      </c>
      <c r="G817" s="48" t="e">
        <v>#REF!</v>
      </c>
      <c r="H817" s="49" t="e">
        <v>#REF!</v>
      </c>
      <c r="I817" s="49" t="e">
        <v>#REF!</v>
      </c>
      <c r="J817" s="50"/>
    </row>
    <row r="818" outlineLevel="1" spans="1:10">
      <c r="A818" s="50">
        <v>676</v>
      </c>
      <c r="B818" s="51" t="str">
        <v>外墙EPS线条-线条50*50</v>
      </c>
      <c r="C818" s="51" t="e">
        <v>#REF!</v>
      </c>
      <c r="D818" s="51" t="str">
        <v/>
      </c>
      <c r="E818" s="51" t="str">
        <v/>
      </c>
      <c r="F818" s="52" t="e">
        <v>#REF!</v>
      </c>
      <c r="G818" s="48" t="e">
        <v>#REF!</v>
      </c>
      <c r="H818" s="49" t="e">
        <v>#REF!</v>
      </c>
      <c r="I818" s="49" t="e">
        <v>#REF!</v>
      </c>
      <c r="J818" s="50"/>
    </row>
    <row r="819" ht="28.8" outlineLevel="1" spans="1:10">
      <c r="A819" s="50">
        <v>677</v>
      </c>
      <c r="B819" s="51" t="str">
        <v>外墙EPS线条-线条L型800*220</v>
      </c>
      <c r="C819" s="51" t="e">
        <v>#REF!</v>
      </c>
      <c r="D819" s="51" t="str">
        <v/>
      </c>
      <c r="E819" s="51" t="str">
        <v/>
      </c>
      <c r="F819" s="52" t="e">
        <v>#REF!</v>
      </c>
      <c r="G819" s="48" t="e">
        <v>#REF!</v>
      </c>
      <c r="H819" s="49" t="e">
        <v>#REF!</v>
      </c>
      <c r="I819" s="49" t="e">
        <v>#REF!</v>
      </c>
      <c r="J819" s="50"/>
    </row>
    <row r="820" ht="28.8" outlineLevel="1" spans="1:10">
      <c r="A820" s="50">
        <v>678</v>
      </c>
      <c r="B820" s="51" t="str">
        <v>外墙EPS线条-线条100*70</v>
      </c>
      <c r="C820" s="51" t="e">
        <v>#REF!</v>
      </c>
      <c r="D820" s="51" t="str">
        <v/>
      </c>
      <c r="E820" s="51" t="str">
        <v/>
      </c>
      <c r="F820" s="52" t="e">
        <v>#REF!</v>
      </c>
      <c r="G820" s="48" t="e">
        <v>#REF!</v>
      </c>
      <c r="H820" s="49" t="e">
        <v>#REF!</v>
      </c>
      <c r="I820" s="49" t="e">
        <v>#REF!</v>
      </c>
      <c r="J820" s="50"/>
    </row>
    <row r="821" ht="28.8" outlineLevel="1" spans="1:10">
      <c r="A821" s="50">
        <v>679</v>
      </c>
      <c r="B821" s="51" t="str">
        <v>外墙EPS线条-线条L型240*120</v>
      </c>
      <c r="C821" s="51" t="e">
        <v>#REF!</v>
      </c>
      <c r="D821" s="51" t="str">
        <v/>
      </c>
      <c r="E821" s="51" t="str">
        <v/>
      </c>
      <c r="F821" s="52" t="e">
        <v>#REF!</v>
      </c>
      <c r="G821" s="48" t="e">
        <v>#REF!</v>
      </c>
      <c r="H821" s="49" t="e">
        <v>#REF!</v>
      </c>
      <c r="I821" s="49" t="e">
        <v>#REF!</v>
      </c>
      <c r="J821" s="50"/>
    </row>
    <row r="822" ht="28.8" outlineLevel="1" spans="1:10">
      <c r="A822" s="50">
        <v>680</v>
      </c>
      <c r="B822" s="51" t="str">
        <v>外墙EPS线条-线条120*50</v>
      </c>
      <c r="C822" s="51" t="e">
        <v>#REF!</v>
      </c>
      <c r="D822" s="51" t="str">
        <v/>
      </c>
      <c r="E822" s="51" t="str">
        <v/>
      </c>
      <c r="F822" s="52" t="e">
        <v>#REF!</v>
      </c>
      <c r="G822" s="48" t="e">
        <v>#REF!</v>
      </c>
      <c r="H822" s="49" t="e">
        <v>#REF!</v>
      </c>
      <c r="I822" s="49" t="e">
        <v>#REF!</v>
      </c>
      <c r="J822" s="50"/>
    </row>
    <row r="823" ht="28.8" outlineLevel="1" spans="1:10">
      <c r="A823" s="50">
        <v>681</v>
      </c>
      <c r="B823" s="51" t="str">
        <v>外墙EPS线条-线条70*100</v>
      </c>
      <c r="C823" s="51" t="e">
        <v>#REF!</v>
      </c>
      <c r="D823" s="51" t="str">
        <v/>
      </c>
      <c r="E823" s="51" t="str">
        <v/>
      </c>
      <c r="F823" s="52" t="e">
        <v>#REF!</v>
      </c>
      <c r="G823" s="48" t="e">
        <v>#REF!</v>
      </c>
      <c r="H823" s="49" t="e">
        <v>#REF!</v>
      </c>
      <c r="I823" s="49" t="e">
        <v>#REF!</v>
      </c>
      <c r="J823" s="50"/>
    </row>
    <row r="824" outlineLevel="1" spans="1:10">
      <c r="A824" s="50">
        <v>682</v>
      </c>
      <c r="B824" s="51" t="str">
        <v>外墙EPS线条-线条30*50</v>
      </c>
      <c r="C824" s="51" t="e">
        <v>#REF!</v>
      </c>
      <c r="D824" s="51" t="str">
        <v/>
      </c>
      <c r="E824" s="51" t="str">
        <v/>
      </c>
      <c r="F824" s="52" t="e">
        <v>#REF!</v>
      </c>
      <c r="G824" s="48" t="e">
        <v>#REF!</v>
      </c>
      <c r="H824" s="49" t="e">
        <v>#REF!</v>
      </c>
      <c r="I824" s="49" t="e">
        <v>#REF!</v>
      </c>
      <c r="J824" s="50"/>
    </row>
    <row r="825" ht="28.8" outlineLevel="1" spans="1:10">
      <c r="A825" s="50">
        <v>683</v>
      </c>
      <c r="B825" s="51" t="str">
        <v>外墙EPS线条-线条L型220*100</v>
      </c>
      <c r="C825" s="51" t="e">
        <v>#REF!</v>
      </c>
      <c r="D825" s="51" t="str">
        <v/>
      </c>
      <c r="E825" s="51" t="str">
        <v/>
      </c>
      <c r="F825" s="52" t="e">
        <v>#REF!</v>
      </c>
      <c r="G825" s="48" t="e">
        <v>#REF!</v>
      </c>
      <c r="H825" s="49" t="e">
        <v>#REF!</v>
      </c>
      <c r="I825" s="49" t="e">
        <v>#REF!</v>
      </c>
      <c r="J825" s="50"/>
    </row>
    <row r="826" outlineLevel="1" spans="1:10">
      <c r="A826" s="50">
        <v>684</v>
      </c>
      <c r="B826" s="51" t="str">
        <v>外墙EPS线条-线条30*70</v>
      </c>
      <c r="C826" s="51" t="e">
        <v>#REF!</v>
      </c>
      <c r="D826" s="51" t="str">
        <v/>
      </c>
      <c r="E826" s="51" t="str">
        <v/>
      </c>
      <c r="F826" s="52" t="e">
        <v>#REF!</v>
      </c>
      <c r="G826" s="48" t="e">
        <v>#REF!</v>
      </c>
      <c r="H826" s="49" t="e">
        <v>#REF!</v>
      </c>
      <c r="I826" s="49" t="e">
        <v>#REF!</v>
      </c>
      <c r="J826" s="50"/>
    </row>
    <row r="827" outlineLevel="1" spans="1:10">
      <c r="A827" s="50">
        <v>685</v>
      </c>
      <c r="B827" s="51" t="str">
        <v>外墙EPS线条-线条70*70</v>
      </c>
      <c r="C827" s="51" t="e">
        <v>#REF!</v>
      </c>
      <c r="D827" s="51" t="str">
        <v/>
      </c>
      <c r="E827" s="51" t="str">
        <v/>
      </c>
      <c r="F827" s="52" t="e">
        <v>#REF!</v>
      </c>
      <c r="G827" s="48" t="e">
        <v>#REF!</v>
      </c>
      <c r="H827" s="49" t="e">
        <v>#REF!</v>
      </c>
      <c r="I827" s="49" t="e">
        <v>#REF!</v>
      </c>
      <c r="J827" s="50"/>
    </row>
    <row r="828" ht="28.8" outlineLevel="1" spans="1:10">
      <c r="A828" s="50">
        <v>686</v>
      </c>
      <c r="B828" s="51" t="str">
        <v>外墙EPS线条-线条70*210</v>
      </c>
      <c r="C828" s="51" t="e">
        <v>#REF!</v>
      </c>
      <c r="D828" s="51" t="str">
        <v/>
      </c>
      <c r="E828" s="51" t="str">
        <v/>
      </c>
      <c r="F828" s="52" t="e">
        <v>#REF!</v>
      </c>
      <c r="G828" s="48" t="e">
        <v>#REF!</v>
      </c>
      <c r="H828" s="49" t="e">
        <v>#REF!</v>
      </c>
      <c r="I828" s="49" t="e">
        <v>#REF!</v>
      </c>
      <c r="J828" s="50"/>
    </row>
    <row r="829" ht="28.8" outlineLevel="1" spans="1:10">
      <c r="A829" s="50">
        <v>687</v>
      </c>
      <c r="B829" s="51" t="str">
        <v>外墙EPS线条-线条70*390</v>
      </c>
      <c r="C829" s="51" t="e">
        <v>#REF!</v>
      </c>
      <c r="D829" s="51" t="str">
        <v/>
      </c>
      <c r="E829" s="51" t="str">
        <v/>
      </c>
      <c r="F829" s="52" t="e">
        <v>#REF!</v>
      </c>
      <c r="G829" s="48" t="e">
        <v>#REF!</v>
      </c>
      <c r="H829" s="49" t="e">
        <v>#REF!</v>
      </c>
      <c r="I829" s="49" t="e">
        <v>#REF!</v>
      </c>
      <c r="J829" s="50"/>
    </row>
    <row r="830" ht="28.8" outlineLevel="1" spans="1:10">
      <c r="A830" s="50">
        <v>688</v>
      </c>
      <c r="B830" s="51" t="str">
        <v>外墙EPS线条-线条50*100</v>
      </c>
      <c r="C830" s="51" t="e">
        <v>#REF!</v>
      </c>
      <c r="D830" s="51" t="str">
        <v/>
      </c>
      <c r="E830" s="51" t="str">
        <v/>
      </c>
      <c r="F830" s="52" t="e">
        <v>#REF!</v>
      </c>
      <c r="G830" s="48" t="e">
        <v>#REF!</v>
      </c>
      <c r="H830" s="49" t="e">
        <v>#REF!</v>
      </c>
      <c r="I830" s="49" t="e">
        <v>#REF!</v>
      </c>
      <c r="J830" s="50"/>
    </row>
    <row r="831" ht="28.8" outlineLevel="1" spans="1:10">
      <c r="A831" s="50">
        <v>689</v>
      </c>
      <c r="B831" s="51" t="str">
        <v>外墙EPS线条-线条160*100</v>
      </c>
      <c r="C831" s="51" t="e">
        <v>#REF!</v>
      </c>
      <c r="D831" s="51" t="str">
        <v/>
      </c>
      <c r="E831" s="51" t="str">
        <v/>
      </c>
      <c r="F831" s="52" t="e">
        <v>#REF!</v>
      </c>
      <c r="G831" s="48" t="e">
        <v>#REF!</v>
      </c>
      <c r="H831" s="49" t="e">
        <v>#REF!</v>
      </c>
      <c r="I831" s="49" t="e">
        <v>#REF!</v>
      </c>
      <c r="J831" s="50"/>
    </row>
    <row r="832" ht="28.8" outlineLevel="1" spans="1:10">
      <c r="A832" s="50">
        <v>690</v>
      </c>
      <c r="B832" s="51" t="str">
        <v>外墙EPS线条-线条120*40</v>
      </c>
      <c r="C832" s="51" t="e">
        <v>#REF!</v>
      </c>
      <c r="D832" s="51" t="str">
        <v/>
      </c>
      <c r="E832" s="51" t="str">
        <v/>
      </c>
      <c r="F832" s="52" t="e">
        <v>#REF!</v>
      </c>
      <c r="G832" s="48" t="e">
        <v>#REF!</v>
      </c>
      <c r="H832" s="49" t="e">
        <v>#REF!</v>
      </c>
      <c r="I832" s="49" t="e">
        <v>#REF!</v>
      </c>
      <c r="J832" s="50"/>
    </row>
    <row r="833" ht="28.8" outlineLevel="1" spans="1:10">
      <c r="A833" s="50">
        <v>691</v>
      </c>
      <c r="B833" s="51" t="str">
        <v>外墙EPS线条-线条100*280</v>
      </c>
      <c r="C833" s="51" t="e">
        <v>#REF!</v>
      </c>
      <c r="D833" s="51" t="str">
        <v/>
      </c>
      <c r="E833" s="51" t="str">
        <v/>
      </c>
      <c r="F833" s="52" t="e">
        <v>#REF!</v>
      </c>
      <c r="G833" s="48" t="e">
        <v>#REF!</v>
      </c>
      <c r="H833" s="49" t="e">
        <v>#REF!</v>
      </c>
      <c r="I833" s="49" t="e">
        <v>#REF!</v>
      </c>
      <c r="J833" s="50"/>
    </row>
    <row r="834" ht="28.8" outlineLevel="1" spans="1:10">
      <c r="A834" s="50">
        <v>692</v>
      </c>
      <c r="B834" s="51" t="str">
        <v>外墙EPS线条-线条100*140</v>
      </c>
      <c r="C834" s="51" t="e">
        <v>#REF!</v>
      </c>
      <c r="D834" s="51" t="str">
        <v/>
      </c>
      <c r="E834" s="51" t="str">
        <v/>
      </c>
      <c r="F834" s="52" t="e">
        <v>#REF!</v>
      </c>
      <c r="G834" s="48" t="e">
        <v>#REF!</v>
      </c>
      <c r="H834" s="49" t="e">
        <v>#REF!</v>
      </c>
      <c r="I834" s="49" t="e">
        <v>#REF!</v>
      </c>
      <c r="J834" s="50"/>
    </row>
    <row r="835" ht="28.8" outlineLevel="1" spans="1:10">
      <c r="A835" s="50">
        <v>693</v>
      </c>
      <c r="B835" s="51" t="str">
        <v>外墙EPS线条-线条130*100</v>
      </c>
      <c r="C835" s="51" t="e">
        <v>#REF!</v>
      </c>
      <c r="D835" s="51" t="str">
        <v/>
      </c>
      <c r="E835" s="51" t="str">
        <v/>
      </c>
      <c r="F835" s="52" t="e">
        <v>#REF!</v>
      </c>
      <c r="G835" s="48" t="e">
        <v>#REF!</v>
      </c>
      <c r="H835" s="49" t="e">
        <v>#REF!</v>
      </c>
      <c r="I835" s="49" t="e">
        <v>#REF!</v>
      </c>
      <c r="J835" s="50"/>
    </row>
    <row r="836" ht="28.8" outlineLevel="1" spans="1:10">
      <c r="A836" s="50">
        <v>694</v>
      </c>
      <c r="B836" s="51" t="str">
        <v>外墙EPS线条-线条130*240</v>
      </c>
      <c r="C836" s="51" t="e">
        <v>#REF!</v>
      </c>
      <c r="D836" s="51" t="str">
        <v/>
      </c>
      <c r="E836" s="51" t="str">
        <v/>
      </c>
      <c r="F836" s="52" t="e">
        <v>#REF!</v>
      </c>
      <c r="G836" s="48" t="e">
        <v>#REF!</v>
      </c>
      <c r="H836" s="49" t="e">
        <v>#REF!</v>
      </c>
      <c r="I836" s="49" t="e">
        <v>#REF!</v>
      </c>
      <c r="J836" s="50"/>
    </row>
    <row r="837" outlineLevel="1" spans="1:10">
      <c r="A837" s="50">
        <v>695</v>
      </c>
      <c r="B837" s="51" t="str">
        <v>外墙EPS线条-线条80*50</v>
      </c>
      <c r="C837" s="51" t="e">
        <v>#REF!</v>
      </c>
      <c r="D837" s="51" t="str">
        <v/>
      </c>
      <c r="E837" s="51" t="str">
        <v/>
      </c>
      <c r="F837" s="52" t="e">
        <v>#REF!</v>
      </c>
      <c r="G837" s="48" t="e">
        <v>#REF!</v>
      </c>
      <c r="H837" s="49" t="e">
        <v>#REF!</v>
      </c>
      <c r="I837" s="49" t="e">
        <v>#REF!</v>
      </c>
      <c r="J837" s="50"/>
    </row>
    <row r="838" outlineLevel="1" spans="1:10">
      <c r="A838" s="50">
        <v>696</v>
      </c>
      <c r="B838" s="51" t="str">
        <v>外墙EPS线条-线条60*50</v>
      </c>
      <c r="C838" s="51" t="e">
        <v>#REF!</v>
      </c>
      <c r="D838" s="51" t="str">
        <v/>
      </c>
      <c r="E838" s="51" t="str">
        <v/>
      </c>
      <c r="F838" s="52" t="e">
        <v>#REF!</v>
      </c>
      <c r="G838" s="48" t="e">
        <v>#REF!</v>
      </c>
      <c r="H838" s="49" t="e">
        <v>#REF!</v>
      </c>
      <c r="I838" s="49" t="e">
        <v>#REF!</v>
      </c>
      <c r="J838" s="50"/>
    </row>
    <row r="839" outlineLevel="1" spans="1:10">
      <c r="A839" s="50">
        <v>697</v>
      </c>
      <c r="B839" s="51" t="str">
        <v>外墙EPS线条-线条35*50</v>
      </c>
      <c r="C839" s="51" t="e">
        <v>#REF!</v>
      </c>
      <c r="D839" s="51" t="str">
        <v/>
      </c>
      <c r="E839" s="51" t="str">
        <v/>
      </c>
      <c r="F839" s="52" t="e">
        <v>#REF!</v>
      </c>
      <c r="G839" s="48" t="e">
        <v>#REF!</v>
      </c>
      <c r="H839" s="49" t="e">
        <v>#REF!</v>
      </c>
      <c r="I839" s="49" t="e">
        <v>#REF!</v>
      </c>
      <c r="J839" s="50"/>
    </row>
    <row r="840" ht="28.8" outlineLevel="1" spans="1:10">
      <c r="A840" s="50">
        <v>698</v>
      </c>
      <c r="B840" s="51" t="str">
        <v>外墙EPS线条-线条120*500</v>
      </c>
      <c r="C840" s="51" t="e">
        <v>#REF!</v>
      </c>
      <c r="D840" s="51" t="str">
        <v/>
      </c>
      <c r="E840" s="51" t="str">
        <v/>
      </c>
      <c r="F840" s="52" t="e">
        <v>#REF!</v>
      </c>
      <c r="G840" s="48" t="e">
        <v>#REF!</v>
      </c>
      <c r="H840" s="49" t="e">
        <v>#REF!</v>
      </c>
      <c r="I840" s="49" t="e">
        <v>#REF!</v>
      </c>
      <c r="J840" s="50"/>
    </row>
    <row r="841" ht="28.8" outlineLevel="1" spans="1:10">
      <c r="A841" s="50">
        <v>699</v>
      </c>
      <c r="B841" s="51" t="str">
        <v>外墙EPS线条-线条1082*140</v>
      </c>
      <c r="C841" s="51" t="e">
        <v>#REF!</v>
      </c>
      <c r="D841" s="51" t="str">
        <v/>
      </c>
      <c r="E841" s="51" t="str">
        <v/>
      </c>
      <c r="F841" s="52" t="e">
        <v>#REF!</v>
      </c>
      <c r="G841" s="48" t="e">
        <v>#REF!</v>
      </c>
      <c r="H841" s="49" t="e">
        <v>#REF!</v>
      </c>
      <c r="I841" s="49" t="e">
        <v>#REF!</v>
      </c>
      <c r="J841" s="50"/>
    </row>
    <row r="842" ht="28.8" outlineLevel="1" spans="1:10">
      <c r="A842" s="50">
        <v>700</v>
      </c>
      <c r="B842" s="51" t="str">
        <v>外墙EPS线条-不规则EPS线条410*100</v>
      </c>
      <c r="C842" s="51" t="e">
        <v>#REF!</v>
      </c>
      <c r="D842" s="51" t="str">
        <v/>
      </c>
      <c r="E842" s="51" t="str">
        <v/>
      </c>
      <c r="F842" s="52" t="e">
        <v>#REF!</v>
      </c>
      <c r="G842" s="48" t="e">
        <v>#REF!</v>
      </c>
      <c r="H842" s="49" t="e">
        <v>#REF!</v>
      </c>
      <c r="I842" s="49" t="e">
        <v>#REF!</v>
      </c>
      <c r="J842" s="50"/>
    </row>
    <row r="843" ht="28.8" outlineLevel="1" spans="1:10">
      <c r="A843" s="50">
        <v>701</v>
      </c>
      <c r="B843" s="51" t="str">
        <v>外墙EPS线条-线条150*80</v>
      </c>
      <c r="C843" s="51" t="e">
        <v>#REF!</v>
      </c>
      <c r="D843" s="51" t="str">
        <v/>
      </c>
      <c r="E843" s="51" t="str">
        <v/>
      </c>
      <c r="F843" s="52" t="e">
        <v>#REF!</v>
      </c>
      <c r="G843" s="48" t="e">
        <v>#REF!</v>
      </c>
      <c r="H843" s="49" t="e">
        <v>#REF!</v>
      </c>
      <c r="I843" s="49" t="e">
        <v>#REF!</v>
      </c>
      <c r="J843" s="50"/>
    </row>
    <row r="844" ht="28.8" outlineLevel="1" spans="1:10">
      <c r="A844" s="50">
        <v>702</v>
      </c>
      <c r="B844" s="51" t="str">
        <v>外墙EPS线条-线条480*170</v>
      </c>
      <c r="C844" s="51" t="e">
        <v>#REF!</v>
      </c>
      <c r="D844" s="51" t="str">
        <v/>
      </c>
      <c r="E844" s="51" t="str">
        <v/>
      </c>
      <c r="F844" s="52" t="e">
        <v>#REF!</v>
      </c>
      <c r="G844" s="48" t="e">
        <v>#REF!</v>
      </c>
      <c r="H844" s="49" t="e">
        <v>#REF!</v>
      </c>
      <c r="I844" s="49" t="e">
        <v>#REF!</v>
      </c>
      <c r="J844" s="50"/>
    </row>
    <row r="845" ht="28.8" outlineLevel="1" spans="1:10">
      <c r="A845" s="50">
        <v>703</v>
      </c>
      <c r="B845" s="51" t="str">
        <v>外墙EPS线条-线条1840*150</v>
      </c>
      <c r="C845" s="51" t="e">
        <v>#REF!</v>
      </c>
      <c r="D845" s="51" t="str">
        <v/>
      </c>
      <c r="E845" s="51" t="str">
        <v/>
      </c>
      <c r="F845" s="52" t="e">
        <v>#REF!</v>
      </c>
      <c r="G845" s="48" t="e">
        <v>#REF!</v>
      </c>
      <c r="H845" s="49" t="e">
        <v>#REF!</v>
      </c>
      <c r="I845" s="49" t="e">
        <v>#REF!</v>
      </c>
      <c r="J845" s="50"/>
    </row>
    <row r="846" ht="28.8" outlineLevel="1" spans="1:10">
      <c r="A846" s="50">
        <v>704</v>
      </c>
      <c r="B846" s="51" t="str">
        <v>外墙EPS线条-线条450*50</v>
      </c>
      <c r="C846" s="51" t="e">
        <v>#REF!</v>
      </c>
      <c r="D846" s="51" t="str">
        <v/>
      </c>
      <c r="E846" s="51" t="str">
        <v/>
      </c>
      <c r="F846" s="52" t="e">
        <v>#REF!</v>
      </c>
      <c r="G846" s="48" t="e">
        <v>#REF!</v>
      </c>
      <c r="H846" s="49" t="e">
        <v>#REF!</v>
      </c>
      <c r="I846" s="49" t="e">
        <v>#REF!</v>
      </c>
      <c r="J846" s="50"/>
    </row>
    <row r="847" ht="28.8" outlineLevel="1" spans="1:10">
      <c r="A847" s="50">
        <v>705</v>
      </c>
      <c r="B847" s="51" t="str">
        <v>外墙EPS线条-线条695*150</v>
      </c>
      <c r="C847" s="51" t="e">
        <v>#REF!</v>
      </c>
      <c r="D847" s="51" t="str">
        <v/>
      </c>
      <c r="E847" s="51" t="str">
        <v/>
      </c>
      <c r="F847" s="52" t="e">
        <v>#REF!</v>
      </c>
      <c r="G847" s="48" t="e">
        <v>#REF!</v>
      </c>
      <c r="H847" s="49" t="e">
        <v>#REF!</v>
      </c>
      <c r="I847" s="49" t="e">
        <v>#REF!</v>
      </c>
      <c r="J847" s="50"/>
    </row>
    <row r="848" outlineLevel="1" spans="1:10">
      <c r="A848" s="50">
        <v>706</v>
      </c>
      <c r="B848" s="51" t="str">
        <v>外墙EPS线条-线条70*50</v>
      </c>
      <c r="C848" s="51" t="e">
        <v>#REF!</v>
      </c>
      <c r="D848" s="51" t="str">
        <v/>
      </c>
      <c r="E848" s="51" t="str">
        <v/>
      </c>
      <c r="F848" s="52" t="e">
        <v>#REF!</v>
      </c>
      <c r="G848" s="48" t="e">
        <v>#REF!</v>
      </c>
      <c r="H848" s="49" t="e">
        <v>#REF!</v>
      </c>
      <c r="I848" s="49" t="e">
        <v>#REF!</v>
      </c>
      <c r="J848" s="50"/>
    </row>
    <row r="849" ht="28.8" outlineLevel="1" spans="1:10">
      <c r="A849" s="50">
        <v>707</v>
      </c>
      <c r="B849" s="51" t="str">
        <v>外墙EPS线条-线条300*100</v>
      </c>
      <c r="C849" s="51" t="e">
        <v>#REF!</v>
      </c>
      <c r="D849" s="51" t="str">
        <v/>
      </c>
      <c r="E849" s="51" t="str">
        <v/>
      </c>
      <c r="F849" s="52" t="e">
        <v>#REF!</v>
      </c>
      <c r="G849" s="48" t="e">
        <v>#REF!</v>
      </c>
      <c r="H849" s="49" t="e">
        <v>#REF!</v>
      </c>
      <c r="I849" s="49" t="e">
        <v>#REF!</v>
      </c>
      <c r="J849" s="50"/>
    </row>
    <row r="850" ht="28.8" outlineLevel="1" spans="1:10">
      <c r="A850" s="50">
        <v>708</v>
      </c>
      <c r="B850" s="51" t="str">
        <v>外墙EPS线条-线条200*100</v>
      </c>
      <c r="C850" s="51" t="e">
        <v>#REF!</v>
      </c>
      <c r="D850" s="51" t="str">
        <v/>
      </c>
      <c r="E850" s="51" t="str">
        <v/>
      </c>
      <c r="F850" s="52" t="e">
        <v>#REF!</v>
      </c>
      <c r="G850" s="48" t="e">
        <v>#REF!</v>
      </c>
      <c r="H850" s="49" t="e">
        <v>#REF!</v>
      </c>
      <c r="I850" s="49" t="e">
        <v>#REF!</v>
      </c>
      <c r="J850" s="50"/>
    </row>
    <row r="851" ht="43.2" outlineLevel="1" spans="1:10">
      <c r="A851" s="50">
        <v>709</v>
      </c>
      <c r="B851" s="51" t="str">
        <v>外墙EPS线条-不规则EPS线条1750*420（顶层挑檐下）</v>
      </c>
      <c r="C851" s="51" t="e">
        <v>#REF!</v>
      </c>
      <c r="D851" s="51" t="str">
        <v/>
      </c>
      <c r="E851" s="51" t="str">
        <v/>
      </c>
      <c r="F851" s="52" t="e">
        <v>#REF!</v>
      </c>
      <c r="G851" s="48" t="e">
        <v>#REF!</v>
      </c>
      <c r="H851" s="49" t="e">
        <v>#REF!</v>
      </c>
      <c r="I851" s="49" t="e">
        <v>#REF!</v>
      </c>
      <c r="J851" s="50"/>
    </row>
    <row r="852" ht="43.2" outlineLevel="1" spans="1:10">
      <c r="A852" s="50">
        <v>710</v>
      </c>
      <c r="B852" s="51" t="str">
        <v>外墙EPS线条-不规则EPS线条1250*300（顶层挑檐下）</v>
      </c>
      <c r="C852" s="51" t="e">
        <v>#REF!</v>
      </c>
      <c r="D852" s="51" t="str">
        <v/>
      </c>
      <c r="E852" s="51" t="str">
        <v/>
      </c>
      <c r="F852" s="52" t="e">
        <v>#REF!</v>
      </c>
      <c r="G852" s="48" t="e">
        <v>#REF!</v>
      </c>
      <c r="H852" s="49" t="e">
        <v>#REF!</v>
      </c>
      <c r="I852" s="49" t="e">
        <v>#REF!</v>
      </c>
      <c r="J852" s="50"/>
    </row>
    <row r="853" ht="28.8" outlineLevel="1" spans="1:10">
      <c r="A853" s="50">
        <v>711</v>
      </c>
      <c r="B853" s="51" t="str">
        <v>外墙EPS线条-L型120*100</v>
      </c>
      <c r="C853" s="51" t="e">
        <v>#REF!</v>
      </c>
      <c r="D853" s="51" t="str">
        <v/>
      </c>
      <c r="E853" s="51" t="str">
        <v/>
      </c>
      <c r="F853" s="52" t="e">
        <v>#REF!</v>
      </c>
      <c r="G853" s="48" t="e">
        <v>#REF!</v>
      </c>
      <c r="H853" s="49" t="e">
        <v>#REF!</v>
      </c>
      <c r="I853" s="49" t="e">
        <v>#REF!</v>
      </c>
      <c r="J853" s="50"/>
    </row>
    <row r="854" outlineLevel="1" spans="1:10">
      <c r="A854" s="50">
        <v>712</v>
      </c>
      <c r="B854" s="51" t="str">
        <v>柱头1</v>
      </c>
      <c r="C854" s="51" t="e">
        <v>#REF!</v>
      </c>
      <c r="D854" s="51" t="str">
        <v/>
      </c>
      <c r="E854" s="51" t="str">
        <v/>
      </c>
      <c r="F854" s="52" t="e">
        <v>#REF!</v>
      </c>
      <c r="G854" s="48" t="e">
        <v>#REF!</v>
      </c>
      <c r="H854" s="49" t="e">
        <v>#REF!</v>
      </c>
      <c r="I854" s="49" t="e">
        <v>#REF!</v>
      </c>
      <c r="J854" s="50"/>
    </row>
    <row r="855" outlineLevel="1" spans="1:10">
      <c r="A855" s="50">
        <v>713</v>
      </c>
      <c r="B855" s="51" t="str">
        <v>柱头2</v>
      </c>
      <c r="C855" s="51" t="e">
        <v>#REF!</v>
      </c>
      <c r="D855" s="51" t="str">
        <v/>
      </c>
      <c r="E855" s="51" t="str">
        <v/>
      </c>
      <c r="F855" s="52" t="e">
        <v>#REF!</v>
      </c>
      <c r="G855" s="48" t="e">
        <v>#REF!</v>
      </c>
      <c r="H855" s="49" t="e">
        <v>#REF!</v>
      </c>
      <c r="I855" s="49" t="e">
        <v>#REF!</v>
      </c>
      <c r="J855" s="50"/>
    </row>
    <row r="856" outlineLevel="1" spans="1:10">
      <c r="A856" s="50">
        <v>714</v>
      </c>
      <c r="B856" s="51" t="str">
        <v>柱头3</v>
      </c>
      <c r="C856" s="51" t="e">
        <v>#REF!</v>
      </c>
      <c r="D856" s="51" t="str">
        <v/>
      </c>
      <c r="E856" s="51" t="str">
        <v/>
      </c>
      <c r="F856" s="52" t="e">
        <v>#REF!</v>
      </c>
      <c r="G856" s="48" t="e">
        <v>#REF!</v>
      </c>
      <c r="H856" s="49" t="e">
        <v>#REF!</v>
      </c>
      <c r="I856" s="49" t="e">
        <v>#REF!</v>
      </c>
      <c r="J856" s="50"/>
    </row>
    <row r="857" outlineLevel="1" spans="1:10">
      <c r="A857" s="50">
        <v>715</v>
      </c>
      <c r="B857" s="51" t="str">
        <v>方柱1</v>
      </c>
      <c r="C857" s="51" t="e">
        <v>#REF!</v>
      </c>
      <c r="D857" s="51" t="str">
        <v/>
      </c>
      <c r="E857" s="51" t="str">
        <v/>
      </c>
      <c r="F857" s="52" t="e">
        <v>#REF!</v>
      </c>
      <c r="G857" s="48" t="e">
        <v>#REF!</v>
      </c>
      <c r="H857" s="49" t="e">
        <v>#REF!</v>
      </c>
      <c r="I857" s="49" t="e">
        <v>#REF!</v>
      </c>
      <c r="J857" s="50"/>
    </row>
    <row r="858" outlineLevel="1" spans="1:10">
      <c r="A858" s="50">
        <v>716</v>
      </c>
      <c r="B858" s="51" t="str">
        <v>方柱2</v>
      </c>
      <c r="C858" s="51" t="e">
        <v>#REF!</v>
      </c>
      <c r="D858" s="51" t="str">
        <v/>
      </c>
      <c r="E858" s="51" t="str">
        <v/>
      </c>
      <c r="F858" s="52" t="e">
        <v>#REF!</v>
      </c>
      <c r="G858" s="48" t="e">
        <v>#REF!</v>
      </c>
      <c r="H858" s="49" t="e">
        <v>#REF!</v>
      </c>
      <c r="I858" s="49" t="e">
        <v>#REF!</v>
      </c>
      <c r="J858" s="50"/>
    </row>
    <row r="859" outlineLevel="1" spans="1:10">
      <c r="A859" s="50">
        <v>717</v>
      </c>
      <c r="B859" s="51" t="str">
        <v>方柱3</v>
      </c>
      <c r="C859" s="51" t="e">
        <v>#REF!</v>
      </c>
      <c r="D859" s="51" t="str">
        <v/>
      </c>
      <c r="E859" s="51" t="str">
        <v/>
      </c>
      <c r="F859" s="52" t="e">
        <v>#REF!</v>
      </c>
      <c r="G859" s="48" t="e">
        <v>#REF!</v>
      </c>
      <c r="H859" s="49" t="e">
        <v>#REF!</v>
      </c>
      <c r="I859" s="49" t="e">
        <v>#REF!</v>
      </c>
      <c r="J859" s="50"/>
    </row>
    <row r="860" outlineLevel="1" spans="1:10">
      <c r="A860" s="50">
        <v>718</v>
      </c>
      <c r="B860" s="51" t="str">
        <v>扶手墩1</v>
      </c>
      <c r="C860" s="51" t="e">
        <v>#REF!</v>
      </c>
      <c r="D860" s="51" t="str">
        <v/>
      </c>
      <c r="E860" s="51" t="str">
        <v/>
      </c>
      <c r="F860" s="52" t="e">
        <v>#REF!</v>
      </c>
      <c r="G860" s="48" t="e">
        <v>#REF!</v>
      </c>
      <c r="H860" s="49" t="e">
        <v>#REF!</v>
      </c>
      <c r="I860" s="49" t="e">
        <v>#REF!</v>
      </c>
      <c r="J860" s="50"/>
    </row>
    <row r="861" outlineLevel="1" spans="1:10">
      <c r="A861" s="50">
        <v>719</v>
      </c>
      <c r="B861" s="51" t="str">
        <v>顶部EPS装饰檐线</v>
      </c>
      <c r="C861" s="51" t="e">
        <v>#REF!</v>
      </c>
      <c r="D861" s="51" t="str">
        <v/>
      </c>
      <c r="E861" s="51" t="str">
        <v/>
      </c>
      <c r="F861" s="52" t="e">
        <v>#REF!</v>
      </c>
      <c r="G861" s="48" t="e">
        <v>#REF!</v>
      </c>
      <c r="H861" s="49" t="e">
        <v>#REF!</v>
      </c>
      <c r="I861" s="49" t="e">
        <v>#REF!</v>
      </c>
      <c r="J861" s="50"/>
    </row>
    <row r="862" outlineLevel="1" spans="1:10">
      <c r="A862" s="50">
        <v>720</v>
      </c>
      <c r="B862" s="51" t="str">
        <v>顶部EPS檐线内造型</v>
      </c>
      <c r="C862" s="51" t="e">
        <v>#REF!</v>
      </c>
      <c r="D862" s="51" t="str">
        <v/>
      </c>
      <c r="E862" s="51" t="str">
        <v/>
      </c>
      <c r="F862" s="52" t="e">
        <v>#REF!</v>
      </c>
      <c r="G862" s="48" t="e">
        <v>#REF!</v>
      </c>
      <c r="H862" s="49" t="e">
        <v>#REF!</v>
      </c>
      <c r="I862" s="49" t="e">
        <v>#REF!</v>
      </c>
      <c r="J862" s="50"/>
    </row>
    <row r="863" ht="28.8" outlineLevel="1" spans="1:10">
      <c r="A863" s="50">
        <v>721</v>
      </c>
      <c r="B863" s="51" t="str">
        <v>柱身突出造型EPS439*480</v>
      </c>
      <c r="C863" s="51" t="e">
        <v>#REF!</v>
      </c>
      <c r="D863" s="51" t="str">
        <v/>
      </c>
      <c r="E863" s="51" t="str">
        <v/>
      </c>
      <c r="F863" s="52" t="e">
        <v>#REF!</v>
      </c>
      <c r="G863" s="48" t="e">
        <v>#REF!</v>
      </c>
      <c r="H863" s="49" t="e">
        <v>#REF!</v>
      </c>
      <c r="I863" s="49" t="e">
        <v>#REF!</v>
      </c>
      <c r="J863" s="50"/>
    </row>
    <row r="864" ht="28.8" outlineLevel="1" spans="1:10">
      <c r="A864" s="50">
        <v>722</v>
      </c>
      <c r="B864" s="51" t="str">
        <v>上扶手线（含砼及埋件）</v>
      </c>
      <c r="C864" s="51" t="e">
        <v>#REF!</v>
      </c>
      <c r="D864" s="51" t="str">
        <v/>
      </c>
      <c r="E864" s="51" t="str">
        <v/>
      </c>
      <c r="F864" s="52" t="e">
        <v>#REF!</v>
      </c>
      <c r="G864" s="48" t="e">
        <v>#REF!</v>
      </c>
      <c r="H864" s="49" t="e">
        <v>#REF!</v>
      </c>
      <c r="I864" s="49" t="e">
        <v>#REF!</v>
      </c>
      <c r="J864" s="50"/>
    </row>
    <row r="865" outlineLevel="1" spans="1:10">
      <c r="A865" s="50">
        <v>723</v>
      </c>
      <c r="B865" s="51" t="str">
        <v>下扶手线</v>
      </c>
      <c r="C865" s="51" t="e">
        <v>#REF!</v>
      </c>
      <c r="D865" s="51" t="str">
        <v/>
      </c>
      <c r="E865" s="51" t="str">
        <v/>
      </c>
      <c r="F865" s="52" t="e">
        <v>#REF!</v>
      </c>
      <c r="G865" s="48" t="e">
        <v>#REF!</v>
      </c>
      <c r="H865" s="49" t="e">
        <v>#REF!</v>
      </c>
      <c r="I865" s="49" t="e">
        <v>#REF!</v>
      </c>
      <c r="J865" s="50"/>
    </row>
    <row r="866" ht="28.8" outlineLevel="1" spans="1:10">
      <c r="A866" s="50">
        <v>724</v>
      </c>
      <c r="B866" s="51" t="str">
        <v>车库出入口成品宝瓶栏杆柱</v>
      </c>
      <c r="C866" s="51" t="e">
        <v>#REF!</v>
      </c>
      <c r="D866" s="51" t="str">
        <v/>
      </c>
      <c r="E866" s="51" t="str">
        <v/>
      </c>
      <c r="F866" s="52" t="e">
        <v>#REF!</v>
      </c>
      <c r="G866" s="48" t="e">
        <v>#REF!</v>
      </c>
      <c r="H866" s="49" t="e">
        <v>#REF!</v>
      </c>
      <c r="I866" s="49" t="e">
        <v>#REF!</v>
      </c>
      <c r="J866" s="50"/>
    </row>
    <row r="867" outlineLevel="1" spans="1:10">
      <c r="A867" s="50" t="str">
        <v/>
      </c>
      <c r="B867" s="51" t="str">
        <v>A.06.03外墙饰面工程</v>
      </c>
      <c r="C867" s="51" t="str">
        <v/>
      </c>
      <c r="D867" s="51" t="str">
        <v/>
      </c>
      <c r="E867" s="51" t="str">
        <v/>
      </c>
      <c r="F867" s="52" t="str">
        <v/>
      </c>
      <c r="G867" s="48" t="str">
        <v/>
      </c>
      <c r="H867" s="49">
        <v>0</v>
      </c>
      <c r="I867" s="49" t="e">
        <v>#REF!</v>
      </c>
      <c r="J867" s="50"/>
    </row>
    <row r="868" outlineLevel="1" spans="1:10">
      <c r="A868" s="50" t="str">
        <v/>
      </c>
      <c r="B868" s="51" t="str">
        <v>外墙大面涂料</v>
      </c>
      <c r="C868" s="51" t="str">
        <v/>
      </c>
      <c r="D868" s="51" t="str">
        <v/>
      </c>
      <c r="E868" s="51" t="str">
        <v/>
      </c>
      <c r="F868" s="52" t="str">
        <v/>
      </c>
      <c r="G868" s="48" t="str">
        <v/>
      </c>
      <c r="H868" s="49">
        <v>0</v>
      </c>
      <c r="I868" s="49">
        <v>0</v>
      </c>
      <c r="J868" s="50"/>
    </row>
    <row r="869" outlineLevel="1" spans="1:10">
      <c r="A869" s="50">
        <v>725</v>
      </c>
      <c r="B869" s="51" t="str">
        <v>外墙涂料-米黄色水包水</v>
      </c>
      <c r="C869" s="51" t="e">
        <v>#REF!</v>
      </c>
      <c r="D869" s="51" t="str">
        <v/>
      </c>
      <c r="E869" s="51" t="str">
        <v/>
      </c>
      <c r="F869" s="52" t="e">
        <v>#REF!</v>
      </c>
      <c r="G869" s="48" t="e">
        <v>#REF!</v>
      </c>
      <c r="H869" s="49" t="e">
        <v>#REF!</v>
      </c>
      <c r="I869" s="49" t="e">
        <v>#REF!</v>
      </c>
      <c r="J869" s="50"/>
    </row>
    <row r="870" outlineLevel="1" spans="1:10">
      <c r="A870" s="50">
        <v>726</v>
      </c>
      <c r="B870" s="51" t="str">
        <v>外墙涂料-水包砂</v>
      </c>
      <c r="C870" s="51" t="e">
        <v>#REF!</v>
      </c>
      <c r="D870" s="51" t="str">
        <v/>
      </c>
      <c r="E870" s="51" t="str">
        <v/>
      </c>
      <c r="F870" s="52" t="e">
        <v>#REF!</v>
      </c>
      <c r="G870" s="48" t="e">
        <v>#REF!</v>
      </c>
      <c r="H870" s="49">
        <v>0</v>
      </c>
      <c r="I870" s="49" t="e">
        <v>#REF!</v>
      </c>
      <c r="J870" s="50"/>
    </row>
    <row r="871" ht="28.8" outlineLevel="1" spans="1:10">
      <c r="A871" s="50">
        <v>727</v>
      </c>
      <c r="B871" s="51" t="str">
        <v>外墙涂料-米黄色质感涂料</v>
      </c>
      <c r="C871" s="51" t="e">
        <v>#REF!</v>
      </c>
      <c r="D871" s="51" t="str">
        <v/>
      </c>
      <c r="E871" s="51" t="str">
        <v/>
      </c>
      <c r="F871" s="52" t="e">
        <v>#REF!</v>
      </c>
      <c r="G871" s="48" t="e">
        <v>#REF!</v>
      </c>
      <c r="H871" s="49">
        <v>0.387326835678695</v>
      </c>
      <c r="I871" s="49" t="e">
        <v>#REF!</v>
      </c>
      <c r="J871" s="50"/>
    </row>
    <row r="872" ht="28.8" outlineLevel="1" spans="1:10">
      <c r="A872" s="50">
        <v>728</v>
      </c>
      <c r="B872" s="51" t="str">
        <v>外墙涂料-深褐色质感涂料</v>
      </c>
      <c r="C872" s="51" t="e">
        <v>#REF!</v>
      </c>
      <c r="D872" s="51" t="str">
        <v/>
      </c>
      <c r="E872" s="51" t="str">
        <v/>
      </c>
      <c r="F872" s="52" t="e">
        <v>#REF!</v>
      </c>
      <c r="G872" s="48" t="e">
        <v>#REF!</v>
      </c>
      <c r="H872" s="49" t="e">
        <v>#REF!</v>
      </c>
      <c r="I872" s="49" t="e">
        <v>#REF!</v>
      </c>
      <c r="J872" s="50"/>
    </row>
    <row r="873" outlineLevel="1" spans="1:10">
      <c r="A873" s="50">
        <v>729</v>
      </c>
      <c r="B873" s="51" t="str">
        <v>外墙涂料-咖色质感涂料</v>
      </c>
      <c r="C873" s="51" t="e">
        <v>#REF!</v>
      </c>
      <c r="D873" s="51" t="str">
        <v/>
      </c>
      <c r="E873" s="51" t="str">
        <v/>
      </c>
      <c r="F873" s="52" t="e">
        <v>#REF!</v>
      </c>
      <c r="G873" s="48" t="e">
        <v>#REF!</v>
      </c>
      <c r="H873" s="49" t="e">
        <v>#REF!</v>
      </c>
      <c r="I873" s="49" t="e">
        <v>#REF!</v>
      </c>
      <c r="J873" s="50"/>
    </row>
    <row r="874" ht="28.8" outlineLevel="1" spans="1:10">
      <c r="A874" s="50">
        <v>730</v>
      </c>
      <c r="B874" s="51" t="str">
        <v>外墙涂料-仿葡萄牙米黄水包水</v>
      </c>
      <c r="C874" s="51" t="e">
        <v>#REF!</v>
      </c>
      <c r="D874" s="51" t="str">
        <v/>
      </c>
      <c r="E874" s="51" t="str">
        <v/>
      </c>
      <c r="F874" s="52" t="e">
        <v>#REF!</v>
      </c>
      <c r="G874" s="48" t="e">
        <v>#REF!</v>
      </c>
      <c r="H874" s="49" t="e">
        <v>#REF!</v>
      </c>
      <c r="I874" s="49" t="e">
        <v>#REF!</v>
      </c>
      <c r="J874" s="50"/>
    </row>
    <row r="875" outlineLevel="1" spans="1:10">
      <c r="A875" s="50">
        <v>731</v>
      </c>
      <c r="B875" s="51" t="str">
        <v>外墙涂料-古典棕水包水</v>
      </c>
      <c r="C875" s="51" t="e">
        <v>#REF!</v>
      </c>
      <c r="D875" s="51" t="str">
        <v/>
      </c>
      <c r="E875" s="51" t="str">
        <v/>
      </c>
      <c r="F875" s="52" t="e">
        <v>#REF!</v>
      </c>
      <c r="G875" s="48" t="e">
        <v>#REF!</v>
      </c>
      <c r="H875" s="49" t="e">
        <v>#REF!</v>
      </c>
      <c r="I875" s="49" t="e">
        <v>#REF!</v>
      </c>
      <c r="J875" s="50"/>
    </row>
    <row r="876" outlineLevel="1" spans="1:10">
      <c r="A876" s="50">
        <v>732</v>
      </c>
      <c r="B876" s="51" t="str">
        <v>外墙涂料-米黄色真石漆</v>
      </c>
      <c r="C876" s="51" t="e">
        <v>#REF!</v>
      </c>
      <c r="D876" s="51" t="str">
        <v/>
      </c>
      <c r="E876" s="51" t="str">
        <v/>
      </c>
      <c r="F876" s="52" t="e">
        <v>#REF!</v>
      </c>
      <c r="G876" s="48" t="e">
        <v>#REF!</v>
      </c>
      <c r="H876" s="49" t="e">
        <v>#REF!</v>
      </c>
      <c r="I876" s="49" t="e">
        <v>#REF!</v>
      </c>
      <c r="J876" s="50"/>
    </row>
    <row r="877" ht="28.8" outlineLevel="1" spans="1:10">
      <c r="A877" s="50">
        <v>733</v>
      </c>
      <c r="B877" s="51" t="str">
        <v>外墙涂料-仿葡萄牙米黄真石漆</v>
      </c>
      <c r="C877" s="51" t="e">
        <v>#REF!</v>
      </c>
      <c r="D877" s="51" t="str">
        <v/>
      </c>
      <c r="E877" s="51" t="str">
        <v/>
      </c>
      <c r="F877" s="52" t="e">
        <v>#REF!</v>
      </c>
      <c r="G877" s="48" t="e">
        <v>#REF!</v>
      </c>
      <c r="H877" s="49" t="e">
        <v>#REF!</v>
      </c>
      <c r="I877" s="49" t="e">
        <v>#REF!</v>
      </c>
      <c r="J877" s="50"/>
    </row>
    <row r="878" outlineLevel="1" spans="1:10">
      <c r="A878" s="50">
        <v>734</v>
      </c>
      <c r="B878" s="51" t="str">
        <v>外墙涂料-米白色真石漆</v>
      </c>
      <c r="C878" s="51" t="e">
        <v>#REF!</v>
      </c>
      <c r="D878" s="51" t="str">
        <v/>
      </c>
      <c r="E878" s="51" t="str">
        <v/>
      </c>
      <c r="F878" s="52" t="e">
        <v>#REF!</v>
      </c>
      <c r="G878" s="48" t="e">
        <v>#REF!</v>
      </c>
      <c r="H878" s="49" t="e">
        <v>#REF!</v>
      </c>
      <c r="I878" s="49" t="e">
        <v>#REF!</v>
      </c>
      <c r="J878" s="50"/>
    </row>
    <row r="879" outlineLevel="1" spans="1:10">
      <c r="A879" s="50">
        <v>735</v>
      </c>
      <c r="B879" s="51" t="str">
        <v>外墙涂料-深咖色真石漆</v>
      </c>
      <c r="C879" s="51" t="e">
        <v>#REF!</v>
      </c>
      <c r="D879" s="51" t="str">
        <v/>
      </c>
      <c r="E879" s="51" t="str">
        <v/>
      </c>
      <c r="F879" s="52" t="e">
        <v>#REF!</v>
      </c>
      <c r="G879" s="48" t="e">
        <v>#REF!</v>
      </c>
      <c r="H879" s="49" t="e">
        <v>#REF!</v>
      </c>
      <c r="I879" s="49" t="e">
        <v>#REF!</v>
      </c>
      <c r="J879" s="50"/>
    </row>
    <row r="880" outlineLevel="1" spans="1:10">
      <c r="A880" s="50">
        <v>736</v>
      </c>
      <c r="B880" s="51" t="str">
        <v>外墙涂料-弹涂</v>
      </c>
      <c r="C880" s="51" t="e">
        <v>#REF!</v>
      </c>
      <c r="D880" s="51" t="str">
        <v/>
      </c>
      <c r="E880" s="51" t="str">
        <v/>
      </c>
      <c r="F880" s="52" t="e">
        <v>#REF!</v>
      </c>
      <c r="G880" s="48" t="e">
        <v>#REF!</v>
      </c>
      <c r="H880" s="49">
        <v>0</v>
      </c>
      <c r="I880" s="49" t="e">
        <v>#REF!</v>
      </c>
      <c r="J880" s="50"/>
    </row>
    <row r="881" outlineLevel="1" spans="1:10">
      <c r="A881" s="50">
        <v>737</v>
      </c>
      <c r="B881" s="51" t="str">
        <v>外墙涂料</v>
      </c>
      <c r="C881" s="51" t="e">
        <v>#REF!</v>
      </c>
      <c r="D881" s="51" t="str">
        <v/>
      </c>
      <c r="E881" s="51" t="str">
        <v/>
      </c>
      <c r="F881" s="52" t="e">
        <v>#REF!</v>
      </c>
      <c r="G881" s="48" t="e">
        <v>#REF!</v>
      </c>
      <c r="H881" s="49">
        <v>0</v>
      </c>
      <c r="I881" s="49" t="e">
        <v>#REF!</v>
      </c>
      <c r="J881" s="50"/>
    </row>
    <row r="882" outlineLevel="1" spans="1:10">
      <c r="A882" s="50">
        <v>738</v>
      </c>
      <c r="B882" s="51" t="str">
        <v>外墙涂料-管线涂料</v>
      </c>
      <c r="C882" s="51" t="e">
        <v>#REF!</v>
      </c>
      <c r="D882" s="51" t="str">
        <v/>
      </c>
      <c r="E882" s="51" t="str">
        <v/>
      </c>
      <c r="F882" s="52" t="e">
        <v>#REF!</v>
      </c>
      <c r="G882" s="48" t="e">
        <v>#REF!</v>
      </c>
      <c r="H882" s="49">
        <v>0</v>
      </c>
      <c r="I882" s="49" t="e">
        <v>#REF!</v>
      </c>
      <c r="J882" s="50"/>
    </row>
    <row r="883" outlineLevel="1" spans="1:10">
      <c r="A883" s="50" t="str">
        <v/>
      </c>
      <c r="B883" s="51" t="str">
        <v>外墙外挑构件涂料</v>
      </c>
      <c r="C883" s="51" t="str">
        <v/>
      </c>
      <c r="D883" s="51" t="str">
        <v/>
      </c>
      <c r="E883" s="51" t="str">
        <v/>
      </c>
      <c r="F883" s="52" t="str">
        <v/>
      </c>
      <c r="G883" s="48" t="str">
        <v/>
      </c>
      <c r="H883" s="49">
        <v>0</v>
      </c>
      <c r="I883" s="49">
        <v>0</v>
      </c>
      <c r="J883" s="50"/>
    </row>
    <row r="884" ht="28.8" outlineLevel="1" spans="1:10">
      <c r="A884" s="50">
        <v>739</v>
      </c>
      <c r="B884" s="51" t="str">
        <v>外墙外挑涂料-米黄色水包水</v>
      </c>
      <c r="C884" s="51" t="e">
        <v>#REF!</v>
      </c>
      <c r="D884" s="51" t="str">
        <v/>
      </c>
      <c r="E884" s="51" t="str">
        <v/>
      </c>
      <c r="F884" s="52" t="e">
        <v>#REF!</v>
      </c>
      <c r="G884" s="48" t="e">
        <v>#REF!</v>
      </c>
      <c r="H884" s="49" t="e">
        <v>#REF!</v>
      </c>
      <c r="I884" s="49" t="e">
        <v>#REF!</v>
      </c>
      <c r="J884" s="50"/>
    </row>
    <row r="885" ht="28.8" outlineLevel="1" spans="1:10">
      <c r="A885" s="50">
        <v>740</v>
      </c>
      <c r="B885" s="51" t="str">
        <v>外墙外挑涂料-米黄色质感涂料</v>
      </c>
      <c r="C885" s="51" t="e">
        <v>#REF!</v>
      </c>
      <c r="D885" s="51" t="str">
        <v/>
      </c>
      <c r="E885" s="51" t="str">
        <v/>
      </c>
      <c r="F885" s="52" t="e">
        <v>#REF!</v>
      </c>
      <c r="G885" s="48" t="e">
        <v>#REF!</v>
      </c>
      <c r="H885" s="49" t="e">
        <v>#REF!</v>
      </c>
      <c r="I885" s="49" t="e">
        <v>#REF!</v>
      </c>
      <c r="J885" s="50"/>
    </row>
    <row r="886" ht="28.8" outlineLevel="1" spans="1:10">
      <c r="A886" s="50">
        <v>741</v>
      </c>
      <c r="B886" s="51" t="str">
        <v>外墙外挑涂料-深褐色质感涂料</v>
      </c>
      <c r="C886" s="51" t="e">
        <v>#REF!</v>
      </c>
      <c r="D886" s="51" t="str">
        <v/>
      </c>
      <c r="E886" s="51" t="str">
        <v/>
      </c>
      <c r="F886" s="52" t="e">
        <v>#REF!</v>
      </c>
      <c r="G886" s="48" t="e">
        <v>#REF!</v>
      </c>
      <c r="H886" s="49" t="e">
        <v>#REF!</v>
      </c>
      <c r="I886" s="49" t="e">
        <v>#REF!</v>
      </c>
      <c r="J886" s="50"/>
    </row>
    <row r="887" outlineLevel="1" spans="1:10">
      <c r="A887" s="50">
        <v>742</v>
      </c>
      <c r="B887" s="51" t="str">
        <v>外墙涂料-空调仓</v>
      </c>
      <c r="C887" s="51" t="e">
        <v>#REF!</v>
      </c>
      <c r="D887" s="51" t="str">
        <v/>
      </c>
      <c r="E887" s="51" t="str">
        <v/>
      </c>
      <c r="F887" s="52" t="e">
        <v>#REF!</v>
      </c>
      <c r="G887" s="48" t="e">
        <v>#REF!</v>
      </c>
      <c r="H887" s="49" t="e">
        <v>#REF!</v>
      </c>
      <c r="I887" s="49" t="e">
        <v>#REF!</v>
      </c>
      <c r="J887" s="50"/>
    </row>
    <row r="888" outlineLevel="1" spans="1:10">
      <c r="A888" s="50">
        <v>743</v>
      </c>
      <c r="B888" s="51" t="str">
        <v>外墙防水-空调仓</v>
      </c>
      <c r="C888" s="51" t="e">
        <v>#REF!</v>
      </c>
      <c r="D888" s="51" t="str">
        <v/>
      </c>
      <c r="E888" s="51" t="str">
        <v/>
      </c>
      <c r="F888" s="52" t="e">
        <v>#REF!</v>
      </c>
      <c r="G888" s="48" t="e">
        <v>#REF!</v>
      </c>
      <c r="H888" s="49">
        <v>0</v>
      </c>
      <c r="I888" s="49" t="e">
        <v>#REF!</v>
      </c>
      <c r="J888" s="50"/>
    </row>
    <row r="889" outlineLevel="1" spans="1:10">
      <c r="A889" s="50">
        <v>744</v>
      </c>
      <c r="B889" s="51" t="str">
        <v>外墙面-空调仓保护层</v>
      </c>
      <c r="C889" s="51" t="e">
        <v>#REF!</v>
      </c>
      <c r="D889" s="51" t="str">
        <v/>
      </c>
      <c r="E889" s="51" t="str">
        <v/>
      </c>
      <c r="F889" s="52" t="e">
        <v>#REF!</v>
      </c>
      <c r="G889" s="48" t="e">
        <v>#REF!</v>
      </c>
      <c r="H889" s="49">
        <v>0</v>
      </c>
      <c r="I889" s="49" t="e">
        <v>#REF!</v>
      </c>
      <c r="J889" s="50"/>
    </row>
    <row r="890" outlineLevel="1" spans="1:10">
      <c r="A890" s="50">
        <v>745</v>
      </c>
      <c r="B890" s="51" t="str">
        <v>外墙面-空调板防水</v>
      </c>
      <c r="C890" s="51" t="e">
        <v>#REF!</v>
      </c>
      <c r="D890" s="51" t="str">
        <v/>
      </c>
      <c r="E890" s="51" t="str">
        <v/>
      </c>
      <c r="F890" s="52" t="e">
        <v>#REF!</v>
      </c>
      <c r="G890" s="48" t="e">
        <v>#REF!</v>
      </c>
      <c r="H890" s="49">
        <v>0</v>
      </c>
      <c r="I890" s="49" t="e">
        <v>#REF!</v>
      </c>
      <c r="J890" s="50"/>
    </row>
    <row r="891" ht="28.8" outlineLevel="1" spans="1:10">
      <c r="A891" s="50">
        <v>746</v>
      </c>
      <c r="B891" s="51" t="str">
        <v>外墙面-15厚聚合物M15水泥（防水）砂浆</v>
      </c>
      <c r="C891" s="51" t="e">
        <v>#REF!</v>
      </c>
      <c r="D891" s="51" t="str">
        <v/>
      </c>
      <c r="E891" s="51" t="str">
        <v/>
      </c>
      <c r="F891" s="52" t="e">
        <v>#REF!</v>
      </c>
      <c r="G891" s="48" t="e">
        <v>#REF!</v>
      </c>
      <c r="H891" s="49" t="e">
        <v>#REF!</v>
      </c>
      <c r="I891" s="49" t="e">
        <v>#REF!</v>
      </c>
      <c r="J891" s="50"/>
    </row>
    <row r="892" ht="28.8" outlineLevel="1" spans="1:10">
      <c r="A892" s="50" t="str">
        <v/>
      </c>
      <c r="B892" s="51" t="str">
        <v>外墙保温与普通砂浆找平层</v>
      </c>
      <c r="C892" s="51" t="str">
        <v/>
      </c>
      <c r="D892" s="51" t="str">
        <v/>
      </c>
      <c r="E892" s="51" t="str">
        <v/>
      </c>
      <c r="F892" s="52" t="str">
        <v/>
      </c>
      <c r="G892" s="48" t="str">
        <v/>
      </c>
      <c r="H892" s="49">
        <v>0</v>
      </c>
      <c r="I892" s="49">
        <v>0</v>
      </c>
      <c r="J892" s="50"/>
    </row>
    <row r="893" outlineLevel="1" spans="1:10">
      <c r="A893" s="50">
        <v>747</v>
      </c>
      <c r="B893" s="51" t="str">
        <v>外墙面-界面剂</v>
      </c>
      <c r="C893" s="51" t="e">
        <v>#REF!</v>
      </c>
      <c r="D893" s="51" t="str">
        <v/>
      </c>
      <c r="E893" s="51" t="str">
        <v/>
      </c>
      <c r="F893" s="52" t="e">
        <v>#REF!</v>
      </c>
      <c r="G893" s="48" t="e">
        <v>#REF!</v>
      </c>
      <c r="H893" s="49" t="e">
        <v>#REF!</v>
      </c>
      <c r="I893" s="49" t="e">
        <v>#REF!</v>
      </c>
      <c r="J893" s="50"/>
    </row>
    <row r="894" outlineLevel="1" spans="1:10">
      <c r="A894" s="50">
        <v>748</v>
      </c>
      <c r="B894" s="51" t="str">
        <v>外墙面-12厚轻质砂浆</v>
      </c>
      <c r="C894" s="51" t="e">
        <v>#REF!</v>
      </c>
      <c r="D894" s="51" t="str">
        <v/>
      </c>
      <c r="E894" s="51" t="str">
        <v/>
      </c>
      <c r="F894" s="52" t="e">
        <v>#REF!</v>
      </c>
      <c r="G894" s="48" t="e">
        <v>#REF!</v>
      </c>
      <c r="H894" s="49" t="e">
        <v>#REF!</v>
      </c>
      <c r="I894" s="49" t="e">
        <v>#REF!</v>
      </c>
      <c r="J894" s="50"/>
    </row>
    <row r="895" outlineLevel="1" spans="1:10">
      <c r="A895" s="50">
        <v>749</v>
      </c>
      <c r="B895" s="51" t="str">
        <v>外墙面-15厚轻质砂浆</v>
      </c>
      <c r="C895" s="51" t="e">
        <v>#REF!</v>
      </c>
      <c r="D895" s="51" t="str">
        <v/>
      </c>
      <c r="E895" s="51" t="str">
        <v/>
      </c>
      <c r="F895" s="52" t="e">
        <v>#REF!</v>
      </c>
      <c r="G895" s="48" t="e">
        <v>#REF!</v>
      </c>
      <c r="H895" s="49">
        <v>0</v>
      </c>
      <c r="I895" s="49" t="e">
        <v>#REF!</v>
      </c>
      <c r="J895" s="50"/>
    </row>
    <row r="896" ht="28.8" outlineLevel="1" spans="1:10">
      <c r="A896" s="50">
        <v>750</v>
      </c>
      <c r="B896" s="51" t="str">
        <v>外墙保温-20厚有机保温砂浆</v>
      </c>
      <c r="C896" s="51" t="e">
        <v>#REF!</v>
      </c>
      <c r="D896" s="51" t="str">
        <v/>
      </c>
      <c r="E896" s="51" t="str">
        <v/>
      </c>
      <c r="F896" s="52" t="e">
        <v>#REF!</v>
      </c>
      <c r="G896" s="48" t="e">
        <v>#REF!</v>
      </c>
      <c r="H896" s="49" t="e">
        <v>#REF!</v>
      </c>
      <c r="I896" s="49" t="e">
        <v>#REF!</v>
      </c>
      <c r="J896" s="50"/>
    </row>
    <row r="897" outlineLevel="1" spans="1:10">
      <c r="A897" s="50">
        <v>751</v>
      </c>
      <c r="B897" s="51" t="str">
        <v>外墙面-3厚抗裂砂浆</v>
      </c>
      <c r="C897" s="51" t="e">
        <v>#REF!</v>
      </c>
      <c r="D897" s="51" t="str">
        <v/>
      </c>
      <c r="E897" s="51" t="str">
        <v/>
      </c>
      <c r="F897" s="52" t="e">
        <v>#REF!</v>
      </c>
      <c r="G897" s="48" t="e">
        <v>#REF!</v>
      </c>
      <c r="H897" s="49" t="e">
        <v>#REF!</v>
      </c>
      <c r="I897" s="49" t="e">
        <v>#REF!</v>
      </c>
      <c r="J897" s="50"/>
    </row>
    <row r="898" outlineLevel="1" spans="1:10">
      <c r="A898" s="50">
        <v>752</v>
      </c>
      <c r="B898" s="51" t="str">
        <v>外墙面-网格布</v>
      </c>
      <c r="C898" s="51" t="e">
        <v>#REF!</v>
      </c>
      <c r="D898" s="51" t="str">
        <v/>
      </c>
      <c r="E898" s="51" t="str">
        <v/>
      </c>
      <c r="F898" s="52" t="e">
        <v>#REF!</v>
      </c>
      <c r="G898" s="48" t="e">
        <v>#REF!</v>
      </c>
      <c r="H898" s="49" t="e">
        <v>#REF!</v>
      </c>
      <c r="I898" s="49" t="e">
        <v>#REF!</v>
      </c>
      <c r="J898" s="50"/>
    </row>
    <row r="899" outlineLevel="1" spans="1:10">
      <c r="A899" s="50">
        <v>753</v>
      </c>
      <c r="B899" s="51" t="str">
        <v>外墙面-12厚M5水泥砂浆</v>
      </c>
      <c r="C899" s="51" t="e">
        <v>#REF!</v>
      </c>
      <c r="D899" s="51" t="str">
        <v/>
      </c>
      <c r="E899" s="51" t="str">
        <v/>
      </c>
      <c r="F899" s="52" t="e">
        <v>#REF!</v>
      </c>
      <c r="G899" s="48" t="e">
        <v>#REF!</v>
      </c>
      <c r="H899" s="49" t="e">
        <v>#REF!</v>
      </c>
      <c r="I899" s="49" t="e">
        <v>#REF!</v>
      </c>
      <c r="J899" s="50"/>
    </row>
    <row r="900" outlineLevel="1" spans="1:10">
      <c r="A900" s="50">
        <v>754</v>
      </c>
      <c r="B900" s="51" t="str">
        <v>外墙面-13厚M5水泥砂浆</v>
      </c>
      <c r="C900" s="51" t="e">
        <v>#REF!</v>
      </c>
      <c r="D900" s="51" t="str">
        <v/>
      </c>
      <c r="E900" s="51" t="str">
        <v/>
      </c>
      <c r="F900" s="52" t="e">
        <v>#REF!</v>
      </c>
      <c r="G900" s="48" t="e">
        <v>#REF!</v>
      </c>
      <c r="H900" s="49" t="e">
        <v>#REF!</v>
      </c>
      <c r="I900" s="49" t="e">
        <v>#REF!</v>
      </c>
      <c r="J900" s="50"/>
    </row>
    <row r="901" spans="1:10">
      <c r="A901" s="40"/>
      <c r="B901" s="41" t="s">
        <v>2356</v>
      </c>
      <c r="C901" s="41"/>
      <c r="D901" s="41"/>
      <c r="E901" s="41"/>
      <c r="F901" s="42"/>
      <c r="G901" s="43"/>
      <c r="H901" s="44"/>
      <c r="I901" s="44"/>
      <c r="J901" s="40"/>
    </row>
    <row r="902" outlineLevel="1" spans="1:10">
      <c r="A902" s="50" t="str">
        <f ca="1" t="array" ref="A902:G1798">IF(INDIRECT(K2&amp;"!A4:G900")=0,"",INDIRECT(K2&amp;"!A4:G900"))</f>
        <v/>
      </c>
      <c r="B902" s="51" t="str">
        <v>地下给排水</v>
      </c>
      <c r="C902" s="51" t="str">
        <v/>
      </c>
      <c r="D902" s="51" t="str">
        <v/>
      </c>
      <c r="E902" s="51" t="str">
        <v/>
      </c>
      <c r="F902" s="52" t="str">
        <v/>
      </c>
      <c r="G902" s="48" t="str">
        <v/>
      </c>
      <c r="H902" s="49">
        <f ca="1" t="array" ref="H902:H1798">INDIRECT(K2&amp;"!N4:N900")</f>
        <v>0</v>
      </c>
      <c r="I902" s="49" t="e">
        <f ca="1" t="array" ref="I902:I1798">INDIRECT(K2&amp;"!X4:X900")</f>
        <v>#REF!</v>
      </c>
      <c r="J902" s="50"/>
    </row>
    <row r="903" outlineLevel="1" spans="1:10">
      <c r="A903" s="50" t="str">
        <v/>
      </c>
      <c r="B903" s="51" t="str">
        <v>B.01地下给水</v>
      </c>
      <c r="C903" s="51" t="str">
        <v/>
      </c>
      <c r="D903" s="51" t="str">
        <v/>
      </c>
      <c r="E903" s="51" t="str">
        <v/>
      </c>
      <c r="F903" s="52" t="str">
        <v/>
      </c>
      <c r="G903" s="48" t="str">
        <v/>
      </c>
      <c r="H903" s="49">
        <v>0</v>
      </c>
      <c r="I903" s="49" t="e">
        <v>#REF!</v>
      </c>
      <c r="J903" s="50"/>
    </row>
    <row r="904" outlineLevel="1" spans="1:10">
      <c r="A904" s="50" t="str">
        <v/>
      </c>
      <c r="B904" s="51" t="str">
        <v>B.01.1阀部件</v>
      </c>
      <c r="C904" s="51" t="str">
        <v/>
      </c>
      <c r="D904" s="51" t="str">
        <v/>
      </c>
      <c r="E904" s="51" t="str">
        <v/>
      </c>
      <c r="F904" s="52" t="str">
        <v/>
      </c>
      <c r="G904" s="48" t="str">
        <v/>
      </c>
      <c r="H904" s="49">
        <v>0</v>
      </c>
      <c r="I904" s="49" t="e">
        <v>#REF!</v>
      </c>
      <c r="J904" s="50"/>
    </row>
    <row r="905" ht="28.8" outlineLevel="1" spans="1:10">
      <c r="A905" s="50">
        <v>1</v>
      </c>
      <c r="B905" s="51" t="str">
        <v>螺纹阀门-自动放气阀-DN15</v>
      </c>
      <c r="C905" s="51" t="e">
        <v>#REF!</v>
      </c>
      <c r="D905" s="51" t="str">
        <v/>
      </c>
      <c r="E905" s="51" t="str">
        <v/>
      </c>
      <c r="F905" s="52" t="e">
        <v>#REF!</v>
      </c>
      <c r="G905" s="48" t="e">
        <v>#REF!</v>
      </c>
      <c r="H905" s="49">
        <v>0</v>
      </c>
      <c r="I905" s="49" t="e">
        <v>#REF!</v>
      </c>
      <c r="J905" s="50"/>
    </row>
    <row r="906" outlineLevel="1" spans="1:10">
      <c r="A906" s="50">
        <v>2</v>
      </c>
      <c r="B906" s="51" t="str">
        <v>螺纹阀门-截止阀-DN15</v>
      </c>
      <c r="C906" s="51" t="e">
        <v>#REF!</v>
      </c>
      <c r="D906" s="51" t="str">
        <v/>
      </c>
      <c r="E906" s="51" t="str">
        <v/>
      </c>
      <c r="F906" s="52" t="e">
        <v>#REF!</v>
      </c>
      <c r="G906" s="48" t="e">
        <v>#REF!</v>
      </c>
      <c r="H906" s="49">
        <v>0</v>
      </c>
      <c r="I906" s="49" t="e">
        <v>#REF!</v>
      </c>
      <c r="J906" s="50"/>
    </row>
    <row r="907" outlineLevel="1" spans="1:10">
      <c r="A907" s="50">
        <v>3</v>
      </c>
      <c r="B907" s="51" t="str">
        <v>螺纹阀门-截止阀-DN25</v>
      </c>
      <c r="C907" s="51" t="e">
        <v>#REF!</v>
      </c>
      <c r="D907" s="51" t="str">
        <v/>
      </c>
      <c r="E907" s="51" t="str">
        <v/>
      </c>
      <c r="F907" s="52" t="e">
        <v>#REF!</v>
      </c>
      <c r="G907" s="48" t="e">
        <v>#REF!</v>
      </c>
      <c r="H907" s="49">
        <v>0</v>
      </c>
      <c r="I907" s="49" t="e">
        <v>#REF!</v>
      </c>
      <c r="J907" s="50"/>
    </row>
    <row r="908" outlineLevel="1" spans="1:10">
      <c r="A908" s="50">
        <v>4</v>
      </c>
      <c r="B908" s="51" t="str">
        <v>螺纹阀门-截止阀-DN32</v>
      </c>
      <c r="C908" s="51" t="e">
        <v>#REF!</v>
      </c>
      <c r="D908" s="51" t="str">
        <v/>
      </c>
      <c r="E908" s="51" t="str">
        <v/>
      </c>
      <c r="F908" s="52" t="e">
        <v>#REF!</v>
      </c>
      <c r="G908" s="48" t="e">
        <v>#REF!</v>
      </c>
      <c r="H908" s="49">
        <v>0</v>
      </c>
      <c r="I908" s="49" t="e">
        <v>#REF!</v>
      </c>
      <c r="J908" s="50"/>
    </row>
    <row r="909" outlineLevel="1" spans="1:10">
      <c r="A909" s="50">
        <v>5</v>
      </c>
      <c r="B909" s="51" t="str">
        <v>螺纹阀门-截止阀-De20</v>
      </c>
      <c r="C909" s="51" t="e">
        <v>#REF!</v>
      </c>
      <c r="D909" s="51" t="str">
        <v/>
      </c>
      <c r="E909" s="51" t="str">
        <v/>
      </c>
      <c r="F909" s="52" t="e">
        <v>#REF!</v>
      </c>
      <c r="G909" s="48" t="e">
        <v>#REF!</v>
      </c>
      <c r="H909" s="49">
        <v>0</v>
      </c>
      <c r="I909" s="49" t="e">
        <v>#REF!</v>
      </c>
      <c r="J909" s="50"/>
    </row>
    <row r="910" outlineLevel="1" spans="1:10">
      <c r="A910" s="50">
        <v>6</v>
      </c>
      <c r="B910" s="51" t="str">
        <v>螺纹阀门-截止阀-De25</v>
      </c>
      <c r="C910" s="51" t="e">
        <v>#REF!</v>
      </c>
      <c r="D910" s="51" t="str">
        <v/>
      </c>
      <c r="E910" s="51" t="str">
        <v/>
      </c>
      <c r="F910" s="52" t="e">
        <v>#REF!</v>
      </c>
      <c r="G910" s="48" t="e">
        <v>#REF!</v>
      </c>
      <c r="H910" s="49">
        <v>0</v>
      </c>
      <c r="I910" s="49" t="e">
        <v>#REF!</v>
      </c>
      <c r="J910" s="50"/>
    </row>
    <row r="911" outlineLevel="1" spans="1:10">
      <c r="A911" s="50">
        <v>7</v>
      </c>
      <c r="B911" s="51" t="str">
        <v>螺纹阀门-截止阀-De32</v>
      </c>
      <c r="C911" s="51" t="e">
        <v>#REF!</v>
      </c>
      <c r="D911" s="51" t="str">
        <v/>
      </c>
      <c r="E911" s="51" t="str">
        <v/>
      </c>
      <c r="F911" s="52" t="e">
        <v>#REF!</v>
      </c>
      <c r="G911" s="48" t="e">
        <v>#REF!</v>
      </c>
      <c r="H911" s="49">
        <v>0</v>
      </c>
      <c r="I911" s="49" t="e">
        <v>#REF!</v>
      </c>
      <c r="J911" s="50"/>
    </row>
    <row r="912" outlineLevel="1" spans="1:10">
      <c r="A912" s="50">
        <v>8</v>
      </c>
      <c r="B912" s="51" t="str">
        <v>螺纹阀门-截止阀-De40</v>
      </c>
      <c r="C912" s="51" t="e">
        <v>#REF!</v>
      </c>
      <c r="D912" s="51" t="str">
        <v/>
      </c>
      <c r="E912" s="51" t="str">
        <v/>
      </c>
      <c r="F912" s="52" t="e">
        <v>#REF!</v>
      </c>
      <c r="G912" s="48" t="e">
        <v>#REF!</v>
      </c>
      <c r="H912" s="49">
        <v>0</v>
      </c>
      <c r="I912" s="49" t="e">
        <v>#REF!</v>
      </c>
      <c r="J912" s="50"/>
    </row>
    <row r="913" outlineLevel="1" spans="1:10">
      <c r="A913" s="50">
        <v>9</v>
      </c>
      <c r="B913" s="51" t="str">
        <v>螺纹阀门-截止阀-De50</v>
      </c>
      <c r="C913" s="51" t="e">
        <v>#REF!</v>
      </c>
      <c r="D913" s="51" t="str">
        <v/>
      </c>
      <c r="E913" s="51" t="str">
        <v/>
      </c>
      <c r="F913" s="52" t="e">
        <v>#REF!</v>
      </c>
      <c r="G913" s="48" t="e">
        <v>#REF!</v>
      </c>
      <c r="H913" s="49">
        <v>0</v>
      </c>
      <c r="I913" s="49" t="e">
        <v>#REF!</v>
      </c>
      <c r="J913" s="50"/>
    </row>
    <row r="914" outlineLevel="1" spans="1:10">
      <c r="A914" s="50">
        <v>10</v>
      </c>
      <c r="B914" s="51" t="str">
        <v>螺纹阀门-截止阀-De63</v>
      </c>
      <c r="C914" s="51" t="e">
        <v>#REF!</v>
      </c>
      <c r="D914" s="51" t="str">
        <v/>
      </c>
      <c r="E914" s="51" t="str">
        <v/>
      </c>
      <c r="F914" s="52" t="e">
        <v>#REF!</v>
      </c>
      <c r="G914" s="48" t="e">
        <v>#REF!</v>
      </c>
      <c r="H914" s="49">
        <v>0</v>
      </c>
      <c r="I914" s="49" t="e">
        <v>#REF!</v>
      </c>
      <c r="J914" s="50"/>
    </row>
    <row r="915" outlineLevel="1" spans="1:10">
      <c r="A915" s="50">
        <v>11</v>
      </c>
      <c r="B915" s="51" t="str">
        <v>螺纹阀门-止回阀-DN32</v>
      </c>
      <c r="C915" s="51" t="e">
        <v>#REF!</v>
      </c>
      <c r="D915" s="51" t="str">
        <v/>
      </c>
      <c r="E915" s="51" t="str">
        <v/>
      </c>
      <c r="F915" s="52" t="e">
        <v>#REF!</v>
      </c>
      <c r="G915" s="48" t="e">
        <v>#REF!</v>
      </c>
      <c r="H915" s="49">
        <v>0</v>
      </c>
      <c r="I915" s="49" t="e">
        <v>#REF!</v>
      </c>
      <c r="J915" s="50"/>
    </row>
    <row r="916" outlineLevel="1" spans="1:10">
      <c r="A916" s="50">
        <v>12</v>
      </c>
      <c r="B916" s="51" t="str">
        <v>螺纹阀门-闸阀-DN25</v>
      </c>
      <c r="C916" s="51" t="e">
        <v>#REF!</v>
      </c>
      <c r="D916" s="51" t="str">
        <v/>
      </c>
      <c r="E916" s="51" t="str">
        <v/>
      </c>
      <c r="F916" s="52" t="e">
        <v>#REF!</v>
      </c>
      <c r="G916" s="48" t="e">
        <v>#REF!</v>
      </c>
      <c r="H916" s="49">
        <v>0</v>
      </c>
      <c r="I916" s="49" t="e">
        <v>#REF!</v>
      </c>
      <c r="J916" s="50"/>
    </row>
    <row r="917" outlineLevel="1" spans="1:10">
      <c r="A917" s="50">
        <v>13</v>
      </c>
      <c r="B917" s="51" t="str">
        <v>螺纹阀门-闸阀-DN32</v>
      </c>
      <c r="C917" s="51" t="e">
        <v>#REF!</v>
      </c>
      <c r="D917" s="51" t="str">
        <v/>
      </c>
      <c r="E917" s="51" t="str">
        <v/>
      </c>
      <c r="F917" s="52" t="e">
        <v>#REF!</v>
      </c>
      <c r="G917" s="48" t="e">
        <v>#REF!</v>
      </c>
      <c r="H917" s="49">
        <v>0</v>
      </c>
      <c r="I917" s="49" t="e">
        <v>#REF!</v>
      </c>
      <c r="J917" s="50"/>
    </row>
    <row r="918" outlineLevel="1" spans="1:10">
      <c r="A918" s="50">
        <v>14</v>
      </c>
      <c r="B918" s="51" t="str">
        <v>螺纹阀门-闸阀-DN40</v>
      </c>
      <c r="C918" s="51" t="e">
        <v>#REF!</v>
      </c>
      <c r="D918" s="51" t="str">
        <v/>
      </c>
      <c r="E918" s="51" t="str">
        <v/>
      </c>
      <c r="F918" s="52" t="e">
        <v>#REF!</v>
      </c>
      <c r="G918" s="48" t="e">
        <v>#REF!</v>
      </c>
      <c r="H918" s="49">
        <v>0</v>
      </c>
      <c r="I918" s="49" t="e">
        <v>#REF!</v>
      </c>
      <c r="J918" s="50"/>
    </row>
    <row r="919" outlineLevel="1" spans="1:10">
      <c r="A919" s="50">
        <v>15</v>
      </c>
      <c r="B919" s="51" t="str">
        <v>螺纹阀门-闸阀-DN50</v>
      </c>
      <c r="C919" s="51" t="e">
        <v>#REF!</v>
      </c>
      <c r="D919" s="51" t="str">
        <v/>
      </c>
      <c r="E919" s="51" t="str">
        <v/>
      </c>
      <c r="F919" s="52" t="e">
        <v>#REF!</v>
      </c>
      <c r="G919" s="48" t="e">
        <v>#REF!</v>
      </c>
      <c r="H919" s="49">
        <v>0</v>
      </c>
      <c r="I919" s="49" t="e">
        <v>#REF!</v>
      </c>
      <c r="J919" s="50"/>
    </row>
    <row r="920" outlineLevel="1" spans="1:10">
      <c r="A920" s="50">
        <v>16</v>
      </c>
      <c r="B920" s="51" t="str">
        <v>螺纹阀门-过滤器-De50</v>
      </c>
      <c r="C920" s="51" t="e">
        <v>#REF!</v>
      </c>
      <c r="D920" s="51" t="str">
        <v/>
      </c>
      <c r="E920" s="51" t="str">
        <v/>
      </c>
      <c r="F920" s="52" t="e">
        <v>#REF!</v>
      </c>
      <c r="G920" s="48" t="e">
        <v>#REF!</v>
      </c>
      <c r="H920" s="49">
        <v>0</v>
      </c>
      <c r="I920" s="49" t="e">
        <v>#REF!</v>
      </c>
      <c r="J920" s="50"/>
    </row>
    <row r="921" outlineLevel="1" spans="1:10">
      <c r="A921" s="50">
        <v>17</v>
      </c>
      <c r="B921" s="51" t="str">
        <v>螺纹阀门-过滤器-DN50</v>
      </c>
      <c r="C921" s="51" t="e">
        <v>#REF!</v>
      </c>
      <c r="D921" s="51" t="str">
        <v/>
      </c>
      <c r="E921" s="51" t="str">
        <v/>
      </c>
      <c r="F921" s="52" t="e">
        <v>#REF!</v>
      </c>
      <c r="G921" s="48" t="e">
        <v>#REF!</v>
      </c>
      <c r="H921" s="49">
        <v>0</v>
      </c>
      <c r="I921" s="49" t="e">
        <v>#REF!</v>
      </c>
      <c r="J921" s="50"/>
    </row>
    <row r="922" outlineLevel="1" spans="1:10">
      <c r="A922" s="50">
        <v>18</v>
      </c>
      <c r="B922" s="51" t="str">
        <v>法兰阀门-过滤器-DN100</v>
      </c>
      <c r="C922" s="51" t="e">
        <v>#REF!</v>
      </c>
      <c r="D922" s="51" t="str">
        <v/>
      </c>
      <c r="E922" s="51" t="str">
        <v/>
      </c>
      <c r="F922" s="52" t="e">
        <v>#REF!</v>
      </c>
      <c r="G922" s="48" t="e">
        <v>#REF!</v>
      </c>
      <c r="H922" s="49">
        <v>0</v>
      </c>
      <c r="I922" s="49" t="e">
        <v>#REF!</v>
      </c>
      <c r="J922" s="50"/>
    </row>
    <row r="923" outlineLevel="1" spans="1:10">
      <c r="A923" s="50">
        <v>19</v>
      </c>
      <c r="B923" s="51" t="str">
        <v>螺纹阀门-软接头-De50</v>
      </c>
      <c r="C923" s="51" t="e">
        <v>#REF!</v>
      </c>
      <c r="D923" s="51" t="str">
        <v/>
      </c>
      <c r="E923" s="51" t="str">
        <v/>
      </c>
      <c r="F923" s="52" t="e">
        <v>#REF!</v>
      </c>
      <c r="G923" s="48" t="e">
        <v>#REF!</v>
      </c>
      <c r="H923" s="49">
        <v>0</v>
      </c>
      <c r="I923" s="49" t="e">
        <v>#REF!</v>
      </c>
      <c r="J923" s="50"/>
    </row>
    <row r="924" outlineLevel="1" spans="1:10">
      <c r="A924" s="50">
        <v>20</v>
      </c>
      <c r="B924" s="51" t="str">
        <v>法兰阀门-软接头-DN100</v>
      </c>
      <c r="C924" s="51" t="e">
        <v>#REF!</v>
      </c>
      <c r="D924" s="51" t="str">
        <v/>
      </c>
      <c r="E924" s="51" t="str">
        <v/>
      </c>
      <c r="F924" s="52" t="e">
        <v>#REF!</v>
      </c>
      <c r="G924" s="48" t="e">
        <v>#REF!</v>
      </c>
      <c r="H924" s="49">
        <v>0</v>
      </c>
      <c r="I924" s="49" t="e">
        <v>#REF!</v>
      </c>
      <c r="J924" s="50"/>
    </row>
    <row r="925" outlineLevel="1" spans="1:10">
      <c r="A925" s="50">
        <v>21</v>
      </c>
      <c r="B925" s="51" t="str">
        <v>法兰阀门-闸阀-DN65</v>
      </c>
      <c r="C925" s="51" t="e">
        <v>#REF!</v>
      </c>
      <c r="D925" s="51" t="str">
        <v/>
      </c>
      <c r="E925" s="51" t="str">
        <v/>
      </c>
      <c r="F925" s="52" t="e">
        <v>#REF!</v>
      </c>
      <c r="G925" s="48" t="e">
        <v>#REF!</v>
      </c>
      <c r="H925" s="49">
        <v>0</v>
      </c>
      <c r="I925" s="49" t="e">
        <v>#REF!</v>
      </c>
      <c r="J925" s="50"/>
    </row>
    <row r="926" outlineLevel="1" spans="1:10">
      <c r="A926" s="50">
        <v>22</v>
      </c>
      <c r="B926" s="51" t="str">
        <v>对夹式蝶阀-De50</v>
      </c>
      <c r="C926" s="51" t="e">
        <v>#REF!</v>
      </c>
      <c r="D926" s="51" t="str">
        <v/>
      </c>
      <c r="E926" s="51" t="str">
        <v/>
      </c>
      <c r="F926" s="52" t="e">
        <v>#REF!</v>
      </c>
      <c r="G926" s="48" t="e">
        <v>#REF!</v>
      </c>
      <c r="H926" s="49">
        <v>0</v>
      </c>
      <c r="I926" s="49" t="e">
        <v>#REF!</v>
      </c>
      <c r="J926" s="50"/>
    </row>
    <row r="927" outlineLevel="1" spans="1:10">
      <c r="A927" s="50">
        <v>23</v>
      </c>
      <c r="B927" s="51" t="str">
        <v>对夹式蝶阀-DN50</v>
      </c>
      <c r="C927" s="51" t="e">
        <v>#REF!</v>
      </c>
      <c r="D927" s="51" t="str">
        <v/>
      </c>
      <c r="E927" s="51" t="str">
        <v/>
      </c>
      <c r="F927" s="52" t="e">
        <v>#REF!</v>
      </c>
      <c r="G927" s="48" t="e">
        <v>#REF!</v>
      </c>
      <c r="H927" s="49">
        <v>0</v>
      </c>
      <c r="I927" s="49" t="e">
        <v>#REF!</v>
      </c>
      <c r="J927" s="50"/>
    </row>
    <row r="928" outlineLevel="1" spans="1:10">
      <c r="A928" s="50">
        <v>24</v>
      </c>
      <c r="B928" s="51" t="str">
        <v>对夹式蝶阀-DN65</v>
      </c>
      <c r="C928" s="51" t="e">
        <v>#REF!</v>
      </c>
      <c r="D928" s="51" t="str">
        <v/>
      </c>
      <c r="E928" s="51" t="str">
        <v/>
      </c>
      <c r="F928" s="52" t="e">
        <v>#REF!</v>
      </c>
      <c r="G928" s="48" t="e">
        <v>#REF!</v>
      </c>
      <c r="H928" s="49">
        <v>0</v>
      </c>
      <c r="I928" s="49" t="e">
        <v>#REF!</v>
      </c>
      <c r="J928" s="50"/>
    </row>
    <row r="929" outlineLevel="1" spans="1:10">
      <c r="A929" s="50">
        <v>25</v>
      </c>
      <c r="B929" s="51" t="str">
        <v>对夹式蝶阀-DN80</v>
      </c>
      <c r="C929" s="51" t="e">
        <v>#REF!</v>
      </c>
      <c r="D929" s="51" t="str">
        <v/>
      </c>
      <c r="E929" s="51" t="str">
        <v/>
      </c>
      <c r="F929" s="52" t="e">
        <v>#REF!</v>
      </c>
      <c r="G929" s="48" t="e">
        <v>#REF!</v>
      </c>
      <c r="H929" s="49">
        <v>0</v>
      </c>
      <c r="I929" s="49" t="e">
        <v>#REF!</v>
      </c>
      <c r="J929" s="50"/>
    </row>
    <row r="930" outlineLevel="1" spans="1:10">
      <c r="A930" s="50">
        <v>26</v>
      </c>
      <c r="B930" s="51" t="str">
        <v>对夹式蝶阀-DN100</v>
      </c>
      <c r="C930" s="51" t="e">
        <v>#REF!</v>
      </c>
      <c r="D930" s="51" t="str">
        <v/>
      </c>
      <c r="E930" s="51" t="str">
        <v/>
      </c>
      <c r="F930" s="52" t="e">
        <v>#REF!</v>
      </c>
      <c r="G930" s="48" t="e">
        <v>#REF!</v>
      </c>
      <c r="H930" s="49">
        <v>0</v>
      </c>
      <c r="I930" s="49" t="e">
        <v>#REF!</v>
      </c>
      <c r="J930" s="50"/>
    </row>
    <row r="931" outlineLevel="1" spans="1:10">
      <c r="A931" s="50">
        <v>27</v>
      </c>
      <c r="B931" s="51" t="str">
        <v>对夹式蝶阀-DN125</v>
      </c>
      <c r="C931" s="51" t="e">
        <v>#REF!</v>
      </c>
      <c r="D931" s="51" t="str">
        <v/>
      </c>
      <c r="E931" s="51" t="str">
        <v/>
      </c>
      <c r="F931" s="52" t="e">
        <v>#REF!</v>
      </c>
      <c r="G931" s="48" t="e">
        <v>#REF!</v>
      </c>
      <c r="H931" s="49">
        <v>0</v>
      </c>
      <c r="I931" s="49" t="e">
        <v>#REF!</v>
      </c>
      <c r="J931" s="50"/>
    </row>
    <row r="932" outlineLevel="1" spans="1:10">
      <c r="A932" s="50">
        <v>28</v>
      </c>
      <c r="B932" s="51" t="str">
        <v>对夹式蝶阀-DN150</v>
      </c>
      <c r="C932" s="51" t="e">
        <v>#REF!</v>
      </c>
      <c r="D932" s="51" t="str">
        <v/>
      </c>
      <c r="E932" s="51" t="str">
        <v/>
      </c>
      <c r="F932" s="52" t="e">
        <v>#REF!</v>
      </c>
      <c r="G932" s="48" t="e">
        <v>#REF!</v>
      </c>
      <c r="H932" s="49">
        <v>0</v>
      </c>
      <c r="I932" s="49" t="e">
        <v>#REF!</v>
      </c>
      <c r="J932" s="50"/>
    </row>
    <row r="933" outlineLevel="1" spans="1:10">
      <c r="A933" s="50">
        <v>29</v>
      </c>
      <c r="B933" s="51" t="str">
        <v>倒流防止器-De50</v>
      </c>
      <c r="C933" s="51" t="e">
        <v>#REF!</v>
      </c>
      <c r="D933" s="51" t="str">
        <v/>
      </c>
      <c r="E933" s="51" t="str">
        <v/>
      </c>
      <c r="F933" s="52" t="e">
        <v>#REF!</v>
      </c>
      <c r="G933" s="48" t="e">
        <v>#REF!</v>
      </c>
      <c r="H933" s="49">
        <v>0</v>
      </c>
      <c r="I933" s="49" t="e">
        <v>#REF!</v>
      </c>
      <c r="J933" s="50"/>
    </row>
    <row r="934" outlineLevel="1" spans="1:10">
      <c r="A934" s="50">
        <v>30</v>
      </c>
      <c r="B934" s="51" t="str">
        <v>浮球阀-DN40</v>
      </c>
      <c r="C934" s="51" t="e">
        <v>#REF!</v>
      </c>
      <c r="D934" s="51" t="str">
        <v/>
      </c>
      <c r="E934" s="51" t="str">
        <v/>
      </c>
      <c r="F934" s="52" t="e">
        <v>#REF!</v>
      </c>
      <c r="G934" s="48" t="e">
        <v>#REF!</v>
      </c>
      <c r="H934" s="49">
        <v>0</v>
      </c>
      <c r="I934" s="49" t="e">
        <v>#REF!</v>
      </c>
      <c r="J934" s="50"/>
    </row>
    <row r="935" ht="28.8" outlineLevel="1" spans="1:10">
      <c r="A935" s="50">
        <v>31</v>
      </c>
      <c r="B935" s="51" t="str">
        <v>活塞式电动浮球阀-DN100</v>
      </c>
      <c r="C935" s="51" t="e">
        <v>#REF!</v>
      </c>
      <c r="D935" s="51" t="str">
        <v/>
      </c>
      <c r="E935" s="51" t="str">
        <v/>
      </c>
      <c r="F935" s="52" t="e">
        <v>#REF!</v>
      </c>
      <c r="G935" s="48" t="e">
        <v>#REF!</v>
      </c>
      <c r="H935" s="49">
        <v>0</v>
      </c>
      <c r="I935" s="49" t="e">
        <v>#REF!</v>
      </c>
      <c r="J935" s="50"/>
    </row>
    <row r="936" outlineLevel="1" spans="1:10">
      <c r="A936" s="50">
        <v>32</v>
      </c>
      <c r="B936" s="51" t="str">
        <v>水表安装-DN32</v>
      </c>
      <c r="C936" s="51" t="e">
        <v>#REF!</v>
      </c>
      <c r="D936" s="51" t="str">
        <v/>
      </c>
      <c r="E936" s="51" t="str">
        <v/>
      </c>
      <c r="F936" s="52" t="e">
        <v>#REF!</v>
      </c>
      <c r="G936" s="48" t="e">
        <v>#REF!</v>
      </c>
      <c r="H936" s="49">
        <v>0</v>
      </c>
      <c r="I936" s="49" t="e">
        <v>#REF!</v>
      </c>
      <c r="J936" s="50"/>
    </row>
    <row r="937" outlineLevel="1" spans="1:10">
      <c r="A937" s="50">
        <v>33</v>
      </c>
      <c r="B937" s="51" t="str">
        <v>水表安装-DN40</v>
      </c>
      <c r="C937" s="51" t="e">
        <v>#REF!</v>
      </c>
      <c r="D937" s="51" t="str">
        <v/>
      </c>
      <c r="E937" s="51" t="str">
        <v/>
      </c>
      <c r="F937" s="52" t="e">
        <v>#REF!</v>
      </c>
      <c r="G937" s="48" t="e">
        <v>#REF!</v>
      </c>
      <c r="H937" s="49">
        <v>0</v>
      </c>
      <c r="I937" s="49" t="e">
        <v>#REF!</v>
      </c>
      <c r="J937" s="50"/>
    </row>
    <row r="938" outlineLevel="1" spans="1:10">
      <c r="A938" s="50">
        <v>34</v>
      </c>
      <c r="B938" s="51" t="str">
        <v>水表安装-DN50</v>
      </c>
      <c r="C938" s="51" t="e">
        <v>#REF!</v>
      </c>
      <c r="D938" s="51" t="str">
        <v/>
      </c>
      <c r="E938" s="51" t="str">
        <v/>
      </c>
      <c r="F938" s="52" t="e">
        <v>#REF!</v>
      </c>
      <c r="G938" s="48" t="e">
        <v>#REF!</v>
      </c>
      <c r="H938" s="49">
        <v>0</v>
      </c>
      <c r="I938" s="49" t="e">
        <v>#REF!</v>
      </c>
      <c r="J938" s="50"/>
    </row>
    <row r="939" outlineLevel="1" spans="1:10">
      <c r="A939" s="50">
        <v>35</v>
      </c>
      <c r="B939" s="51" t="str">
        <v>水表安装-DN70</v>
      </c>
      <c r="C939" s="51" t="e">
        <v>#REF!</v>
      </c>
      <c r="D939" s="51" t="str">
        <v/>
      </c>
      <c r="E939" s="51" t="str">
        <v/>
      </c>
      <c r="F939" s="52" t="e">
        <v>#REF!</v>
      </c>
      <c r="G939" s="48" t="e">
        <v>#REF!</v>
      </c>
      <c r="H939" s="49">
        <v>0</v>
      </c>
      <c r="I939" s="49" t="e">
        <v>#REF!</v>
      </c>
      <c r="J939" s="50"/>
    </row>
    <row r="940" outlineLevel="1" spans="1:10">
      <c r="A940" s="50">
        <v>36</v>
      </c>
      <c r="B940" s="51" t="str">
        <v>水表安装-DN80</v>
      </c>
      <c r="C940" s="51" t="e">
        <v>#REF!</v>
      </c>
      <c r="D940" s="51" t="str">
        <v/>
      </c>
      <c r="E940" s="51" t="str">
        <v/>
      </c>
      <c r="F940" s="52" t="e">
        <v>#REF!</v>
      </c>
      <c r="G940" s="48" t="e">
        <v>#REF!</v>
      </c>
      <c r="H940" s="49">
        <v>0</v>
      </c>
      <c r="I940" s="49" t="e">
        <v>#REF!</v>
      </c>
      <c r="J940" s="50"/>
    </row>
    <row r="941" outlineLevel="1" spans="1:10">
      <c r="A941" s="50">
        <v>37</v>
      </c>
      <c r="B941" s="51" t="str">
        <v>水表安装-DN250</v>
      </c>
      <c r="C941" s="51" t="e">
        <v>#REF!</v>
      </c>
      <c r="D941" s="51" t="str">
        <v/>
      </c>
      <c r="E941" s="51" t="str">
        <v/>
      </c>
      <c r="F941" s="52" t="e">
        <v>#REF!</v>
      </c>
      <c r="G941" s="48" t="e">
        <v>#REF!</v>
      </c>
      <c r="H941" s="49">
        <v>0</v>
      </c>
      <c r="I941" s="49" t="e">
        <v>#REF!</v>
      </c>
      <c r="J941" s="50"/>
    </row>
    <row r="942" outlineLevel="1" spans="1:10">
      <c r="A942" s="50">
        <v>38</v>
      </c>
      <c r="B942" s="51" t="str">
        <v>水龙头-De20</v>
      </c>
      <c r="C942" s="51" t="e">
        <v>#REF!</v>
      </c>
      <c r="D942" s="51" t="str">
        <v/>
      </c>
      <c r="E942" s="51" t="str">
        <v/>
      </c>
      <c r="F942" s="52" t="e">
        <v>#REF!</v>
      </c>
      <c r="G942" s="48" t="e">
        <v>#REF!</v>
      </c>
      <c r="H942" s="49">
        <v>0</v>
      </c>
      <c r="I942" s="49" t="e">
        <v>#REF!</v>
      </c>
      <c r="J942" s="50"/>
    </row>
    <row r="943" outlineLevel="1" spans="1:10">
      <c r="A943" s="50">
        <v>39</v>
      </c>
      <c r="B943" s="51" t="str">
        <v>给排水压力仪表-DN15</v>
      </c>
      <c r="C943" s="51" t="e">
        <v>#REF!</v>
      </c>
      <c r="D943" s="51" t="str">
        <v/>
      </c>
      <c r="E943" s="51" t="str">
        <v/>
      </c>
      <c r="F943" s="52" t="e">
        <v>#REF!</v>
      </c>
      <c r="G943" s="48" t="e">
        <v>#REF!</v>
      </c>
      <c r="H943" s="49">
        <v>0</v>
      </c>
      <c r="I943" s="49" t="e">
        <v>#REF!</v>
      </c>
      <c r="J943" s="50"/>
    </row>
    <row r="944" outlineLevel="1" spans="1:10">
      <c r="A944" s="50" t="str">
        <v/>
      </c>
      <c r="B944" s="51" t="str">
        <v>B.01.2给水管道</v>
      </c>
      <c r="C944" s="51" t="str">
        <v/>
      </c>
      <c r="D944" s="51" t="str">
        <v/>
      </c>
      <c r="E944" s="51" t="str">
        <v/>
      </c>
      <c r="F944" s="52" t="str">
        <v/>
      </c>
      <c r="G944" s="48" t="str">
        <v/>
      </c>
      <c r="H944" s="49">
        <v>0</v>
      </c>
      <c r="I944" s="49" t="e">
        <v>#REF!</v>
      </c>
      <c r="J944" s="50"/>
    </row>
    <row r="945" ht="28.8" outlineLevel="1" spans="1:10">
      <c r="A945" s="50">
        <v>40</v>
      </c>
      <c r="B945" s="51" t="str">
        <v>室内给水内衬塑镀锌钢塑复合管-DN15</v>
      </c>
      <c r="C945" s="51" t="e">
        <v>#REF!</v>
      </c>
      <c r="D945" s="51" t="str">
        <v/>
      </c>
      <c r="E945" s="51" t="str">
        <v/>
      </c>
      <c r="F945" s="52" t="e">
        <v>#REF!</v>
      </c>
      <c r="G945" s="48" t="e">
        <v>#REF!</v>
      </c>
      <c r="H945" s="49">
        <v>0</v>
      </c>
      <c r="I945" s="49" t="e">
        <v>#REF!</v>
      </c>
      <c r="J945" s="50"/>
    </row>
    <row r="946" ht="28.8" outlineLevel="1" spans="1:10">
      <c r="A946" s="50">
        <v>41</v>
      </c>
      <c r="B946" s="51" t="str">
        <v>室内给水内衬塑镀锌钢塑复合管-DN20</v>
      </c>
      <c r="C946" s="51" t="e">
        <v>#REF!</v>
      </c>
      <c r="D946" s="51" t="str">
        <v/>
      </c>
      <c r="E946" s="51" t="str">
        <v/>
      </c>
      <c r="F946" s="52" t="e">
        <v>#REF!</v>
      </c>
      <c r="G946" s="48" t="e">
        <v>#REF!</v>
      </c>
      <c r="H946" s="49">
        <v>0</v>
      </c>
      <c r="I946" s="49" t="e">
        <v>#REF!</v>
      </c>
      <c r="J946" s="50"/>
    </row>
    <row r="947" ht="28.8" outlineLevel="1" spans="1:10">
      <c r="A947" s="50">
        <v>42</v>
      </c>
      <c r="B947" s="51" t="str">
        <v>室内给水内衬塑镀锌钢塑复合管-DN25</v>
      </c>
      <c r="C947" s="51" t="e">
        <v>#REF!</v>
      </c>
      <c r="D947" s="51" t="str">
        <v/>
      </c>
      <c r="E947" s="51" t="str">
        <v/>
      </c>
      <c r="F947" s="52" t="e">
        <v>#REF!</v>
      </c>
      <c r="G947" s="48" t="e">
        <v>#REF!</v>
      </c>
      <c r="H947" s="49">
        <v>0</v>
      </c>
      <c r="I947" s="49" t="e">
        <v>#REF!</v>
      </c>
      <c r="J947" s="50"/>
    </row>
    <row r="948" ht="28.8" outlineLevel="1" spans="1:10">
      <c r="A948" s="50">
        <v>43</v>
      </c>
      <c r="B948" s="51" t="str">
        <v>室内给水内衬塑镀锌钢塑复合管-DN32</v>
      </c>
      <c r="C948" s="51" t="e">
        <v>#REF!</v>
      </c>
      <c r="D948" s="51" t="str">
        <v/>
      </c>
      <c r="E948" s="51" t="str">
        <v/>
      </c>
      <c r="F948" s="52" t="e">
        <v>#REF!</v>
      </c>
      <c r="G948" s="48" t="e">
        <v>#REF!</v>
      </c>
      <c r="H948" s="49">
        <v>0</v>
      </c>
      <c r="I948" s="49" t="e">
        <v>#REF!</v>
      </c>
      <c r="J948" s="50"/>
    </row>
    <row r="949" ht="28.8" outlineLevel="1" spans="1:10">
      <c r="A949" s="50">
        <v>44</v>
      </c>
      <c r="B949" s="51" t="str">
        <v>室内给水内衬塑镀锌钢塑复合管-DN40</v>
      </c>
      <c r="C949" s="51" t="e">
        <v>#REF!</v>
      </c>
      <c r="D949" s="51" t="str">
        <v/>
      </c>
      <c r="E949" s="51" t="str">
        <v/>
      </c>
      <c r="F949" s="52" t="e">
        <v>#REF!</v>
      </c>
      <c r="G949" s="48" t="e">
        <v>#REF!</v>
      </c>
      <c r="H949" s="49">
        <v>0</v>
      </c>
      <c r="I949" s="49" t="e">
        <v>#REF!</v>
      </c>
      <c r="J949" s="50"/>
    </row>
    <row r="950" ht="28.8" outlineLevel="1" spans="1:10">
      <c r="A950" s="50">
        <v>45</v>
      </c>
      <c r="B950" s="51" t="str">
        <v>室内给水内衬塑镀锌钢塑复合管-DN50</v>
      </c>
      <c r="C950" s="51" t="e">
        <v>#REF!</v>
      </c>
      <c r="D950" s="51" t="str">
        <v/>
      </c>
      <c r="E950" s="51" t="str">
        <v/>
      </c>
      <c r="F950" s="52" t="e">
        <v>#REF!</v>
      </c>
      <c r="G950" s="48" t="e">
        <v>#REF!</v>
      </c>
      <c r="H950" s="49">
        <v>0</v>
      </c>
      <c r="I950" s="49" t="e">
        <v>#REF!</v>
      </c>
      <c r="J950" s="50"/>
    </row>
    <row r="951" ht="28.8" outlineLevel="1" spans="1:10">
      <c r="A951" s="50">
        <v>46</v>
      </c>
      <c r="B951" s="51" t="str">
        <v>室内给水内衬塑镀锌钢塑复合管-DN65</v>
      </c>
      <c r="C951" s="51" t="e">
        <v>#REF!</v>
      </c>
      <c r="D951" s="51" t="str">
        <v/>
      </c>
      <c r="E951" s="51" t="str">
        <v/>
      </c>
      <c r="F951" s="52" t="e">
        <v>#REF!</v>
      </c>
      <c r="G951" s="48" t="e">
        <v>#REF!</v>
      </c>
      <c r="H951" s="49">
        <v>0</v>
      </c>
      <c r="I951" s="49" t="e">
        <v>#REF!</v>
      </c>
      <c r="J951" s="50"/>
    </row>
    <row r="952" ht="28.8" outlineLevel="1" spans="1:10">
      <c r="A952" s="50">
        <v>47</v>
      </c>
      <c r="B952" s="51" t="str">
        <v>室内给水内衬塑镀锌钢塑复合管-DN80</v>
      </c>
      <c r="C952" s="51" t="e">
        <v>#REF!</v>
      </c>
      <c r="D952" s="51" t="str">
        <v/>
      </c>
      <c r="E952" s="51" t="str">
        <v/>
      </c>
      <c r="F952" s="52" t="e">
        <v>#REF!</v>
      </c>
      <c r="G952" s="48" t="e">
        <v>#REF!</v>
      </c>
      <c r="H952" s="49">
        <v>0</v>
      </c>
      <c r="I952" s="49" t="e">
        <v>#REF!</v>
      </c>
      <c r="J952" s="50"/>
    </row>
    <row r="953" ht="28.8" outlineLevel="1" spans="1:10">
      <c r="A953" s="50">
        <v>48</v>
      </c>
      <c r="B953" s="51" t="str">
        <v>室内给水内衬塑镀锌钢塑复合管-DN100</v>
      </c>
      <c r="C953" s="51" t="e">
        <v>#REF!</v>
      </c>
      <c r="D953" s="51" t="str">
        <v/>
      </c>
      <c r="E953" s="51" t="str">
        <v/>
      </c>
      <c r="F953" s="52" t="e">
        <v>#REF!</v>
      </c>
      <c r="G953" s="48" t="e">
        <v>#REF!</v>
      </c>
      <c r="H953" s="49">
        <v>0</v>
      </c>
      <c r="I953" s="49" t="e">
        <v>#REF!</v>
      </c>
      <c r="J953" s="50"/>
    </row>
    <row r="954" ht="28.8" outlineLevel="1" spans="1:10">
      <c r="A954" s="50">
        <v>49</v>
      </c>
      <c r="B954" s="51" t="str">
        <v>室内给水内衬塑镀锌钢塑复合管-DN125</v>
      </c>
      <c r="C954" s="51" t="e">
        <v>#REF!</v>
      </c>
      <c r="D954" s="51" t="str">
        <v/>
      </c>
      <c r="E954" s="51" t="str">
        <v/>
      </c>
      <c r="F954" s="52" t="e">
        <v>#REF!</v>
      </c>
      <c r="G954" s="48" t="e">
        <v>#REF!</v>
      </c>
      <c r="H954" s="49">
        <v>0</v>
      </c>
      <c r="I954" s="49" t="e">
        <v>#REF!</v>
      </c>
      <c r="J954" s="50"/>
    </row>
    <row r="955" ht="28.8" outlineLevel="1" spans="1:10">
      <c r="A955" s="50">
        <v>50</v>
      </c>
      <c r="B955" s="51" t="str">
        <v>室内给水内衬塑镀锌钢塑复合管-DN150</v>
      </c>
      <c r="C955" s="51" t="e">
        <v>#REF!</v>
      </c>
      <c r="D955" s="51" t="str">
        <v/>
      </c>
      <c r="E955" s="51" t="str">
        <v/>
      </c>
      <c r="F955" s="52" t="e">
        <v>#REF!</v>
      </c>
      <c r="G955" s="48" t="e">
        <v>#REF!</v>
      </c>
      <c r="H955" s="49">
        <v>0</v>
      </c>
      <c r="I955" s="49" t="e">
        <v>#REF!</v>
      </c>
      <c r="J955" s="50"/>
    </row>
    <row r="956" ht="28.8" outlineLevel="1" spans="1:10">
      <c r="A956" s="50">
        <v>51</v>
      </c>
      <c r="B956" s="51" t="str">
        <v>室内给水塑料管-PPR-De20-热熔</v>
      </c>
      <c r="C956" s="51" t="e">
        <v>#REF!</v>
      </c>
      <c r="D956" s="51" t="str">
        <v/>
      </c>
      <c r="E956" s="51" t="str">
        <v/>
      </c>
      <c r="F956" s="52" t="e">
        <v>#REF!</v>
      </c>
      <c r="G956" s="48" t="e">
        <v>#REF!</v>
      </c>
      <c r="H956" s="49">
        <v>0</v>
      </c>
      <c r="I956" s="49" t="e">
        <v>#REF!</v>
      </c>
      <c r="J956" s="50"/>
    </row>
    <row r="957" ht="28.8" outlineLevel="1" spans="1:10">
      <c r="A957" s="50">
        <v>52</v>
      </c>
      <c r="B957" s="51" t="str">
        <v>室内给水塑料管-PPR-De25-热熔</v>
      </c>
      <c r="C957" s="51" t="e">
        <v>#REF!</v>
      </c>
      <c r="D957" s="51" t="str">
        <v/>
      </c>
      <c r="E957" s="51" t="str">
        <v/>
      </c>
      <c r="F957" s="52" t="e">
        <v>#REF!</v>
      </c>
      <c r="G957" s="48" t="e">
        <v>#REF!</v>
      </c>
      <c r="H957" s="49">
        <v>0</v>
      </c>
      <c r="I957" s="49" t="e">
        <v>#REF!</v>
      </c>
      <c r="J957" s="50"/>
    </row>
    <row r="958" ht="28.8" outlineLevel="1" spans="1:10">
      <c r="A958" s="50">
        <v>53</v>
      </c>
      <c r="B958" s="51" t="str">
        <v>室内给水塑料管-PPR-De32-热熔</v>
      </c>
      <c r="C958" s="51" t="e">
        <v>#REF!</v>
      </c>
      <c r="D958" s="51" t="str">
        <v/>
      </c>
      <c r="E958" s="51" t="str">
        <v/>
      </c>
      <c r="F958" s="52" t="e">
        <v>#REF!</v>
      </c>
      <c r="G958" s="48" t="e">
        <v>#REF!</v>
      </c>
      <c r="H958" s="49">
        <v>0</v>
      </c>
      <c r="I958" s="49" t="e">
        <v>#REF!</v>
      </c>
      <c r="J958" s="50"/>
    </row>
    <row r="959" ht="28.8" outlineLevel="1" spans="1:10">
      <c r="A959" s="50">
        <v>54</v>
      </c>
      <c r="B959" s="51" t="str">
        <v>室内给水塑料管-PPR-De40-热熔</v>
      </c>
      <c r="C959" s="51" t="e">
        <v>#REF!</v>
      </c>
      <c r="D959" s="51" t="str">
        <v/>
      </c>
      <c r="E959" s="51" t="str">
        <v/>
      </c>
      <c r="F959" s="52" t="e">
        <v>#REF!</v>
      </c>
      <c r="G959" s="48" t="e">
        <v>#REF!</v>
      </c>
      <c r="H959" s="49">
        <v>0</v>
      </c>
      <c r="I959" s="49" t="e">
        <v>#REF!</v>
      </c>
      <c r="J959" s="50"/>
    </row>
    <row r="960" ht="28.8" outlineLevel="1" spans="1:10">
      <c r="A960" s="50">
        <v>55</v>
      </c>
      <c r="B960" s="51" t="str">
        <v>室内给水塑料管-PPR-De50-热熔</v>
      </c>
      <c r="C960" s="51" t="e">
        <v>#REF!</v>
      </c>
      <c r="D960" s="51" t="str">
        <v/>
      </c>
      <c r="E960" s="51" t="str">
        <v/>
      </c>
      <c r="F960" s="52" t="e">
        <v>#REF!</v>
      </c>
      <c r="G960" s="48" t="e">
        <v>#REF!</v>
      </c>
      <c r="H960" s="49">
        <v>0</v>
      </c>
      <c r="I960" s="49" t="e">
        <v>#REF!</v>
      </c>
      <c r="J960" s="50"/>
    </row>
    <row r="961" ht="28.8" outlineLevel="1" spans="1:10">
      <c r="A961" s="50">
        <v>56</v>
      </c>
      <c r="B961" s="51" t="str">
        <v>室内给水塑料管-PPR-De63-热熔</v>
      </c>
      <c r="C961" s="51" t="e">
        <v>#REF!</v>
      </c>
      <c r="D961" s="51" t="str">
        <v/>
      </c>
      <c r="E961" s="51" t="str">
        <v/>
      </c>
      <c r="F961" s="52" t="e">
        <v>#REF!</v>
      </c>
      <c r="G961" s="48" t="e">
        <v>#REF!</v>
      </c>
      <c r="H961" s="49">
        <v>0</v>
      </c>
      <c r="I961" s="49" t="e">
        <v>#REF!</v>
      </c>
      <c r="J961" s="50"/>
    </row>
    <row r="962" outlineLevel="1" spans="1:10">
      <c r="A962" s="50" t="str">
        <v/>
      </c>
      <c r="B962" s="51" t="str">
        <v>B.01.3绝热</v>
      </c>
      <c r="C962" s="51" t="str">
        <v/>
      </c>
      <c r="D962" s="51" t="str">
        <v/>
      </c>
      <c r="E962" s="51" t="str">
        <v/>
      </c>
      <c r="F962" s="52" t="str">
        <v/>
      </c>
      <c r="G962" s="48" t="str">
        <v/>
      </c>
      <c r="H962" s="49">
        <v>0</v>
      </c>
      <c r="I962" s="49" t="e">
        <v>#REF!</v>
      </c>
      <c r="J962" s="50"/>
    </row>
    <row r="963" outlineLevel="1" spans="1:10">
      <c r="A963" s="50">
        <v>57</v>
      </c>
      <c r="B963" s="51" t="str">
        <v>管道绝热</v>
      </c>
      <c r="C963" s="51" t="e">
        <v>#REF!</v>
      </c>
      <c r="D963" s="51" t="str">
        <v/>
      </c>
      <c r="E963" s="51" t="str">
        <v/>
      </c>
      <c r="F963" s="52" t="e">
        <v>#REF!</v>
      </c>
      <c r="G963" s="48" t="e">
        <v>#REF!</v>
      </c>
      <c r="H963" s="49">
        <v>0</v>
      </c>
      <c r="I963" s="49" t="e">
        <v>#REF!</v>
      </c>
      <c r="J963" s="50"/>
    </row>
    <row r="964" outlineLevel="1" spans="1:10">
      <c r="A964" s="50">
        <v>58</v>
      </c>
      <c r="B964" s="51" t="str">
        <v>玻璃丝布</v>
      </c>
      <c r="C964" s="51" t="e">
        <v>#REF!</v>
      </c>
      <c r="D964" s="51" t="str">
        <v/>
      </c>
      <c r="E964" s="51" t="str">
        <v/>
      </c>
      <c r="F964" s="52" t="e">
        <v>#REF!</v>
      </c>
      <c r="G964" s="48" t="e">
        <v>#REF!</v>
      </c>
      <c r="H964" s="49">
        <v>0</v>
      </c>
      <c r="I964" s="49" t="e">
        <v>#REF!</v>
      </c>
      <c r="J964" s="50"/>
    </row>
    <row r="965" outlineLevel="1" spans="1:10">
      <c r="A965" s="50">
        <v>59</v>
      </c>
      <c r="B965" s="51" t="str">
        <v>电伴热</v>
      </c>
      <c r="C965" s="51" t="e">
        <v>#REF!</v>
      </c>
      <c r="D965" s="51" t="str">
        <v/>
      </c>
      <c r="E965" s="51" t="str">
        <v/>
      </c>
      <c r="F965" s="52" t="e">
        <v>#REF!</v>
      </c>
      <c r="G965" s="48" t="e">
        <v>#REF!</v>
      </c>
      <c r="H965" s="49">
        <v>0</v>
      </c>
      <c r="I965" s="49" t="e">
        <v>#REF!</v>
      </c>
      <c r="J965" s="50"/>
    </row>
    <row r="966" outlineLevel="1" spans="1:10">
      <c r="A966" s="50">
        <v>60</v>
      </c>
      <c r="B966" s="51" t="str">
        <v>电伴热控制箱</v>
      </c>
      <c r="C966" s="51" t="e">
        <v>#REF!</v>
      </c>
      <c r="D966" s="51" t="str">
        <v/>
      </c>
      <c r="E966" s="51" t="str">
        <v/>
      </c>
      <c r="F966" s="52" t="e">
        <v>#REF!</v>
      </c>
      <c r="G966" s="48" t="e">
        <v>#REF!</v>
      </c>
      <c r="H966" s="49">
        <v>0</v>
      </c>
      <c r="I966" s="49" t="e">
        <v>#REF!</v>
      </c>
      <c r="J966" s="50"/>
    </row>
    <row r="967" outlineLevel="1" spans="1:10">
      <c r="A967" s="50">
        <v>61</v>
      </c>
      <c r="B967" s="51" t="str">
        <v>防火漆</v>
      </c>
      <c r="C967" s="51" t="e">
        <v>#REF!</v>
      </c>
      <c r="D967" s="51" t="str">
        <v/>
      </c>
      <c r="E967" s="51" t="str">
        <v/>
      </c>
      <c r="F967" s="52" t="e">
        <v>#REF!</v>
      </c>
      <c r="G967" s="48" t="e">
        <v>#REF!</v>
      </c>
      <c r="H967" s="49">
        <v>0</v>
      </c>
      <c r="I967" s="49" t="e">
        <v>#REF!</v>
      </c>
      <c r="J967" s="50"/>
    </row>
    <row r="968" outlineLevel="1" spans="1:10">
      <c r="A968" s="50">
        <v>62</v>
      </c>
      <c r="B968" s="51" t="str">
        <v>塑料带保护层</v>
      </c>
      <c r="C968" s="51" t="e">
        <v>#REF!</v>
      </c>
      <c r="D968" s="51" t="str">
        <v/>
      </c>
      <c r="E968" s="51" t="str">
        <v/>
      </c>
      <c r="F968" s="52" t="e">
        <v>#REF!</v>
      </c>
      <c r="G968" s="48" t="e">
        <v>#REF!</v>
      </c>
      <c r="H968" s="49">
        <v>0</v>
      </c>
      <c r="I968" s="49" t="e">
        <v>#REF!</v>
      </c>
      <c r="J968" s="50"/>
    </row>
    <row r="969" outlineLevel="1" spans="1:10">
      <c r="A969" s="50" t="str">
        <v/>
      </c>
      <c r="B969" s="51" t="str">
        <v>B.02地下排水</v>
      </c>
      <c r="C969" s="51" t="str">
        <v/>
      </c>
      <c r="D969" s="51" t="str">
        <v/>
      </c>
      <c r="E969" s="51" t="str">
        <v/>
      </c>
      <c r="F969" s="52" t="str">
        <v/>
      </c>
      <c r="G969" s="48" t="str">
        <v/>
      </c>
      <c r="H969" s="49">
        <v>0</v>
      </c>
      <c r="I969" s="49" t="e">
        <v>#REF!</v>
      </c>
      <c r="J969" s="50"/>
    </row>
    <row r="970" outlineLevel="1" spans="1:10">
      <c r="A970" s="50" t="str">
        <v/>
      </c>
      <c r="B970" s="51" t="str">
        <v>B.02.1阀部件</v>
      </c>
      <c r="C970" s="51" t="str">
        <v/>
      </c>
      <c r="D970" s="51" t="str">
        <v/>
      </c>
      <c r="E970" s="51" t="str">
        <v/>
      </c>
      <c r="F970" s="52" t="str">
        <v/>
      </c>
      <c r="G970" s="48" t="str">
        <v/>
      </c>
      <c r="H970" s="49">
        <v>0</v>
      </c>
      <c r="I970" s="49" t="e">
        <v>#REF!</v>
      </c>
      <c r="J970" s="50"/>
    </row>
    <row r="971" outlineLevel="1" spans="1:10">
      <c r="A971" s="50">
        <v>63</v>
      </c>
      <c r="B971" s="51" t="str">
        <v>法兰阀门-闸阀-DN50</v>
      </c>
      <c r="C971" s="51" t="e">
        <v>#REF!</v>
      </c>
      <c r="D971" s="51" t="str">
        <v/>
      </c>
      <c r="E971" s="51" t="str">
        <v/>
      </c>
      <c r="F971" s="52" t="e">
        <v>#REF!</v>
      </c>
      <c r="G971" s="48" t="e">
        <v>#REF!</v>
      </c>
      <c r="H971" s="49">
        <v>0</v>
      </c>
      <c r="I971" s="49" t="e">
        <v>#REF!</v>
      </c>
      <c r="J971" s="50"/>
    </row>
    <row r="972" outlineLevel="1" spans="1:10">
      <c r="A972" s="50">
        <v>64</v>
      </c>
      <c r="B972" s="51" t="str">
        <v>法兰阀门-闸阀-DN65</v>
      </c>
      <c r="C972" s="51" t="e">
        <v>#REF!</v>
      </c>
      <c r="D972" s="51" t="str">
        <v/>
      </c>
      <c r="E972" s="51" t="str">
        <v/>
      </c>
      <c r="F972" s="52" t="e">
        <v>#REF!</v>
      </c>
      <c r="G972" s="48" t="e">
        <v>#REF!</v>
      </c>
      <c r="H972" s="49">
        <v>0</v>
      </c>
      <c r="I972" s="49" t="e">
        <v>#REF!</v>
      </c>
      <c r="J972" s="50"/>
    </row>
    <row r="973" outlineLevel="1" spans="1:10">
      <c r="A973" s="50">
        <v>65</v>
      </c>
      <c r="B973" s="51" t="str">
        <v>法兰阀门-闸阀-DN80</v>
      </c>
      <c r="C973" s="51" t="e">
        <v>#REF!</v>
      </c>
      <c r="D973" s="51" t="str">
        <v/>
      </c>
      <c r="E973" s="51" t="str">
        <v/>
      </c>
      <c r="F973" s="52" t="e">
        <v>#REF!</v>
      </c>
      <c r="G973" s="48" t="e">
        <v>#REF!</v>
      </c>
      <c r="H973" s="49">
        <v>0</v>
      </c>
      <c r="I973" s="49" t="e">
        <v>#REF!</v>
      </c>
      <c r="J973" s="50"/>
    </row>
    <row r="974" outlineLevel="1" spans="1:10">
      <c r="A974" s="50">
        <v>66</v>
      </c>
      <c r="B974" s="51" t="str">
        <v>法兰阀门-闸阀-DN100</v>
      </c>
      <c r="C974" s="51" t="e">
        <v>#REF!</v>
      </c>
      <c r="D974" s="51" t="str">
        <v/>
      </c>
      <c r="E974" s="51" t="str">
        <v/>
      </c>
      <c r="F974" s="52" t="e">
        <v>#REF!</v>
      </c>
      <c r="G974" s="48" t="e">
        <v>#REF!</v>
      </c>
      <c r="H974" s="49">
        <v>0</v>
      </c>
      <c r="I974" s="49" t="e">
        <v>#REF!</v>
      </c>
      <c r="J974" s="50"/>
    </row>
    <row r="975" outlineLevel="1" spans="1:10">
      <c r="A975" s="50">
        <v>67</v>
      </c>
      <c r="B975" s="51" t="str">
        <v>法兰阀门-止回阀-DN50</v>
      </c>
      <c r="C975" s="51" t="e">
        <v>#REF!</v>
      </c>
      <c r="D975" s="51" t="str">
        <v/>
      </c>
      <c r="E975" s="51" t="str">
        <v/>
      </c>
      <c r="F975" s="52" t="e">
        <v>#REF!</v>
      </c>
      <c r="G975" s="48" t="e">
        <v>#REF!</v>
      </c>
      <c r="H975" s="49">
        <v>0</v>
      </c>
      <c r="I975" s="49" t="e">
        <v>#REF!</v>
      </c>
      <c r="J975" s="50"/>
    </row>
    <row r="976" outlineLevel="1" spans="1:10">
      <c r="A976" s="50">
        <v>68</v>
      </c>
      <c r="B976" s="51" t="str">
        <v>法兰阀门-止回阀-DN65</v>
      </c>
      <c r="C976" s="51" t="e">
        <v>#REF!</v>
      </c>
      <c r="D976" s="51" t="str">
        <v/>
      </c>
      <c r="E976" s="51" t="str">
        <v/>
      </c>
      <c r="F976" s="52" t="e">
        <v>#REF!</v>
      </c>
      <c r="G976" s="48" t="e">
        <v>#REF!</v>
      </c>
      <c r="H976" s="49">
        <v>0</v>
      </c>
      <c r="I976" s="49" t="e">
        <v>#REF!</v>
      </c>
      <c r="J976" s="50"/>
    </row>
    <row r="977" outlineLevel="1" spans="1:10">
      <c r="A977" s="50">
        <v>69</v>
      </c>
      <c r="B977" s="51" t="str">
        <v>法兰阀门-止回阀-DN80</v>
      </c>
      <c r="C977" s="51" t="e">
        <v>#REF!</v>
      </c>
      <c r="D977" s="51" t="str">
        <v/>
      </c>
      <c r="E977" s="51" t="str">
        <v/>
      </c>
      <c r="F977" s="52" t="e">
        <v>#REF!</v>
      </c>
      <c r="G977" s="48" t="e">
        <v>#REF!</v>
      </c>
      <c r="H977" s="49">
        <v>0</v>
      </c>
      <c r="I977" s="49" t="e">
        <v>#REF!</v>
      </c>
      <c r="J977" s="50"/>
    </row>
    <row r="978" outlineLevel="1" spans="1:10">
      <c r="A978" s="50">
        <v>70</v>
      </c>
      <c r="B978" s="51" t="str">
        <v>法兰阀门-止回阀-DN100</v>
      </c>
      <c r="C978" s="51" t="e">
        <v>#REF!</v>
      </c>
      <c r="D978" s="51" t="str">
        <v/>
      </c>
      <c r="E978" s="51" t="str">
        <v/>
      </c>
      <c r="F978" s="52" t="e">
        <v>#REF!</v>
      </c>
      <c r="G978" s="48" t="e">
        <v>#REF!</v>
      </c>
      <c r="H978" s="49">
        <v>0</v>
      </c>
      <c r="I978" s="49" t="e">
        <v>#REF!</v>
      </c>
      <c r="J978" s="50"/>
    </row>
    <row r="979" outlineLevel="1" spans="1:10">
      <c r="A979" s="50">
        <v>71</v>
      </c>
      <c r="B979" s="51" t="str">
        <v>法兰阀门-软接头-DN50</v>
      </c>
      <c r="C979" s="51" t="e">
        <v>#REF!</v>
      </c>
      <c r="D979" s="51" t="str">
        <v/>
      </c>
      <c r="E979" s="51" t="str">
        <v/>
      </c>
      <c r="F979" s="52" t="e">
        <v>#REF!</v>
      </c>
      <c r="G979" s="48" t="e">
        <v>#REF!</v>
      </c>
      <c r="H979" s="49">
        <v>0</v>
      </c>
      <c r="I979" s="49" t="e">
        <v>#REF!</v>
      </c>
      <c r="J979" s="50"/>
    </row>
    <row r="980" outlineLevel="1" spans="1:10">
      <c r="A980" s="50">
        <v>72</v>
      </c>
      <c r="B980" s="51" t="str">
        <v>法兰阀门-软接头-DN65</v>
      </c>
      <c r="C980" s="51" t="e">
        <v>#REF!</v>
      </c>
      <c r="D980" s="51" t="str">
        <v/>
      </c>
      <c r="E980" s="51" t="str">
        <v/>
      </c>
      <c r="F980" s="52" t="e">
        <v>#REF!</v>
      </c>
      <c r="G980" s="48" t="e">
        <v>#REF!</v>
      </c>
      <c r="H980" s="49">
        <v>0</v>
      </c>
      <c r="I980" s="49" t="e">
        <v>#REF!</v>
      </c>
      <c r="J980" s="50"/>
    </row>
    <row r="981" outlineLevel="1" spans="1:10">
      <c r="A981" s="50">
        <v>73</v>
      </c>
      <c r="B981" s="51" t="str">
        <v>法兰阀门-软接头-DN80</v>
      </c>
      <c r="C981" s="51" t="e">
        <v>#REF!</v>
      </c>
      <c r="D981" s="51" t="str">
        <v/>
      </c>
      <c r="E981" s="51" t="str">
        <v/>
      </c>
      <c r="F981" s="52" t="e">
        <v>#REF!</v>
      </c>
      <c r="G981" s="48" t="e">
        <v>#REF!</v>
      </c>
      <c r="H981" s="49">
        <v>0</v>
      </c>
      <c r="I981" s="49" t="e">
        <v>#REF!</v>
      </c>
      <c r="J981" s="50"/>
    </row>
    <row r="982" outlineLevel="1" spans="1:10">
      <c r="A982" s="50">
        <v>74</v>
      </c>
      <c r="B982" s="51" t="str">
        <v>可曲挠橡胶接头-DN100</v>
      </c>
      <c r="C982" s="51" t="e">
        <v>#REF!</v>
      </c>
      <c r="D982" s="51" t="str">
        <v/>
      </c>
      <c r="E982" s="51" t="str">
        <v/>
      </c>
      <c r="F982" s="52" t="e">
        <v>#REF!</v>
      </c>
      <c r="G982" s="48" t="e">
        <v>#REF!</v>
      </c>
      <c r="H982" s="49">
        <v>0</v>
      </c>
      <c r="I982" s="49" t="e">
        <v>#REF!</v>
      </c>
      <c r="J982" s="50"/>
    </row>
    <row r="983" outlineLevel="1" spans="1:10">
      <c r="A983" s="50">
        <v>75</v>
      </c>
      <c r="B983" s="51" t="str">
        <v>给排水压力仪表-DN15</v>
      </c>
      <c r="C983" s="51" t="e">
        <v>#REF!</v>
      </c>
      <c r="D983" s="51" t="str">
        <v/>
      </c>
      <c r="E983" s="51" t="str">
        <v/>
      </c>
      <c r="F983" s="52" t="e">
        <v>#REF!</v>
      </c>
      <c r="G983" s="48" t="e">
        <v>#REF!</v>
      </c>
      <c r="H983" s="49">
        <v>0</v>
      </c>
      <c r="I983" s="49" t="e">
        <v>#REF!</v>
      </c>
      <c r="J983" s="50"/>
    </row>
    <row r="984" outlineLevel="1" spans="1:10">
      <c r="A984" s="50" t="str">
        <v/>
      </c>
      <c r="B984" s="51" t="str">
        <v>B.02.2排水管道</v>
      </c>
      <c r="C984" s="51" t="str">
        <v/>
      </c>
      <c r="D984" s="51" t="str">
        <v/>
      </c>
      <c r="E984" s="51" t="str">
        <v/>
      </c>
      <c r="F984" s="52" t="str">
        <v/>
      </c>
      <c r="G984" s="48" t="str">
        <v/>
      </c>
      <c r="H984" s="49">
        <v>0</v>
      </c>
      <c r="I984" s="49" t="e">
        <v>#REF!</v>
      </c>
      <c r="J984" s="50"/>
    </row>
    <row r="985" ht="28.8" outlineLevel="1" spans="1:10">
      <c r="A985" s="50">
        <v>76</v>
      </c>
      <c r="B985" s="51" t="str">
        <v>室外排水塑料管-加厚UPVC-De160</v>
      </c>
      <c r="C985" s="51" t="e">
        <v>#REF!</v>
      </c>
      <c r="D985" s="51" t="str">
        <v/>
      </c>
      <c r="E985" s="51" t="str">
        <v/>
      </c>
      <c r="F985" s="52" t="e">
        <v>#REF!</v>
      </c>
      <c r="G985" s="48" t="e">
        <v>#REF!</v>
      </c>
      <c r="H985" s="49">
        <v>0</v>
      </c>
      <c r="I985" s="49" t="e">
        <v>#REF!</v>
      </c>
      <c r="J985" s="50"/>
    </row>
    <row r="986" ht="28.8" outlineLevel="1" spans="1:10">
      <c r="A986" s="50">
        <v>77</v>
      </c>
      <c r="B986" s="51" t="str">
        <v>室外排水塑料管-加厚UPVC-De110</v>
      </c>
      <c r="C986" s="51" t="e">
        <v>#REF!</v>
      </c>
      <c r="D986" s="51" t="str">
        <v/>
      </c>
      <c r="E986" s="51" t="str">
        <v/>
      </c>
      <c r="F986" s="52" t="e">
        <v>#REF!</v>
      </c>
      <c r="G986" s="48" t="e">
        <v>#REF!</v>
      </c>
      <c r="H986" s="49">
        <v>0</v>
      </c>
      <c r="I986" s="49" t="e">
        <v>#REF!</v>
      </c>
      <c r="J986" s="50"/>
    </row>
    <row r="987" ht="28.8" outlineLevel="1" spans="1:10">
      <c r="A987" s="50">
        <v>78</v>
      </c>
      <c r="B987" s="51" t="str">
        <v>室外排水塑料管-加厚UPVC-De75</v>
      </c>
      <c r="C987" s="51" t="e">
        <v>#REF!</v>
      </c>
      <c r="D987" s="51" t="str">
        <v/>
      </c>
      <c r="E987" s="51" t="str">
        <v/>
      </c>
      <c r="F987" s="52" t="e">
        <v>#REF!</v>
      </c>
      <c r="G987" s="48" t="e">
        <v>#REF!</v>
      </c>
      <c r="H987" s="49">
        <v>0</v>
      </c>
      <c r="I987" s="49" t="e">
        <v>#REF!</v>
      </c>
      <c r="J987" s="50"/>
    </row>
    <row r="988" outlineLevel="1" spans="1:10">
      <c r="A988" s="50">
        <v>79</v>
      </c>
      <c r="B988" s="51" t="str">
        <v>室外塑料管-UPVC-De50</v>
      </c>
      <c r="C988" s="51" t="e">
        <v>#REF!</v>
      </c>
      <c r="D988" s="51" t="str">
        <v/>
      </c>
      <c r="E988" s="51" t="str">
        <v/>
      </c>
      <c r="F988" s="52" t="e">
        <v>#REF!</v>
      </c>
      <c r="G988" s="48" t="e">
        <v>#REF!</v>
      </c>
      <c r="H988" s="49">
        <v>0</v>
      </c>
      <c r="I988" s="49" t="e">
        <v>#REF!</v>
      </c>
      <c r="J988" s="50"/>
    </row>
    <row r="989" outlineLevel="1" spans="1:10">
      <c r="A989" s="50">
        <v>80</v>
      </c>
      <c r="B989" s="51" t="str">
        <v>室外排水镀锌钢管-DN50</v>
      </c>
      <c r="C989" s="51" t="e">
        <v>#REF!</v>
      </c>
      <c r="D989" s="51" t="str">
        <v/>
      </c>
      <c r="E989" s="51" t="str">
        <v/>
      </c>
      <c r="F989" s="52" t="e">
        <v>#REF!</v>
      </c>
      <c r="G989" s="48" t="e">
        <v>#REF!</v>
      </c>
      <c r="H989" s="49">
        <v>0</v>
      </c>
      <c r="I989" s="49" t="e">
        <v>#REF!</v>
      </c>
      <c r="J989" s="50"/>
    </row>
    <row r="990" outlineLevel="1" spans="1:10">
      <c r="A990" s="50">
        <v>81</v>
      </c>
      <c r="B990" s="51" t="str">
        <v>室外排水镀锌钢管-DN65</v>
      </c>
      <c r="C990" s="51" t="e">
        <v>#REF!</v>
      </c>
      <c r="D990" s="51" t="str">
        <v/>
      </c>
      <c r="E990" s="51" t="str">
        <v/>
      </c>
      <c r="F990" s="52" t="e">
        <v>#REF!</v>
      </c>
      <c r="G990" s="48" t="e">
        <v>#REF!</v>
      </c>
      <c r="H990" s="49">
        <v>0</v>
      </c>
      <c r="I990" s="49" t="e">
        <v>#REF!</v>
      </c>
      <c r="J990" s="50"/>
    </row>
    <row r="991" outlineLevel="1" spans="1:10">
      <c r="A991" s="50">
        <v>82</v>
      </c>
      <c r="B991" s="51" t="str">
        <v>室外排水镀锌钢管-DN80</v>
      </c>
      <c r="C991" s="51" t="e">
        <v>#REF!</v>
      </c>
      <c r="D991" s="51" t="str">
        <v/>
      </c>
      <c r="E991" s="51" t="str">
        <v/>
      </c>
      <c r="F991" s="52" t="e">
        <v>#REF!</v>
      </c>
      <c r="G991" s="48" t="e">
        <v>#REF!</v>
      </c>
      <c r="H991" s="49">
        <v>0</v>
      </c>
      <c r="I991" s="49" t="e">
        <v>#REF!</v>
      </c>
      <c r="J991" s="50"/>
    </row>
    <row r="992" ht="28.8" outlineLevel="1" spans="1:10">
      <c r="A992" s="50">
        <v>83</v>
      </c>
      <c r="B992" s="51" t="str">
        <v>室外排水镀锌钢管-DN100</v>
      </c>
      <c r="C992" s="51" t="e">
        <v>#REF!</v>
      </c>
      <c r="D992" s="51" t="str">
        <v/>
      </c>
      <c r="E992" s="51" t="str">
        <v/>
      </c>
      <c r="F992" s="52" t="e">
        <v>#REF!</v>
      </c>
      <c r="G992" s="48" t="e">
        <v>#REF!</v>
      </c>
      <c r="H992" s="49">
        <v>0</v>
      </c>
      <c r="I992" s="49" t="e">
        <v>#REF!</v>
      </c>
      <c r="J992" s="50"/>
    </row>
    <row r="993" ht="28.8" outlineLevel="1" spans="1:10">
      <c r="A993" s="50">
        <v>84</v>
      </c>
      <c r="B993" s="51" t="str">
        <v>室外排水镀锌钢管-DN125</v>
      </c>
      <c r="C993" s="51" t="e">
        <v>#REF!</v>
      </c>
      <c r="D993" s="51" t="str">
        <v/>
      </c>
      <c r="E993" s="51" t="str">
        <v/>
      </c>
      <c r="F993" s="52" t="e">
        <v>#REF!</v>
      </c>
      <c r="G993" s="48" t="e">
        <v>#REF!</v>
      </c>
      <c r="H993" s="49">
        <v>0</v>
      </c>
      <c r="I993" s="49" t="e">
        <v>#REF!</v>
      </c>
      <c r="J993" s="50"/>
    </row>
    <row r="994" ht="28.8" outlineLevel="1" spans="1:10">
      <c r="A994" s="50">
        <v>85</v>
      </c>
      <c r="B994" s="51" t="str">
        <v>室外排水镀锌钢管-DN150</v>
      </c>
      <c r="C994" s="51" t="e">
        <v>#REF!</v>
      </c>
      <c r="D994" s="51" t="str">
        <v/>
      </c>
      <c r="E994" s="51" t="str">
        <v/>
      </c>
      <c r="F994" s="52" t="e">
        <v>#REF!</v>
      </c>
      <c r="G994" s="48" t="e">
        <v>#REF!</v>
      </c>
      <c r="H994" s="49">
        <v>0</v>
      </c>
      <c r="I994" s="49" t="e">
        <v>#REF!</v>
      </c>
      <c r="J994" s="50"/>
    </row>
    <row r="995" ht="28.8" outlineLevel="1" spans="1:10">
      <c r="A995" s="50">
        <v>86</v>
      </c>
      <c r="B995" s="51" t="str">
        <v>室外或埋地排水管-铸铁管-DN50</v>
      </c>
      <c r="C995" s="51" t="e">
        <v>#REF!</v>
      </c>
      <c r="D995" s="51" t="str">
        <v/>
      </c>
      <c r="E995" s="51" t="str">
        <v/>
      </c>
      <c r="F995" s="52" t="e">
        <v>#REF!</v>
      </c>
      <c r="G995" s="48" t="e">
        <v>#REF!</v>
      </c>
      <c r="H995" s="49">
        <v>0</v>
      </c>
      <c r="I995" s="49" t="e">
        <v>#REF!</v>
      </c>
      <c r="J995" s="50"/>
    </row>
    <row r="996" ht="28.8" outlineLevel="1" spans="1:10">
      <c r="A996" s="50">
        <v>87</v>
      </c>
      <c r="B996" s="51" t="str">
        <v>室外或埋地排水管-铸铁管-DN75</v>
      </c>
      <c r="C996" s="51" t="e">
        <v>#REF!</v>
      </c>
      <c r="D996" s="51" t="str">
        <v/>
      </c>
      <c r="E996" s="51" t="str">
        <v/>
      </c>
      <c r="F996" s="52" t="e">
        <v>#REF!</v>
      </c>
      <c r="G996" s="48" t="e">
        <v>#REF!</v>
      </c>
      <c r="H996" s="49">
        <v>0</v>
      </c>
      <c r="I996" s="49" t="e">
        <v>#REF!</v>
      </c>
      <c r="J996" s="50"/>
    </row>
    <row r="997" ht="28.8" outlineLevel="1" spans="1:10">
      <c r="A997" s="50">
        <v>88</v>
      </c>
      <c r="B997" s="51" t="str">
        <v>室外或埋地排水管-铸铁管-DN100</v>
      </c>
      <c r="C997" s="51" t="e">
        <v>#REF!</v>
      </c>
      <c r="D997" s="51" t="str">
        <v/>
      </c>
      <c r="E997" s="51" t="str">
        <v/>
      </c>
      <c r="F997" s="52" t="e">
        <v>#REF!</v>
      </c>
      <c r="G997" s="48" t="e">
        <v>#REF!</v>
      </c>
      <c r="H997" s="49">
        <v>0</v>
      </c>
      <c r="I997" s="49" t="e">
        <v>#REF!</v>
      </c>
      <c r="J997" s="50"/>
    </row>
    <row r="998" ht="28.8" outlineLevel="1" spans="1:10">
      <c r="A998" s="50">
        <v>89</v>
      </c>
      <c r="B998" s="51" t="str">
        <v>室外或埋地排水管-铸铁管-DN150</v>
      </c>
      <c r="C998" s="51" t="e">
        <v>#REF!</v>
      </c>
      <c r="D998" s="51" t="str">
        <v/>
      </c>
      <c r="E998" s="51" t="str">
        <v/>
      </c>
      <c r="F998" s="52" t="e">
        <v>#REF!</v>
      </c>
      <c r="G998" s="48" t="e">
        <v>#REF!</v>
      </c>
      <c r="H998" s="49">
        <v>0</v>
      </c>
      <c r="I998" s="49" t="e">
        <v>#REF!</v>
      </c>
      <c r="J998" s="50"/>
    </row>
    <row r="999" ht="28.8" outlineLevel="1" spans="1:10">
      <c r="A999" s="50">
        <v>90</v>
      </c>
      <c r="B999" s="51" t="str">
        <v>室内排水塑料管-加厚UPVC-De160</v>
      </c>
      <c r="C999" s="51" t="e">
        <v>#REF!</v>
      </c>
      <c r="D999" s="51" t="str">
        <v/>
      </c>
      <c r="E999" s="51" t="str">
        <v/>
      </c>
      <c r="F999" s="52" t="e">
        <v>#REF!</v>
      </c>
      <c r="G999" s="48" t="e">
        <v>#REF!</v>
      </c>
      <c r="H999" s="49">
        <v>0</v>
      </c>
      <c r="I999" s="49" t="e">
        <v>#REF!</v>
      </c>
      <c r="J999" s="50"/>
    </row>
    <row r="1000" ht="28.8" outlineLevel="1" spans="1:10">
      <c r="A1000" s="50">
        <v>91</v>
      </c>
      <c r="B1000" s="51" t="str">
        <v>室内排水塑料管-加厚UPVC-De110</v>
      </c>
      <c r="C1000" s="51" t="e">
        <v>#REF!</v>
      </c>
      <c r="D1000" s="51" t="str">
        <v/>
      </c>
      <c r="E1000" s="51" t="str">
        <v/>
      </c>
      <c r="F1000" s="52" t="e">
        <v>#REF!</v>
      </c>
      <c r="G1000" s="48" t="e">
        <v>#REF!</v>
      </c>
      <c r="H1000" s="49">
        <v>0</v>
      </c>
      <c r="I1000" s="49" t="e">
        <v>#REF!</v>
      </c>
      <c r="J1000" s="50"/>
    </row>
    <row r="1001" ht="28.8" outlineLevel="1" spans="1:10">
      <c r="A1001" s="50">
        <v>92</v>
      </c>
      <c r="B1001" s="51" t="str">
        <v>室内排水塑料管-加厚UPVC-De75</v>
      </c>
      <c r="C1001" s="51" t="e">
        <v>#REF!</v>
      </c>
      <c r="D1001" s="51" t="str">
        <v/>
      </c>
      <c r="E1001" s="51" t="str">
        <v/>
      </c>
      <c r="F1001" s="52" t="e">
        <v>#REF!</v>
      </c>
      <c r="G1001" s="48" t="e">
        <v>#REF!</v>
      </c>
      <c r="H1001" s="49">
        <v>0</v>
      </c>
      <c r="I1001" s="49" t="e">
        <v>#REF!</v>
      </c>
      <c r="J1001" s="50"/>
    </row>
    <row r="1002" ht="28.8" outlineLevel="1" spans="1:10">
      <c r="A1002" s="50">
        <v>93</v>
      </c>
      <c r="B1002" s="51" t="str">
        <v>室内排水塑料管-消音UPVC-De110</v>
      </c>
      <c r="C1002" s="51" t="e">
        <v>#REF!</v>
      </c>
      <c r="D1002" s="51" t="str">
        <v/>
      </c>
      <c r="E1002" s="51" t="str">
        <v/>
      </c>
      <c r="F1002" s="52" t="e">
        <v>#REF!</v>
      </c>
      <c r="G1002" s="48" t="e">
        <v>#REF!</v>
      </c>
      <c r="H1002" s="49">
        <v>0</v>
      </c>
      <c r="I1002" s="49" t="e">
        <v>#REF!</v>
      </c>
      <c r="J1002" s="50"/>
    </row>
    <row r="1003" ht="28.8" outlineLevel="1" spans="1:10">
      <c r="A1003" s="50">
        <v>94</v>
      </c>
      <c r="B1003" s="51" t="str">
        <v>室内排水塑料管-消音UPVC-De75</v>
      </c>
      <c r="C1003" s="51" t="e">
        <v>#REF!</v>
      </c>
      <c r="D1003" s="51" t="str">
        <v/>
      </c>
      <c r="E1003" s="51" t="str">
        <v/>
      </c>
      <c r="F1003" s="52" t="e">
        <v>#REF!</v>
      </c>
      <c r="G1003" s="48" t="e">
        <v>#REF!</v>
      </c>
      <c r="H1003" s="49">
        <v>0</v>
      </c>
      <c r="I1003" s="49" t="e">
        <v>#REF!</v>
      </c>
      <c r="J1003" s="50"/>
    </row>
    <row r="1004" ht="28.8" outlineLevel="1" spans="1:10">
      <c r="A1004" s="50">
        <v>95</v>
      </c>
      <c r="B1004" s="51" t="str">
        <v>室内排水塑料管-UPVC-De110</v>
      </c>
      <c r="C1004" s="51" t="e">
        <v>#REF!</v>
      </c>
      <c r="D1004" s="51" t="str">
        <v/>
      </c>
      <c r="E1004" s="51" t="str">
        <v/>
      </c>
      <c r="F1004" s="52" t="e">
        <v>#REF!</v>
      </c>
      <c r="G1004" s="48" t="e">
        <v>#REF!</v>
      </c>
      <c r="H1004" s="49">
        <v>0</v>
      </c>
      <c r="I1004" s="49" t="e">
        <v>#REF!</v>
      </c>
      <c r="J1004" s="50"/>
    </row>
    <row r="1005" ht="28.8" outlineLevel="1" spans="1:10">
      <c r="A1005" s="50">
        <v>96</v>
      </c>
      <c r="B1005" s="51" t="str">
        <v>室内排水塑料管-UPVC-De75</v>
      </c>
      <c r="C1005" s="51" t="e">
        <v>#REF!</v>
      </c>
      <c r="D1005" s="51" t="str">
        <v/>
      </c>
      <c r="E1005" s="51" t="str">
        <v/>
      </c>
      <c r="F1005" s="52" t="e">
        <v>#REF!</v>
      </c>
      <c r="G1005" s="48" t="e">
        <v>#REF!</v>
      </c>
      <c r="H1005" s="49">
        <v>0</v>
      </c>
      <c r="I1005" s="49" t="e">
        <v>#REF!</v>
      </c>
      <c r="J1005" s="50"/>
    </row>
    <row r="1006" ht="28.8" outlineLevel="1" spans="1:10">
      <c r="A1006" s="50">
        <v>97</v>
      </c>
      <c r="B1006" s="51" t="str">
        <v>室内排水塑料管-UPVC-De50</v>
      </c>
      <c r="C1006" s="51" t="e">
        <v>#REF!</v>
      </c>
      <c r="D1006" s="51" t="str">
        <v/>
      </c>
      <c r="E1006" s="51" t="str">
        <v/>
      </c>
      <c r="F1006" s="52" t="e">
        <v>#REF!</v>
      </c>
      <c r="G1006" s="48" t="e">
        <v>#REF!</v>
      </c>
      <c r="H1006" s="49">
        <v>0</v>
      </c>
      <c r="I1006" s="49" t="e">
        <v>#REF!</v>
      </c>
      <c r="J1006" s="50"/>
    </row>
    <row r="1007" ht="28.8" outlineLevel="1" spans="1:10">
      <c r="A1007" s="50">
        <v>98</v>
      </c>
      <c r="B1007" s="51" t="str">
        <v>室内排水镀锌钢管-DN100</v>
      </c>
      <c r="C1007" s="51" t="e">
        <v>#REF!</v>
      </c>
      <c r="D1007" s="51" t="str">
        <v/>
      </c>
      <c r="E1007" s="51" t="str">
        <v/>
      </c>
      <c r="F1007" s="52" t="e">
        <v>#REF!</v>
      </c>
      <c r="G1007" s="48" t="e">
        <v>#REF!</v>
      </c>
      <c r="H1007" s="49">
        <v>0</v>
      </c>
      <c r="I1007" s="49" t="e">
        <v>#REF!</v>
      </c>
      <c r="J1007" s="50"/>
    </row>
    <row r="1008" outlineLevel="1" spans="1:10">
      <c r="A1008" s="50">
        <v>99</v>
      </c>
      <c r="B1008" s="51" t="str">
        <v>室内排水镀锌钢管-DN80</v>
      </c>
      <c r="C1008" s="51" t="e">
        <v>#REF!</v>
      </c>
      <c r="D1008" s="51" t="str">
        <v/>
      </c>
      <c r="E1008" s="51" t="str">
        <v/>
      </c>
      <c r="F1008" s="52" t="e">
        <v>#REF!</v>
      </c>
      <c r="G1008" s="48" t="e">
        <v>#REF!</v>
      </c>
      <c r="H1008" s="49">
        <v>0</v>
      </c>
      <c r="I1008" s="49" t="e">
        <v>#REF!</v>
      </c>
      <c r="J1008" s="50"/>
    </row>
    <row r="1009" outlineLevel="1" spans="1:10">
      <c r="A1009" s="50">
        <v>100</v>
      </c>
      <c r="B1009" s="51" t="str">
        <v>室内排水镀锌钢管-DN65</v>
      </c>
      <c r="C1009" s="51" t="e">
        <v>#REF!</v>
      </c>
      <c r="D1009" s="51" t="str">
        <v/>
      </c>
      <c r="E1009" s="51" t="str">
        <v/>
      </c>
      <c r="F1009" s="52" t="e">
        <v>#REF!</v>
      </c>
      <c r="G1009" s="48" t="e">
        <v>#REF!</v>
      </c>
      <c r="H1009" s="49">
        <v>0</v>
      </c>
      <c r="I1009" s="49" t="e">
        <v>#REF!</v>
      </c>
      <c r="J1009" s="50"/>
    </row>
    <row r="1010" outlineLevel="1" spans="1:10">
      <c r="A1010" s="50">
        <v>101</v>
      </c>
      <c r="B1010" s="51" t="str">
        <v>室内排水镀锌钢管-DN50</v>
      </c>
      <c r="C1010" s="51" t="e">
        <v>#REF!</v>
      </c>
      <c r="D1010" s="51" t="str">
        <v/>
      </c>
      <c r="E1010" s="51" t="str">
        <v/>
      </c>
      <c r="F1010" s="52" t="e">
        <v>#REF!</v>
      </c>
      <c r="G1010" s="48" t="e">
        <v>#REF!</v>
      </c>
      <c r="H1010" s="49">
        <v>0</v>
      </c>
      <c r="I1010" s="49" t="e">
        <v>#REF!</v>
      </c>
      <c r="J1010" s="50"/>
    </row>
    <row r="1011" ht="28.8" outlineLevel="1" spans="1:10">
      <c r="A1011" s="50">
        <v>102</v>
      </c>
      <c r="B1011" s="51" t="str">
        <v>室内排水管-铸铁管-DN50</v>
      </c>
      <c r="C1011" s="51" t="e">
        <v>#REF!</v>
      </c>
      <c r="D1011" s="51" t="str">
        <v/>
      </c>
      <c r="E1011" s="51" t="str">
        <v/>
      </c>
      <c r="F1011" s="52" t="e">
        <v>#REF!</v>
      </c>
      <c r="G1011" s="48" t="e">
        <v>#REF!</v>
      </c>
      <c r="H1011" s="49">
        <v>0</v>
      </c>
      <c r="I1011" s="49" t="e">
        <v>#REF!</v>
      </c>
      <c r="J1011" s="50"/>
    </row>
    <row r="1012" ht="28.8" outlineLevel="1" spans="1:10">
      <c r="A1012" s="50">
        <v>103</v>
      </c>
      <c r="B1012" s="51" t="str">
        <v>室内排水管-铸铁管-DN75</v>
      </c>
      <c r="C1012" s="51" t="e">
        <v>#REF!</v>
      </c>
      <c r="D1012" s="51" t="str">
        <v/>
      </c>
      <c r="E1012" s="51" t="str">
        <v/>
      </c>
      <c r="F1012" s="52" t="e">
        <v>#REF!</v>
      </c>
      <c r="G1012" s="48" t="e">
        <v>#REF!</v>
      </c>
      <c r="H1012" s="49">
        <v>0</v>
      </c>
      <c r="I1012" s="49" t="e">
        <v>#REF!</v>
      </c>
      <c r="J1012" s="50"/>
    </row>
    <row r="1013" ht="28.8" outlineLevel="1" spans="1:10">
      <c r="A1013" s="50">
        <v>104</v>
      </c>
      <c r="B1013" s="51" t="str">
        <v>室内排水管-铸铁管-DN100</v>
      </c>
      <c r="C1013" s="51" t="e">
        <v>#REF!</v>
      </c>
      <c r="D1013" s="51" t="str">
        <v/>
      </c>
      <c r="E1013" s="51" t="str">
        <v/>
      </c>
      <c r="F1013" s="52" t="e">
        <v>#REF!</v>
      </c>
      <c r="G1013" s="48" t="e">
        <v>#REF!</v>
      </c>
      <c r="H1013" s="49">
        <v>0</v>
      </c>
      <c r="I1013" s="49" t="e">
        <v>#REF!</v>
      </c>
      <c r="J1013" s="50"/>
    </row>
    <row r="1014" ht="28.8" outlineLevel="1" spans="1:10">
      <c r="A1014" s="50">
        <v>105</v>
      </c>
      <c r="B1014" s="51" t="str">
        <v>室内排水管-铸铁管-DN150</v>
      </c>
      <c r="C1014" s="51" t="e">
        <v>#REF!</v>
      </c>
      <c r="D1014" s="51" t="str">
        <v/>
      </c>
      <c r="E1014" s="51" t="str">
        <v/>
      </c>
      <c r="F1014" s="52" t="e">
        <v>#REF!</v>
      </c>
      <c r="G1014" s="48" t="e">
        <v>#REF!</v>
      </c>
      <c r="H1014" s="49">
        <v>0</v>
      </c>
      <c r="I1014" s="49" t="e">
        <v>#REF!</v>
      </c>
      <c r="J1014" s="50"/>
    </row>
    <row r="1015" ht="28.8" outlineLevel="1" spans="1:10">
      <c r="A1015" s="50">
        <v>106</v>
      </c>
      <c r="B1015" s="51" t="str">
        <v>室内排水管-铸铁管-DN200</v>
      </c>
      <c r="C1015" s="51" t="e">
        <v>#REF!</v>
      </c>
      <c r="D1015" s="51" t="str">
        <v/>
      </c>
      <c r="E1015" s="51" t="str">
        <v/>
      </c>
      <c r="F1015" s="52" t="e">
        <v>#REF!</v>
      </c>
      <c r="G1015" s="48" t="e">
        <v>#REF!</v>
      </c>
      <c r="H1015" s="49">
        <v>0</v>
      </c>
      <c r="I1015" s="49" t="e">
        <v>#REF!</v>
      </c>
      <c r="J1015" s="50"/>
    </row>
    <row r="1016" ht="28.8" outlineLevel="1" spans="1:10">
      <c r="A1016" s="50">
        <v>107</v>
      </c>
      <c r="B1016" s="51" t="str">
        <v>车库内埋地排水管-铸铁管-DN200</v>
      </c>
      <c r="C1016" s="51" t="e">
        <v>#REF!</v>
      </c>
      <c r="D1016" s="51" t="str">
        <v/>
      </c>
      <c r="E1016" s="51" t="str">
        <v/>
      </c>
      <c r="F1016" s="52" t="e">
        <v>#REF!</v>
      </c>
      <c r="G1016" s="48" t="e">
        <v>#REF!</v>
      </c>
      <c r="H1016" s="49">
        <v>0</v>
      </c>
      <c r="I1016" s="49" t="e">
        <v>#REF!</v>
      </c>
      <c r="J1016" s="50"/>
    </row>
    <row r="1017" outlineLevel="1" spans="1:10">
      <c r="A1017" s="50">
        <v>108</v>
      </c>
      <c r="B1017" s="51" t="str">
        <v>土方开挖回填</v>
      </c>
      <c r="C1017" s="51" t="e">
        <v>#REF!</v>
      </c>
      <c r="D1017" s="51" t="str">
        <v/>
      </c>
      <c r="E1017" s="51" t="str">
        <v/>
      </c>
      <c r="F1017" s="52" t="e">
        <v>#REF!</v>
      </c>
      <c r="G1017" s="48" t="e">
        <v>#REF!</v>
      </c>
      <c r="H1017" s="49">
        <v>0</v>
      </c>
      <c r="I1017" s="49" t="e">
        <v>#REF!</v>
      </c>
      <c r="J1017" s="50"/>
    </row>
    <row r="1018" outlineLevel="1" spans="1:10">
      <c r="A1018" s="50" t="str">
        <v/>
      </c>
      <c r="B1018" s="51" t="str">
        <v>B.02.3绝热</v>
      </c>
      <c r="C1018" s="51" t="str">
        <v/>
      </c>
      <c r="D1018" s="51" t="str">
        <v/>
      </c>
      <c r="E1018" s="51" t="str">
        <v/>
      </c>
      <c r="F1018" s="52" t="str">
        <v/>
      </c>
      <c r="G1018" s="48" t="str">
        <v/>
      </c>
      <c r="H1018" s="49">
        <v>0</v>
      </c>
      <c r="I1018" s="49" t="e">
        <v>#REF!</v>
      </c>
      <c r="J1018" s="50"/>
    </row>
    <row r="1019" outlineLevel="1" spans="1:10">
      <c r="A1019" s="50">
        <v>109</v>
      </c>
      <c r="B1019" s="51" t="str">
        <v>塑料带保护层</v>
      </c>
      <c r="C1019" s="51" t="e">
        <v>#REF!</v>
      </c>
      <c r="D1019" s="51" t="str">
        <v/>
      </c>
      <c r="E1019" s="51" t="str">
        <v/>
      </c>
      <c r="F1019" s="52" t="e">
        <v>#REF!</v>
      </c>
      <c r="G1019" s="48" t="e">
        <v>#REF!</v>
      </c>
      <c r="H1019" s="49">
        <v>0</v>
      </c>
      <c r="I1019" s="49" t="e">
        <v>#REF!</v>
      </c>
      <c r="J1019" s="50"/>
    </row>
    <row r="1020" outlineLevel="1" spans="1:10">
      <c r="A1020" s="50">
        <v>110</v>
      </c>
      <c r="B1020" s="51" t="str">
        <v>管道绝热</v>
      </c>
      <c r="C1020" s="51" t="e">
        <v>#REF!</v>
      </c>
      <c r="D1020" s="51" t="str">
        <v/>
      </c>
      <c r="E1020" s="51" t="str">
        <v/>
      </c>
      <c r="F1020" s="52" t="e">
        <v>#REF!</v>
      </c>
      <c r="G1020" s="48" t="e">
        <v>#REF!</v>
      </c>
      <c r="H1020" s="49">
        <v>0</v>
      </c>
      <c r="I1020" s="49" t="e">
        <v>#REF!</v>
      </c>
      <c r="J1020" s="50"/>
    </row>
    <row r="1021" outlineLevel="1" spans="1:10">
      <c r="A1021" s="50" t="str">
        <v/>
      </c>
      <c r="B1021" s="51" t="str">
        <v>B.02.4设备</v>
      </c>
      <c r="C1021" s="51" t="str">
        <v/>
      </c>
      <c r="D1021" s="51" t="str">
        <v/>
      </c>
      <c r="E1021" s="51" t="str">
        <v/>
      </c>
      <c r="F1021" s="52" t="str">
        <v/>
      </c>
      <c r="G1021" s="48" t="str">
        <v/>
      </c>
      <c r="H1021" s="49">
        <v>0</v>
      </c>
      <c r="I1021" s="49" t="e">
        <v>#REF!</v>
      </c>
      <c r="J1021" s="50"/>
    </row>
    <row r="1022" outlineLevel="1" spans="1:10">
      <c r="A1022" s="50">
        <v>111</v>
      </c>
      <c r="B1022" s="51" t="str">
        <v>潜水排污泵1</v>
      </c>
      <c r="C1022" s="51" t="e">
        <v>#REF!</v>
      </c>
      <c r="D1022" s="51" t="str">
        <v/>
      </c>
      <c r="E1022" s="51" t="str">
        <v/>
      </c>
      <c r="F1022" s="52" t="e">
        <v>#REF!</v>
      </c>
      <c r="G1022" s="48" t="e">
        <v>#REF!</v>
      </c>
      <c r="H1022" s="49">
        <v>0</v>
      </c>
      <c r="I1022" s="49" t="e">
        <v>#REF!</v>
      </c>
      <c r="J1022" s="50"/>
    </row>
    <row r="1023" outlineLevel="1" spans="1:10">
      <c r="A1023" s="50">
        <v>112</v>
      </c>
      <c r="B1023" s="51" t="str">
        <v>潜水排污泵2</v>
      </c>
      <c r="C1023" s="51" t="e">
        <v>#REF!</v>
      </c>
      <c r="D1023" s="51" t="str">
        <v/>
      </c>
      <c r="E1023" s="51" t="str">
        <v/>
      </c>
      <c r="F1023" s="52" t="e">
        <v>#REF!</v>
      </c>
      <c r="G1023" s="48" t="e">
        <v>#REF!</v>
      </c>
      <c r="H1023" s="49">
        <v>0</v>
      </c>
      <c r="I1023" s="49" t="e">
        <v>#REF!</v>
      </c>
      <c r="J1023" s="50"/>
    </row>
    <row r="1024" outlineLevel="1" spans="1:10">
      <c r="A1024" s="50">
        <v>113</v>
      </c>
      <c r="B1024" s="51" t="str">
        <v>潜水排污泵3</v>
      </c>
      <c r="C1024" s="51" t="e">
        <v>#REF!</v>
      </c>
      <c r="D1024" s="51" t="str">
        <v/>
      </c>
      <c r="E1024" s="51" t="str">
        <v/>
      </c>
      <c r="F1024" s="52" t="e">
        <v>#REF!</v>
      </c>
      <c r="G1024" s="48" t="e">
        <v>#REF!</v>
      </c>
      <c r="H1024" s="49">
        <v>0</v>
      </c>
      <c r="I1024" s="49" t="e">
        <v>#REF!</v>
      </c>
      <c r="J1024" s="50"/>
    </row>
    <row r="1025" outlineLevel="1" spans="1:10">
      <c r="A1025" s="50">
        <v>114</v>
      </c>
      <c r="B1025" s="51" t="str">
        <v>潜水排污泵4</v>
      </c>
      <c r="C1025" s="51" t="e">
        <v>#REF!</v>
      </c>
      <c r="D1025" s="51" t="str">
        <v/>
      </c>
      <c r="E1025" s="51" t="str">
        <v/>
      </c>
      <c r="F1025" s="52" t="e">
        <v>#REF!</v>
      </c>
      <c r="G1025" s="48" t="e">
        <v>#REF!</v>
      </c>
      <c r="H1025" s="49">
        <v>0</v>
      </c>
      <c r="I1025" s="49" t="e">
        <v>#REF!</v>
      </c>
      <c r="J1025" s="50"/>
    </row>
    <row r="1026" outlineLevel="1" spans="1:10">
      <c r="A1026" s="50">
        <v>115</v>
      </c>
      <c r="B1026" s="51" t="str">
        <v>潜水排污泵5</v>
      </c>
      <c r="C1026" s="51" t="e">
        <v>#REF!</v>
      </c>
      <c r="D1026" s="51" t="str">
        <v/>
      </c>
      <c r="E1026" s="51" t="str">
        <v/>
      </c>
      <c r="F1026" s="52" t="e">
        <v>#REF!</v>
      </c>
      <c r="G1026" s="48" t="e">
        <v>#REF!</v>
      </c>
      <c r="H1026" s="49">
        <v>0</v>
      </c>
      <c r="I1026" s="49" t="e">
        <v>#REF!</v>
      </c>
      <c r="J1026" s="50"/>
    </row>
    <row r="1027" outlineLevel="1" spans="1:10">
      <c r="A1027" s="50">
        <v>116</v>
      </c>
      <c r="B1027" s="51" t="str">
        <v>潜水排污泵6</v>
      </c>
      <c r="C1027" s="51" t="e">
        <v>#REF!</v>
      </c>
      <c r="D1027" s="51" t="str">
        <v/>
      </c>
      <c r="E1027" s="51" t="str">
        <v/>
      </c>
      <c r="F1027" s="52" t="e">
        <v>#REF!</v>
      </c>
      <c r="G1027" s="48" t="e">
        <v>#REF!</v>
      </c>
      <c r="H1027" s="49">
        <v>0</v>
      </c>
      <c r="I1027" s="49" t="e">
        <v>#REF!</v>
      </c>
      <c r="J1027" s="50"/>
    </row>
    <row r="1028" outlineLevel="1" spans="1:10">
      <c r="A1028" s="50">
        <v>117</v>
      </c>
      <c r="B1028" s="51" t="str">
        <v>潜水排污泵7</v>
      </c>
      <c r="C1028" s="51" t="e">
        <v>#REF!</v>
      </c>
      <c r="D1028" s="51" t="str">
        <v/>
      </c>
      <c r="E1028" s="51" t="str">
        <v/>
      </c>
      <c r="F1028" s="52" t="e">
        <v>#REF!</v>
      </c>
      <c r="G1028" s="48" t="e">
        <v>#REF!</v>
      </c>
      <c r="H1028" s="49">
        <v>0</v>
      </c>
      <c r="I1028" s="49" t="e">
        <v>#REF!</v>
      </c>
      <c r="J1028" s="50"/>
    </row>
    <row r="1029" outlineLevel="1" spans="1:10">
      <c r="A1029" s="50">
        <v>118</v>
      </c>
      <c r="B1029" s="51" t="str">
        <v>潜水排污泵8</v>
      </c>
      <c r="C1029" s="51" t="e">
        <v>#REF!</v>
      </c>
      <c r="D1029" s="51" t="str">
        <v/>
      </c>
      <c r="E1029" s="51" t="str">
        <v/>
      </c>
      <c r="F1029" s="52" t="e">
        <v>#REF!</v>
      </c>
      <c r="G1029" s="48" t="e">
        <v>#REF!</v>
      </c>
      <c r="H1029" s="49">
        <v>0</v>
      </c>
      <c r="I1029" s="49" t="e">
        <v>#REF!</v>
      </c>
      <c r="J1029" s="50"/>
    </row>
    <row r="1030" outlineLevel="1" spans="1:10">
      <c r="A1030" s="50">
        <v>119</v>
      </c>
      <c r="B1030" s="51" t="str">
        <v>潜水排污泵9</v>
      </c>
      <c r="C1030" s="51" t="e">
        <v>#REF!</v>
      </c>
      <c r="D1030" s="51" t="str">
        <v/>
      </c>
      <c r="E1030" s="51" t="str">
        <v/>
      </c>
      <c r="F1030" s="52" t="e">
        <v>#REF!</v>
      </c>
      <c r="G1030" s="48" t="e">
        <v>#REF!</v>
      </c>
      <c r="H1030" s="49">
        <v>0</v>
      </c>
      <c r="I1030" s="49" t="e">
        <v>#REF!</v>
      </c>
      <c r="J1030" s="50"/>
    </row>
    <row r="1031" outlineLevel="1" spans="1:10">
      <c r="A1031" s="50">
        <v>120</v>
      </c>
      <c r="B1031" s="51" t="str">
        <v>潜水排污泵10</v>
      </c>
      <c r="C1031" s="51" t="e">
        <v>#REF!</v>
      </c>
      <c r="D1031" s="51" t="str">
        <v/>
      </c>
      <c r="E1031" s="51" t="str">
        <v/>
      </c>
      <c r="F1031" s="52" t="e">
        <v>#REF!</v>
      </c>
      <c r="G1031" s="48" t="e">
        <v>#REF!</v>
      </c>
      <c r="H1031" s="49">
        <v>0</v>
      </c>
      <c r="I1031" s="49" t="e">
        <v>#REF!</v>
      </c>
      <c r="J1031" s="50"/>
    </row>
    <row r="1032" outlineLevel="1" spans="1:10">
      <c r="A1032" s="50">
        <v>121</v>
      </c>
      <c r="B1032" s="51" t="str">
        <v>潜水排污泵11</v>
      </c>
      <c r="C1032" s="51" t="e">
        <v>#REF!</v>
      </c>
      <c r="D1032" s="51" t="str">
        <v/>
      </c>
      <c r="E1032" s="51" t="str">
        <v/>
      </c>
      <c r="F1032" s="52" t="e">
        <v>#REF!</v>
      </c>
      <c r="G1032" s="48" t="e">
        <v>#REF!</v>
      </c>
      <c r="H1032" s="49">
        <v>0</v>
      </c>
      <c r="I1032" s="49" t="e">
        <v>#REF!</v>
      </c>
      <c r="J1032" s="50"/>
    </row>
    <row r="1033" outlineLevel="1" spans="1:10">
      <c r="A1033" s="50">
        <v>122</v>
      </c>
      <c r="B1033" s="51" t="str">
        <v>自耦装置</v>
      </c>
      <c r="C1033" s="51" t="e">
        <v>#REF!</v>
      </c>
      <c r="D1033" s="51" t="str">
        <v/>
      </c>
      <c r="E1033" s="51" t="str">
        <v/>
      </c>
      <c r="F1033" s="52" t="e">
        <v>#REF!</v>
      </c>
      <c r="G1033" s="48" t="e">
        <v>#REF!</v>
      </c>
      <c r="H1033" s="49">
        <v>0</v>
      </c>
      <c r="I1033" s="49" t="e">
        <v>#REF!</v>
      </c>
      <c r="J1033" s="50"/>
    </row>
    <row r="1034" outlineLevel="1" spans="1:10">
      <c r="A1034" s="50" t="str">
        <v/>
      </c>
      <c r="B1034" s="51" t="str">
        <v>B.02.5卫生器具</v>
      </c>
      <c r="C1034" s="51" t="str">
        <v/>
      </c>
      <c r="D1034" s="51" t="str">
        <v/>
      </c>
      <c r="E1034" s="51" t="str">
        <v/>
      </c>
      <c r="F1034" s="52" t="str">
        <v/>
      </c>
      <c r="G1034" s="48" t="str">
        <v/>
      </c>
      <c r="H1034" s="49">
        <v>0</v>
      </c>
      <c r="I1034" s="49" t="e">
        <v>#REF!</v>
      </c>
      <c r="J1034" s="50"/>
    </row>
    <row r="1035" outlineLevel="1" spans="1:10">
      <c r="A1035" s="50">
        <v>123</v>
      </c>
      <c r="B1035" s="51" t="str">
        <v>铸铁地漏-DN100</v>
      </c>
      <c r="C1035" s="51" t="e">
        <v>#REF!</v>
      </c>
      <c r="D1035" s="51" t="str">
        <v/>
      </c>
      <c r="E1035" s="51" t="str">
        <v/>
      </c>
      <c r="F1035" s="52" t="e">
        <v>#REF!</v>
      </c>
      <c r="G1035" s="48" t="e">
        <v>#REF!</v>
      </c>
      <c r="H1035" s="49">
        <v>0</v>
      </c>
      <c r="I1035" s="49" t="e">
        <v>#REF!</v>
      </c>
      <c r="J1035" s="50"/>
    </row>
    <row r="1036" outlineLevel="1" spans="1:10">
      <c r="A1036" s="50">
        <v>124</v>
      </c>
      <c r="B1036" s="51" t="str">
        <v>铸铁地漏-DN75</v>
      </c>
      <c r="C1036" s="51" t="e">
        <v>#REF!</v>
      </c>
      <c r="D1036" s="51" t="str">
        <v/>
      </c>
      <c r="E1036" s="51" t="str">
        <v/>
      </c>
      <c r="F1036" s="52" t="e">
        <v>#REF!</v>
      </c>
      <c r="G1036" s="48" t="e">
        <v>#REF!</v>
      </c>
      <c r="H1036" s="49">
        <v>0</v>
      </c>
      <c r="I1036" s="49" t="e">
        <v>#REF!</v>
      </c>
      <c r="J1036" s="50"/>
    </row>
    <row r="1037" outlineLevel="1" spans="1:10">
      <c r="A1037" s="50">
        <v>125</v>
      </c>
      <c r="B1037" s="51" t="str">
        <v>铸铁地漏-DN50</v>
      </c>
      <c r="C1037" s="51" t="e">
        <v>#REF!</v>
      </c>
      <c r="D1037" s="51" t="str">
        <v/>
      </c>
      <c r="E1037" s="51" t="str">
        <v/>
      </c>
      <c r="F1037" s="52" t="e">
        <v>#REF!</v>
      </c>
      <c r="G1037" s="48" t="e">
        <v>#REF!</v>
      </c>
      <c r="H1037" s="49">
        <v>0</v>
      </c>
      <c r="I1037" s="49" t="e">
        <v>#REF!</v>
      </c>
      <c r="J1037" s="50"/>
    </row>
    <row r="1038" outlineLevel="1" spans="1:10">
      <c r="A1038" s="50">
        <v>126</v>
      </c>
      <c r="B1038" s="51" t="str">
        <v>防爆地漏-DN80</v>
      </c>
      <c r="C1038" s="51" t="e">
        <v>#REF!</v>
      </c>
      <c r="D1038" s="51" t="str">
        <v/>
      </c>
      <c r="E1038" s="51" t="str">
        <v/>
      </c>
      <c r="F1038" s="52" t="e">
        <v>#REF!</v>
      </c>
      <c r="G1038" s="48" t="e">
        <v>#REF!</v>
      </c>
      <c r="H1038" s="49">
        <v>0</v>
      </c>
      <c r="I1038" s="49" t="e">
        <v>#REF!</v>
      </c>
      <c r="J1038" s="50"/>
    </row>
    <row r="1039" outlineLevel="1" spans="1:10">
      <c r="A1039" s="50">
        <v>127</v>
      </c>
      <c r="B1039" s="51" t="str">
        <v>地面铸铁扫除口-DN80</v>
      </c>
      <c r="C1039" s="51" t="e">
        <v>#REF!</v>
      </c>
      <c r="D1039" s="51" t="str">
        <v/>
      </c>
      <c r="E1039" s="51" t="str">
        <v/>
      </c>
      <c r="F1039" s="52" t="e">
        <v>#REF!</v>
      </c>
      <c r="G1039" s="48" t="e">
        <v>#REF!</v>
      </c>
      <c r="H1039" s="49">
        <v>0</v>
      </c>
      <c r="I1039" s="49" t="e">
        <v>#REF!</v>
      </c>
      <c r="J1039" s="50"/>
    </row>
    <row r="1040" outlineLevel="1" spans="1:10">
      <c r="A1040" s="50" t="str">
        <v/>
      </c>
      <c r="B1040" s="51" t="str">
        <v>B.03地下预留预埋</v>
      </c>
      <c r="C1040" s="51" t="str">
        <v/>
      </c>
      <c r="D1040" s="51" t="str">
        <v/>
      </c>
      <c r="E1040" s="51" t="str">
        <v/>
      </c>
      <c r="F1040" s="52" t="str">
        <v/>
      </c>
      <c r="G1040" s="48" t="str">
        <v/>
      </c>
      <c r="H1040" s="49">
        <v>0</v>
      </c>
      <c r="I1040" s="49" t="e">
        <v>#REF!</v>
      </c>
      <c r="J1040" s="50"/>
    </row>
    <row r="1041" outlineLevel="1" spans="1:10">
      <c r="A1041" s="50" t="str">
        <v/>
      </c>
      <c r="B1041" s="51" t="str">
        <v>B.03.1给排水预留预埋</v>
      </c>
      <c r="C1041" s="51" t="str">
        <v/>
      </c>
      <c r="D1041" s="51" t="str">
        <v/>
      </c>
      <c r="E1041" s="51" t="str">
        <v/>
      </c>
      <c r="F1041" s="52" t="str">
        <v/>
      </c>
      <c r="G1041" s="48" t="str">
        <v/>
      </c>
      <c r="H1041" s="49">
        <v>0</v>
      </c>
      <c r="I1041" s="49" t="e">
        <v>#REF!</v>
      </c>
      <c r="J1041" s="50"/>
    </row>
    <row r="1042" outlineLevel="1" spans="1:10">
      <c r="A1042" s="50">
        <v>128</v>
      </c>
      <c r="B1042" s="51" t="str">
        <v>刚性防水套管-DN20</v>
      </c>
      <c r="C1042" s="51" t="e">
        <v>#REF!</v>
      </c>
      <c r="D1042" s="51" t="str">
        <v/>
      </c>
      <c r="E1042" s="51" t="str">
        <v/>
      </c>
      <c r="F1042" s="52" t="e">
        <v>#REF!</v>
      </c>
      <c r="G1042" s="48" t="e">
        <v>#REF!</v>
      </c>
      <c r="H1042" s="49">
        <v>0</v>
      </c>
      <c r="I1042" s="49" t="e">
        <v>#REF!</v>
      </c>
      <c r="J1042" s="50"/>
    </row>
    <row r="1043" outlineLevel="1" spans="1:10">
      <c r="A1043" s="50">
        <v>129</v>
      </c>
      <c r="B1043" s="51" t="str">
        <v>刚性防水套管-DN50</v>
      </c>
      <c r="C1043" s="51" t="e">
        <v>#REF!</v>
      </c>
      <c r="D1043" s="51" t="str">
        <v/>
      </c>
      <c r="E1043" s="51" t="str">
        <v/>
      </c>
      <c r="F1043" s="52" t="e">
        <v>#REF!</v>
      </c>
      <c r="G1043" s="48" t="e">
        <v>#REF!</v>
      </c>
      <c r="H1043" s="49">
        <v>0</v>
      </c>
      <c r="I1043" s="49" t="e">
        <v>#REF!</v>
      </c>
      <c r="J1043" s="50"/>
    </row>
    <row r="1044" outlineLevel="1" spans="1:10">
      <c r="A1044" s="50">
        <v>130</v>
      </c>
      <c r="B1044" s="51" t="str">
        <v>刚性防水套管-De63</v>
      </c>
      <c r="C1044" s="51" t="e">
        <v>#REF!</v>
      </c>
      <c r="D1044" s="51" t="str">
        <v/>
      </c>
      <c r="E1044" s="51" t="str">
        <v/>
      </c>
      <c r="F1044" s="52" t="e">
        <v>#REF!</v>
      </c>
      <c r="G1044" s="48" t="e">
        <v>#REF!</v>
      </c>
      <c r="H1044" s="49">
        <v>0</v>
      </c>
      <c r="I1044" s="49" t="e">
        <v>#REF!</v>
      </c>
      <c r="J1044" s="50"/>
    </row>
    <row r="1045" outlineLevel="1" spans="1:10">
      <c r="A1045" s="50">
        <v>131</v>
      </c>
      <c r="B1045" s="51" t="str">
        <v>刚性防水套管-De75</v>
      </c>
      <c r="C1045" s="51" t="e">
        <v>#REF!</v>
      </c>
      <c r="D1045" s="51" t="str">
        <v/>
      </c>
      <c r="E1045" s="51" t="str">
        <v/>
      </c>
      <c r="F1045" s="52" t="e">
        <v>#REF!</v>
      </c>
      <c r="G1045" s="48" t="e">
        <v>#REF!</v>
      </c>
      <c r="H1045" s="49">
        <v>0</v>
      </c>
      <c r="I1045" s="49" t="e">
        <v>#REF!</v>
      </c>
      <c r="J1045" s="50"/>
    </row>
    <row r="1046" outlineLevel="1" spans="1:10">
      <c r="A1046" s="50">
        <v>132</v>
      </c>
      <c r="B1046" s="51" t="str">
        <v>刚性防水套管-DN80</v>
      </c>
      <c r="C1046" s="51" t="e">
        <v>#REF!</v>
      </c>
      <c r="D1046" s="51" t="str">
        <v/>
      </c>
      <c r="E1046" s="51" t="str">
        <v/>
      </c>
      <c r="F1046" s="52" t="e">
        <v>#REF!</v>
      </c>
      <c r="G1046" s="48" t="e">
        <v>#REF!</v>
      </c>
      <c r="H1046" s="49">
        <v>0</v>
      </c>
      <c r="I1046" s="49" t="e">
        <v>#REF!</v>
      </c>
      <c r="J1046" s="50"/>
    </row>
    <row r="1047" outlineLevel="1" spans="1:10">
      <c r="A1047" s="50">
        <v>133</v>
      </c>
      <c r="B1047" s="51" t="str">
        <v>刚性防水套管-De110</v>
      </c>
      <c r="C1047" s="51" t="e">
        <v>#REF!</v>
      </c>
      <c r="D1047" s="51" t="str">
        <v/>
      </c>
      <c r="E1047" s="51" t="str">
        <v/>
      </c>
      <c r="F1047" s="52" t="e">
        <v>#REF!</v>
      </c>
      <c r="G1047" s="48" t="e">
        <v>#REF!</v>
      </c>
      <c r="H1047" s="49">
        <v>0</v>
      </c>
      <c r="I1047" s="49" t="e">
        <v>#REF!</v>
      </c>
      <c r="J1047" s="50"/>
    </row>
    <row r="1048" outlineLevel="1" spans="1:10">
      <c r="A1048" s="50">
        <v>134</v>
      </c>
      <c r="B1048" s="51" t="str">
        <v>刚性防水套管-DN100</v>
      </c>
      <c r="C1048" s="51" t="e">
        <v>#REF!</v>
      </c>
      <c r="D1048" s="51" t="str">
        <v/>
      </c>
      <c r="E1048" s="51" t="str">
        <v/>
      </c>
      <c r="F1048" s="52" t="e">
        <v>#REF!</v>
      </c>
      <c r="G1048" s="48" t="e">
        <v>#REF!</v>
      </c>
      <c r="H1048" s="49">
        <v>0</v>
      </c>
      <c r="I1048" s="49" t="e">
        <v>#REF!</v>
      </c>
      <c r="J1048" s="50"/>
    </row>
    <row r="1049" outlineLevel="1" spans="1:10">
      <c r="A1049" s="50">
        <v>135</v>
      </c>
      <c r="B1049" s="51" t="str">
        <v>刚性防水套管-De160</v>
      </c>
      <c r="C1049" s="51" t="e">
        <v>#REF!</v>
      </c>
      <c r="D1049" s="51" t="str">
        <v/>
      </c>
      <c r="E1049" s="51" t="str">
        <v/>
      </c>
      <c r="F1049" s="52" t="e">
        <v>#REF!</v>
      </c>
      <c r="G1049" s="48" t="e">
        <v>#REF!</v>
      </c>
      <c r="H1049" s="49">
        <v>0</v>
      </c>
      <c r="I1049" s="49" t="e">
        <v>#REF!</v>
      </c>
      <c r="J1049" s="50"/>
    </row>
    <row r="1050" outlineLevel="1" spans="1:10">
      <c r="A1050" s="50">
        <v>136</v>
      </c>
      <c r="B1050" s="51" t="str">
        <v>刚性防水套管-DN125</v>
      </c>
      <c r="C1050" s="51" t="e">
        <v>#REF!</v>
      </c>
      <c r="D1050" s="51" t="str">
        <v/>
      </c>
      <c r="E1050" s="51" t="str">
        <v/>
      </c>
      <c r="F1050" s="52" t="e">
        <v>#REF!</v>
      </c>
      <c r="G1050" s="48" t="e">
        <v>#REF!</v>
      </c>
      <c r="H1050" s="49">
        <v>0</v>
      </c>
      <c r="I1050" s="49" t="e">
        <v>#REF!</v>
      </c>
      <c r="J1050" s="50"/>
    </row>
    <row r="1051" outlineLevel="1" spans="1:10">
      <c r="A1051" s="50">
        <v>137</v>
      </c>
      <c r="B1051" s="51" t="str">
        <v>刚性防水套管-DN150</v>
      </c>
      <c r="C1051" s="51" t="e">
        <v>#REF!</v>
      </c>
      <c r="D1051" s="51" t="str">
        <v/>
      </c>
      <c r="E1051" s="51" t="str">
        <v/>
      </c>
      <c r="F1051" s="52" t="e">
        <v>#REF!</v>
      </c>
      <c r="G1051" s="48" t="e">
        <v>#REF!</v>
      </c>
      <c r="H1051" s="49">
        <v>0</v>
      </c>
      <c r="I1051" s="49" t="e">
        <v>#REF!</v>
      </c>
      <c r="J1051" s="50"/>
    </row>
    <row r="1052" outlineLevel="1" spans="1:10">
      <c r="A1052" s="50">
        <v>138</v>
      </c>
      <c r="B1052" s="51" t="str">
        <v>刚性防水套管-DN200</v>
      </c>
      <c r="C1052" s="51" t="e">
        <v>#REF!</v>
      </c>
      <c r="D1052" s="51" t="str">
        <v/>
      </c>
      <c r="E1052" s="51" t="str">
        <v/>
      </c>
      <c r="F1052" s="52" t="e">
        <v>#REF!</v>
      </c>
      <c r="G1052" s="48" t="e">
        <v>#REF!</v>
      </c>
      <c r="H1052" s="49">
        <v>0</v>
      </c>
      <c r="I1052" s="49" t="e">
        <v>#REF!</v>
      </c>
      <c r="J1052" s="50"/>
    </row>
    <row r="1053" outlineLevel="1" spans="1:10">
      <c r="A1053" s="50">
        <v>139</v>
      </c>
      <c r="B1053" s="51" t="str">
        <v>刚性防水套管-DN250</v>
      </c>
      <c r="C1053" s="51" t="e">
        <v>#REF!</v>
      </c>
      <c r="D1053" s="51" t="str">
        <v/>
      </c>
      <c r="E1053" s="51" t="str">
        <v/>
      </c>
      <c r="F1053" s="52" t="e">
        <v>#REF!</v>
      </c>
      <c r="G1053" s="48" t="e">
        <v>#REF!</v>
      </c>
      <c r="H1053" s="49">
        <v>0</v>
      </c>
      <c r="I1053" s="49" t="e">
        <v>#REF!</v>
      </c>
      <c r="J1053" s="50"/>
    </row>
    <row r="1054" outlineLevel="1" spans="1:10">
      <c r="A1054" s="50">
        <v>140</v>
      </c>
      <c r="B1054" s="51" t="str">
        <v>刚性防水套管-DN300</v>
      </c>
      <c r="C1054" s="51" t="e">
        <v>#REF!</v>
      </c>
      <c r="D1054" s="51" t="str">
        <v/>
      </c>
      <c r="E1054" s="51" t="str">
        <v/>
      </c>
      <c r="F1054" s="52" t="e">
        <v>#REF!</v>
      </c>
      <c r="G1054" s="48" t="e">
        <v>#REF!</v>
      </c>
      <c r="H1054" s="49">
        <v>0</v>
      </c>
      <c r="I1054" s="49" t="e">
        <v>#REF!</v>
      </c>
      <c r="J1054" s="50"/>
    </row>
    <row r="1055" outlineLevel="1" spans="1:10">
      <c r="A1055" s="50" t="str">
        <v/>
      </c>
      <c r="B1055" s="51" t="str">
        <v>B.03.2消防预留预埋</v>
      </c>
      <c r="C1055" s="51" t="str">
        <v/>
      </c>
      <c r="D1055" s="51" t="str">
        <v/>
      </c>
      <c r="E1055" s="51" t="str">
        <v/>
      </c>
      <c r="F1055" s="52" t="str">
        <v/>
      </c>
      <c r="G1055" s="48" t="str">
        <v/>
      </c>
      <c r="H1055" s="49">
        <v>0</v>
      </c>
      <c r="I1055" s="49" t="e">
        <v>#REF!</v>
      </c>
      <c r="J1055" s="50"/>
    </row>
    <row r="1056" outlineLevel="1" spans="1:10">
      <c r="A1056" s="50">
        <v>141</v>
      </c>
      <c r="B1056" s="51" t="str">
        <v>刚性防水套管-DN100</v>
      </c>
      <c r="C1056" s="51" t="e">
        <v>#REF!</v>
      </c>
      <c r="D1056" s="51" t="str">
        <v/>
      </c>
      <c r="E1056" s="51" t="str">
        <v/>
      </c>
      <c r="F1056" s="52" t="e">
        <v>#REF!</v>
      </c>
      <c r="G1056" s="48" t="e">
        <v>#REF!</v>
      </c>
      <c r="H1056" s="49">
        <v>0</v>
      </c>
      <c r="I1056" s="49" t="e">
        <v>#REF!</v>
      </c>
      <c r="J1056" s="50"/>
    </row>
    <row r="1057" outlineLevel="1" spans="1:10">
      <c r="A1057" s="50">
        <v>142</v>
      </c>
      <c r="B1057" s="51" t="str">
        <v>刚性防水套管-DN150</v>
      </c>
      <c r="C1057" s="51" t="e">
        <v>#REF!</v>
      </c>
      <c r="D1057" s="51" t="str">
        <v/>
      </c>
      <c r="E1057" s="51" t="str">
        <v/>
      </c>
      <c r="F1057" s="52" t="e">
        <v>#REF!</v>
      </c>
      <c r="G1057" s="48" t="e">
        <v>#REF!</v>
      </c>
      <c r="H1057" s="49">
        <v>0</v>
      </c>
      <c r="I1057" s="49" t="e">
        <v>#REF!</v>
      </c>
      <c r="J1057" s="50"/>
    </row>
    <row r="1058" outlineLevel="1" spans="1:10">
      <c r="A1058" s="50">
        <v>143</v>
      </c>
      <c r="B1058" s="51" t="str">
        <v>柔性防水套管-DN50</v>
      </c>
      <c r="C1058" s="51" t="e">
        <v>#REF!</v>
      </c>
      <c r="D1058" s="51" t="str">
        <v/>
      </c>
      <c r="E1058" s="51" t="str">
        <v/>
      </c>
      <c r="F1058" s="52" t="e">
        <v>#REF!</v>
      </c>
      <c r="G1058" s="48" t="e">
        <v>#REF!</v>
      </c>
      <c r="H1058" s="49">
        <v>0</v>
      </c>
      <c r="I1058" s="49" t="e">
        <v>#REF!</v>
      </c>
      <c r="J1058" s="50"/>
    </row>
    <row r="1059" outlineLevel="1" spans="1:10">
      <c r="A1059" s="50">
        <v>144</v>
      </c>
      <c r="B1059" s="51" t="str">
        <v>柔性防水套管-DN65</v>
      </c>
      <c r="C1059" s="51" t="e">
        <v>#REF!</v>
      </c>
      <c r="D1059" s="51" t="str">
        <v/>
      </c>
      <c r="E1059" s="51" t="str">
        <v/>
      </c>
      <c r="F1059" s="52" t="e">
        <v>#REF!</v>
      </c>
      <c r="G1059" s="48" t="e">
        <v>#REF!</v>
      </c>
      <c r="H1059" s="49">
        <v>0</v>
      </c>
      <c r="I1059" s="49" t="e">
        <v>#REF!</v>
      </c>
      <c r="J1059" s="50"/>
    </row>
    <row r="1060" outlineLevel="1" spans="1:10">
      <c r="A1060" s="50">
        <v>145</v>
      </c>
      <c r="B1060" s="51" t="str">
        <v>柔性防水套管-DN80</v>
      </c>
      <c r="C1060" s="51" t="e">
        <v>#REF!</v>
      </c>
      <c r="D1060" s="51" t="str">
        <v/>
      </c>
      <c r="E1060" s="51" t="str">
        <v/>
      </c>
      <c r="F1060" s="52" t="e">
        <v>#REF!</v>
      </c>
      <c r="G1060" s="48" t="e">
        <v>#REF!</v>
      </c>
      <c r="H1060" s="49">
        <v>0</v>
      </c>
      <c r="I1060" s="49" t="e">
        <v>#REF!</v>
      </c>
      <c r="J1060" s="50"/>
    </row>
    <row r="1061" outlineLevel="1" spans="1:10">
      <c r="A1061" s="50">
        <v>146</v>
      </c>
      <c r="B1061" s="51" t="str">
        <v>柔性防水套管-DN100</v>
      </c>
      <c r="C1061" s="51" t="e">
        <v>#REF!</v>
      </c>
      <c r="D1061" s="51" t="str">
        <v/>
      </c>
      <c r="E1061" s="51" t="str">
        <v/>
      </c>
      <c r="F1061" s="52" t="e">
        <v>#REF!</v>
      </c>
      <c r="G1061" s="48" t="e">
        <v>#REF!</v>
      </c>
      <c r="H1061" s="49">
        <v>0</v>
      </c>
      <c r="I1061" s="49" t="e">
        <v>#REF!</v>
      </c>
      <c r="J1061" s="50"/>
    </row>
    <row r="1062" outlineLevel="1" spans="1:10">
      <c r="A1062" s="50">
        <v>147</v>
      </c>
      <c r="B1062" s="51" t="str">
        <v>柔性防水套管-DN125</v>
      </c>
      <c r="C1062" s="51" t="e">
        <v>#REF!</v>
      </c>
      <c r="D1062" s="51" t="str">
        <v/>
      </c>
      <c r="E1062" s="51" t="str">
        <v/>
      </c>
      <c r="F1062" s="52" t="e">
        <v>#REF!</v>
      </c>
      <c r="G1062" s="48" t="e">
        <v>#REF!</v>
      </c>
      <c r="H1062" s="49">
        <v>0</v>
      </c>
      <c r="I1062" s="49" t="e">
        <v>#REF!</v>
      </c>
      <c r="J1062" s="50"/>
    </row>
    <row r="1063" outlineLevel="1" spans="1:10">
      <c r="A1063" s="50">
        <v>148</v>
      </c>
      <c r="B1063" s="51" t="str">
        <v>柔性防水套管-DN150</v>
      </c>
      <c r="C1063" s="51" t="e">
        <v>#REF!</v>
      </c>
      <c r="D1063" s="51" t="str">
        <v/>
      </c>
      <c r="E1063" s="51" t="str">
        <v/>
      </c>
      <c r="F1063" s="52" t="e">
        <v>#REF!</v>
      </c>
      <c r="G1063" s="48" t="e">
        <v>#REF!</v>
      </c>
      <c r="H1063" s="49">
        <v>0</v>
      </c>
      <c r="I1063" s="49" t="e">
        <v>#REF!</v>
      </c>
      <c r="J1063" s="50"/>
    </row>
    <row r="1064" outlineLevel="1" spans="1:10">
      <c r="A1064" s="50">
        <v>149</v>
      </c>
      <c r="B1064" s="51" t="str">
        <v>柔性防水套管-DN200</v>
      </c>
      <c r="C1064" s="51" t="e">
        <v>#REF!</v>
      </c>
      <c r="D1064" s="51" t="str">
        <v/>
      </c>
      <c r="E1064" s="51" t="str">
        <v/>
      </c>
      <c r="F1064" s="52" t="e">
        <v>#REF!</v>
      </c>
      <c r="G1064" s="48" t="e">
        <v>#REF!</v>
      </c>
      <c r="H1064" s="49">
        <v>0</v>
      </c>
      <c r="I1064" s="49" t="e">
        <v>#REF!</v>
      </c>
      <c r="J1064" s="50"/>
    </row>
    <row r="1065" outlineLevel="1" spans="1:10">
      <c r="A1065" s="50">
        <v>150</v>
      </c>
      <c r="B1065" s="51" t="str">
        <v>柔性防水套管-DN250</v>
      </c>
      <c r="C1065" s="51" t="e">
        <v>#REF!</v>
      </c>
      <c r="D1065" s="51" t="str">
        <v/>
      </c>
      <c r="E1065" s="51" t="str">
        <v/>
      </c>
      <c r="F1065" s="52" t="e">
        <v>#REF!</v>
      </c>
      <c r="G1065" s="48" t="e">
        <v>#REF!</v>
      </c>
      <c r="H1065" s="49">
        <v>0</v>
      </c>
      <c r="I1065" s="49" t="e">
        <v>#REF!</v>
      </c>
      <c r="J1065" s="50"/>
    </row>
    <row r="1066" outlineLevel="1" spans="1:10">
      <c r="A1066" s="50">
        <v>151</v>
      </c>
      <c r="B1066" s="51" t="str">
        <v>柔性防水套管-DN300</v>
      </c>
      <c r="C1066" s="51" t="e">
        <v>#REF!</v>
      </c>
      <c r="D1066" s="51" t="str">
        <v/>
      </c>
      <c r="E1066" s="51" t="str">
        <v/>
      </c>
      <c r="F1066" s="52" t="e">
        <v>#REF!</v>
      </c>
      <c r="G1066" s="48" t="e">
        <v>#REF!</v>
      </c>
      <c r="H1066" s="49">
        <v>0</v>
      </c>
      <c r="I1066" s="49" t="e">
        <v>#REF!</v>
      </c>
      <c r="J1066" s="50"/>
    </row>
    <row r="1067" outlineLevel="1" spans="1:10">
      <c r="A1067" s="50">
        <v>152</v>
      </c>
      <c r="B1067" s="51" t="str">
        <v>柔性防水套管-DN350</v>
      </c>
      <c r="C1067" s="51" t="e">
        <v>#REF!</v>
      </c>
      <c r="D1067" s="51" t="str">
        <v/>
      </c>
      <c r="E1067" s="51" t="str">
        <v/>
      </c>
      <c r="F1067" s="52" t="e">
        <v>#REF!</v>
      </c>
      <c r="G1067" s="48" t="e">
        <v>#REF!</v>
      </c>
      <c r="H1067" s="49">
        <v>0</v>
      </c>
      <c r="I1067" s="49" t="e">
        <v>#REF!</v>
      </c>
      <c r="J1067" s="50"/>
    </row>
    <row r="1068" outlineLevel="1" spans="1:10">
      <c r="A1068" s="50">
        <v>153</v>
      </c>
      <c r="B1068" s="51" t="str">
        <v>柔性防水套管-DN400</v>
      </c>
      <c r="C1068" s="51" t="e">
        <v>#REF!</v>
      </c>
      <c r="D1068" s="51" t="str">
        <v/>
      </c>
      <c r="E1068" s="51" t="str">
        <v/>
      </c>
      <c r="F1068" s="52" t="e">
        <v>#REF!</v>
      </c>
      <c r="G1068" s="48" t="e">
        <v>#REF!</v>
      </c>
      <c r="H1068" s="49">
        <v>0</v>
      </c>
      <c r="I1068" s="49" t="e">
        <v>#REF!</v>
      </c>
      <c r="J1068" s="50"/>
    </row>
    <row r="1069" outlineLevel="1" spans="1:10">
      <c r="A1069" s="50">
        <v>154</v>
      </c>
      <c r="B1069" s="51" t="str">
        <v>消防钢套管-DN65</v>
      </c>
      <c r="C1069" s="51" t="e">
        <v>#REF!</v>
      </c>
      <c r="D1069" s="51" t="str">
        <v/>
      </c>
      <c r="E1069" s="51" t="str">
        <v/>
      </c>
      <c r="F1069" s="52" t="e">
        <v>#REF!</v>
      </c>
      <c r="G1069" s="48" t="e">
        <v>#REF!</v>
      </c>
      <c r="H1069" s="49">
        <v>0</v>
      </c>
      <c r="I1069" s="49" t="e">
        <v>#REF!</v>
      </c>
      <c r="J1069" s="50"/>
    </row>
    <row r="1070" outlineLevel="1" spans="1:10">
      <c r="A1070" s="50">
        <v>155</v>
      </c>
      <c r="B1070" s="51" t="str">
        <v>消防钢套管-DN150</v>
      </c>
      <c r="C1070" s="51" t="e">
        <v>#REF!</v>
      </c>
      <c r="D1070" s="51" t="str">
        <v/>
      </c>
      <c r="E1070" s="51" t="str">
        <v/>
      </c>
      <c r="F1070" s="52" t="e">
        <v>#REF!</v>
      </c>
      <c r="G1070" s="48" t="e">
        <v>#REF!</v>
      </c>
      <c r="H1070" s="49">
        <v>0</v>
      </c>
      <c r="I1070" s="49" t="e">
        <v>#REF!</v>
      </c>
      <c r="J1070" s="50"/>
    </row>
    <row r="1071" outlineLevel="1" spans="1:10">
      <c r="A1071" s="50">
        <v>156</v>
      </c>
      <c r="B1071" s="51" t="str">
        <v>消防钢套管-DN250</v>
      </c>
      <c r="C1071" s="51" t="e">
        <v>#REF!</v>
      </c>
      <c r="D1071" s="51" t="str">
        <v/>
      </c>
      <c r="E1071" s="51" t="str">
        <v/>
      </c>
      <c r="F1071" s="52" t="e">
        <v>#REF!</v>
      </c>
      <c r="G1071" s="48" t="e">
        <v>#REF!</v>
      </c>
      <c r="H1071" s="49">
        <v>0</v>
      </c>
      <c r="I1071" s="49" t="e">
        <v>#REF!</v>
      </c>
      <c r="J1071" s="50"/>
    </row>
    <row r="1072" outlineLevel="1" spans="1:10">
      <c r="A1072" s="50" t="str">
        <v/>
      </c>
      <c r="B1072" s="51" t="str">
        <v>地上给排水</v>
      </c>
      <c r="C1072" s="51" t="str">
        <v/>
      </c>
      <c r="D1072" s="51" t="str">
        <v/>
      </c>
      <c r="E1072" s="51" t="str">
        <v/>
      </c>
      <c r="F1072" s="52" t="str">
        <v/>
      </c>
      <c r="G1072" s="48" t="str">
        <v/>
      </c>
      <c r="H1072" s="49">
        <v>0</v>
      </c>
      <c r="I1072" s="49" t="e">
        <v>#REF!</v>
      </c>
      <c r="J1072" s="50"/>
    </row>
    <row r="1073" outlineLevel="1" spans="1:10">
      <c r="A1073" s="50" t="str">
        <v/>
      </c>
      <c r="B1073" s="51" t="str">
        <v>B.04地上户内给水</v>
      </c>
      <c r="C1073" s="51" t="str">
        <v/>
      </c>
      <c r="D1073" s="51" t="str">
        <v/>
      </c>
      <c r="E1073" s="51" t="str">
        <v/>
      </c>
      <c r="F1073" s="52" t="str">
        <v/>
      </c>
      <c r="G1073" s="48" t="str">
        <v/>
      </c>
      <c r="H1073" s="49">
        <v>0</v>
      </c>
      <c r="I1073" s="49" t="e">
        <v>#REF!</v>
      </c>
      <c r="J1073" s="50"/>
    </row>
    <row r="1074" outlineLevel="1" spans="1:10">
      <c r="A1074" s="50" t="str">
        <v/>
      </c>
      <c r="B1074" s="51" t="str">
        <v>B.04.1阀部件</v>
      </c>
      <c r="C1074" s="51" t="str">
        <v/>
      </c>
      <c r="D1074" s="51" t="str">
        <v/>
      </c>
      <c r="E1074" s="51" t="str">
        <v/>
      </c>
      <c r="F1074" s="52" t="str">
        <v/>
      </c>
      <c r="G1074" s="48" t="str">
        <v/>
      </c>
      <c r="H1074" s="49">
        <v>0</v>
      </c>
      <c r="I1074" s="49" t="e">
        <v>#REF!</v>
      </c>
      <c r="J1074" s="50"/>
    </row>
    <row r="1075" outlineLevel="1" spans="1:10">
      <c r="A1075" s="50">
        <v>157</v>
      </c>
      <c r="B1075" s="51" t="str">
        <v>螺纹阀门-截止阀-De32</v>
      </c>
      <c r="C1075" s="51" t="e">
        <v>#REF!</v>
      </c>
      <c r="D1075" s="51" t="str">
        <v/>
      </c>
      <c r="E1075" s="51" t="str">
        <v/>
      </c>
      <c r="F1075" s="52" t="e">
        <v>#REF!</v>
      </c>
      <c r="G1075" s="48" t="e">
        <v>#REF!</v>
      </c>
      <c r="H1075" s="49">
        <v>0</v>
      </c>
      <c r="I1075" s="49" t="e">
        <v>#REF!</v>
      </c>
      <c r="J1075" s="50"/>
    </row>
    <row r="1076" outlineLevel="1" spans="1:10">
      <c r="A1076" s="50">
        <v>158</v>
      </c>
      <c r="B1076" s="51" t="str">
        <v>螺纹阀门-截止阀-De25</v>
      </c>
      <c r="C1076" s="51" t="e">
        <v>#REF!</v>
      </c>
      <c r="D1076" s="51" t="str">
        <v/>
      </c>
      <c r="E1076" s="51" t="str">
        <v/>
      </c>
      <c r="F1076" s="52" t="e">
        <v>#REF!</v>
      </c>
      <c r="G1076" s="48" t="e">
        <v>#REF!</v>
      </c>
      <c r="H1076" s="49">
        <v>0</v>
      </c>
      <c r="I1076" s="49" t="e">
        <v>#REF!</v>
      </c>
      <c r="J1076" s="50"/>
    </row>
    <row r="1077" outlineLevel="1" spans="1:10">
      <c r="A1077" s="50">
        <v>159</v>
      </c>
      <c r="B1077" s="51" t="str">
        <v>螺纹阀门-截止阀-De20</v>
      </c>
      <c r="C1077" s="51" t="e">
        <v>#REF!</v>
      </c>
      <c r="D1077" s="51" t="str">
        <v/>
      </c>
      <c r="E1077" s="51" t="str">
        <v/>
      </c>
      <c r="F1077" s="52" t="e">
        <v>#REF!</v>
      </c>
      <c r="G1077" s="48" t="e">
        <v>#REF!</v>
      </c>
      <c r="H1077" s="49">
        <v>0</v>
      </c>
      <c r="I1077" s="49" t="e">
        <v>#REF!</v>
      </c>
      <c r="J1077" s="50"/>
    </row>
    <row r="1078" outlineLevel="1" spans="1:10">
      <c r="A1078" s="50">
        <v>160</v>
      </c>
      <c r="B1078" s="51" t="str">
        <v>倒流防止器-De25</v>
      </c>
      <c r="C1078" s="51" t="e">
        <v>#REF!</v>
      </c>
      <c r="D1078" s="51" t="str">
        <v/>
      </c>
      <c r="E1078" s="51" t="str">
        <v/>
      </c>
      <c r="F1078" s="52" t="e">
        <v>#REF!</v>
      </c>
      <c r="G1078" s="48" t="e">
        <v>#REF!</v>
      </c>
      <c r="H1078" s="49">
        <v>0</v>
      </c>
      <c r="I1078" s="49" t="e">
        <v>#REF!</v>
      </c>
      <c r="J1078" s="50"/>
    </row>
    <row r="1079" outlineLevel="1" spans="1:10">
      <c r="A1079" s="50">
        <v>161</v>
      </c>
      <c r="B1079" s="51" t="str">
        <v>螺纹阀门-止回阀-De20</v>
      </c>
      <c r="C1079" s="51" t="e">
        <v>#REF!</v>
      </c>
      <c r="D1079" s="51" t="str">
        <v/>
      </c>
      <c r="E1079" s="51" t="str">
        <v/>
      </c>
      <c r="F1079" s="52" t="e">
        <v>#REF!</v>
      </c>
      <c r="G1079" s="48" t="e">
        <v>#REF!</v>
      </c>
      <c r="H1079" s="49">
        <v>0</v>
      </c>
      <c r="I1079" s="49" t="e">
        <v>#REF!</v>
      </c>
      <c r="J1079" s="50"/>
    </row>
    <row r="1080" outlineLevel="1" spans="1:10">
      <c r="A1080" s="50" t="str">
        <v/>
      </c>
      <c r="B1080" s="51" t="str">
        <v>B.04.2给水管道</v>
      </c>
      <c r="C1080" s="51" t="str">
        <v/>
      </c>
      <c r="D1080" s="51" t="str">
        <v/>
      </c>
      <c r="E1080" s="51" t="str">
        <v/>
      </c>
      <c r="F1080" s="52" t="str">
        <v/>
      </c>
      <c r="G1080" s="48" t="str">
        <v/>
      </c>
      <c r="H1080" s="49">
        <v>0</v>
      </c>
      <c r="I1080" s="49" t="e">
        <v>#REF!</v>
      </c>
      <c r="J1080" s="50"/>
    </row>
    <row r="1081" ht="28.8" outlineLevel="1" spans="1:10">
      <c r="A1081" s="50">
        <v>162</v>
      </c>
      <c r="B1081" s="51" t="str">
        <v>室内给水塑料管-PPR-De20-热熔</v>
      </c>
      <c r="C1081" s="51" t="e">
        <v>#REF!</v>
      </c>
      <c r="D1081" s="51" t="str">
        <v/>
      </c>
      <c r="E1081" s="51" t="str">
        <v/>
      </c>
      <c r="F1081" s="52" t="e">
        <v>#REF!</v>
      </c>
      <c r="G1081" s="48" t="e">
        <v>#REF!</v>
      </c>
      <c r="H1081" s="49">
        <v>5.6</v>
      </c>
      <c r="I1081" s="49" t="e">
        <v>#REF!</v>
      </c>
      <c r="J1081" s="50"/>
    </row>
    <row r="1082" ht="28.8" outlineLevel="1" spans="1:10">
      <c r="A1082" s="50">
        <v>163</v>
      </c>
      <c r="B1082" s="51" t="str">
        <v>室内给水塑料管-PPR-De25-热熔</v>
      </c>
      <c r="C1082" s="51" t="e">
        <v>#REF!</v>
      </c>
      <c r="D1082" s="51" t="str">
        <v/>
      </c>
      <c r="E1082" s="51" t="str">
        <v/>
      </c>
      <c r="F1082" s="52" t="e">
        <v>#REF!</v>
      </c>
      <c r="G1082" s="48" t="e">
        <v>#REF!</v>
      </c>
      <c r="H1082" s="49">
        <v>12.2</v>
      </c>
      <c r="I1082" s="49" t="e">
        <v>#REF!</v>
      </c>
      <c r="J1082" s="50"/>
    </row>
    <row r="1083" ht="28.8" outlineLevel="1" spans="1:10">
      <c r="A1083" s="50">
        <v>164</v>
      </c>
      <c r="B1083" s="51" t="str">
        <v>室内给水塑料管-PPR-De32-热熔</v>
      </c>
      <c r="C1083" s="51" t="e">
        <v>#REF!</v>
      </c>
      <c r="D1083" s="51" t="str">
        <v/>
      </c>
      <c r="E1083" s="51" t="str">
        <v/>
      </c>
      <c r="F1083" s="52" t="e">
        <v>#REF!</v>
      </c>
      <c r="G1083" s="48" t="e">
        <v>#REF!</v>
      </c>
      <c r="H1083" s="49">
        <v>3.04</v>
      </c>
      <c r="I1083" s="49" t="e">
        <v>#REF!</v>
      </c>
      <c r="J1083" s="50"/>
    </row>
    <row r="1084" ht="28.8" outlineLevel="1" spans="1:10">
      <c r="A1084" s="50">
        <v>165</v>
      </c>
      <c r="B1084" s="51" t="str">
        <v>室内给水塑料管-PPR-De40-热熔</v>
      </c>
      <c r="C1084" s="51" t="e">
        <v>#REF!</v>
      </c>
      <c r="D1084" s="51" t="str">
        <v/>
      </c>
      <c r="E1084" s="51" t="str">
        <v/>
      </c>
      <c r="F1084" s="52" t="e">
        <v>#REF!</v>
      </c>
      <c r="G1084" s="48" t="e">
        <v>#REF!</v>
      </c>
      <c r="H1084" s="49">
        <v>1</v>
      </c>
      <c r="I1084" s="49" t="e">
        <v>#REF!</v>
      </c>
      <c r="J1084" s="50"/>
    </row>
    <row r="1085" ht="28.8" outlineLevel="1" spans="1:10">
      <c r="A1085" s="50">
        <v>166</v>
      </c>
      <c r="B1085" s="51" t="str">
        <v>室内给水塑料管-PPR-De50-热熔</v>
      </c>
      <c r="C1085" s="51" t="e">
        <v>#REF!</v>
      </c>
      <c r="D1085" s="51" t="str">
        <v/>
      </c>
      <c r="E1085" s="51" t="str">
        <v/>
      </c>
      <c r="F1085" s="52" t="e">
        <v>#REF!</v>
      </c>
      <c r="G1085" s="48" t="e">
        <v>#REF!</v>
      </c>
      <c r="H1085" s="49">
        <v>4.6</v>
      </c>
      <c r="I1085" s="49" t="e">
        <v>#REF!</v>
      </c>
      <c r="J1085" s="50"/>
    </row>
    <row r="1086" ht="28.8" outlineLevel="1" spans="1:10">
      <c r="A1086" s="50">
        <v>167</v>
      </c>
      <c r="B1086" s="51" t="str">
        <v>室内给水塑料管-PPR-De63-热熔</v>
      </c>
      <c r="C1086" s="51" t="e">
        <v>#REF!</v>
      </c>
      <c r="D1086" s="51" t="str">
        <v/>
      </c>
      <c r="E1086" s="51" t="str">
        <v/>
      </c>
      <c r="F1086" s="52" t="e">
        <v>#REF!</v>
      </c>
      <c r="G1086" s="48" t="e">
        <v>#REF!</v>
      </c>
      <c r="H1086" s="49">
        <v>32.51</v>
      </c>
      <c r="I1086" s="49" t="e">
        <v>#REF!</v>
      </c>
      <c r="J1086" s="50"/>
    </row>
    <row r="1087" ht="28.8" outlineLevel="1" spans="1:10">
      <c r="A1087" s="50">
        <v>168</v>
      </c>
      <c r="B1087" s="51" t="str">
        <v>室内给水塑料管-PPR-De20（S3.2）-热熔</v>
      </c>
      <c r="C1087" s="51" t="e">
        <v>#REF!</v>
      </c>
      <c r="D1087" s="51" t="str">
        <v/>
      </c>
      <c r="E1087" s="51" t="str">
        <v/>
      </c>
      <c r="F1087" s="52" t="e">
        <v>#REF!</v>
      </c>
      <c r="G1087" s="48" t="e">
        <v>#REF!</v>
      </c>
      <c r="H1087" s="49">
        <v>0</v>
      </c>
      <c r="I1087" s="49" t="e">
        <v>#REF!</v>
      </c>
      <c r="J1087" s="50"/>
    </row>
    <row r="1088" ht="28.8" outlineLevel="1" spans="1:10">
      <c r="A1088" s="50">
        <v>169</v>
      </c>
      <c r="B1088" s="51" t="str">
        <v>室内给水塑料管-PPR-De25（S3.2）-热熔</v>
      </c>
      <c r="C1088" s="51" t="e">
        <v>#REF!</v>
      </c>
      <c r="D1088" s="51" t="str">
        <v/>
      </c>
      <c r="E1088" s="51" t="str">
        <v/>
      </c>
      <c r="F1088" s="52" t="e">
        <v>#REF!</v>
      </c>
      <c r="G1088" s="48" t="e">
        <v>#REF!</v>
      </c>
      <c r="H1088" s="49">
        <v>0</v>
      </c>
      <c r="I1088" s="49" t="e">
        <v>#REF!</v>
      </c>
      <c r="J1088" s="50"/>
    </row>
    <row r="1089" ht="28.8" outlineLevel="1" spans="1:10">
      <c r="A1089" s="50">
        <v>170</v>
      </c>
      <c r="B1089" s="51" t="str">
        <v>室内给水塑料管-PPR-De32（S3.2）-热熔</v>
      </c>
      <c r="C1089" s="51" t="e">
        <v>#REF!</v>
      </c>
      <c r="D1089" s="51" t="str">
        <v/>
      </c>
      <c r="E1089" s="51" t="str">
        <v/>
      </c>
      <c r="F1089" s="52" t="e">
        <v>#REF!</v>
      </c>
      <c r="G1089" s="48" t="e">
        <v>#REF!</v>
      </c>
      <c r="H1089" s="49">
        <v>0</v>
      </c>
      <c r="I1089" s="49" t="e">
        <v>#REF!</v>
      </c>
      <c r="J1089" s="50"/>
    </row>
    <row r="1090" outlineLevel="1" spans="1:10">
      <c r="A1090" s="50" t="str">
        <v/>
      </c>
      <c r="B1090" s="51" t="str">
        <v>B.05地上户内排水</v>
      </c>
      <c r="C1090" s="51" t="str">
        <v/>
      </c>
      <c r="D1090" s="51" t="str">
        <v/>
      </c>
      <c r="E1090" s="51" t="str">
        <v/>
      </c>
      <c r="F1090" s="52" t="str">
        <v/>
      </c>
      <c r="G1090" s="48" t="str">
        <v/>
      </c>
      <c r="H1090" s="49">
        <v>0</v>
      </c>
      <c r="I1090" s="49" t="e">
        <v>#REF!</v>
      </c>
      <c r="J1090" s="50"/>
    </row>
    <row r="1091" outlineLevel="1" spans="1:10">
      <c r="A1091" s="50" t="str">
        <v/>
      </c>
      <c r="B1091" s="51" t="str">
        <v>B.05.1排水管道</v>
      </c>
      <c r="C1091" s="51" t="str">
        <v/>
      </c>
      <c r="D1091" s="51" t="str">
        <v/>
      </c>
      <c r="E1091" s="51" t="str">
        <v/>
      </c>
      <c r="F1091" s="52" t="str">
        <v/>
      </c>
      <c r="G1091" s="48" t="str">
        <v/>
      </c>
      <c r="H1091" s="49">
        <v>0</v>
      </c>
      <c r="I1091" s="49" t="e">
        <v>#REF!</v>
      </c>
      <c r="J1091" s="50"/>
    </row>
    <row r="1092" ht="28.8" outlineLevel="1" spans="1:10">
      <c r="A1092" s="50">
        <v>171</v>
      </c>
      <c r="B1092" s="51" t="str">
        <v>室外排水塑料管-UPVC-De110</v>
      </c>
      <c r="C1092" s="51" t="e">
        <v>#REF!</v>
      </c>
      <c r="D1092" s="51" t="str">
        <v/>
      </c>
      <c r="E1092" s="51" t="str">
        <v/>
      </c>
      <c r="F1092" s="52" t="e">
        <v>#REF!</v>
      </c>
      <c r="G1092" s="48" t="e">
        <v>#REF!</v>
      </c>
      <c r="H1092" s="49">
        <v>1</v>
      </c>
      <c r="I1092" s="49" t="e">
        <v>#REF!</v>
      </c>
      <c r="J1092" s="50"/>
    </row>
    <row r="1093" ht="28.8" outlineLevel="1" spans="1:10">
      <c r="A1093" s="50">
        <v>172</v>
      </c>
      <c r="B1093" s="51" t="str">
        <v>室外排水塑料管-UPVC-De75</v>
      </c>
      <c r="C1093" s="51" t="e">
        <v>#REF!</v>
      </c>
      <c r="D1093" s="51" t="str">
        <v/>
      </c>
      <c r="E1093" s="51" t="str">
        <v/>
      </c>
      <c r="F1093" s="52" t="e">
        <v>#REF!</v>
      </c>
      <c r="G1093" s="48" t="e">
        <v>#REF!</v>
      </c>
      <c r="H1093" s="49">
        <v>1</v>
      </c>
      <c r="I1093" s="49" t="e">
        <v>#REF!</v>
      </c>
      <c r="J1093" s="50"/>
    </row>
    <row r="1094" outlineLevel="1" spans="1:10">
      <c r="A1094" s="50">
        <v>173</v>
      </c>
      <c r="B1094" s="51" t="str">
        <v>室外塑料管-UPVC-De50</v>
      </c>
      <c r="C1094" s="51" t="e">
        <v>#REF!</v>
      </c>
      <c r="D1094" s="51" t="str">
        <v/>
      </c>
      <c r="E1094" s="51" t="str">
        <v/>
      </c>
      <c r="F1094" s="52" t="e">
        <v>#REF!</v>
      </c>
      <c r="G1094" s="48" t="e">
        <v>#REF!</v>
      </c>
      <c r="H1094" s="49">
        <v>1</v>
      </c>
      <c r="I1094" s="49" t="e">
        <v>#REF!</v>
      </c>
      <c r="J1094" s="50"/>
    </row>
    <row r="1095" ht="28.8" outlineLevel="1" spans="1:10">
      <c r="A1095" s="50">
        <v>174</v>
      </c>
      <c r="B1095" s="51" t="str">
        <v>室内排水塑料管-消音UPVC-De110</v>
      </c>
      <c r="C1095" s="51" t="e">
        <v>#REF!</v>
      </c>
      <c r="D1095" s="51" t="str">
        <v/>
      </c>
      <c r="E1095" s="51" t="str">
        <v/>
      </c>
      <c r="F1095" s="52" t="e">
        <v>#REF!</v>
      </c>
      <c r="G1095" s="48" t="e">
        <v>#REF!</v>
      </c>
      <c r="H1095" s="49">
        <v>0</v>
      </c>
      <c r="I1095" s="49" t="e">
        <v>#REF!</v>
      </c>
      <c r="J1095" s="50"/>
    </row>
    <row r="1096" ht="28.8" outlineLevel="1" spans="1:10">
      <c r="A1096" s="50">
        <v>175</v>
      </c>
      <c r="B1096" s="51" t="str">
        <v>室内透气塑料立管-UPVC-De110</v>
      </c>
      <c r="C1096" s="51" t="e">
        <v>#REF!</v>
      </c>
      <c r="D1096" s="51" t="str">
        <v/>
      </c>
      <c r="E1096" s="51" t="str">
        <v/>
      </c>
      <c r="F1096" s="52" t="e">
        <v>#REF!</v>
      </c>
      <c r="G1096" s="48" t="e">
        <v>#REF!</v>
      </c>
      <c r="H1096" s="49">
        <v>0</v>
      </c>
      <c r="I1096" s="49" t="e">
        <v>#REF!</v>
      </c>
      <c r="J1096" s="50"/>
    </row>
    <row r="1097" ht="28.8" outlineLevel="1" spans="1:10">
      <c r="A1097" s="50">
        <v>176</v>
      </c>
      <c r="B1097" s="51" t="str">
        <v>室内排水塑料管-UPVC-De110</v>
      </c>
      <c r="C1097" s="51" t="e">
        <v>#REF!</v>
      </c>
      <c r="D1097" s="51" t="str">
        <v/>
      </c>
      <c r="E1097" s="51" t="str">
        <v/>
      </c>
      <c r="F1097" s="52" t="e">
        <v>#REF!</v>
      </c>
      <c r="G1097" s="48" t="e">
        <v>#REF!</v>
      </c>
      <c r="H1097" s="49">
        <v>0</v>
      </c>
      <c r="I1097" s="49" t="e">
        <v>#REF!</v>
      </c>
      <c r="J1097" s="50"/>
    </row>
    <row r="1098" ht="28.8" outlineLevel="1" spans="1:10">
      <c r="A1098" s="50">
        <v>177</v>
      </c>
      <c r="B1098" s="51" t="str">
        <v>室内排水塑料管-UPVC-De75</v>
      </c>
      <c r="C1098" s="51" t="e">
        <v>#REF!</v>
      </c>
      <c r="D1098" s="51" t="str">
        <v/>
      </c>
      <c r="E1098" s="51" t="str">
        <v/>
      </c>
      <c r="F1098" s="52" t="e">
        <v>#REF!</v>
      </c>
      <c r="G1098" s="48" t="e">
        <v>#REF!</v>
      </c>
      <c r="H1098" s="49">
        <v>0</v>
      </c>
      <c r="I1098" s="49" t="e">
        <v>#REF!</v>
      </c>
      <c r="J1098" s="50"/>
    </row>
    <row r="1099" ht="28.8" outlineLevel="1" spans="1:10">
      <c r="A1099" s="50">
        <v>178</v>
      </c>
      <c r="B1099" s="51" t="str">
        <v>室内排水塑料管-UPVC-De50</v>
      </c>
      <c r="C1099" s="51" t="e">
        <v>#REF!</v>
      </c>
      <c r="D1099" s="51" t="str">
        <v/>
      </c>
      <c r="E1099" s="51" t="str">
        <v/>
      </c>
      <c r="F1099" s="52" t="e">
        <v>#REF!</v>
      </c>
      <c r="G1099" s="48" t="e">
        <v>#REF!</v>
      </c>
      <c r="H1099" s="49">
        <v>0</v>
      </c>
      <c r="I1099" s="49" t="e">
        <v>#REF!</v>
      </c>
      <c r="J1099" s="50"/>
    </row>
    <row r="1100" outlineLevel="1" spans="1:10">
      <c r="A1100" s="50" t="str">
        <v/>
      </c>
      <c r="B1100" s="51" t="str">
        <v>B.05.2卫生器具</v>
      </c>
      <c r="C1100" s="51" t="str">
        <v/>
      </c>
      <c r="D1100" s="51" t="str">
        <v/>
      </c>
      <c r="E1100" s="51" t="str">
        <v/>
      </c>
      <c r="F1100" s="52" t="str">
        <v/>
      </c>
      <c r="G1100" s="48" t="str">
        <v/>
      </c>
      <c r="H1100" s="49">
        <v>0</v>
      </c>
      <c r="I1100" s="49" t="e">
        <v>#REF!</v>
      </c>
      <c r="J1100" s="50"/>
    </row>
    <row r="1101" outlineLevel="1" spans="1:10">
      <c r="A1101" s="50">
        <v>179</v>
      </c>
      <c r="B1101" s="51" t="str">
        <v>卫生间防臭地漏-De50</v>
      </c>
      <c r="C1101" s="51" t="e">
        <v>#REF!</v>
      </c>
      <c r="D1101" s="51" t="str">
        <v/>
      </c>
      <c r="E1101" s="51" t="str">
        <v/>
      </c>
      <c r="F1101" s="52" t="e">
        <v>#REF!</v>
      </c>
      <c r="G1101" s="48" t="e">
        <v>#REF!</v>
      </c>
      <c r="H1101" s="49">
        <v>0</v>
      </c>
      <c r="I1101" s="49" t="e">
        <v>#REF!</v>
      </c>
      <c r="J1101" s="50"/>
    </row>
    <row r="1102" outlineLevel="1" spans="1:10">
      <c r="A1102" s="50">
        <v>180</v>
      </c>
      <c r="B1102" s="51" t="str">
        <v>洗衣机防臭地漏-De50</v>
      </c>
      <c r="C1102" s="51" t="e">
        <v>#REF!</v>
      </c>
      <c r="D1102" s="51" t="str">
        <v/>
      </c>
      <c r="E1102" s="51" t="str">
        <v/>
      </c>
      <c r="F1102" s="52" t="e">
        <v>#REF!</v>
      </c>
      <c r="G1102" s="48" t="e">
        <v>#REF!</v>
      </c>
      <c r="H1102" s="49">
        <v>0</v>
      </c>
      <c r="I1102" s="49" t="e">
        <v>#REF!</v>
      </c>
      <c r="J1102" s="50"/>
    </row>
    <row r="1103" outlineLevel="1" spans="1:10">
      <c r="A1103" s="50">
        <v>181</v>
      </c>
      <c r="B1103" s="51" t="str">
        <v>雨水地漏-DN75</v>
      </c>
      <c r="C1103" s="51" t="e">
        <v>#REF!</v>
      </c>
      <c r="D1103" s="51" t="str">
        <v/>
      </c>
      <c r="E1103" s="51" t="str">
        <v/>
      </c>
      <c r="F1103" s="52" t="e">
        <v>#REF!</v>
      </c>
      <c r="G1103" s="48" t="e">
        <v>#REF!</v>
      </c>
      <c r="H1103" s="49">
        <v>0</v>
      </c>
      <c r="I1103" s="49" t="e">
        <v>#REF!</v>
      </c>
      <c r="J1103" s="50"/>
    </row>
    <row r="1104" outlineLevel="1" spans="1:10">
      <c r="A1104" s="50">
        <v>181</v>
      </c>
      <c r="B1104" s="51" t="str">
        <v>清扫口-De110</v>
      </c>
      <c r="C1104" s="51" t="e">
        <v>#REF!</v>
      </c>
      <c r="D1104" s="51" t="str">
        <v/>
      </c>
      <c r="E1104" s="51" t="str">
        <v/>
      </c>
      <c r="F1104" s="52" t="e">
        <v>#REF!</v>
      </c>
      <c r="G1104" s="48" t="e">
        <v>#REF!</v>
      </c>
      <c r="H1104" s="49">
        <v>0</v>
      </c>
      <c r="I1104" s="49" t="e">
        <v>#REF!</v>
      </c>
      <c r="J1104" s="50"/>
    </row>
    <row r="1105" outlineLevel="1" spans="1:10">
      <c r="A1105" s="50">
        <v>182</v>
      </c>
      <c r="B1105" s="51" t="str">
        <v>阳台水龙头-DN20</v>
      </c>
      <c r="C1105" s="51" t="e">
        <v>#REF!</v>
      </c>
      <c r="D1105" s="51" t="str">
        <v/>
      </c>
      <c r="E1105" s="51" t="str">
        <v/>
      </c>
      <c r="F1105" s="52" t="e">
        <v>#REF!</v>
      </c>
      <c r="G1105" s="48" t="e">
        <v>#REF!</v>
      </c>
      <c r="H1105" s="49">
        <v>0</v>
      </c>
      <c r="I1105" s="49" t="e">
        <v>#REF!</v>
      </c>
      <c r="J1105" s="50"/>
    </row>
    <row r="1106" outlineLevel="1" spans="1:10">
      <c r="A1106" s="50">
        <v>183</v>
      </c>
      <c r="B1106" s="51" t="str">
        <v>洗衣机龙头-DN20</v>
      </c>
      <c r="C1106" s="51" t="e">
        <v>#REF!</v>
      </c>
      <c r="D1106" s="51" t="str">
        <v/>
      </c>
      <c r="E1106" s="51" t="str">
        <v/>
      </c>
      <c r="F1106" s="52" t="e">
        <v>#REF!</v>
      </c>
      <c r="G1106" s="48" t="e">
        <v>#REF!</v>
      </c>
      <c r="H1106" s="49">
        <v>0</v>
      </c>
      <c r="I1106" s="49" t="e">
        <v>#REF!</v>
      </c>
      <c r="J1106" s="50"/>
    </row>
    <row r="1107" outlineLevel="1" spans="1:10">
      <c r="A1107" s="50" t="str">
        <v/>
      </c>
      <c r="B1107" s="51" t="str">
        <v>B.06地上公区给水</v>
      </c>
      <c r="C1107" s="51" t="str">
        <v/>
      </c>
      <c r="D1107" s="51" t="str">
        <v/>
      </c>
      <c r="E1107" s="51" t="str">
        <v/>
      </c>
      <c r="F1107" s="52" t="str">
        <v/>
      </c>
      <c r="G1107" s="48" t="str">
        <v/>
      </c>
      <c r="H1107" s="49">
        <v>0</v>
      </c>
      <c r="I1107" s="49" t="e">
        <v>#REF!</v>
      </c>
      <c r="J1107" s="50"/>
    </row>
    <row r="1108" outlineLevel="1" spans="1:10">
      <c r="A1108" s="50" t="str">
        <v/>
      </c>
      <c r="B1108" s="51" t="str">
        <v>B.06.1阀部件</v>
      </c>
      <c r="C1108" s="51" t="str">
        <v/>
      </c>
      <c r="D1108" s="51" t="str">
        <v/>
      </c>
      <c r="E1108" s="51" t="str">
        <v/>
      </c>
      <c r="F1108" s="52" t="str">
        <v/>
      </c>
      <c r="G1108" s="48" t="str">
        <v/>
      </c>
      <c r="H1108" s="49">
        <v>0</v>
      </c>
      <c r="I1108" s="49" t="e">
        <v>#REF!</v>
      </c>
      <c r="J1108" s="50"/>
    </row>
    <row r="1109" ht="28.8" outlineLevel="1" spans="1:10">
      <c r="A1109" s="50">
        <v>184</v>
      </c>
      <c r="B1109" s="51" t="str">
        <v>螺纹阀门-减压稳压阀-DN25</v>
      </c>
      <c r="C1109" s="51" t="e">
        <v>#REF!</v>
      </c>
      <c r="D1109" s="51" t="str">
        <v/>
      </c>
      <c r="E1109" s="51" t="str">
        <v/>
      </c>
      <c r="F1109" s="52" t="e">
        <v>#REF!</v>
      </c>
      <c r="G1109" s="48" t="e">
        <v>#REF!</v>
      </c>
      <c r="H1109" s="49">
        <v>0</v>
      </c>
      <c r="I1109" s="49" t="e">
        <v>#REF!</v>
      </c>
      <c r="J1109" s="50"/>
    </row>
    <row r="1110" ht="28.8" outlineLevel="1" spans="1:10">
      <c r="A1110" s="50">
        <v>185</v>
      </c>
      <c r="B1110" s="51" t="str">
        <v>螺纹阀门-减压稳压阀-DN32</v>
      </c>
      <c r="C1110" s="51" t="e">
        <v>#REF!</v>
      </c>
      <c r="D1110" s="51" t="str">
        <v/>
      </c>
      <c r="E1110" s="51" t="str">
        <v/>
      </c>
      <c r="F1110" s="52" t="e">
        <v>#REF!</v>
      </c>
      <c r="G1110" s="48" t="e">
        <v>#REF!</v>
      </c>
      <c r="H1110" s="49">
        <v>0</v>
      </c>
      <c r="I1110" s="49" t="e">
        <v>#REF!</v>
      </c>
      <c r="J1110" s="50"/>
    </row>
    <row r="1111" ht="28.8" outlineLevel="1" spans="1:10">
      <c r="A1111" s="50">
        <v>186</v>
      </c>
      <c r="B1111" s="51" t="str">
        <v>螺纹阀门-减压稳压阀-DN20</v>
      </c>
      <c r="C1111" s="51" t="e">
        <v>#REF!</v>
      </c>
      <c r="D1111" s="51" t="str">
        <v/>
      </c>
      <c r="E1111" s="51" t="str">
        <v/>
      </c>
      <c r="F1111" s="52" t="e">
        <v>#REF!</v>
      </c>
      <c r="G1111" s="48" t="e">
        <v>#REF!</v>
      </c>
      <c r="H1111" s="49">
        <v>0</v>
      </c>
      <c r="I1111" s="49" t="e">
        <v>#REF!</v>
      </c>
      <c r="J1111" s="50"/>
    </row>
    <row r="1112" ht="28.8" outlineLevel="1" spans="1:10">
      <c r="A1112" s="50">
        <v>187</v>
      </c>
      <c r="B1112" s="51" t="str">
        <v>螺纹阀门-自动放气阀-DN15</v>
      </c>
      <c r="C1112" s="51" t="e">
        <v>#REF!</v>
      </c>
      <c r="D1112" s="51" t="str">
        <v/>
      </c>
      <c r="E1112" s="51" t="str">
        <v/>
      </c>
      <c r="F1112" s="52" t="e">
        <v>#REF!</v>
      </c>
      <c r="G1112" s="48" t="e">
        <v>#REF!</v>
      </c>
      <c r="H1112" s="49">
        <v>1</v>
      </c>
      <c r="I1112" s="49" t="e">
        <v>#REF!</v>
      </c>
      <c r="J1112" s="50"/>
    </row>
    <row r="1113" outlineLevel="1" spans="1:10">
      <c r="A1113" s="50">
        <v>188</v>
      </c>
      <c r="B1113" s="51" t="str">
        <v>螺纹阀门-截止阀-DN15</v>
      </c>
      <c r="C1113" s="51" t="e">
        <v>#REF!</v>
      </c>
      <c r="D1113" s="51" t="str">
        <v/>
      </c>
      <c r="E1113" s="51" t="str">
        <v/>
      </c>
      <c r="F1113" s="52" t="e">
        <v>#REF!</v>
      </c>
      <c r="G1113" s="48" t="e">
        <v>#REF!</v>
      </c>
      <c r="H1113" s="49">
        <v>1</v>
      </c>
      <c r="I1113" s="49" t="e">
        <v>#REF!</v>
      </c>
      <c r="J1113" s="50"/>
    </row>
    <row r="1114" outlineLevel="1" spans="1:10">
      <c r="A1114" s="50">
        <v>189</v>
      </c>
      <c r="B1114" s="51" t="str">
        <v>螺纹阀门-截止阀-DN20</v>
      </c>
      <c r="C1114" s="51" t="e">
        <v>#REF!</v>
      </c>
      <c r="D1114" s="51" t="str">
        <v/>
      </c>
      <c r="E1114" s="51" t="str">
        <v/>
      </c>
      <c r="F1114" s="52" t="e">
        <v>#REF!</v>
      </c>
      <c r="G1114" s="48" t="e">
        <v>#REF!</v>
      </c>
      <c r="H1114" s="49">
        <v>1</v>
      </c>
      <c r="I1114" s="49" t="e">
        <v>#REF!</v>
      </c>
      <c r="J1114" s="50"/>
    </row>
    <row r="1115" outlineLevel="1" spans="1:10">
      <c r="A1115" s="50">
        <v>190</v>
      </c>
      <c r="B1115" s="51" t="str">
        <v>螺纹阀门-截止阀-De25</v>
      </c>
      <c r="C1115" s="51" t="e">
        <v>#REF!</v>
      </c>
      <c r="D1115" s="51" t="str">
        <v/>
      </c>
      <c r="E1115" s="51" t="str">
        <v/>
      </c>
      <c r="F1115" s="52" t="e">
        <v>#REF!</v>
      </c>
      <c r="G1115" s="48" t="e">
        <v>#REF!</v>
      </c>
      <c r="H1115" s="49">
        <v>1</v>
      </c>
      <c r="I1115" s="49" t="e">
        <v>#REF!</v>
      </c>
      <c r="J1115" s="50"/>
    </row>
    <row r="1116" outlineLevel="1" spans="1:10">
      <c r="A1116" s="50">
        <v>191</v>
      </c>
      <c r="B1116" s="51" t="str">
        <v>螺纹阀门-截止阀-DN25</v>
      </c>
      <c r="C1116" s="51" t="e">
        <v>#REF!</v>
      </c>
      <c r="D1116" s="51" t="str">
        <v/>
      </c>
      <c r="E1116" s="51" t="str">
        <v/>
      </c>
      <c r="F1116" s="52" t="e">
        <v>#REF!</v>
      </c>
      <c r="G1116" s="48" t="e">
        <v>#REF!</v>
      </c>
      <c r="H1116" s="49">
        <v>1</v>
      </c>
      <c r="I1116" s="49" t="e">
        <v>#REF!</v>
      </c>
      <c r="J1116" s="50"/>
    </row>
    <row r="1117" outlineLevel="1" spans="1:10">
      <c r="A1117" s="50">
        <v>192</v>
      </c>
      <c r="B1117" s="51" t="str">
        <v>螺纹阀门-截止阀-De32</v>
      </c>
      <c r="C1117" s="51" t="e">
        <v>#REF!</v>
      </c>
      <c r="D1117" s="51" t="str">
        <v/>
      </c>
      <c r="E1117" s="51" t="str">
        <v/>
      </c>
      <c r="F1117" s="52" t="e">
        <v>#REF!</v>
      </c>
      <c r="G1117" s="48" t="e">
        <v>#REF!</v>
      </c>
      <c r="H1117" s="49">
        <v>0</v>
      </c>
      <c r="I1117" s="49" t="e">
        <v>#REF!</v>
      </c>
      <c r="J1117" s="50"/>
    </row>
    <row r="1118" outlineLevel="1" spans="1:10">
      <c r="A1118" s="50">
        <v>193</v>
      </c>
      <c r="B1118" s="51" t="str">
        <v>螺纹阀门-截止阀-DN32</v>
      </c>
      <c r="C1118" s="51" t="e">
        <v>#REF!</v>
      </c>
      <c r="D1118" s="51" t="str">
        <v/>
      </c>
      <c r="E1118" s="51" t="str">
        <v/>
      </c>
      <c r="F1118" s="52" t="e">
        <v>#REF!</v>
      </c>
      <c r="G1118" s="48" t="e">
        <v>#REF!</v>
      </c>
      <c r="H1118" s="49">
        <v>0</v>
      </c>
      <c r="I1118" s="49" t="e">
        <v>#REF!</v>
      </c>
      <c r="J1118" s="50"/>
    </row>
    <row r="1119" outlineLevel="1" spans="1:10">
      <c r="A1119" s="50">
        <v>194</v>
      </c>
      <c r="B1119" s="51" t="str">
        <v>螺纹阀门-截止阀-DN50</v>
      </c>
      <c r="C1119" s="51" t="e">
        <v>#REF!</v>
      </c>
      <c r="D1119" s="51" t="str">
        <v/>
      </c>
      <c r="E1119" s="51" t="str">
        <v/>
      </c>
      <c r="F1119" s="52" t="e">
        <v>#REF!</v>
      </c>
      <c r="G1119" s="48" t="e">
        <v>#REF!</v>
      </c>
      <c r="H1119" s="49">
        <v>0</v>
      </c>
      <c r="I1119" s="49" t="e">
        <v>#REF!</v>
      </c>
      <c r="J1119" s="50"/>
    </row>
    <row r="1120" outlineLevel="1" spans="1:10">
      <c r="A1120" s="50">
        <v>195</v>
      </c>
      <c r="B1120" s="51" t="str">
        <v>螺纹阀门-截止阀-De63</v>
      </c>
      <c r="C1120" s="51" t="e">
        <v>#REF!</v>
      </c>
      <c r="D1120" s="51" t="str">
        <v/>
      </c>
      <c r="E1120" s="51" t="str">
        <v/>
      </c>
      <c r="F1120" s="52" t="e">
        <v>#REF!</v>
      </c>
      <c r="G1120" s="48" t="e">
        <v>#REF!</v>
      </c>
      <c r="H1120" s="49">
        <v>3</v>
      </c>
      <c r="I1120" s="49" t="e">
        <v>#REF!</v>
      </c>
      <c r="J1120" s="50"/>
    </row>
    <row r="1121" outlineLevel="1" spans="1:10">
      <c r="A1121" s="50">
        <v>196</v>
      </c>
      <c r="B1121" s="51" t="str">
        <v>螺纹阀门-止回阀-De20</v>
      </c>
      <c r="C1121" s="51" t="e">
        <v>#REF!</v>
      </c>
      <c r="D1121" s="51" t="str">
        <v/>
      </c>
      <c r="E1121" s="51" t="str">
        <v/>
      </c>
      <c r="F1121" s="52" t="e">
        <v>#REF!</v>
      </c>
      <c r="G1121" s="48" t="e">
        <v>#REF!</v>
      </c>
      <c r="H1121" s="49">
        <v>0</v>
      </c>
      <c r="I1121" s="49" t="e">
        <v>#REF!</v>
      </c>
      <c r="J1121" s="50"/>
    </row>
    <row r="1122" outlineLevel="1" spans="1:10">
      <c r="A1122" s="50">
        <v>197</v>
      </c>
      <c r="B1122" s="51" t="str">
        <v>螺纹阀门-止回阀-De25</v>
      </c>
      <c r="C1122" s="51" t="e">
        <v>#REF!</v>
      </c>
      <c r="D1122" s="51" t="str">
        <v/>
      </c>
      <c r="E1122" s="51" t="str">
        <v/>
      </c>
      <c r="F1122" s="52" t="e">
        <v>#REF!</v>
      </c>
      <c r="G1122" s="48" t="e">
        <v>#REF!</v>
      </c>
      <c r="H1122" s="49">
        <v>0</v>
      </c>
      <c r="I1122" s="49" t="e">
        <v>#REF!</v>
      </c>
      <c r="J1122" s="50"/>
    </row>
    <row r="1123" outlineLevel="1" spans="1:10">
      <c r="A1123" s="50">
        <v>198</v>
      </c>
      <c r="B1123" s="51" t="str">
        <v>螺纹阀门-锁闭阀-DN20</v>
      </c>
      <c r="C1123" s="51" t="e">
        <v>#REF!</v>
      </c>
      <c r="D1123" s="51" t="str">
        <v/>
      </c>
      <c r="E1123" s="51" t="str">
        <v/>
      </c>
      <c r="F1123" s="52" t="e">
        <v>#REF!</v>
      </c>
      <c r="G1123" s="48" t="e">
        <v>#REF!</v>
      </c>
      <c r="H1123" s="49">
        <v>0</v>
      </c>
      <c r="I1123" s="49" t="e">
        <v>#REF!</v>
      </c>
      <c r="J1123" s="50"/>
    </row>
    <row r="1124" outlineLevel="1" spans="1:10">
      <c r="A1124" s="50">
        <v>199</v>
      </c>
      <c r="B1124" s="51" t="str">
        <v>螺纹阀门-锁闭阀-DN25</v>
      </c>
      <c r="C1124" s="51" t="e">
        <v>#REF!</v>
      </c>
      <c r="D1124" s="51" t="str">
        <v/>
      </c>
      <c r="E1124" s="51" t="str">
        <v/>
      </c>
      <c r="F1124" s="52" t="e">
        <v>#REF!</v>
      </c>
      <c r="G1124" s="48" t="e">
        <v>#REF!</v>
      </c>
      <c r="H1124" s="49">
        <v>0</v>
      </c>
      <c r="I1124" s="49" t="e">
        <v>#REF!</v>
      </c>
      <c r="J1124" s="50"/>
    </row>
    <row r="1125" outlineLevel="1" spans="1:10">
      <c r="A1125" s="50">
        <v>200</v>
      </c>
      <c r="B1125" s="51" t="str">
        <v>螺纹阀门-锁闭阀-DN50</v>
      </c>
      <c r="C1125" s="51" t="e">
        <v>#REF!</v>
      </c>
      <c r="D1125" s="51" t="str">
        <v/>
      </c>
      <c r="E1125" s="51" t="str">
        <v/>
      </c>
      <c r="F1125" s="52" t="e">
        <v>#REF!</v>
      </c>
      <c r="G1125" s="48" t="e">
        <v>#REF!</v>
      </c>
      <c r="H1125" s="49">
        <v>0</v>
      </c>
      <c r="I1125" s="49" t="e">
        <v>#REF!</v>
      </c>
      <c r="J1125" s="50"/>
    </row>
    <row r="1126" outlineLevel="1" spans="1:10">
      <c r="A1126" s="50">
        <v>201</v>
      </c>
      <c r="B1126" s="51" t="str">
        <v>螺纹阀门-锁闭阀-De63</v>
      </c>
      <c r="C1126" s="51" t="e">
        <v>#REF!</v>
      </c>
      <c r="D1126" s="51" t="str">
        <v/>
      </c>
      <c r="E1126" s="51" t="str">
        <v/>
      </c>
      <c r="F1126" s="52" t="e">
        <v>#REF!</v>
      </c>
      <c r="G1126" s="48" t="e">
        <v>#REF!</v>
      </c>
      <c r="H1126" s="49">
        <v>0</v>
      </c>
      <c r="I1126" s="49" t="e">
        <v>#REF!</v>
      </c>
      <c r="J1126" s="50"/>
    </row>
    <row r="1127" ht="28.8" outlineLevel="1" spans="1:10">
      <c r="A1127" s="50">
        <v>202</v>
      </c>
      <c r="B1127" s="51" t="str">
        <v>螺纹阀门-Y型过滤器-DN20</v>
      </c>
      <c r="C1127" s="51" t="e">
        <v>#REF!</v>
      </c>
      <c r="D1127" s="51" t="str">
        <v/>
      </c>
      <c r="E1127" s="51" t="str">
        <v/>
      </c>
      <c r="F1127" s="52" t="e">
        <v>#REF!</v>
      </c>
      <c r="G1127" s="48" t="e">
        <v>#REF!</v>
      </c>
      <c r="H1127" s="49">
        <v>0</v>
      </c>
      <c r="I1127" s="49" t="e">
        <v>#REF!</v>
      </c>
      <c r="J1127" s="50"/>
    </row>
    <row r="1128" ht="28.8" outlineLevel="1" spans="1:10">
      <c r="A1128" s="50">
        <v>203</v>
      </c>
      <c r="B1128" s="51" t="str">
        <v>螺纹阀门-Y型过滤器-DN25</v>
      </c>
      <c r="C1128" s="51" t="e">
        <v>#REF!</v>
      </c>
      <c r="D1128" s="51" t="str">
        <v/>
      </c>
      <c r="E1128" s="51" t="str">
        <v/>
      </c>
      <c r="F1128" s="52" t="e">
        <v>#REF!</v>
      </c>
      <c r="G1128" s="48" t="e">
        <v>#REF!</v>
      </c>
      <c r="H1128" s="49">
        <v>0</v>
      </c>
      <c r="I1128" s="49" t="e">
        <v>#REF!</v>
      </c>
      <c r="J1128" s="50"/>
    </row>
    <row r="1129" ht="28.8" outlineLevel="1" spans="1:10">
      <c r="A1129" s="50">
        <v>204</v>
      </c>
      <c r="B1129" s="51" t="str">
        <v>螺纹阀门-Y型过滤器-DN32</v>
      </c>
      <c r="C1129" s="51" t="e">
        <v>#REF!</v>
      </c>
      <c r="D1129" s="51" t="str">
        <v/>
      </c>
      <c r="E1129" s="51" t="str">
        <v/>
      </c>
      <c r="F1129" s="52" t="e">
        <v>#REF!</v>
      </c>
      <c r="G1129" s="48" t="e">
        <v>#REF!</v>
      </c>
      <c r="H1129" s="49">
        <v>0</v>
      </c>
      <c r="I1129" s="49" t="e">
        <v>#REF!</v>
      </c>
      <c r="J1129" s="50"/>
    </row>
    <row r="1130" outlineLevel="1" spans="1:10">
      <c r="A1130" s="50">
        <v>205</v>
      </c>
      <c r="B1130" s="51" t="str">
        <v>可曲挠橡胶接头-DN25</v>
      </c>
      <c r="C1130" s="51" t="e">
        <v>#REF!</v>
      </c>
      <c r="D1130" s="51" t="str">
        <v/>
      </c>
      <c r="E1130" s="51" t="str">
        <v/>
      </c>
      <c r="F1130" s="52" t="e">
        <v>#REF!</v>
      </c>
      <c r="G1130" s="48" t="e">
        <v>#REF!</v>
      </c>
      <c r="H1130" s="49">
        <v>0</v>
      </c>
      <c r="I1130" s="49" t="e">
        <v>#REF!</v>
      </c>
      <c r="J1130" s="50"/>
    </row>
    <row r="1131" outlineLevel="1" spans="1:10">
      <c r="A1131" s="50">
        <v>206</v>
      </c>
      <c r="B1131" s="51" t="str">
        <v>水表安装-DN20</v>
      </c>
      <c r="C1131" s="51" t="e">
        <v>#REF!</v>
      </c>
      <c r="D1131" s="51" t="str">
        <v/>
      </c>
      <c r="E1131" s="51" t="str">
        <v/>
      </c>
      <c r="F1131" s="52" t="e">
        <v>#REF!</v>
      </c>
      <c r="G1131" s="48" t="e">
        <v>#REF!</v>
      </c>
      <c r="H1131" s="49">
        <v>1</v>
      </c>
      <c r="I1131" s="49" t="e">
        <v>#REF!</v>
      </c>
      <c r="J1131" s="50"/>
    </row>
    <row r="1132" outlineLevel="1" spans="1:10">
      <c r="A1132" s="50">
        <v>207</v>
      </c>
      <c r="B1132" s="51" t="str">
        <v>水表安装-DN32</v>
      </c>
      <c r="C1132" s="51" t="e">
        <v>#REF!</v>
      </c>
      <c r="D1132" s="51" t="str">
        <v/>
      </c>
      <c r="E1132" s="51" t="str">
        <v/>
      </c>
      <c r="F1132" s="52" t="e">
        <v>#REF!</v>
      </c>
      <c r="G1132" s="48" t="e">
        <v>#REF!</v>
      </c>
      <c r="H1132" s="49">
        <v>0</v>
      </c>
      <c r="I1132" s="49" t="e">
        <v>#REF!</v>
      </c>
      <c r="J1132" s="50"/>
    </row>
    <row r="1133" outlineLevel="1" spans="1:10">
      <c r="A1133" s="50">
        <v>208</v>
      </c>
      <c r="B1133" s="51" t="str">
        <v>水表安装-DN40</v>
      </c>
      <c r="C1133" s="51" t="e">
        <v>#REF!</v>
      </c>
      <c r="D1133" s="51" t="str">
        <v/>
      </c>
      <c r="E1133" s="51" t="str">
        <v/>
      </c>
      <c r="F1133" s="52" t="e">
        <v>#REF!</v>
      </c>
      <c r="G1133" s="48" t="e">
        <v>#REF!</v>
      </c>
      <c r="H1133" s="49">
        <v>1</v>
      </c>
      <c r="I1133" s="49" t="e">
        <v>#REF!</v>
      </c>
      <c r="J1133" s="50"/>
    </row>
    <row r="1134" outlineLevel="1" spans="1:10">
      <c r="A1134" s="50">
        <v>209</v>
      </c>
      <c r="B1134" s="51" t="str">
        <v>水表安装-DN50</v>
      </c>
      <c r="C1134" s="51" t="e">
        <v>#REF!</v>
      </c>
      <c r="D1134" s="51" t="str">
        <v/>
      </c>
      <c r="E1134" s="51" t="str">
        <v/>
      </c>
      <c r="F1134" s="52" t="e">
        <v>#REF!</v>
      </c>
      <c r="G1134" s="48" t="e">
        <v>#REF!</v>
      </c>
      <c r="H1134" s="49">
        <v>0</v>
      </c>
      <c r="I1134" s="49" t="e">
        <v>#REF!</v>
      </c>
      <c r="J1134" s="50"/>
    </row>
    <row r="1135" outlineLevel="1" spans="1:10">
      <c r="A1135" s="50">
        <v>210</v>
      </c>
      <c r="B1135" s="51" t="str">
        <v>IC卡热水表(DN15)</v>
      </c>
      <c r="C1135" s="51" t="e">
        <v>#REF!</v>
      </c>
      <c r="D1135" s="51" t="str">
        <v/>
      </c>
      <c r="E1135" s="51" t="str">
        <v/>
      </c>
      <c r="F1135" s="52" t="e">
        <v>#REF!</v>
      </c>
      <c r="G1135" s="48" t="e">
        <v>#REF!</v>
      </c>
      <c r="H1135" s="49">
        <v>1</v>
      </c>
      <c r="I1135" s="49" t="e">
        <v>#REF!</v>
      </c>
      <c r="J1135" s="50"/>
    </row>
    <row r="1136" outlineLevel="1" spans="1:10">
      <c r="A1136" s="50">
        <v>211</v>
      </c>
      <c r="B1136" s="51" t="str">
        <v>IC卡热水表(DN20)</v>
      </c>
      <c r="C1136" s="51" t="e">
        <v>#REF!</v>
      </c>
      <c r="D1136" s="51" t="str">
        <v/>
      </c>
      <c r="E1136" s="51" t="str">
        <v/>
      </c>
      <c r="F1136" s="52" t="e">
        <v>#REF!</v>
      </c>
      <c r="G1136" s="48" t="e">
        <v>#REF!</v>
      </c>
      <c r="H1136" s="49">
        <v>1</v>
      </c>
      <c r="I1136" s="49" t="e">
        <v>#REF!</v>
      </c>
      <c r="J1136" s="50"/>
    </row>
    <row r="1137" outlineLevel="1" spans="1:10">
      <c r="A1137" s="50">
        <v>212</v>
      </c>
      <c r="B1137" s="51" t="str">
        <v>减压阀组压力表-DN15</v>
      </c>
      <c r="C1137" s="51" t="e">
        <v>#REF!</v>
      </c>
      <c r="D1137" s="51" t="str">
        <v/>
      </c>
      <c r="E1137" s="51" t="str">
        <v/>
      </c>
      <c r="F1137" s="52" t="e">
        <v>#REF!</v>
      </c>
      <c r="G1137" s="48" t="e">
        <v>#REF!</v>
      </c>
      <c r="H1137" s="49">
        <v>1</v>
      </c>
      <c r="I1137" s="49" t="e">
        <v>#REF!</v>
      </c>
      <c r="J1137" s="50"/>
    </row>
    <row r="1138" ht="28.8" outlineLevel="1" spans="1:10">
      <c r="A1138" s="50">
        <v>213</v>
      </c>
      <c r="B1138" s="51" t="str">
        <v>螺纹阀门-波纹补偿器-DN32</v>
      </c>
      <c r="C1138" s="51" t="e">
        <v>#REF!</v>
      </c>
      <c r="D1138" s="51" t="str">
        <v/>
      </c>
      <c r="E1138" s="51" t="str">
        <v/>
      </c>
      <c r="F1138" s="52" t="e">
        <v>#REF!</v>
      </c>
      <c r="G1138" s="48" t="e">
        <v>#REF!</v>
      </c>
      <c r="H1138" s="49">
        <v>0</v>
      </c>
      <c r="I1138" s="49" t="e">
        <v>#REF!</v>
      </c>
      <c r="J1138" s="50"/>
    </row>
    <row r="1139" ht="28.8" outlineLevel="1" spans="1:10">
      <c r="A1139" s="50">
        <v>214</v>
      </c>
      <c r="B1139" s="51" t="str">
        <v>螺纹阀门-波纹补偿器-DN40</v>
      </c>
      <c r="C1139" s="51" t="e">
        <v>#REF!</v>
      </c>
      <c r="D1139" s="51" t="str">
        <v/>
      </c>
      <c r="E1139" s="51" t="str">
        <v/>
      </c>
      <c r="F1139" s="52" t="e">
        <v>#REF!</v>
      </c>
      <c r="G1139" s="48" t="e">
        <v>#REF!</v>
      </c>
      <c r="H1139" s="49">
        <v>0</v>
      </c>
      <c r="I1139" s="49" t="e">
        <v>#REF!</v>
      </c>
      <c r="J1139" s="50"/>
    </row>
    <row r="1140" ht="28.8" outlineLevel="1" spans="1:10">
      <c r="A1140" s="50">
        <v>215</v>
      </c>
      <c r="B1140" s="51" t="str">
        <v>螺纹阀门-波纹补偿器-DN50</v>
      </c>
      <c r="C1140" s="51" t="e">
        <v>#REF!</v>
      </c>
      <c r="D1140" s="51" t="str">
        <v/>
      </c>
      <c r="E1140" s="51" t="str">
        <v/>
      </c>
      <c r="F1140" s="52" t="e">
        <v>#REF!</v>
      </c>
      <c r="G1140" s="48" t="e">
        <v>#REF!</v>
      </c>
      <c r="H1140" s="49">
        <v>0</v>
      </c>
      <c r="I1140" s="49" t="e">
        <v>#REF!</v>
      </c>
      <c r="J1140" s="50"/>
    </row>
    <row r="1141" outlineLevel="1" spans="1:10">
      <c r="A1141" s="50" t="str">
        <v/>
      </c>
      <c r="B1141" s="51" t="str">
        <v>B.06.2给水管道</v>
      </c>
      <c r="C1141" s="51" t="str">
        <v/>
      </c>
      <c r="D1141" s="51" t="str">
        <v/>
      </c>
      <c r="E1141" s="51" t="str">
        <v/>
      </c>
      <c r="F1141" s="52" t="str">
        <v/>
      </c>
      <c r="G1141" s="48" t="str">
        <v/>
      </c>
      <c r="H1141" s="49">
        <v>0</v>
      </c>
      <c r="I1141" s="49" t="e">
        <v>#REF!</v>
      </c>
      <c r="J1141" s="50"/>
    </row>
    <row r="1142" ht="28.8" outlineLevel="1" spans="1:10">
      <c r="A1142" s="50">
        <v>216</v>
      </c>
      <c r="B1142" s="51" t="str">
        <v>室内给水塑料管-PPR-De20-热熔</v>
      </c>
      <c r="C1142" s="51" t="e">
        <v>#REF!</v>
      </c>
      <c r="D1142" s="51" t="str">
        <v/>
      </c>
      <c r="E1142" s="51" t="str">
        <v/>
      </c>
      <c r="F1142" s="52" t="e">
        <v>#REF!</v>
      </c>
      <c r="G1142" s="48" t="e">
        <v>#REF!</v>
      </c>
      <c r="H1142" s="49">
        <v>0</v>
      </c>
      <c r="I1142" s="49" t="e">
        <v>#REF!</v>
      </c>
      <c r="J1142" s="50"/>
    </row>
    <row r="1143" ht="28.8" outlineLevel="1" spans="1:10">
      <c r="A1143" s="50">
        <v>217</v>
      </c>
      <c r="B1143" s="51" t="str">
        <v>室内给水塑料管-PPR-De25-热熔</v>
      </c>
      <c r="C1143" s="51" t="e">
        <v>#REF!</v>
      </c>
      <c r="D1143" s="51" t="str">
        <v/>
      </c>
      <c r="E1143" s="51" t="str">
        <v/>
      </c>
      <c r="F1143" s="52" t="e">
        <v>#REF!</v>
      </c>
      <c r="G1143" s="48" t="e">
        <v>#REF!</v>
      </c>
      <c r="H1143" s="49">
        <v>0</v>
      </c>
      <c r="I1143" s="49" t="e">
        <v>#REF!</v>
      </c>
      <c r="J1143" s="50"/>
    </row>
    <row r="1144" ht="28.8" outlineLevel="1" spans="1:10">
      <c r="A1144" s="50">
        <v>218</v>
      </c>
      <c r="B1144" s="51" t="str">
        <v>室内给水塑料管-PPR-De32-热熔</v>
      </c>
      <c r="C1144" s="51" t="e">
        <v>#REF!</v>
      </c>
      <c r="D1144" s="51" t="str">
        <v/>
      </c>
      <c r="E1144" s="51" t="str">
        <v/>
      </c>
      <c r="F1144" s="52" t="e">
        <v>#REF!</v>
      </c>
      <c r="G1144" s="48" t="e">
        <v>#REF!</v>
      </c>
      <c r="H1144" s="49">
        <v>0</v>
      </c>
      <c r="I1144" s="49" t="e">
        <v>#REF!</v>
      </c>
      <c r="J1144" s="50"/>
    </row>
    <row r="1145" ht="28.8" outlineLevel="1" spans="1:10">
      <c r="A1145" s="50">
        <v>219</v>
      </c>
      <c r="B1145" s="51" t="str">
        <v>室内给水塑料管-PPR-De40-热熔</v>
      </c>
      <c r="C1145" s="51" t="e">
        <v>#REF!</v>
      </c>
      <c r="D1145" s="51" t="str">
        <v/>
      </c>
      <c r="E1145" s="51" t="str">
        <v/>
      </c>
      <c r="F1145" s="52" t="e">
        <v>#REF!</v>
      </c>
      <c r="G1145" s="48" t="e">
        <v>#REF!</v>
      </c>
      <c r="H1145" s="49">
        <v>0</v>
      </c>
      <c r="I1145" s="49" t="e">
        <v>#REF!</v>
      </c>
      <c r="J1145" s="50"/>
    </row>
    <row r="1146" ht="28.8" outlineLevel="1" spans="1:10">
      <c r="A1146" s="50">
        <v>220</v>
      </c>
      <c r="B1146" s="51" t="str">
        <v>室内给水塑料管-PPR-De50-热熔</v>
      </c>
      <c r="C1146" s="51" t="e">
        <v>#REF!</v>
      </c>
      <c r="D1146" s="51" t="str">
        <v/>
      </c>
      <c r="E1146" s="51" t="str">
        <v/>
      </c>
      <c r="F1146" s="52" t="e">
        <v>#REF!</v>
      </c>
      <c r="G1146" s="48" t="e">
        <v>#REF!</v>
      </c>
      <c r="H1146" s="49">
        <v>0</v>
      </c>
      <c r="I1146" s="49" t="e">
        <v>#REF!</v>
      </c>
      <c r="J1146" s="50"/>
    </row>
    <row r="1147" ht="28.8" outlineLevel="1" spans="1:10">
      <c r="A1147" s="50">
        <v>221</v>
      </c>
      <c r="B1147" s="51" t="str">
        <v>室内给水塑料管-PPR-De63-热熔</v>
      </c>
      <c r="C1147" s="51" t="e">
        <v>#REF!</v>
      </c>
      <c r="D1147" s="51" t="str">
        <v/>
      </c>
      <c r="E1147" s="51" t="str">
        <v/>
      </c>
      <c r="F1147" s="52" t="e">
        <v>#REF!</v>
      </c>
      <c r="G1147" s="48" t="e">
        <v>#REF!</v>
      </c>
      <c r="H1147" s="49">
        <v>0</v>
      </c>
      <c r="I1147" s="49" t="e">
        <v>#REF!</v>
      </c>
      <c r="J1147" s="50"/>
    </row>
    <row r="1148" outlineLevel="1" spans="1:10">
      <c r="A1148" s="50">
        <v>222</v>
      </c>
      <c r="B1148" s="51" t="str">
        <v>室内薄壁不锈钢管-DN15</v>
      </c>
      <c r="C1148" s="51" t="e">
        <v>#REF!</v>
      </c>
      <c r="D1148" s="51" t="str">
        <v/>
      </c>
      <c r="E1148" s="51" t="str">
        <v/>
      </c>
      <c r="F1148" s="52" t="e">
        <v>#REF!</v>
      </c>
      <c r="G1148" s="48" t="e">
        <v>#REF!</v>
      </c>
      <c r="H1148" s="49">
        <v>0</v>
      </c>
      <c r="I1148" s="49" t="e">
        <v>#REF!</v>
      </c>
      <c r="J1148" s="50"/>
    </row>
    <row r="1149" outlineLevel="1" spans="1:10">
      <c r="A1149" s="50">
        <v>223</v>
      </c>
      <c r="B1149" s="51" t="str">
        <v>室内薄壁不锈钢管-DN20</v>
      </c>
      <c r="C1149" s="51" t="e">
        <v>#REF!</v>
      </c>
      <c r="D1149" s="51" t="str">
        <v/>
      </c>
      <c r="E1149" s="51" t="str">
        <v/>
      </c>
      <c r="F1149" s="52" t="e">
        <v>#REF!</v>
      </c>
      <c r="G1149" s="48" t="e">
        <v>#REF!</v>
      </c>
      <c r="H1149" s="49">
        <v>0</v>
      </c>
      <c r="I1149" s="49" t="e">
        <v>#REF!</v>
      </c>
      <c r="J1149" s="50"/>
    </row>
    <row r="1150" outlineLevel="1" spans="1:10">
      <c r="A1150" s="50">
        <v>224</v>
      </c>
      <c r="B1150" s="51" t="str">
        <v>室内薄壁不锈钢管-DN25</v>
      </c>
      <c r="C1150" s="51" t="e">
        <v>#REF!</v>
      </c>
      <c r="D1150" s="51" t="str">
        <v/>
      </c>
      <c r="E1150" s="51" t="str">
        <v/>
      </c>
      <c r="F1150" s="52" t="e">
        <v>#REF!</v>
      </c>
      <c r="G1150" s="48" t="e">
        <v>#REF!</v>
      </c>
      <c r="H1150" s="49">
        <v>0</v>
      </c>
      <c r="I1150" s="49" t="e">
        <v>#REF!</v>
      </c>
      <c r="J1150" s="50"/>
    </row>
    <row r="1151" outlineLevel="1" spans="1:10">
      <c r="A1151" s="50">
        <v>225</v>
      </c>
      <c r="B1151" s="51" t="str">
        <v>室内薄壁不锈钢管-DN32</v>
      </c>
      <c r="C1151" s="51" t="e">
        <v>#REF!</v>
      </c>
      <c r="D1151" s="51" t="str">
        <v/>
      </c>
      <c r="E1151" s="51" t="str">
        <v/>
      </c>
      <c r="F1151" s="52" t="e">
        <v>#REF!</v>
      </c>
      <c r="G1151" s="48" t="e">
        <v>#REF!</v>
      </c>
      <c r="H1151" s="49">
        <v>0</v>
      </c>
      <c r="I1151" s="49" t="e">
        <v>#REF!</v>
      </c>
      <c r="J1151" s="50"/>
    </row>
    <row r="1152" outlineLevel="1" spans="1:10">
      <c r="A1152" s="50">
        <v>226</v>
      </c>
      <c r="B1152" s="51" t="str">
        <v>室内薄壁不锈钢管-DN40</v>
      </c>
      <c r="C1152" s="51" t="e">
        <v>#REF!</v>
      </c>
      <c r="D1152" s="51" t="str">
        <v/>
      </c>
      <c r="E1152" s="51" t="str">
        <v/>
      </c>
      <c r="F1152" s="52" t="e">
        <v>#REF!</v>
      </c>
      <c r="G1152" s="48" t="e">
        <v>#REF!</v>
      </c>
      <c r="H1152" s="49">
        <v>0</v>
      </c>
      <c r="I1152" s="49" t="e">
        <v>#REF!</v>
      </c>
      <c r="J1152" s="50"/>
    </row>
    <row r="1153" outlineLevel="1" spans="1:10">
      <c r="A1153" s="50">
        <v>227</v>
      </c>
      <c r="B1153" s="51" t="str">
        <v>室内薄壁不锈钢管-DN50</v>
      </c>
      <c r="C1153" s="51" t="e">
        <v>#REF!</v>
      </c>
      <c r="D1153" s="51" t="str">
        <v/>
      </c>
      <c r="E1153" s="51" t="str">
        <v/>
      </c>
      <c r="F1153" s="52" t="e">
        <v>#REF!</v>
      </c>
      <c r="G1153" s="48" t="e">
        <v>#REF!</v>
      </c>
      <c r="H1153" s="49">
        <v>0</v>
      </c>
      <c r="I1153" s="49" t="e">
        <v>#REF!</v>
      </c>
      <c r="J1153" s="50"/>
    </row>
    <row r="1154" outlineLevel="1" spans="1:10">
      <c r="A1154" s="50">
        <v>228</v>
      </c>
      <c r="B1154" s="51" t="str">
        <v>室内薄壁不锈钢管-DN65</v>
      </c>
      <c r="C1154" s="51" t="e">
        <v>#REF!</v>
      </c>
      <c r="D1154" s="51" t="str">
        <v/>
      </c>
      <c r="E1154" s="51" t="str">
        <v/>
      </c>
      <c r="F1154" s="52" t="e">
        <v>#REF!</v>
      </c>
      <c r="G1154" s="48" t="e">
        <v>#REF!</v>
      </c>
      <c r="H1154" s="49">
        <v>0</v>
      </c>
      <c r="I1154" s="49" t="e">
        <v>#REF!</v>
      </c>
      <c r="J1154" s="50"/>
    </row>
    <row r="1155" ht="28.8" outlineLevel="1" spans="1:10">
      <c r="A1155" s="50">
        <v>229</v>
      </c>
      <c r="B1155" s="51" t="str">
        <v>室内给水内衬塑镀锌钢塑复合管-DN15</v>
      </c>
      <c r="C1155" s="51" t="e">
        <v>#REF!</v>
      </c>
      <c r="D1155" s="51" t="str">
        <v/>
      </c>
      <c r="E1155" s="51" t="str">
        <v/>
      </c>
      <c r="F1155" s="52" t="e">
        <v>#REF!</v>
      </c>
      <c r="G1155" s="48" t="e">
        <v>#REF!</v>
      </c>
      <c r="H1155" s="49">
        <v>0</v>
      </c>
      <c r="I1155" s="49" t="e">
        <v>#REF!</v>
      </c>
      <c r="J1155" s="50"/>
    </row>
    <row r="1156" ht="28.8" outlineLevel="1" spans="1:10">
      <c r="A1156" s="50">
        <v>230</v>
      </c>
      <c r="B1156" s="51" t="str">
        <v>室内给水内衬塑镀锌钢塑复合管-DN20</v>
      </c>
      <c r="C1156" s="51" t="e">
        <v>#REF!</v>
      </c>
      <c r="D1156" s="51" t="str">
        <v/>
      </c>
      <c r="E1156" s="51" t="str">
        <v/>
      </c>
      <c r="F1156" s="52" t="e">
        <v>#REF!</v>
      </c>
      <c r="G1156" s="48" t="e">
        <v>#REF!</v>
      </c>
      <c r="H1156" s="49">
        <v>0</v>
      </c>
      <c r="I1156" s="49" t="e">
        <v>#REF!</v>
      </c>
      <c r="J1156" s="50"/>
    </row>
    <row r="1157" ht="28.8" outlineLevel="1" spans="1:10">
      <c r="A1157" s="50">
        <v>231</v>
      </c>
      <c r="B1157" s="51" t="str">
        <v>室内给水内衬塑镀锌钢塑复合管-DN25</v>
      </c>
      <c r="C1157" s="51" t="e">
        <v>#REF!</v>
      </c>
      <c r="D1157" s="51" t="str">
        <v/>
      </c>
      <c r="E1157" s="51" t="str">
        <v/>
      </c>
      <c r="F1157" s="52" t="e">
        <v>#REF!</v>
      </c>
      <c r="G1157" s="48" t="e">
        <v>#REF!</v>
      </c>
      <c r="H1157" s="49">
        <v>0</v>
      </c>
      <c r="I1157" s="49" t="e">
        <v>#REF!</v>
      </c>
      <c r="J1157" s="50"/>
    </row>
    <row r="1158" ht="28.8" outlineLevel="1" spans="1:10">
      <c r="A1158" s="50">
        <v>232</v>
      </c>
      <c r="B1158" s="51" t="str">
        <v>室内给水内衬塑镀锌钢塑复合管-DN32</v>
      </c>
      <c r="C1158" s="51" t="e">
        <v>#REF!</v>
      </c>
      <c r="D1158" s="51" t="str">
        <v/>
      </c>
      <c r="E1158" s="51" t="str">
        <v/>
      </c>
      <c r="F1158" s="52" t="e">
        <v>#REF!</v>
      </c>
      <c r="G1158" s="48" t="e">
        <v>#REF!</v>
      </c>
      <c r="H1158" s="49">
        <v>0</v>
      </c>
      <c r="I1158" s="49" t="e">
        <v>#REF!</v>
      </c>
      <c r="J1158" s="50"/>
    </row>
    <row r="1159" ht="28.8" outlineLevel="1" spans="1:10">
      <c r="A1159" s="50">
        <v>233</v>
      </c>
      <c r="B1159" s="51" t="str">
        <v>室内给水内衬塑镀锌钢塑复合管-DN40</v>
      </c>
      <c r="C1159" s="51" t="e">
        <v>#REF!</v>
      </c>
      <c r="D1159" s="51" t="str">
        <v/>
      </c>
      <c r="E1159" s="51" t="str">
        <v/>
      </c>
      <c r="F1159" s="52" t="e">
        <v>#REF!</v>
      </c>
      <c r="G1159" s="48" t="e">
        <v>#REF!</v>
      </c>
      <c r="H1159" s="49">
        <v>0</v>
      </c>
      <c r="I1159" s="49" t="e">
        <v>#REF!</v>
      </c>
      <c r="J1159" s="50"/>
    </row>
    <row r="1160" ht="28.8" outlineLevel="1" spans="1:10">
      <c r="A1160" s="50">
        <v>234</v>
      </c>
      <c r="B1160" s="51" t="str">
        <v>室内给水内衬塑镀锌钢塑复合管-DN50</v>
      </c>
      <c r="C1160" s="51" t="e">
        <v>#REF!</v>
      </c>
      <c r="D1160" s="51" t="str">
        <v/>
      </c>
      <c r="E1160" s="51" t="str">
        <v/>
      </c>
      <c r="F1160" s="52" t="e">
        <v>#REF!</v>
      </c>
      <c r="G1160" s="48" t="e">
        <v>#REF!</v>
      </c>
      <c r="H1160" s="49">
        <v>0</v>
      </c>
      <c r="I1160" s="49" t="e">
        <v>#REF!</v>
      </c>
      <c r="J1160" s="50"/>
    </row>
    <row r="1161" ht="28.8" outlineLevel="1" spans="1:10">
      <c r="A1161" s="50">
        <v>235</v>
      </c>
      <c r="B1161" s="51" t="str">
        <v>室内给水内衬塑镀锌钢塑复合管-DN65</v>
      </c>
      <c r="C1161" s="51" t="e">
        <v>#REF!</v>
      </c>
      <c r="D1161" s="51" t="str">
        <v/>
      </c>
      <c r="E1161" s="51" t="str">
        <v/>
      </c>
      <c r="F1161" s="52" t="e">
        <v>#REF!</v>
      </c>
      <c r="G1161" s="48" t="e">
        <v>#REF!</v>
      </c>
      <c r="H1161" s="49">
        <v>0</v>
      </c>
      <c r="I1161" s="49" t="e">
        <v>#REF!</v>
      </c>
      <c r="J1161" s="50"/>
    </row>
    <row r="1162" outlineLevel="1" spans="1:10">
      <c r="A1162" s="50" t="str">
        <v/>
      </c>
      <c r="B1162" s="51" t="str">
        <v>B.06.3绝热</v>
      </c>
      <c r="C1162" s="51" t="str">
        <v/>
      </c>
      <c r="D1162" s="51" t="str">
        <v/>
      </c>
      <c r="E1162" s="51" t="str">
        <v/>
      </c>
      <c r="F1162" s="52" t="str">
        <v/>
      </c>
      <c r="G1162" s="48" t="str">
        <v/>
      </c>
      <c r="H1162" s="49">
        <v>0</v>
      </c>
      <c r="I1162" s="49" t="e">
        <v>#REF!</v>
      </c>
      <c r="J1162" s="50"/>
    </row>
    <row r="1163" outlineLevel="1" spans="1:10">
      <c r="A1163" s="50">
        <v>236</v>
      </c>
      <c r="B1163" s="51" t="str">
        <v>管道绝热</v>
      </c>
      <c r="C1163" s="51" t="e">
        <v>#REF!</v>
      </c>
      <c r="D1163" s="51" t="str">
        <v/>
      </c>
      <c r="E1163" s="51" t="str">
        <v/>
      </c>
      <c r="F1163" s="52" t="e">
        <v>#REF!</v>
      </c>
      <c r="G1163" s="48" t="e">
        <v>#REF!</v>
      </c>
      <c r="H1163" s="49">
        <v>0.06</v>
      </c>
      <c r="I1163" s="49" t="e">
        <v>#REF!</v>
      </c>
      <c r="J1163" s="50"/>
    </row>
    <row r="1164" outlineLevel="1" spans="1:10">
      <c r="A1164" s="50">
        <v>237</v>
      </c>
      <c r="B1164" s="51" t="str">
        <v>塑料带保护层</v>
      </c>
      <c r="C1164" s="51" t="e">
        <v>#REF!</v>
      </c>
      <c r="D1164" s="51" t="str">
        <v/>
      </c>
      <c r="E1164" s="51" t="str">
        <v/>
      </c>
      <c r="F1164" s="52" t="e">
        <v>#REF!</v>
      </c>
      <c r="G1164" s="48" t="e">
        <v>#REF!</v>
      </c>
      <c r="H1164" s="49">
        <v>1</v>
      </c>
      <c r="I1164" s="49" t="e">
        <v>#REF!</v>
      </c>
      <c r="J1164" s="50"/>
    </row>
    <row r="1165" outlineLevel="1" spans="1:10">
      <c r="A1165" s="50" t="str">
        <v/>
      </c>
      <c r="B1165" s="51" t="str">
        <v>B.07地上公区排水</v>
      </c>
      <c r="C1165" s="51" t="str">
        <v/>
      </c>
      <c r="D1165" s="51" t="str">
        <v/>
      </c>
      <c r="E1165" s="51" t="str">
        <v/>
      </c>
      <c r="F1165" s="52" t="str">
        <v/>
      </c>
      <c r="G1165" s="48" t="str">
        <v/>
      </c>
      <c r="H1165" s="49">
        <v>0</v>
      </c>
      <c r="I1165" s="49" t="e">
        <v>#REF!</v>
      </c>
      <c r="J1165" s="50"/>
    </row>
    <row r="1166" outlineLevel="1" spans="1:10">
      <c r="A1166" s="50" t="str">
        <v/>
      </c>
      <c r="B1166" s="51" t="str">
        <v>B.07.1排水管道</v>
      </c>
      <c r="C1166" s="51" t="str">
        <v/>
      </c>
      <c r="D1166" s="51" t="str">
        <v/>
      </c>
      <c r="E1166" s="51" t="str">
        <v/>
      </c>
      <c r="F1166" s="52" t="str">
        <v/>
      </c>
      <c r="G1166" s="48" t="str">
        <v/>
      </c>
      <c r="H1166" s="49">
        <v>0</v>
      </c>
      <c r="I1166" s="49" t="e">
        <v>#REF!</v>
      </c>
      <c r="J1166" s="50"/>
    </row>
    <row r="1167" ht="28.8" outlineLevel="1" spans="1:10">
      <c r="A1167" s="50">
        <v>238</v>
      </c>
      <c r="B1167" s="51" t="str">
        <v>室内排水塑料管-UPVC-De50</v>
      </c>
      <c r="C1167" s="51" t="e">
        <v>#REF!</v>
      </c>
      <c r="D1167" s="51" t="str">
        <v/>
      </c>
      <c r="E1167" s="51" t="str">
        <v/>
      </c>
      <c r="F1167" s="52" t="e">
        <v>#REF!</v>
      </c>
      <c r="G1167" s="48" t="e">
        <v>#REF!</v>
      </c>
      <c r="H1167" s="49">
        <v>20.5</v>
      </c>
      <c r="I1167" s="49" t="e">
        <v>#REF!</v>
      </c>
      <c r="J1167" s="50"/>
    </row>
    <row r="1168" ht="28.8" outlineLevel="1" spans="1:10">
      <c r="A1168" s="50">
        <v>239</v>
      </c>
      <c r="B1168" s="51" t="str">
        <v>室内排水塑料管-UPVC-De75</v>
      </c>
      <c r="C1168" s="51" t="e">
        <v>#REF!</v>
      </c>
      <c r="D1168" s="51" t="str">
        <v/>
      </c>
      <c r="E1168" s="51" t="str">
        <v/>
      </c>
      <c r="F1168" s="52" t="e">
        <v>#REF!</v>
      </c>
      <c r="G1168" s="48" t="e">
        <v>#REF!</v>
      </c>
      <c r="H1168" s="49">
        <v>5.5</v>
      </c>
      <c r="I1168" s="49" t="e">
        <v>#REF!</v>
      </c>
      <c r="J1168" s="50"/>
    </row>
    <row r="1169" ht="28.8" outlineLevel="1" spans="1:10">
      <c r="A1169" s="50">
        <v>240</v>
      </c>
      <c r="B1169" s="51" t="str">
        <v>室内排水塑料管-UPVC-De110</v>
      </c>
      <c r="C1169" s="51" t="e">
        <v>#REF!</v>
      </c>
      <c r="D1169" s="51" t="str">
        <v/>
      </c>
      <c r="E1169" s="51" t="str">
        <v/>
      </c>
      <c r="F1169" s="52" t="e">
        <v>#REF!</v>
      </c>
      <c r="G1169" s="48" t="e">
        <v>#REF!</v>
      </c>
      <c r="H1169" s="49">
        <v>44.3</v>
      </c>
      <c r="I1169" s="49" t="e">
        <v>#REF!</v>
      </c>
      <c r="J1169" s="50"/>
    </row>
    <row r="1170" ht="28.8" outlineLevel="1" spans="1:10">
      <c r="A1170" s="50">
        <v>241</v>
      </c>
      <c r="B1170" s="51" t="str">
        <v>室内排水塑料管-消音UPVC-De75</v>
      </c>
      <c r="C1170" s="51" t="e">
        <v>#REF!</v>
      </c>
      <c r="D1170" s="51" t="str">
        <v/>
      </c>
      <c r="E1170" s="51" t="str">
        <v/>
      </c>
      <c r="F1170" s="52" t="e">
        <v>#REF!</v>
      </c>
      <c r="G1170" s="48" t="e">
        <v>#REF!</v>
      </c>
      <c r="H1170" s="49">
        <v>0</v>
      </c>
      <c r="I1170" s="49" t="e">
        <v>#REF!</v>
      </c>
      <c r="J1170" s="50"/>
    </row>
    <row r="1171" ht="28.8" outlineLevel="1" spans="1:10">
      <c r="A1171" s="50">
        <v>242</v>
      </c>
      <c r="B1171" s="51" t="str">
        <v>室内排水塑料管-消音UPVC-De110</v>
      </c>
      <c r="C1171" s="51" t="e">
        <v>#REF!</v>
      </c>
      <c r="D1171" s="51" t="str">
        <v/>
      </c>
      <c r="E1171" s="51" t="str">
        <v/>
      </c>
      <c r="F1171" s="52" t="e">
        <v>#REF!</v>
      </c>
      <c r="G1171" s="48" t="e">
        <v>#REF!</v>
      </c>
      <c r="H1171" s="49">
        <v>0</v>
      </c>
      <c r="I1171" s="49" t="e">
        <v>#REF!</v>
      </c>
      <c r="J1171" s="50"/>
    </row>
    <row r="1172" ht="28.8" outlineLevel="1" spans="1:10">
      <c r="A1172" s="50">
        <v>243</v>
      </c>
      <c r="B1172" s="51" t="str">
        <v>室内冷凝水塑料管-UPVC-De75</v>
      </c>
      <c r="C1172" s="51" t="e">
        <v>#REF!</v>
      </c>
      <c r="D1172" s="51" t="str">
        <v/>
      </c>
      <c r="E1172" s="51" t="str">
        <v/>
      </c>
      <c r="F1172" s="52" t="e">
        <v>#REF!</v>
      </c>
      <c r="G1172" s="48" t="e">
        <v>#REF!</v>
      </c>
      <c r="H1172" s="49">
        <v>1</v>
      </c>
      <c r="I1172" s="49" t="e">
        <v>#REF!</v>
      </c>
      <c r="J1172" s="50"/>
    </row>
    <row r="1173" ht="28.8" outlineLevel="1" spans="1:10">
      <c r="A1173" s="50">
        <v>244</v>
      </c>
      <c r="B1173" s="51" t="str">
        <v>室内冷凝水塑料管-UPVC-De50</v>
      </c>
      <c r="C1173" s="51" t="e">
        <v>#REF!</v>
      </c>
      <c r="D1173" s="51" t="str">
        <v/>
      </c>
      <c r="E1173" s="51" t="str">
        <v/>
      </c>
      <c r="F1173" s="52" t="e">
        <v>#REF!</v>
      </c>
      <c r="G1173" s="48" t="e">
        <v>#REF!</v>
      </c>
      <c r="H1173" s="49">
        <v>7.6</v>
      </c>
      <c r="I1173" s="49" t="e">
        <v>#REF!</v>
      </c>
      <c r="J1173" s="50"/>
    </row>
    <row r="1174" outlineLevel="1" spans="1:10">
      <c r="A1174" s="50" t="str">
        <v/>
      </c>
      <c r="B1174" s="51" t="str">
        <v>B.07.1卫生器具</v>
      </c>
      <c r="C1174" s="51" t="str">
        <v/>
      </c>
      <c r="D1174" s="51" t="str">
        <v/>
      </c>
      <c r="E1174" s="51" t="str">
        <v/>
      </c>
      <c r="F1174" s="52" t="str">
        <v/>
      </c>
      <c r="G1174" s="48" t="str">
        <v/>
      </c>
      <c r="H1174" s="49">
        <v>0</v>
      </c>
      <c r="I1174" s="49" t="e">
        <v>#REF!</v>
      </c>
      <c r="J1174" s="50"/>
    </row>
    <row r="1175" outlineLevel="1" spans="1:10">
      <c r="A1175" s="50">
        <v>245</v>
      </c>
      <c r="B1175" s="51" t="str">
        <v>水龙头DN15</v>
      </c>
      <c r="C1175" s="51" t="e">
        <v>#REF!</v>
      </c>
      <c r="D1175" s="51" t="str">
        <v/>
      </c>
      <c r="E1175" s="51" t="str">
        <v/>
      </c>
      <c r="F1175" s="52" t="e">
        <v>#REF!</v>
      </c>
      <c r="G1175" s="48" t="e">
        <v>#REF!</v>
      </c>
      <c r="H1175" s="49">
        <v>1</v>
      </c>
      <c r="I1175" s="49" t="e">
        <v>#REF!</v>
      </c>
      <c r="J1175" s="50"/>
    </row>
    <row r="1176" outlineLevel="1" spans="1:10">
      <c r="A1176" s="50">
        <v>246</v>
      </c>
      <c r="B1176" s="51" t="str">
        <v>铸铁地漏-DN50</v>
      </c>
      <c r="C1176" s="51" t="e">
        <v>#REF!</v>
      </c>
      <c r="D1176" s="51" t="str">
        <v/>
      </c>
      <c r="E1176" s="51" t="str">
        <v/>
      </c>
      <c r="F1176" s="52" t="e">
        <v>#REF!</v>
      </c>
      <c r="G1176" s="48" t="e">
        <v>#REF!</v>
      </c>
      <c r="H1176" s="49">
        <v>5</v>
      </c>
      <c r="I1176" s="49" t="e">
        <v>#REF!</v>
      </c>
      <c r="J1176" s="50"/>
    </row>
    <row r="1177" outlineLevel="1" spans="1:10">
      <c r="A1177" s="50">
        <v>247</v>
      </c>
      <c r="B1177" s="51" t="str">
        <v>公区塑料地漏-De50</v>
      </c>
      <c r="C1177" s="51" t="e">
        <v>#REF!</v>
      </c>
      <c r="D1177" s="51" t="str">
        <v/>
      </c>
      <c r="E1177" s="51" t="str">
        <v/>
      </c>
      <c r="F1177" s="52" t="e">
        <v>#REF!</v>
      </c>
      <c r="G1177" s="48" t="e">
        <v>#REF!</v>
      </c>
      <c r="H1177" s="49">
        <v>0</v>
      </c>
      <c r="I1177" s="49" t="e">
        <v>#REF!</v>
      </c>
      <c r="J1177" s="50"/>
    </row>
    <row r="1178" outlineLevel="1" spans="1:10">
      <c r="A1178" s="50">
        <v>248</v>
      </c>
      <c r="B1178" s="51" t="str">
        <v>地漏-De110</v>
      </c>
      <c r="C1178" s="51" t="e">
        <v>#REF!</v>
      </c>
      <c r="D1178" s="51" t="str">
        <v/>
      </c>
      <c r="E1178" s="51" t="str">
        <v/>
      </c>
      <c r="F1178" s="52" t="e">
        <v>#REF!</v>
      </c>
      <c r="G1178" s="48" t="e">
        <v>#REF!</v>
      </c>
      <c r="H1178" s="49">
        <v>1</v>
      </c>
      <c r="I1178" s="49" t="e">
        <v>#REF!</v>
      </c>
      <c r="J1178" s="50"/>
    </row>
    <row r="1179" outlineLevel="1" spans="1:10">
      <c r="A1179" s="50">
        <v>249</v>
      </c>
      <c r="B1179" s="51" t="str">
        <v>清扫口-De110</v>
      </c>
      <c r="C1179" s="51" t="e">
        <v>#REF!</v>
      </c>
      <c r="D1179" s="51" t="str">
        <v/>
      </c>
      <c r="E1179" s="51" t="str">
        <v/>
      </c>
      <c r="F1179" s="52" t="e">
        <v>#REF!</v>
      </c>
      <c r="G1179" s="48" t="e">
        <v>#REF!</v>
      </c>
      <c r="H1179" s="49">
        <v>4</v>
      </c>
      <c r="I1179" s="49" t="e">
        <v>#REF!</v>
      </c>
      <c r="J1179" s="50"/>
    </row>
    <row r="1180" outlineLevel="1" spans="1:10">
      <c r="A1180" s="50">
        <v>250</v>
      </c>
      <c r="B1180" s="51" t="str">
        <v>雨水地漏-DN75</v>
      </c>
      <c r="C1180" s="51" t="e">
        <v>#REF!</v>
      </c>
      <c r="D1180" s="51" t="str">
        <v/>
      </c>
      <c r="E1180" s="51" t="str">
        <v/>
      </c>
      <c r="F1180" s="52" t="e">
        <v>#REF!</v>
      </c>
      <c r="G1180" s="48" t="e">
        <v>#REF!</v>
      </c>
      <c r="H1180" s="49">
        <v>0</v>
      </c>
      <c r="I1180" s="49" t="e">
        <v>#REF!</v>
      </c>
      <c r="J1180" s="50"/>
    </row>
    <row r="1181" outlineLevel="1" spans="1:10">
      <c r="A1181" s="50" t="str">
        <v/>
      </c>
      <c r="B1181" s="51" t="str">
        <v>B.08地上预留预埋</v>
      </c>
      <c r="C1181" s="51" t="str">
        <v/>
      </c>
      <c r="D1181" s="51" t="str">
        <v/>
      </c>
      <c r="E1181" s="51" t="str">
        <v/>
      </c>
      <c r="F1181" s="52" t="str">
        <v/>
      </c>
      <c r="G1181" s="48" t="str">
        <v/>
      </c>
      <c r="H1181" s="49">
        <v>0</v>
      </c>
      <c r="I1181" s="49" t="e">
        <v>#REF!</v>
      </c>
      <c r="J1181" s="50"/>
    </row>
    <row r="1182" outlineLevel="1" spans="1:10">
      <c r="A1182" s="50" t="str">
        <v/>
      </c>
      <c r="B1182" s="51" t="str">
        <v>B.08.1给排水预留预埋</v>
      </c>
      <c r="C1182" s="51" t="str">
        <v/>
      </c>
      <c r="D1182" s="51" t="str">
        <v/>
      </c>
      <c r="E1182" s="51" t="str">
        <v/>
      </c>
      <c r="F1182" s="52" t="str">
        <v/>
      </c>
      <c r="G1182" s="48" t="str">
        <v/>
      </c>
      <c r="H1182" s="49">
        <v>0</v>
      </c>
      <c r="I1182" s="49" t="e">
        <v>#REF!</v>
      </c>
      <c r="J1182" s="50"/>
    </row>
    <row r="1183" outlineLevel="1" spans="1:10">
      <c r="A1183" s="50">
        <v>251</v>
      </c>
      <c r="B1183" s="51" t="str">
        <v>空调套管DN80</v>
      </c>
      <c r="C1183" s="51" t="e">
        <v>#REF!</v>
      </c>
      <c r="D1183" s="51" t="str">
        <v/>
      </c>
      <c r="E1183" s="51" t="str">
        <v/>
      </c>
      <c r="F1183" s="52" t="e">
        <v>#REF!</v>
      </c>
      <c r="G1183" s="48" t="e">
        <v>#REF!</v>
      </c>
      <c r="H1183" s="49">
        <v>1</v>
      </c>
      <c r="I1183" s="49" t="e">
        <v>#REF!</v>
      </c>
      <c r="J1183" s="50"/>
    </row>
    <row r="1184" outlineLevel="1" spans="1:10">
      <c r="A1184" s="50">
        <v>252</v>
      </c>
      <c r="B1184" s="51" t="str">
        <v>燃气套管DN100</v>
      </c>
      <c r="C1184" s="51" t="e">
        <v>#REF!</v>
      </c>
      <c r="D1184" s="51" t="str">
        <v/>
      </c>
      <c r="E1184" s="51" t="str">
        <v/>
      </c>
      <c r="F1184" s="52" t="e">
        <v>#REF!</v>
      </c>
      <c r="G1184" s="48" t="e">
        <v>#REF!</v>
      </c>
      <c r="H1184" s="49">
        <v>1</v>
      </c>
      <c r="I1184" s="49" t="e">
        <v>#REF!</v>
      </c>
      <c r="J1184" s="50"/>
    </row>
    <row r="1185" outlineLevel="1" spans="1:10">
      <c r="A1185" s="50">
        <v>253</v>
      </c>
      <c r="B1185" s="51" t="str">
        <v>刚性防水套管-DN50</v>
      </c>
      <c r="C1185" s="51" t="e">
        <v>#REF!</v>
      </c>
      <c r="D1185" s="51" t="str">
        <v/>
      </c>
      <c r="E1185" s="51" t="str">
        <v/>
      </c>
      <c r="F1185" s="52" t="e">
        <v>#REF!</v>
      </c>
      <c r="G1185" s="48" t="e">
        <v>#REF!</v>
      </c>
      <c r="H1185" s="49">
        <v>0</v>
      </c>
      <c r="I1185" s="49" t="e">
        <v>#REF!</v>
      </c>
      <c r="J1185" s="50"/>
    </row>
    <row r="1186" outlineLevel="1" spans="1:10">
      <c r="A1186" s="50">
        <v>254</v>
      </c>
      <c r="B1186" s="51" t="str">
        <v>刚性防水套管-DN65</v>
      </c>
      <c r="C1186" s="51" t="e">
        <v>#REF!</v>
      </c>
      <c r="D1186" s="51" t="str">
        <v/>
      </c>
      <c r="E1186" s="51" t="str">
        <v/>
      </c>
      <c r="F1186" s="52" t="e">
        <v>#REF!</v>
      </c>
      <c r="G1186" s="48" t="e">
        <v>#REF!</v>
      </c>
      <c r="H1186" s="49">
        <v>0</v>
      </c>
      <c r="I1186" s="49" t="e">
        <v>#REF!</v>
      </c>
      <c r="J1186" s="50"/>
    </row>
    <row r="1187" outlineLevel="1" spans="1:10">
      <c r="A1187" s="50">
        <v>255</v>
      </c>
      <c r="B1187" s="51" t="str">
        <v>刚性防水套管-DN80</v>
      </c>
      <c r="C1187" s="51" t="e">
        <v>#REF!</v>
      </c>
      <c r="D1187" s="51" t="str">
        <v/>
      </c>
      <c r="E1187" s="51" t="str">
        <v/>
      </c>
      <c r="F1187" s="52" t="e">
        <v>#REF!</v>
      </c>
      <c r="G1187" s="48" t="e">
        <v>#REF!</v>
      </c>
      <c r="H1187" s="49">
        <v>0</v>
      </c>
      <c r="I1187" s="49" t="e">
        <v>#REF!</v>
      </c>
      <c r="J1187" s="50"/>
    </row>
    <row r="1188" outlineLevel="1" spans="1:10">
      <c r="A1188" s="50">
        <v>256</v>
      </c>
      <c r="B1188" s="51" t="str">
        <v>刚性防水套管-De110</v>
      </c>
      <c r="C1188" s="51" t="e">
        <v>#REF!</v>
      </c>
      <c r="D1188" s="51" t="str">
        <v/>
      </c>
      <c r="E1188" s="51" t="str">
        <v/>
      </c>
      <c r="F1188" s="52" t="e">
        <v>#REF!</v>
      </c>
      <c r="G1188" s="48" t="e">
        <v>#REF!</v>
      </c>
      <c r="H1188" s="49">
        <v>1</v>
      </c>
      <c r="I1188" s="49" t="e">
        <v>#REF!</v>
      </c>
      <c r="J1188" s="50"/>
    </row>
    <row r="1189" outlineLevel="1" spans="1:10">
      <c r="A1189" s="50" t="str">
        <v/>
      </c>
      <c r="B1189" s="51" t="str">
        <v>B.08.1消防预留预埋</v>
      </c>
      <c r="C1189" s="51" t="str">
        <v/>
      </c>
      <c r="D1189" s="51" t="str">
        <v/>
      </c>
      <c r="E1189" s="51" t="str">
        <v/>
      </c>
      <c r="F1189" s="52" t="str">
        <v/>
      </c>
      <c r="G1189" s="48" t="str">
        <v/>
      </c>
      <c r="H1189" s="49">
        <v>0</v>
      </c>
      <c r="I1189" s="49" t="e">
        <v>#REF!</v>
      </c>
      <c r="J1189" s="50"/>
    </row>
    <row r="1190" outlineLevel="1" spans="1:10">
      <c r="A1190" s="50">
        <v>257</v>
      </c>
      <c r="B1190" s="51" t="str">
        <v>消防钢套管-DN65</v>
      </c>
      <c r="C1190" s="51" t="e">
        <v>#REF!</v>
      </c>
      <c r="D1190" s="51" t="str">
        <v/>
      </c>
      <c r="E1190" s="51" t="str">
        <v/>
      </c>
      <c r="F1190" s="52" t="e">
        <v>#REF!</v>
      </c>
      <c r="G1190" s="48" t="e">
        <v>#REF!</v>
      </c>
      <c r="H1190" s="49">
        <v>0</v>
      </c>
      <c r="I1190" s="49" t="e">
        <v>#REF!</v>
      </c>
      <c r="J1190" s="50"/>
    </row>
    <row r="1191" outlineLevel="1" spans="1:10">
      <c r="A1191" s="50">
        <v>258</v>
      </c>
      <c r="B1191" s="51" t="str">
        <v>消防钢套管-DN100</v>
      </c>
      <c r="C1191" s="51" t="e">
        <v>#REF!</v>
      </c>
      <c r="D1191" s="51" t="str">
        <v/>
      </c>
      <c r="E1191" s="51" t="str">
        <v/>
      </c>
      <c r="F1191" s="52" t="e">
        <v>#REF!</v>
      </c>
      <c r="G1191" s="48" t="e">
        <v>#REF!</v>
      </c>
      <c r="H1191" s="49">
        <v>1</v>
      </c>
      <c r="I1191" s="49" t="e">
        <v>#REF!</v>
      </c>
      <c r="J1191" s="50"/>
    </row>
    <row r="1192" outlineLevel="1" spans="1:10">
      <c r="A1192" s="50">
        <v>259</v>
      </c>
      <c r="B1192" s="51" t="str">
        <v>刚性防水套管-DN100</v>
      </c>
      <c r="C1192" s="51" t="e">
        <v>#REF!</v>
      </c>
      <c r="D1192" s="51" t="str">
        <v/>
      </c>
      <c r="E1192" s="51" t="str">
        <v/>
      </c>
      <c r="F1192" s="52" t="e">
        <v>#REF!</v>
      </c>
      <c r="G1192" s="48" t="e">
        <v>#REF!</v>
      </c>
      <c r="H1192" s="49">
        <v>1</v>
      </c>
      <c r="I1192" s="49" t="e">
        <v>#REF!</v>
      </c>
      <c r="J1192" s="50"/>
    </row>
    <row r="1193" outlineLevel="1" spans="1:10">
      <c r="A1193" s="50" t="str">
        <v/>
      </c>
      <c r="B1193" s="51" t="str">
        <v>地下采暖</v>
      </c>
      <c r="C1193" s="51" t="str">
        <v/>
      </c>
      <c r="D1193" s="51" t="str">
        <v/>
      </c>
      <c r="E1193" s="51" t="str">
        <v/>
      </c>
      <c r="F1193" s="52" t="str">
        <v/>
      </c>
      <c r="G1193" s="48" t="str">
        <v/>
      </c>
      <c r="H1193" s="49">
        <v>0</v>
      </c>
      <c r="I1193" s="49" t="e">
        <v>#REF!</v>
      </c>
      <c r="J1193" s="50"/>
    </row>
    <row r="1194" outlineLevel="1" spans="1:10">
      <c r="A1194" s="50" t="str">
        <v/>
      </c>
      <c r="B1194" s="51" t="str">
        <v>B.09采暖入口装置</v>
      </c>
      <c r="C1194" s="51" t="str">
        <v/>
      </c>
      <c r="D1194" s="51" t="str">
        <v/>
      </c>
      <c r="E1194" s="51" t="str">
        <v/>
      </c>
      <c r="F1194" s="52" t="str">
        <v/>
      </c>
      <c r="G1194" s="48" t="str">
        <v/>
      </c>
      <c r="H1194" s="49">
        <v>0</v>
      </c>
      <c r="I1194" s="49" t="e">
        <v>#REF!</v>
      </c>
      <c r="J1194" s="50"/>
    </row>
    <row r="1195" outlineLevel="1" spans="1:10">
      <c r="A1195" s="50">
        <v>260</v>
      </c>
      <c r="B1195" s="51" t="str">
        <v>采暖入口装置-DN25</v>
      </c>
      <c r="C1195" s="51" t="e">
        <v>#REF!</v>
      </c>
      <c r="D1195" s="51" t="str">
        <v/>
      </c>
      <c r="E1195" s="51" t="str">
        <v/>
      </c>
      <c r="F1195" s="52" t="e">
        <v>#REF!</v>
      </c>
      <c r="G1195" s="48" t="e">
        <v>#REF!</v>
      </c>
      <c r="H1195" s="49">
        <v>0</v>
      </c>
      <c r="I1195" s="49" t="e">
        <v>#REF!</v>
      </c>
      <c r="J1195" s="50"/>
    </row>
    <row r="1196" outlineLevel="1" spans="1:10">
      <c r="A1196" s="50">
        <v>261</v>
      </c>
      <c r="B1196" s="51" t="str">
        <v>采暖入口装置-DN32</v>
      </c>
      <c r="C1196" s="51" t="e">
        <v>#REF!</v>
      </c>
      <c r="D1196" s="51" t="str">
        <v/>
      </c>
      <c r="E1196" s="51" t="str">
        <v/>
      </c>
      <c r="F1196" s="52" t="e">
        <v>#REF!</v>
      </c>
      <c r="G1196" s="48" t="e">
        <v>#REF!</v>
      </c>
      <c r="H1196" s="49">
        <v>0</v>
      </c>
      <c r="I1196" s="49" t="e">
        <v>#REF!</v>
      </c>
      <c r="J1196" s="50"/>
    </row>
    <row r="1197" outlineLevel="1" spans="1:10">
      <c r="A1197" s="50">
        <v>262</v>
      </c>
      <c r="B1197" s="51" t="str">
        <v>采暖入口装置-DN40</v>
      </c>
      <c r="C1197" s="51" t="e">
        <v>#REF!</v>
      </c>
      <c r="D1197" s="51" t="str">
        <v/>
      </c>
      <c r="E1197" s="51" t="str">
        <v/>
      </c>
      <c r="F1197" s="52" t="e">
        <v>#REF!</v>
      </c>
      <c r="G1197" s="48" t="e">
        <v>#REF!</v>
      </c>
      <c r="H1197" s="49">
        <v>0</v>
      </c>
      <c r="I1197" s="49" t="e">
        <v>#REF!</v>
      </c>
      <c r="J1197" s="50"/>
    </row>
    <row r="1198" outlineLevel="1" spans="1:10">
      <c r="A1198" s="50">
        <v>263</v>
      </c>
      <c r="B1198" s="51" t="str">
        <v>采暖入口装置-DN50</v>
      </c>
      <c r="C1198" s="51" t="e">
        <v>#REF!</v>
      </c>
      <c r="D1198" s="51" t="str">
        <v/>
      </c>
      <c r="E1198" s="51" t="str">
        <v/>
      </c>
      <c r="F1198" s="52" t="e">
        <v>#REF!</v>
      </c>
      <c r="G1198" s="48" t="e">
        <v>#REF!</v>
      </c>
      <c r="H1198" s="49">
        <v>0</v>
      </c>
      <c r="I1198" s="49" t="e">
        <v>#REF!</v>
      </c>
      <c r="J1198" s="50"/>
    </row>
    <row r="1199" outlineLevel="1" spans="1:10">
      <c r="A1199" s="50">
        <v>264</v>
      </c>
      <c r="B1199" s="51" t="str">
        <v>采暖入口装置-DN65</v>
      </c>
      <c r="C1199" s="51" t="e">
        <v>#REF!</v>
      </c>
      <c r="D1199" s="51" t="str">
        <v/>
      </c>
      <c r="E1199" s="51" t="str">
        <v/>
      </c>
      <c r="F1199" s="52" t="e">
        <v>#REF!</v>
      </c>
      <c r="G1199" s="48" t="e">
        <v>#REF!</v>
      </c>
      <c r="H1199" s="49">
        <v>0</v>
      </c>
      <c r="I1199" s="49" t="e">
        <v>#REF!</v>
      </c>
      <c r="J1199" s="50"/>
    </row>
    <row r="1200" outlineLevel="1" spans="1:10">
      <c r="A1200" s="50">
        <v>265</v>
      </c>
      <c r="B1200" s="51" t="str">
        <v>采暖入口装置-DN80</v>
      </c>
      <c r="C1200" s="51" t="e">
        <v>#REF!</v>
      </c>
      <c r="D1200" s="51" t="str">
        <v/>
      </c>
      <c r="E1200" s="51" t="str">
        <v/>
      </c>
      <c r="F1200" s="52" t="e">
        <v>#REF!</v>
      </c>
      <c r="G1200" s="48" t="e">
        <v>#REF!</v>
      </c>
      <c r="H1200" s="49">
        <v>0</v>
      </c>
      <c r="I1200" s="49" t="e">
        <v>#REF!</v>
      </c>
      <c r="J1200" s="50"/>
    </row>
    <row r="1201" outlineLevel="1" spans="1:10">
      <c r="A1201" s="50">
        <v>266</v>
      </c>
      <c r="B1201" s="51" t="str">
        <v>采暖入口装置-DN100</v>
      </c>
      <c r="C1201" s="51" t="e">
        <v>#REF!</v>
      </c>
      <c r="D1201" s="51" t="str">
        <v/>
      </c>
      <c r="E1201" s="51" t="str">
        <v/>
      </c>
      <c r="F1201" s="52" t="e">
        <v>#REF!</v>
      </c>
      <c r="G1201" s="48" t="e">
        <v>#REF!</v>
      </c>
      <c r="H1201" s="49">
        <v>0</v>
      </c>
      <c r="I1201" s="49" t="e">
        <v>#REF!</v>
      </c>
      <c r="J1201" s="50"/>
    </row>
    <row r="1202" outlineLevel="1" spans="1:10">
      <c r="A1202" s="50" t="str">
        <v/>
      </c>
      <c r="B1202" s="51" t="str">
        <v>B.10采暖管道</v>
      </c>
      <c r="C1202" s="51" t="str">
        <v/>
      </c>
      <c r="D1202" s="51" t="str">
        <v/>
      </c>
      <c r="E1202" s="51" t="str">
        <v/>
      </c>
      <c r="F1202" s="52" t="str">
        <v/>
      </c>
      <c r="G1202" s="48" t="str">
        <v/>
      </c>
      <c r="H1202" s="49">
        <v>0</v>
      </c>
      <c r="I1202" s="49" t="e">
        <v>#REF!</v>
      </c>
      <c r="J1202" s="50"/>
    </row>
    <row r="1203" outlineLevel="1" spans="1:10">
      <c r="A1203" s="50">
        <v>267</v>
      </c>
      <c r="B1203" s="51" t="str">
        <v>室内供暖镀锌钢管-DN15</v>
      </c>
      <c r="C1203" s="51" t="e">
        <v>#REF!</v>
      </c>
      <c r="D1203" s="51" t="str">
        <v/>
      </c>
      <c r="E1203" s="51" t="str">
        <v/>
      </c>
      <c r="F1203" s="52" t="e">
        <v>#REF!</v>
      </c>
      <c r="G1203" s="48" t="e">
        <v>#REF!</v>
      </c>
      <c r="H1203" s="49">
        <v>0</v>
      </c>
      <c r="I1203" s="49" t="e">
        <v>#REF!</v>
      </c>
      <c r="J1203" s="50"/>
    </row>
    <row r="1204" outlineLevel="1" spans="1:10">
      <c r="A1204" s="50">
        <v>268</v>
      </c>
      <c r="B1204" s="51" t="str">
        <v>室内供暖镀锌钢管-DN20</v>
      </c>
      <c r="C1204" s="51" t="e">
        <v>#REF!</v>
      </c>
      <c r="D1204" s="51" t="str">
        <v/>
      </c>
      <c r="E1204" s="51" t="str">
        <v/>
      </c>
      <c r="F1204" s="52" t="e">
        <v>#REF!</v>
      </c>
      <c r="G1204" s="48" t="e">
        <v>#REF!</v>
      </c>
      <c r="H1204" s="49">
        <v>0</v>
      </c>
      <c r="I1204" s="49" t="e">
        <v>#REF!</v>
      </c>
      <c r="J1204" s="50"/>
    </row>
    <row r="1205" outlineLevel="1" spans="1:10">
      <c r="A1205" s="50">
        <v>269</v>
      </c>
      <c r="B1205" s="51" t="str">
        <v>室内供暖镀锌钢管-DN25</v>
      </c>
      <c r="C1205" s="51" t="e">
        <v>#REF!</v>
      </c>
      <c r="D1205" s="51" t="str">
        <v/>
      </c>
      <c r="E1205" s="51" t="str">
        <v/>
      </c>
      <c r="F1205" s="52" t="e">
        <v>#REF!</v>
      </c>
      <c r="G1205" s="48" t="e">
        <v>#REF!</v>
      </c>
      <c r="H1205" s="49">
        <v>0</v>
      </c>
      <c r="I1205" s="49" t="e">
        <v>#REF!</v>
      </c>
      <c r="J1205" s="50"/>
    </row>
    <row r="1206" outlineLevel="1" spans="1:10">
      <c r="A1206" s="50">
        <v>270</v>
      </c>
      <c r="B1206" s="51" t="str">
        <v>室内供暖镀锌钢管-DN32</v>
      </c>
      <c r="C1206" s="51" t="e">
        <v>#REF!</v>
      </c>
      <c r="D1206" s="51" t="str">
        <v/>
      </c>
      <c r="E1206" s="51" t="str">
        <v/>
      </c>
      <c r="F1206" s="52" t="e">
        <v>#REF!</v>
      </c>
      <c r="G1206" s="48" t="e">
        <v>#REF!</v>
      </c>
      <c r="H1206" s="49">
        <v>0</v>
      </c>
      <c r="I1206" s="49" t="e">
        <v>#REF!</v>
      </c>
      <c r="J1206" s="50"/>
    </row>
    <row r="1207" outlineLevel="1" spans="1:10">
      <c r="A1207" s="50">
        <v>271</v>
      </c>
      <c r="B1207" s="51" t="str">
        <v>室内供暖镀锌钢管-DN40</v>
      </c>
      <c r="C1207" s="51" t="e">
        <v>#REF!</v>
      </c>
      <c r="D1207" s="51" t="str">
        <v/>
      </c>
      <c r="E1207" s="51" t="str">
        <v/>
      </c>
      <c r="F1207" s="52" t="e">
        <v>#REF!</v>
      </c>
      <c r="G1207" s="48" t="e">
        <v>#REF!</v>
      </c>
      <c r="H1207" s="49">
        <v>0</v>
      </c>
      <c r="I1207" s="49" t="e">
        <v>#REF!</v>
      </c>
      <c r="J1207" s="50"/>
    </row>
    <row r="1208" outlineLevel="1" spans="1:10">
      <c r="A1208" s="50">
        <v>272</v>
      </c>
      <c r="B1208" s="51" t="str">
        <v>室内供暖镀锌钢管-DN50</v>
      </c>
      <c r="C1208" s="51" t="e">
        <v>#REF!</v>
      </c>
      <c r="D1208" s="51" t="str">
        <v/>
      </c>
      <c r="E1208" s="51" t="str">
        <v/>
      </c>
      <c r="F1208" s="52" t="e">
        <v>#REF!</v>
      </c>
      <c r="G1208" s="48" t="e">
        <v>#REF!</v>
      </c>
      <c r="H1208" s="49">
        <v>0</v>
      </c>
      <c r="I1208" s="49" t="e">
        <v>#REF!</v>
      </c>
      <c r="J1208" s="50"/>
    </row>
    <row r="1209" outlineLevel="1" spans="1:10">
      <c r="A1209" s="50">
        <v>273</v>
      </c>
      <c r="B1209" s="51" t="str">
        <v>室内供暖镀锌钢管-DN65</v>
      </c>
      <c r="C1209" s="51" t="e">
        <v>#REF!</v>
      </c>
      <c r="D1209" s="51" t="str">
        <v/>
      </c>
      <c r="E1209" s="51" t="str">
        <v/>
      </c>
      <c r="F1209" s="52" t="e">
        <v>#REF!</v>
      </c>
      <c r="G1209" s="48" t="e">
        <v>#REF!</v>
      </c>
      <c r="H1209" s="49">
        <v>0</v>
      </c>
      <c r="I1209" s="49" t="e">
        <v>#REF!</v>
      </c>
      <c r="J1209" s="50"/>
    </row>
    <row r="1210" outlineLevel="1" spans="1:10">
      <c r="A1210" s="50">
        <v>274</v>
      </c>
      <c r="B1210" s="51" t="str">
        <v>室内供暖镀锌钢管-DN80</v>
      </c>
      <c r="C1210" s="51" t="e">
        <v>#REF!</v>
      </c>
      <c r="D1210" s="51" t="str">
        <v/>
      </c>
      <c r="E1210" s="51" t="str">
        <v/>
      </c>
      <c r="F1210" s="52" t="e">
        <v>#REF!</v>
      </c>
      <c r="G1210" s="48" t="e">
        <v>#REF!</v>
      </c>
      <c r="H1210" s="49">
        <v>0</v>
      </c>
      <c r="I1210" s="49" t="e">
        <v>#REF!</v>
      </c>
      <c r="J1210" s="50"/>
    </row>
    <row r="1211" ht="28.8" outlineLevel="1" spans="1:10">
      <c r="A1211" s="50">
        <v>275</v>
      </c>
      <c r="B1211" s="51" t="str">
        <v>室内供暖无缝镀锌钢管-DN100</v>
      </c>
      <c r="C1211" s="51" t="e">
        <v>#REF!</v>
      </c>
      <c r="D1211" s="51" t="str">
        <v/>
      </c>
      <c r="E1211" s="51" t="str">
        <v/>
      </c>
      <c r="F1211" s="52" t="e">
        <v>#REF!</v>
      </c>
      <c r="G1211" s="48" t="e">
        <v>#REF!</v>
      </c>
      <c r="H1211" s="49">
        <v>0</v>
      </c>
      <c r="I1211" s="49" t="e">
        <v>#REF!</v>
      </c>
      <c r="J1211" s="50"/>
    </row>
    <row r="1212" ht="28.8" outlineLevel="1" spans="1:10">
      <c r="A1212" s="50">
        <v>276</v>
      </c>
      <c r="B1212" s="51" t="str">
        <v>室内供暖无缝镀锌钢管-DN125</v>
      </c>
      <c r="C1212" s="51" t="e">
        <v>#REF!</v>
      </c>
      <c r="D1212" s="51" t="str">
        <v/>
      </c>
      <c r="E1212" s="51" t="str">
        <v/>
      </c>
      <c r="F1212" s="52" t="e">
        <v>#REF!</v>
      </c>
      <c r="G1212" s="48" t="e">
        <v>#REF!</v>
      </c>
      <c r="H1212" s="49">
        <v>0</v>
      </c>
      <c r="I1212" s="49" t="e">
        <v>#REF!</v>
      </c>
      <c r="J1212" s="50"/>
    </row>
    <row r="1213" ht="28.8" outlineLevel="1" spans="1:10">
      <c r="A1213" s="50">
        <v>277</v>
      </c>
      <c r="B1213" s="51" t="str">
        <v>室内供暖无缝镀锌钢管-DN150</v>
      </c>
      <c r="C1213" s="51" t="e">
        <v>#REF!</v>
      </c>
      <c r="D1213" s="51" t="str">
        <v/>
      </c>
      <c r="E1213" s="51" t="str">
        <v/>
      </c>
      <c r="F1213" s="52" t="e">
        <v>#REF!</v>
      </c>
      <c r="G1213" s="48" t="e">
        <v>#REF!</v>
      </c>
      <c r="H1213" s="49">
        <v>0</v>
      </c>
      <c r="I1213" s="49" t="e">
        <v>#REF!</v>
      </c>
      <c r="J1213" s="50"/>
    </row>
    <row r="1214" ht="28.8" outlineLevel="1" spans="1:10">
      <c r="A1214" s="50">
        <v>278</v>
      </c>
      <c r="B1214" s="51" t="str">
        <v>室内供暖无缝镀锌钢管-DN200</v>
      </c>
      <c r="C1214" s="51" t="e">
        <v>#REF!</v>
      </c>
      <c r="D1214" s="51" t="str">
        <v/>
      </c>
      <c r="E1214" s="51" t="str">
        <v/>
      </c>
      <c r="F1214" s="52" t="e">
        <v>#REF!</v>
      </c>
      <c r="G1214" s="48" t="e">
        <v>#REF!</v>
      </c>
      <c r="H1214" s="49">
        <v>0</v>
      </c>
      <c r="I1214" s="49" t="e">
        <v>#REF!</v>
      </c>
      <c r="J1214" s="50"/>
    </row>
    <row r="1215" ht="28.8" outlineLevel="1" spans="1:10">
      <c r="A1215" s="50">
        <v>279</v>
      </c>
      <c r="B1215" s="51" t="str">
        <v>室内供暖无缝镀锌钢管-DN250</v>
      </c>
      <c r="C1215" s="51" t="e">
        <v>#REF!</v>
      </c>
      <c r="D1215" s="51" t="str">
        <v/>
      </c>
      <c r="E1215" s="51" t="str">
        <v/>
      </c>
      <c r="F1215" s="52" t="e">
        <v>#REF!</v>
      </c>
      <c r="G1215" s="48" t="e">
        <v>#REF!</v>
      </c>
      <c r="H1215" s="49">
        <v>0</v>
      </c>
      <c r="I1215" s="49" t="e">
        <v>#REF!</v>
      </c>
      <c r="J1215" s="50"/>
    </row>
    <row r="1216" outlineLevel="1" spans="1:10">
      <c r="A1216" s="50" t="str">
        <v/>
      </c>
      <c r="B1216" s="51" t="str">
        <v>B.11采暖套管及阀部件</v>
      </c>
      <c r="C1216" s="51" t="str">
        <v/>
      </c>
      <c r="D1216" s="51" t="str">
        <v/>
      </c>
      <c r="E1216" s="51" t="str">
        <v/>
      </c>
      <c r="F1216" s="52" t="str">
        <v/>
      </c>
      <c r="G1216" s="48" t="str">
        <v/>
      </c>
      <c r="H1216" s="49">
        <v>0</v>
      </c>
      <c r="I1216" s="49" t="e">
        <v>#REF!</v>
      </c>
      <c r="J1216" s="50"/>
    </row>
    <row r="1217" outlineLevel="1" spans="1:10">
      <c r="A1217" s="50">
        <v>280</v>
      </c>
      <c r="B1217" s="51" t="str">
        <v>刚性防水套管-DN50</v>
      </c>
      <c r="C1217" s="51" t="e">
        <v>#REF!</v>
      </c>
      <c r="D1217" s="51" t="str">
        <v/>
      </c>
      <c r="E1217" s="51" t="str">
        <v/>
      </c>
      <c r="F1217" s="52" t="e">
        <v>#REF!</v>
      </c>
      <c r="G1217" s="48" t="e">
        <v>#REF!</v>
      </c>
      <c r="H1217" s="49">
        <v>0</v>
      </c>
      <c r="I1217" s="49" t="e">
        <v>#REF!</v>
      </c>
      <c r="J1217" s="50"/>
    </row>
    <row r="1218" outlineLevel="1" spans="1:10">
      <c r="A1218" s="50">
        <v>281</v>
      </c>
      <c r="B1218" s="51" t="str">
        <v>刚性防水套管-DN65</v>
      </c>
      <c r="C1218" s="51" t="e">
        <v>#REF!</v>
      </c>
      <c r="D1218" s="51" t="str">
        <v/>
      </c>
      <c r="E1218" s="51" t="str">
        <v/>
      </c>
      <c r="F1218" s="52" t="e">
        <v>#REF!</v>
      </c>
      <c r="G1218" s="48" t="e">
        <v>#REF!</v>
      </c>
      <c r="H1218" s="49">
        <v>0</v>
      </c>
      <c r="I1218" s="49" t="e">
        <v>#REF!</v>
      </c>
      <c r="J1218" s="50"/>
    </row>
    <row r="1219" outlineLevel="1" spans="1:10">
      <c r="A1219" s="50">
        <v>282</v>
      </c>
      <c r="B1219" s="51" t="str">
        <v>刚性防水套管-DN80</v>
      </c>
      <c r="C1219" s="51" t="e">
        <v>#REF!</v>
      </c>
      <c r="D1219" s="51" t="str">
        <v/>
      </c>
      <c r="E1219" s="51" t="str">
        <v/>
      </c>
      <c r="F1219" s="52" t="e">
        <v>#REF!</v>
      </c>
      <c r="G1219" s="48" t="e">
        <v>#REF!</v>
      </c>
      <c r="H1219" s="49">
        <v>0</v>
      </c>
      <c r="I1219" s="49" t="e">
        <v>#REF!</v>
      </c>
      <c r="J1219" s="50"/>
    </row>
    <row r="1220" outlineLevel="1" spans="1:10">
      <c r="A1220" s="50">
        <v>283</v>
      </c>
      <c r="B1220" s="51" t="str">
        <v>刚性防水套管-DN150</v>
      </c>
      <c r="C1220" s="51" t="e">
        <v>#REF!</v>
      </c>
      <c r="D1220" s="51" t="str">
        <v/>
      </c>
      <c r="E1220" s="51" t="str">
        <v/>
      </c>
      <c r="F1220" s="52" t="e">
        <v>#REF!</v>
      </c>
      <c r="G1220" s="48" t="e">
        <v>#REF!</v>
      </c>
      <c r="H1220" s="49">
        <v>0</v>
      </c>
      <c r="I1220" s="49" t="e">
        <v>#REF!</v>
      </c>
      <c r="J1220" s="50"/>
    </row>
    <row r="1221" outlineLevel="1" spans="1:10">
      <c r="A1221" s="50">
        <v>284</v>
      </c>
      <c r="B1221" s="51" t="str">
        <v>刚性防水套管-DN125</v>
      </c>
      <c r="C1221" s="51" t="e">
        <v>#REF!</v>
      </c>
      <c r="D1221" s="51" t="str">
        <v/>
      </c>
      <c r="E1221" s="51" t="str">
        <v/>
      </c>
      <c r="F1221" s="52" t="e">
        <v>#REF!</v>
      </c>
      <c r="G1221" s="48" t="e">
        <v>#REF!</v>
      </c>
      <c r="H1221" s="49">
        <v>0</v>
      </c>
      <c r="I1221" s="49" t="e">
        <v>#REF!</v>
      </c>
      <c r="J1221" s="50"/>
    </row>
    <row r="1222" outlineLevel="1" spans="1:10">
      <c r="A1222" s="50">
        <v>285</v>
      </c>
      <c r="B1222" s="51" t="str">
        <v>刚性防水套管-DN100</v>
      </c>
      <c r="C1222" s="51" t="e">
        <v>#REF!</v>
      </c>
      <c r="D1222" s="51" t="str">
        <v/>
      </c>
      <c r="E1222" s="51" t="str">
        <v/>
      </c>
      <c r="F1222" s="52" t="e">
        <v>#REF!</v>
      </c>
      <c r="G1222" s="48" t="e">
        <v>#REF!</v>
      </c>
      <c r="H1222" s="49">
        <v>0</v>
      </c>
      <c r="I1222" s="49" t="e">
        <v>#REF!</v>
      </c>
      <c r="J1222" s="50"/>
    </row>
    <row r="1223" outlineLevel="1" spans="1:10">
      <c r="A1223" s="50">
        <v>286</v>
      </c>
      <c r="B1223" s="51" t="str">
        <v>刚性防水套管-DN300</v>
      </c>
      <c r="C1223" s="51" t="e">
        <v>#REF!</v>
      </c>
      <c r="D1223" s="51" t="str">
        <v/>
      </c>
      <c r="E1223" s="51" t="str">
        <v/>
      </c>
      <c r="F1223" s="52" t="e">
        <v>#REF!</v>
      </c>
      <c r="G1223" s="48" t="e">
        <v>#REF!</v>
      </c>
      <c r="H1223" s="49">
        <v>0</v>
      </c>
      <c r="I1223" s="49" t="e">
        <v>#REF!</v>
      </c>
      <c r="J1223" s="50"/>
    </row>
    <row r="1224" outlineLevel="1" spans="1:10">
      <c r="A1224" s="50">
        <v>287</v>
      </c>
      <c r="B1224" s="51" t="str">
        <v>刚性防水套管-DN250</v>
      </c>
      <c r="C1224" s="51" t="e">
        <v>#REF!</v>
      </c>
      <c r="D1224" s="51" t="str">
        <v/>
      </c>
      <c r="E1224" s="51" t="str">
        <v/>
      </c>
      <c r="F1224" s="52" t="e">
        <v>#REF!</v>
      </c>
      <c r="G1224" s="48" t="e">
        <v>#REF!</v>
      </c>
      <c r="H1224" s="49">
        <v>0</v>
      </c>
      <c r="I1224" s="49" t="e">
        <v>#REF!</v>
      </c>
      <c r="J1224" s="50"/>
    </row>
    <row r="1225" outlineLevel="1" spans="1:10">
      <c r="A1225" s="50">
        <v>288</v>
      </c>
      <c r="B1225" s="51" t="str">
        <v>人防通风密闭套管-D250</v>
      </c>
      <c r="C1225" s="51" t="e">
        <v>#REF!</v>
      </c>
      <c r="D1225" s="51" t="str">
        <v/>
      </c>
      <c r="E1225" s="51" t="str">
        <v/>
      </c>
      <c r="F1225" s="52" t="e">
        <v>#REF!</v>
      </c>
      <c r="G1225" s="48" t="e">
        <v>#REF!</v>
      </c>
      <c r="H1225" s="49">
        <v>0</v>
      </c>
      <c r="I1225" s="49" t="e">
        <v>#REF!</v>
      </c>
      <c r="J1225" s="50"/>
    </row>
    <row r="1226" outlineLevel="1" spans="1:10">
      <c r="A1226" s="50">
        <v>289</v>
      </c>
      <c r="B1226" s="51" t="str">
        <v>人防通风密闭套管-D310</v>
      </c>
      <c r="C1226" s="51" t="e">
        <v>#REF!</v>
      </c>
      <c r="D1226" s="51" t="str">
        <v/>
      </c>
      <c r="E1226" s="51" t="str">
        <v/>
      </c>
      <c r="F1226" s="52" t="e">
        <v>#REF!</v>
      </c>
      <c r="G1226" s="48" t="e">
        <v>#REF!</v>
      </c>
      <c r="H1226" s="49">
        <v>0</v>
      </c>
      <c r="I1226" s="49" t="e">
        <v>#REF!</v>
      </c>
      <c r="J1226" s="50"/>
    </row>
    <row r="1227" outlineLevel="1" spans="1:10">
      <c r="A1227" s="50">
        <v>290</v>
      </c>
      <c r="B1227" s="51" t="str">
        <v>人防通风密闭套管-D450</v>
      </c>
      <c r="C1227" s="51" t="e">
        <v>#REF!</v>
      </c>
      <c r="D1227" s="51" t="str">
        <v/>
      </c>
      <c r="E1227" s="51" t="str">
        <v/>
      </c>
      <c r="F1227" s="52" t="e">
        <v>#REF!</v>
      </c>
      <c r="G1227" s="48" t="e">
        <v>#REF!</v>
      </c>
      <c r="H1227" s="49">
        <v>0</v>
      </c>
      <c r="I1227" s="49" t="e">
        <v>#REF!</v>
      </c>
      <c r="J1227" s="50"/>
    </row>
    <row r="1228" outlineLevel="1" spans="1:10">
      <c r="A1228" s="50">
        <v>291</v>
      </c>
      <c r="B1228" s="51" t="str">
        <v>人防通风密闭套管-D570</v>
      </c>
      <c r="C1228" s="51" t="e">
        <v>#REF!</v>
      </c>
      <c r="D1228" s="51" t="str">
        <v/>
      </c>
      <c r="E1228" s="51" t="str">
        <v/>
      </c>
      <c r="F1228" s="52" t="e">
        <v>#REF!</v>
      </c>
      <c r="G1228" s="48" t="e">
        <v>#REF!</v>
      </c>
      <c r="H1228" s="49">
        <v>0</v>
      </c>
      <c r="I1228" s="49" t="e">
        <v>#REF!</v>
      </c>
      <c r="J1228" s="50"/>
    </row>
    <row r="1229" outlineLevel="1" spans="1:10">
      <c r="A1229" s="50">
        <v>292</v>
      </c>
      <c r="B1229" s="51" t="str">
        <v>人防通风密闭套管-D680</v>
      </c>
      <c r="C1229" s="51" t="e">
        <v>#REF!</v>
      </c>
      <c r="D1229" s="51" t="str">
        <v/>
      </c>
      <c r="E1229" s="51" t="str">
        <v/>
      </c>
      <c r="F1229" s="52" t="e">
        <v>#REF!</v>
      </c>
      <c r="G1229" s="48" t="e">
        <v>#REF!</v>
      </c>
      <c r="H1229" s="49">
        <v>0</v>
      </c>
      <c r="I1229" s="49" t="e">
        <v>#REF!</v>
      </c>
      <c r="J1229" s="50"/>
    </row>
    <row r="1230" outlineLevel="1" spans="1:10">
      <c r="A1230" s="50">
        <v>293</v>
      </c>
      <c r="B1230" s="51" t="str">
        <v>人防通风密闭套管-D820</v>
      </c>
      <c r="C1230" s="51" t="e">
        <v>#REF!</v>
      </c>
      <c r="D1230" s="51" t="str">
        <v/>
      </c>
      <c r="E1230" s="51" t="str">
        <v/>
      </c>
      <c r="F1230" s="52" t="e">
        <v>#REF!</v>
      </c>
      <c r="G1230" s="48" t="e">
        <v>#REF!</v>
      </c>
      <c r="H1230" s="49">
        <v>0</v>
      </c>
      <c r="I1230" s="49" t="e">
        <v>#REF!</v>
      </c>
      <c r="J1230" s="50"/>
    </row>
    <row r="1231" ht="28.8" outlineLevel="1" spans="1:10">
      <c r="A1231" s="50">
        <v>294</v>
      </c>
      <c r="B1231" s="51" t="str">
        <v>人防通风密闭套管-D1100</v>
      </c>
      <c r="C1231" s="51" t="e">
        <v>#REF!</v>
      </c>
      <c r="D1231" s="51" t="str">
        <v/>
      </c>
      <c r="E1231" s="51" t="str">
        <v/>
      </c>
      <c r="F1231" s="52" t="e">
        <v>#REF!</v>
      </c>
      <c r="G1231" s="48" t="e">
        <v>#REF!</v>
      </c>
      <c r="H1231" s="49">
        <v>0</v>
      </c>
      <c r="I1231" s="49" t="e">
        <v>#REF!</v>
      </c>
      <c r="J1231" s="50"/>
    </row>
    <row r="1232" outlineLevel="1" spans="1:10">
      <c r="A1232" s="50">
        <v>295</v>
      </c>
      <c r="B1232" s="51" t="str">
        <v>钢制散热器（20片/组）</v>
      </c>
      <c r="C1232" s="51" t="e">
        <v>#REF!</v>
      </c>
      <c r="D1232" s="51" t="str">
        <v/>
      </c>
      <c r="E1232" s="51" t="str">
        <v/>
      </c>
      <c r="F1232" s="52" t="e">
        <v>#REF!</v>
      </c>
      <c r="G1232" s="48" t="e">
        <v>#REF!</v>
      </c>
      <c r="H1232" s="49">
        <v>0</v>
      </c>
      <c r="I1232" s="49" t="e">
        <v>#REF!</v>
      </c>
      <c r="J1232" s="50"/>
    </row>
    <row r="1233" outlineLevel="1" spans="1:10">
      <c r="A1233" s="50">
        <v>296</v>
      </c>
      <c r="B1233" s="51" t="str">
        <v>钢制散热器（10片/组）</v>
      </c>
      <c r="C1233" s="51" t="e">
        <v>#REF!</v>
      </c>
      <c r="D1233" s="51" t="str">
        <v/>
      </c>
      <c r="E1233" s="51" t="str">
        <v/>
      </c>
      <c r="F1233" s="52" t="e">
        <v>#REF!</v>
      </c>
      <c r="G1233" s="48" t="e">
        <v>#REF!</v>
      </c>
      <c r="H1233" s="49">
        <v>0</v>
      </c>
      <c r="I1233" s="49" t="e">
        <v>#REF!</v>
      </c>
      <c r="J1233" s="50"/>
    </row>
    <row r="1234" ht="28.8" outlineLevel="1" spans="1:10">
      <c r="A1234" s="50">
        <v>297</v>
      </c>
      <c r="B1234" s="51" t="str">
        <v>螺纹阀门-自动放气阀-DN15</v>
      </c>
      <c r="C1234" s="51" t="e">
        <v>#REF!</v>
      </c>
      <c r="D1234" s="51" t="str">
        <v/>
      </c>
      <c r="E1234" s="51" t="str">
        <v/>
      </c>
      <c r="F1234" s="52" t="e">
        <v>#REF!</v>
      </c>
      <c r="G1234" s="48" t="e">
        <v>#REF!</v>
      </c>
      <c r="H1234" s="49">
        <v>0</v>
      </c>
      <c r="I1234" s="49" t="e">
        <v>#REF!</v>
      </c>
      <c r="J1234" s="50"/>
    </row>
    <row r="1235" ht="28.8" outlineLevel="1" spans="1:10">
      <c r="A1235" s="50">
        <v>298</v>
      </c>
      <c r="B1235" s="51" t="str">
        <v>螺纹阀门-自动放气阀-DN20</v>
      </c>
      <c r="C1235" s="51" t="e">
        <v>#REF!</v>
      </c>
      <c r="D1235" s="51" t="str">
        <v/>
      </c>
      <c r="E1235" s="51" t="str">
        <v/>
      </c>
      <c r="F1235" s="52" t="e">
        <v>#REF!</v>
      </c>
      <c r="G1235" s="48" t="e">
        <v>#REF!</v>
      </c>
      <c r="H1235" s="49">
        <v>0</v>
      </c>
      <c r="I1235" s="49" t="e">
        <v>#REF!</v>
      </c>
      <c r="J1235" s="50"/>
    </row>
    <row r="1236" ht="28.8" outlineLevel="1" spans="1:10">
      <c r="A1236" s="50">
        <v>299</v>
      </c>
      <c r="B1236" s="51" t="str">
        <v>自动放气阀下截止阀-DN15</v>
      </c>
      <c r="C1236" s="51" t="e">
        <v>#REF!</v>
      </c>
      <c r="D1236" s="51" t="str">
        <v/>
      </c>
      <c r="E1236" s="51" t="str">
        <v/>
      </c>
      <c r="F1236" s="52" t="e">
        <v>#REF!</v>
      </c>
      <c r="G1236" s="48" t="e">
        <v>#REF!</v>
      </c>
      <c r="H1236" s="49">
        <v>0</v>
      </c>
      <c r="I1236" s="49" t="e">
        <v>#REF!</v>
      </c>
      <c r="J1236" s="50"/>
    </row>
    <row r="1237" ht="28.8" outlineLevel="1" spans="1:10">
      <c r="A1237" s="50">
        <v>300</v>
      </c>
      <c r="B1237" s="51" t="str">
        <v>自动放气阀下截止阀-DN20</v>
      </c>
      <c r="C1237" s="51" t="e">
        <v>#REF!</v>
      </c>
      <c r="D1237" s="51" t="str">
        <v/>
      </c>
      <c r="E1237" s="51" t="str">
        <v/>
      </c>
      <c r="F1237" s="52" t="e">
        <v>#REF!</v>
      </c>
      <c r="G1237" s="48" t="e">
        <v>#REF!</v>
      </c>
      <c r="H1237" s="49">
        <v>0</v>
      </c>
      <c r="I1237" s="49" t="e">
        <v>#REF!</v>
      </c>
      <c r="J1237" s="50"/>
    </row>
    <row r="1238" outlineLevel="1" spans="1:10">
      <c r="A1238" s="50">
        <v>301</v>
      </c>
      <c r="B1238" s="51" t="str">
        <v>螺纹阀门-球阀-DN25</v>
      </c>
      <c r="C1238" s="51" t="e">
        <v>#REF!</v>
      </c>
      <c r="D1238" s="51" t="str">
        <v/>
      </c>
      <c r="E1238" s="51" t="str">
        <v/>
      </c>
      <c r="F1238" s="52" t="e">
        <v>#REF!</v>
      </c>
      <c r="G1238" s="48" t="e">
        <v>#REF!</v>
      </c>
      <c r="H1238" s="49">
        <v>0</v>
      </c>
      <c r="I1238" s="49" t="e">
        <v>#REF!</v>
      </c>
      <c r="J1238" s="50"/>
    </row>
    <row r="1239" outlineLevel="1" spans="1:10">
      <c r="A1239" s="50">
        <v>302</v>
      </c>
      <c r="B1239" s="51" t="str">
        <v>螺纹阀门-球阀-DN32</v>
      </c>
      <c r="C1239" s="51" t="e">
        <v>#REF!</v>
      </c>
      <c r="D1239" s="51" t="str">
        <v/>
      </c>
      <c r="E1239" s="51" t="str">
        <v/>
      </c>
      <c r="F1239" s="52" t="e">
        <v>#REF!</v>
      </c>
      <c r="G1239" s="48" t="e">
        <v>#REF!</v>
      </c>
      <c r="H1239" s="49">
        <v>0</v>
      </c>
      <c r="I1239" s="49" t="e">
        <v>#REF!</v>
      </c>
      <c r="J1239" s="50"/>
    </row>
    <row r="1240" outlineLevel="1" spans="1:10">
      <c r="A1240" s="50">
        <v>303</v>
      </c>
      <c r="B1240" s="51" t="str">
        <v>螺纹阀门-截止阀-DN40</v>
      </c>
      <c r="C1240" s="51" t="e">
        <v>#REF!</v>
      </c>
      <c r="D1240" s="51" t="str">
        <v/>
      </c>
      <c r="E1240" s="51" t="str">
        <v/>
      </c>
      <c r="F1240" s="52" t="e">
        <v>#REF!</v>
      </c>
      <c r="G1240" s="48" t="e">
        <v>#REF!</v>
      </c>
      <c r="H1240" s="49">
        <v>0</v>
      </c>
      <c r="I1240" s="49" t="e">
        <v>#REF!</v>
      </c>
      <c r="J1240" s="50"/>
    </row>
    <row r="1241" outlineLevel="1" spans="1:10">
      <c r="A1241" s="50">
        <v>304</v>
      </c>
      <c r="B1241" s="51" t="str">
        <v>螺纹阀门-截止阀-DN50</v>
      </c>
      <c r="C1241" s="51" t="e">
        <v>#REF!</v>
      </c>
      <c r="D1241" s="51" t="str">
        <v/>
      </c>
      <c r="E1241" s="51" t="str">
        <v/>
      </c>
      <c r="F1241" s="52" t="e">
        <v>#REF!</v>
      </c>
      <c r="G1241" s="48" t="e">
        <v>#REF!</v>
      </c>
      <c r="H1241" s="49">
        <v>0</v>
      </c>
      <c r="I1241" s="49" t="e">
        <v>#REF!</v>
      </c>
      <c r="J1241" s="50"/>
    </row>
    <row r="1242" outlineLevel="1" spans="1:10">
      <c r="A1242" s="50">
        <v>305</v>
      </c>
      <c r="B1242" s="51" t="str">
        <v>螺纹阀门-锁闭阀-DN20</v>
      </c>
      <c r="C1242" s="51" t="e">
        <v>#REF!</v>
      </c>
      <c r="D1242" s="51" t="str">
        <v/>
      </c>
      <c r="E1242" s="51" t="str">
        <v/>
      </c>
      <c r="F1242" s="52" t="e">
        <v>#REF!</v>
      </c>
      <c r="G1242" s="48" t="e">
        <v>#REF!</v>
      </c>
      <c r="H1242" s="49">
        <v>0</v>
      </c>
      <c r="I1242" s="49" t="e">
        <v>#REF!</v>
      </c>
      <c r="J1242" s="50"/>
    </row>
    <row r="1243" ht="28.8" outlineLevel="1" spans="1:10">
      <c r="A1243" s="50">
        <v>306</v>
      </c>
      <c r="B1243" s="51" t="str">
        <v>螺纹阀门-静态水力平衡阀-DN20</v>
      </c>
      <c r="C1243" s="51" t="e">
        <v>#REF!</v>
      </c>
      <c r="D1243" s="51" t="str">
        <v/>
      </c>
      <c r="E1243" s="51" t="str">
        <v/>
      </c>
      <c r="F1243" s="52" t="e">
        <v>#REF!</v>
      </c>
      <c r="G1243" s="48" t="e">
        <v>#REF!</v>
      </c>
      <c r="H1243" s="49">
        <v>0</v>
      </c>
      <c r="I1243" s="49" t="e">
        <v>#REF!</v>
      </c>
      <c r="J1243" s="50"/>
    </row>
    <row r="1244" ht="28.8" outlineLevel="1" spans="1:10">
      <c r="A1244" s="50">
        <v>307</v>
      </c>
      <c r="B1244" s="51" t="str">
        <v>螺纹阀门-静态水力平衡阀-DN40</v>
      </c>
      <c r="C1244" s="51" t="e">
        <v>#REF!</v>
      </c>
      <c r="D1244" s="51" t="str">
        <v/>
      </c>
      <c r="E1244" s="51" t="str">
        <v/>
      </c>
      <c r="F1244" s="52" t="e">
        <v>#REF!</v>
      </c>
      <c r="G1244" s="48" t="e">
        <v>#REF!</v>
      </c>
      <c r="H1244" s="49">
        <v>0</v>
      </c>
      <c r="I1244" s="49" t="e">
        <v>#REF!</v>
      </c>
      <c r="J1244" s="50"/>
    </row>
    <row r="1245" ht="28.8" outlineLevel="1" spans="1:10">
      <c r="A1245" s="50">
        <v>308</v>
      </c>
      <c r="B1245" s="51" t="str">
        <v>螺纹阀门-静态水力平衡阀-DN50</v>
      </c>
      <c r="C1245" s="51" t="e">
        <v>#REF!</v>
      </c>
      <c r="D1245" s="51" t="str">
        <v/>
      </c>
      <c r="E1245" s="51" t="str">
        <v/>
      </c>
      <c r="F1245" s="52" t="e">
        <v>#REF!</v>
      </c>
      <c r="G1245" s="48" t="e">
        <v>#REF!</v>
      </c>
      <c r="H1245" s="49">
        <v>0</v>
      </c>
      <c r="I1245" s="49" t="e">
        <v>#REF!</v>
      </c>
      <c r="J1245" s="50"/>
    </row>
    <row r="1246" ht="28.8" outlineLevel="1" spans="1:10">
      <c r="A1246" s="50">
        <v>309</v>
      </c>
      <c r="B1246" s="51" t="str">
        <v>法兰阀门-静态水力平衡阀-DN65</v>
      </c>
      <c r="C1246" s="51" t="e">
        <v>#REF!</v>
      </c>
      <c r="D1246" s="51" t="str">
        <v/>
      </c>
      <c r="E1246" s="51" t="str">
        <v/>
      </c>
      <c r="F1246" s="52" t="e">
        <v>#REF!</v>
      </c>
      <c r="G1246" s="48" t="e">
        <v>#REF!</v>
      </c>
      <c r="H1246" s="49">
        <v>0</v>
      </c>
      <c r="I1246" s="49" t="e">
        <v>#REF!</v>
      </c>
      <c r="J1246" s="50"/>
    </row>
    <row r="1247" ht="28.8" outlineLevel="1" spans="1:10">
      <c r="A1247" s="50">
        <v>310</v>
      </c>
      <c r="B1247" s="51" t="str">
        <v>法兰阀门-静态水力平衡阀-DN80</v>
      </c>
      <c r="C1247" s="51" t="e">
        <v>#REF!</v>
      </c>
      <c r="D1247" s="51" t="str">
        <v/>
      </c>
      <c r="E1247" s="51" t="str">
        <v/>
      </c>
      <c r="F1247" s="52" t="e">
        <v>#REF!</v>
      </c>
      <c r="G1247" s="48" t="e">
        <v>#REF!</v>
      </c>
      <c r="H1247" s="49">
        <v>0</v>
      </c>
      <c r="I1247" s="49" t="e">
        <v>#REF!</v>
      </c>
      <c r="J1247" s="50"/>
    </row>
    <row r="1248" outlineLevel="1" spans="1:10">
      <c r="A1248" s="50">
        <v>311</v>
      </c>
      <c r="B1248" s="51" t="str">
        <v>法兰阀门-闸阀-DN65</v>
      </c>
      <c r="C1248" s="51" t="e">
        <v>#REF!</v>
      </c>
      <c r="D1248" s="51" t="str">
        <v/>
      </c>
      <c r="E1248" s="51" t="str">
        <v/>
      </c>
      <c r="F1248" s="52" t="e">
        <v>#REF!</v>
      </c>
      <c r="G1248" s="48" t="e">
        <v>#REF!</v>
      </c>
      <c r="H1248" s="49">
        <v>0</v>
      </c>
      <c r="I1248" s="49" t="e">
        <v>#REF!</v>
      </c>
      <c r="J1248" s="50"/>
    </row>
    <row r="1249" outlineLevel="1" spans="1:10">
      <c r="A1249" s="50">
        <v>312</v>
      </c>
      <c r="B1249" s="51" t="str">
        <v>法兰阀门-闸阀-DN80</v>
      </c>
      <c r="C1249" s="51" t="e">
        <v>#REF!</v>
      </c>
      <c r="D1249" s="51" t="str">
        <v/>
      </c>
      <c r="E1249" s="51" t="str">
        <v/>
      </c>
      <c r="F1249" s="52" t="e">
        <v>#REF!</v>
      </c>
      <c r="G1249" s="48" t="e">
        <v>#REF!</v>
      </c>
      <c r="H1249" s="49">
        <v>0</v>
      </c>
      <c r="I1249" s="49" t="e">
        <v>#REF!</v>
      </c>
      <c r="J1249" s="50"/>
    </row>
    <row r="1250" outlineLevel="1" spans="1:10">
      <c r="A1250" s="50">
        <v>313</v>
      </c>
      <c r="B1250" s="51" t="str">
        <v>法兰阀门-闸阀-DN100</v>
      </c>
      <c r="C1250" s="51" t="e">
        <v>#REF!</v>
      </c>
      <c r="D1250" s="51" t="str">
        <v/>
      </c>
      <c r="E1250" s="51" t="str">
        <v/>
      </c>
      <c r="F1250" s="52" t="e">
        <v>#REF!</v>
      </c>
      <c r="G1250" s="48" t="e">
        <v>#REF!</v>
      </c>
      <c r="H1250" s="49">
        <v>0</v>
      </c>
      <c r="I1250" s="49" t="e">
        <v>#REF!</v>
      </c>
      <c r="J1250" s="50"/>
    </row>
    <row r="1251" ht="28.8" outlineLevel="1" spans="1:10">
      <c r="A1251" s="50">
        <v>314</v>
      </c>
      <c r="B1251" s="51" t="str">
        <v>法兰阀门-Y型过滤器-DN65</v>
      </c>
      <c r="C1251" s="51" t="e">
        <v>#REF!</v>
      </c>
      <c r="D1251" s="51" t="str">
        <v/>
      </c>
      <c r="E1251" s="51" t="str">
        <v/>
      </c>
      <c r="F1251" s="52" t="e">
        <v>#REF!</v>
      </c>
      <c r="G1251" s="48" t="e">
        <v>#REF!</v>
      </c>
      <c r="H1251" s="49">
        <v>0</v>
      </c>
      <c r="I1251" s="49" t="e">
        <v>#REF!</v>
      </c>
      <c r="J1251" s="50"/>
    </row>
    <row r="1252" ht="28.8" outlineLevel="1" spans="1:10">
      <c r="A1252" s="50">
        <v>315</v>
      </c>
      <c r="B1252" s="51" t="str">
        <v>法兰阀门-Y型过滤器-DN80</v>
      </c>
      <c r="C1252" s="51" t="e">
        <v>#REF!</v>
      </c>
      <c r="D1252" s="51" t="str">
        <v/>
      </c>
      <c r="E1252" s="51" t="str">
        <v/>
      </c>
      <c r="F1252" s="52" t="e">
        <v>#REF!</v>
      </c>
      <c r="G1252" s="48" t="e">
        <v>#REF!</v>
      </c>
      <c r="H1252" s="49">
        <v>0</v>
      </c>
      <c r="I1252" s="49" t="e">
        <v>#REF!</v>
      </c>
      <c r="J1252" s="50"/>
    </row>
    <row r="1253" outlineLevel="1" spans="1:10">
      <c r="A1253" s="50">
        <v>316</v>
      </c>
      <c r="B1253" s="51" t="str">
        <v>对夹式蝶阀-DN100</v>
      </c>
      <c r="C1253" s="51" t="e">
        <v>#REF!</v>
      </c>
      <c r="D1253" s="51" t="str">
        <v/>
      </c>
      <c r="E1253" s="51" t="str">
        <v/>
      </c>
      <c r="F1253" s="52" t="e">
        <v>#REF!</v>
      </c>
      <c r="G1253" s="48" t="e">
        <v>#REF!</v>
      </c>
      <c r="H1253" s="49">
        <v>0</v>
      </c>
      <c r="I1253" s="49" t="e">
        <v>#REF!</v>
      </c>
      <c r="J1253" s="50"/>
    </row>
    <row r="1254" outlineLevel="1" spans="1:10">
      <c r="A1254" s="50">
        <v>317</v>
      </c>
      <c r="B1254" s="51" t="str">
        <v>对夹式蝶阀-DN125</v>
      </c>
      <c r="C1254" s="51" t="e">
        <v>#REF!</v>
      </c>
      <c r="D1254" s="51" t="str">
        <v/>
      </c>
      <c r="E1254" s="51" t="str">
        <v/>
      </c>
      <c r="F1254" s="52" t="e">
        <v>#REF!</v>
      </c>
      <c r="G1254" s="48" t="e">
        <v>#REF!</v>
      </c>
      <c r="H1254" s="49">
        <v>0</v>
      </c>
      <c r="I1254" s="49" t="e">
        <v>#REF!</v>
      </c>
      <c r="J1254" s="50"/>
    </row>
    <row r="1255" outlineLevel="1" spans="1:10">
      <c r="A1255" s="50">
        <v>318</v>
      </c>
      <c r="B1255" s="51" t="str">
        <v>对夹式蝶阀-DN150</v>
      </c>
      <c r="C1255" s="51" t="e">
        <v>#REF!</v>
      </c>
      <c r="D1255" s="51" t="str">
        <v/>
      </c>
      <c r="E1255" s="51" t="str">
        <v/>
      </c>
      <c r="F1255" s="52" t="e">
        <v>#REF!</v>
      </c>
      <c r="G1255" s="48" t="e">
        <v>#REF!</v>
      </c>
      <c r="H1255" s="49">
        <v>0</v>
      </c>
      <c r="I1255" s="49" t="e">
        <v>#REF!</v>
      </c>
      <c r="J1255" s="50"/>
    </row>
    <row r="1256" outlineLevel="1" spans="1:10">
      <c r="A1256" s="50">
        <v>319</v>
      </c>
      <c r="B1256" s="51" t="str">
        <v>对夹式蝶阀-DN200</v>
      </c>
      <c r="C1256" s="51" t="e">
        <v>#REF!</v>
      </c>
      <c r="D1256" s="51" t="str">
        <v/>
      </c>
      <c r="E1256" s="51" t="str">
        <v/>
      </c>
      <c r="F1256" s="52" t="e">
        <v>#REF!</v>
      </c>
      <c r="G1256" s="48" t="e">
        <v>#REF!</v>
      </c>
      <c r="H1256" s="49">
        <v>0</v>
      </c>
      <c r="I1256" s="49" t="e">
        <v>#REF!</v>
      </c>
      <c r="J1256" s="50"/>
    </row>
    <row r="1257" outlineLevel="1" spans="1:10">
      <c r="A1257" s="50">
        <v>320</v>
      </c>
      <c r="B1257" s="51" t="str">
        <v>对夹式蝶阀-DN250</v>
      </c>
      <c r="C1257" s="51" t="e">
        <v>#REF!</v>
      </c>
      <c r="D1257" s="51" t="str">
        <v/>
      </c>
      <c r="E1257" s="51" t="str">
        <v/>
      </c>
      <c r="F1257" s="52" t="e">
        <v>#REF!</v>
      </c>
      <c r="G1257" s="48" t="e">
        <v>#REF!</v>
      </c>
      <c r="H1257" s="49">
        <v>0</v>
      </c>
      <c r="I1257" s="49" t="e">
        <v>#REF!</v>
      </c>
      <c r="J1257" s="50"/>
    </row>
    <row r="1258" outlineLevel="1" spans="1:10">
      <c r="A1258" s="50">
        <v>321</v>
      </c>
      <c r="B1258" s="51" t="str">
        <v>波纹补偿器-DN65</v>
      </c>
      <c r="C1258" s="51" t="e">
        <v>#REF!</v>
      </c>
      <c r="D1258" s="51" t="str">
        <v/>
      </c>
      <c r="E1258" s="51" t="str">
        <v/>
      </c>
      <c r="F1258" s="52" t="e">
        <v>#REF!</v>
      </c>
      <c r="G1258" s="48" t="e">
        <v>#REF!</v>
      </c>
      <c r="H1258" s="49">
        <v>0</v>
      </c>
      <c r="I1258" s="49" t="e">
        <v>#REF!</v>
      </c>
      <c r="J1258" s="50"/>
    </row>
    <row r="1259" outlineLevel="1" spans="1:10">
      <c r="A1259" s="50">
        <v>322</v>
      </c>
      <c r="B1259" s="51" t="str">
        <v>波纹补偿器-DN80</v>
      </c>
      <c r="C1259" s="51" t="e">
        <v>#REF!</v>
      </c>
      <c r="D1259" s="51" t="str">
        <v/>
      </c>
      <c r="E1259" s="51" t="str">
        <v/>
      </c>
      <c r="F1259" s="52" t="e">
        <v>#REF!</v>
      </c>
      <c r="G1259" s="48" t="e">
        <v>#REF!</v>
      </c>
      <c r="H1259" s="49">
        <v>0</v>
      </c>
      <c r="I1259" s="49" t="e">
        <v>#REF!</v>
      </c>
      <c r="J1259" s="50"/>
    </row>
    <row r="1260" outlineLevel="1" spans="1:10">
      <c r="A1260" s="50">
        <v>323</v>
      </c>
      <c r="B1260" s="51" t="str">
        <v>波纹补偿器-DN100</v>
      </c>
      <c r="C1260" s="51" t="e">
        <v>#REF!</v>
      </c>
      <c r="D1260" s="51" t="str">
        <v/>
      </c>
      <c r="E1260" s="51" t="str">
        <v/>
      </c>
      <c r="F1260" s="52" t="e">
        <v>#REF!</v>
      </c>
      <c r="G1260" s="48" t="e">
        <v>#REF!</v>
      </c>
      <c r="H1260" s="49">
        <v>0</v>
      </c>
      <c r="I1260" s="49" t="e">
        <v>#REF!</v>
      </c>
      <c r="J1260" s="50"/>
    </row>
    <row r="1261" outlineLevel="1" spans="1:10">
      <c r="A1261" s="50">
        <v>324</v>
      </c>
      <c r="B1261" s="51" t="str">
        <v>波纹补偿器-DN125</v>
      </c>
      <c r="C1261" s="51" t="e">
        <v>#REF!</v>
      </c>
      <c r="D1261" s="51" t="str">
        <v/>
      </c>
      <c r="E1261" s="51" t="str">
        <v/>
      </c>
      <c r="F1261" s="52" t="e">
        <v>#REF!</v>
      </c>
      <c r="G1261" s="48" t="e">
        <v>#REF!</v>
      </c>
      <c r="H1261" s="49">
        <v>0</v>
      </c>
      <c r="I1261" s="49" t="e">
        <v>#REF!</v>
      </c>
      <c r="J1261" s="50"/>
    </row>
    <row r="1262" outlineLevel="1" spans="1:10">
      <c r="A1262" s="50">
        <v>325</v>
      </c>
      <c r="B1262" s="51" t="str">
        <v>波纹补偿器-DN150</v>
      </c>
      <c r="C1262" s="51" t="e">
        <v>#REF!</v>
      </c>
      <c r="D1262" s="51" t="str">
        <v/>
      </c>
      <c r="E1262" s="51" t="str">
        <v/>
      </c>
      <c r="F1262" s="52" t="e">
        <v>#REF!</v>
      </c>
      <c r="G1262" s="48" t="e">
        <v>#REF!</v>
      </c>
      <c r="H1262" s="49">
        <v>0</v>
      </c>
      <c r="I1262" s="49" t="e">
        <v>#REF!</v>
      </c>
      <c r="J1262" s="50"/>
    </row>
    <row r="1263" outlineLevel="1" spans="1:10">
      <c r="A1263" s="50">
        <v>326</v>
      </c>
      <c r="B1263" s="51" t="str">
        <v>波纹补偿器-DN200</v>
      </c>
      <c r="C1263" s="51" t="e">
        <v>#REF!</v>
      </c>
      <c r="D1263" s="51" t="str">
        <v/>
      </c>
      <c r="E1263" s="51" t="str">
        <v/>
      </c>
      <c r="F1263" s="52" t="e">
        <v>#REF!</v>
      </c>
      <c r="G1263" s="48" t="e">
        <v>#REF!</v>
      </c>
      <c r="H1263" s="49">
        <v>0</v>
      </c>
      <c r="I1263" s="49" t="e">
        <v>#REF!</v>
      </c>
      <c r="J1263" s="50"/>
    </row>
    <row r="1264" outlineLevel="1" spans="1:10">
      <c r="A1264" s="50">
        <v>327</v>
      </c>
      <c r="B1264" s="51" t="str">
        <v>温度仪表</v>
      </c>
      <c r="C1264" s="51" t="e">
        <v>#REF!</v>
      </c>
      <c r="D1264" s="51" t="str">
        <v/>
      </c>
      <c r="E1264" s="51" t="str">
        <v/>
      </c>
      <c r="F1264" s="52" t="e">
        <v>#REF!</v>
      </c>
      <c r="G1264" s="48" t="e">
        <v>#REF!</v>
      </c>
      <c r="H1264" s="49">
        <v>0</v>
      </c>
      <c r="I1264" s="49" t="e">
        <v>#REF!</v>
      </c>
      <c r="J1264" s="50"/>
    </row>
    <row r="1265" outlineLevel="1" spans="1:10">
      <c r="A1265" s="50">
        <v>328</v>
      </c>
      <c r="B1265" s="51" t="str">
        <v>采暖压力仪表</v>
      </c>
      <c r="C1265" s="51" t="e">
        <v>#REF!</v>
      </c>
      <c r="D1265" s="51" t="str">
        <v/>
      </c>
      <c r="E1265" s="51" t="str">
        <v/>
      </c>
      <c r="F1265" s="52" t="e">
        <v>#REF!</v>
      </c>
      <c r="G1265" s="48" t="e">
        <v>#REF!</v>
      </c>
      <c r="H1265" s="49">
        <v>0</v>
      </c>
      <c r="I1265" s="49" t="e">
        <v>#REF!</v>
      </c>
      <c r="J1265" s="50"/>
    </row>
    <row r="1266" outlineLevel="1" spans="1:10">
      <c r="A1266" s="50" t="str">
        <v/>
      </c>
      <c r="B1266" s="51" t="str">
        <v>B.12绝热</v>
      </c>
      <c r="C1266" s="51" t="str">
        <v/>
      </c>
      <c r="D1266" s="51" t="str">
        <v/>
      </c>
      <c r="E1266" s="51" t="str">
        <v/>
      </c>
      <c r="F1266" s="52" t="str">
        <v/>
      </c>
      <c r="G1266" s="48" t="str">
        <v/>
      </c>
      <c r="H1266" s="49">
        <v>0</v>
      </c>
      <c r="I1266" s="49" t="e">
        <v>#REF!</v>
      </c>
      <c r="J1266" s="50"/>
    </row>
    <row r="1267" outlineLevel="1" spans="1:10">
      <c r="A1267" s="50">
        <v>329</v>
      </c>
      <c r="B1267" s="51" t="str">
        <v>管道绝热</v>
      </c>
      <c r="C1267" s="51" t="e">
        <v>#REF!</v>
      </c>
      <c r="D1267" s="51" t="str">
        <v/>
      </c>
      <c r="E1267" s="51" t="str">
        <v/>
      </c>
      <c r="F1267" s="52" t="e">
        <v>#REF!</v>
      </c>
      <c r="G1267" s="48" t="e">
        <v>#REF!</v>
      </c>
      <c r="H1267" s="49">
        <v>0</v>
      </c>
      <c r="I1267" s="49" t="e">
        <v>#REF!</v>
      </c>
      <c r="J1267" s="50"/>
    </row>
    <row r="1268" outlineLevel="1" spans="1:10">
      <c r="A1268" s="50">
        <v>330</v>
      </c>
      <c r="B1268" s="51" t="str">
        <v>防火胶带保护层</v>
      </c>
      <c r="C1268" s="51" t="e">
        <v>#REF!</v>
      </c>
      <c r="D1268" s="51" t="str">
        <v/>
      </c>
      <c r="E1268" s="51" t="str">
        <v/>
      </c>
      <c r="F1268" s="52" t="e">
        <v>#REF!</v>
      </c>
      <c r="G1268" s="48" t="e">
        <v>#REF!</v>
      </c>
      <c r="H1268" s="49">
        <v>0</v>
      </c>
      <c r="I1268" s="49" t="e">
        <v>#REF!</v>
      </c>
      <c r="J1268" s="50"/>
    </row>
    <row r="1269" outlineLevel="1" spans="1:10">
      <c r="A1269" s="50" t="str">
        <v/>
      </c>
      <c r="B1269" s="51" t="str">
        <v>地上采暖</v>
      </c>
      <c r="C1269" s="51" t="str">
        <v/>
      </c>
      <c r="D1269" s="51" t="str">
        <v/>
      </c>
      <c r="E1269" s="51" t="str">
        <v/>
      </c>
      <c r="F1269" s="52" t="str">
        <v/>
      </c>
      <c r="G1269" s="48" t="str">
        <v/>
      </c>
      <c r="H1269" s="49">
        <v>0</v>
      </c>
      <c r="I1269" s="49" t="e">
        <v>#REF!</v>
      </c>
      <c r="J1269" s="50"/>
    </row>
    <row r="1270" outlineLevel="1" spans="1:10">
      <c r="A1270" s="50" t="str">
        <v/>
      </c>
      <c r="B1270" s="51" t="str">
        <v>B.13户内采暖</v>
      </c>
      <c r="C1270" s="51" t="str">
        <v/>
      </c>
      <c r="D1270" s="51" t="str">
        <v/>
      </c>
      <c r="E1270" s="51" t="str">
        <v/>
      </c>
      <c r="F1270" s="52" t="str">
        <v/>
      </c>
      <c r="G1270" s="48" t="str">
        <v/>
      </c>
      <c r="H1270" s="49">
        <v>0</v>
      </c>
      <c r="I1270" s="49" t="e">
        <v>#REF!</v>
      </c>
      <c r="J1270" s="50"/>
    </row>
    <row r="1271" ht="28.8" outlineLevel="1" spans="1:10">
      <c r="A1271" s="50">
        <v>331</v>
      </c>
      <c r="B1271" s="51" t="str">
        <v>室内采暖塑料管-PPR-De32</v>
      </c>
      <c r="C1271" s="51" t="e">
        <v>#REF!</v>
      </c>
      <c r="D1271" s="51" t="str">
        <v/>
      </c>
      <c r="E1271" s="51" t="str">
        <v/>
      </c>
      <c r="F1271" s="52" t="e">
        <v>#REF!</v>
      </c>
      <c r="G1271" s="48" t="e">
        <v>#REF!</v>
      </c>
      <c r="H1271" s="49">
        <v>1</v>
      </c>
      <c r="I1271" s="49" t="e">
        <v>#REF!</v>
      </c>
      <c r="J1271" s="50"/>
    </row>
    <row r="1272" ht="28.8" outlineLevel="1" spans="1:10">
      <c r="A1272" s="50">
        <v>332</v>
      </c>
      <c r="B1272" s="51" t="str">
        <v>户内湿式地暖塑料管-PERT-De20(S5）</v>
      </c>
      <c r="C1272" s="51" t="e">
        <v>#REF!</v>
      </c>
      <c r="D1272" s="51" t="str">
        <v/>
      </c>
      <c r="E1272" s="51" t="str">
        <v/>
      </c>
      <c r="F1272" s="52" t="e">
        <v>#REF!</v>
      </c>
      <c r="G1272" s="48" t="e">
        <v>#REF!</v>
      </c>
      <c r="H1272" s="49">
        <v>1028</v>
      </c>
      <c r="I1272" s="49" t="e">
        <v>#REF!</v>
      </c>
      <c r="J1272" s="50"/>
    </row>
    <row r="1273" ht="28.8" outlineLevel="1" spans="1:10">
      <c r="A1273" s="50">
        <v>333</v>
      </c>
      <c r="B1273" s="51" t="str">
        <v>户内湿式地暖塑料管-PERT-De20(S4）</v>
      </c>
      <c r="C1273" s="51" t="e">
        <v>#REF!</v>
      </c>
      <c r="D1273" s="51" t="str">
        <v/>
      </c>
      <c r="E1273" s="51" t="str">
        <v/>
      </c>
      <c r="F1273" s="52" t="e">
        <v>#REF!</v>
      </c>
      <c r="G1273" s="48" t="e">
        <v>#REF!</v>
      </c>
      <c r="H1273" s="49">
        <v>0</v>
      </c>
      <c r="I1273" s="49" t="e">
        <v>#REF!</v>
      </c>
      <c r="J1273" s="50"/>
    </row>
    <row r="1274" outlineLevel="1" spans="1:10">
      <c r="A1274" s="50">
        <v>334</v>
      </c>
      <c r="B1274" s="51" t="str">
        <v>户内湿法-玻纤网格布</v>
      </c>
      <c r="C1274" s="51" t="e">
        <v>#REF!</v>
      </c>
      <c r="D1274" s="51" t="str">
        <v/>
      </c>
      <c r="E1274" s="51" t="str">
        <v/>
      </c>
      <c r="F1274" s="52" t="e">
        <v>#REF!</v>
      </c>
      <c r="G1274" s="48" t="e">
        <v>#REF!</v>
      </c>
      <c r="H1274" s="49">
        <v>1028</v>
      </c>
      <c r="I1274" s="49" t="e">
        <v>#REF!</v>
      </c>
      <c r="J1274" s="50"/>
    </row>
    <row r="1275" outlineLevel="1" spans="1:10">
      <c r="A1275" s="50">
        <v>335</v>
      </c>
      <c r="B1275" s="51" t="str">
        <v>户内湿法-单层钢丝网</v>
      </c>
      <c r="C1275" s="51" t="e">
        <v>#REF!</v>
      </c>
      <c r="D1275" s="51" t="str">
        <v/>
      </c>
      <c r="E1275" s="51" t="str">
        <v/>
      </c>
      <c r="F1275" s="52" t="e">
        <v>#REF!</v>
      </c>
      <c r="G1275" s="48" t="e">
        <v>#REF!</v>
      </c>
      <c r="H1275" s="49">
        <v>1028</v>
      </c>
      <c r="I1275" s="49" t="e">
        <v>#REF!</v>
      </c>
      <c r="J1275" s="50"/>
    </row>
    <row r="1276" outlineLevel="1" spans="1:10">
      <c r="A1276" s="50">
        <v>336</v>
      </c>
      <c r="B1276" s="51" t="str">
        <v>户内湿法-双层钢丝网</v>
      </c>
      <c r="C1276" s="51" t="e">
        <v>#REF!</v>
      </c>
      <c r="D1276" s="51" t="str">
        <v/>
      </c>
      <c r="E1276" s="51" t="str">
        <v/>
      </c>
      <c r="F1276" s="52" t="e">
        <v>#REF!</v>
      </c>
      <c r="G1276" s="48" t="e">
        <v>#REF!</v>
      </c>
      <c r="H1276" s="49">
        <v>0</v>
      </c>
      <c r="I1276" s="49" t="e">
        <v>#REF!</v>
      </c>
      <c r="J1276" s="50"/>
    </row>
    <row r="1277" outlineLevel="1" spans="1:10">
      <c r="A1277" s="50">
        <v>337</v>
      </c>
      <c r="B1277" s="51" t="str">
        <v>户内湿法-铝箔纸</v>
      </c>
      <c r="C1277" s="51" t="e">
        <v>#REF!</v>
      </c>
      <c r="D1277" s="51" t="str">
        <v/>
      </c>
      <c r="E1277" s="51" t="str">
        <v/>
      </c>
      <c r="F1277" s="52" t="e">
        <v>#REF!</v>
      </c>
      <c r="G1277" s="48" t="e">
        <v>#REF!</v>
      </c>
      <c r="H1277" s="49">
        <v>1028</v>
      </c>
      <c r="I1277" s="49" t="e">
        <v>#REF!</v>
      </c>
      <c r="J1277" s="50"/>
    </row>
    <row r="1278" outlineLevel="1" spans="1:10">
      <c r="A1278" s="50">
        <v>338</v>
      </c>
      <c r="B1278" s="51" t="str">
        <v>户内湿法-挤塑板</v>
      </c>
      <c r="C1278" s="51" t="e">
        <v>#REF!</v>
      </c>
      <c r="D1278" s="51" t="str">
        <v/>
      </c>
      <c r="E1278" s="51" t="str">
        <v/>
      </c>
      <c r="F1278" s="52" t="e">
        <v>#REF!</v>
      </c>
      <c r="G1278" s="48" t="e">
        <v>#REF!</v>
      </c>
      <c r="H1278" s="49">
        <v>1028</v>
      </c>
      <c r="I1278" s="49" t="e">
        <v>#REF!</v>
      </c>
      <c r="J1278" s="50"/>
    </row>
    <row r="1279" ht="28.8" outlineLevel="1" spans="1:10">
      <c r="A1279" s="50">
        <v>339</v>
      </c>
      <c r="B1279" s="51" t="str">
        <v>户内干法采暖塑料管-PERT-De20(S5）</v>
      </c>
      <c r="C1279" s="51" t="e">
        <v>#REF!</v>
      </c>
      <c r="D1279" s="51" t="str">
        <v/>
      </c>
      <c r="E1279" s="51" t="str">
        <v/>
      </c>
      <c r="F1279" s="52" t="e">
        <v>#REF!</v>
      </c>
      <c r="G1279" s="48" t="e">
        <v>#REF!</v>
      </c>
      <c r="H1279" s="49">
        <v>0</v>
      </c>
      <c r="I1279" s="49" t="e">
        <v>#REF!</v>
      </c>
      <c r="J1279" s="50"/>
    </row>
    <row r="1280" ht="28.8" outlineLevel="1" spans="1:10">
      <c r="A1280" s="50">
        <v>340</v>
      </c>
      <c r="B1280" s="51" t="str">
        <v>户内干法采暖塑料管-PERT-De20(S4）</v>
      </c>
      <c r="C1280" s="51" t="e">
        <v>#REF!</v>
      </c>
      <c r="D1280" s="51" t="str">
        <v/>
      </c>
      <c r="E1280" s="51" t="str">
        <v/>
      </c>
      <c r="F1280" s="52" t="e">
        <v>#REF!</v>
      </c>
      <c r="G1280" s="48" t="e">
        <v>#REF!</v>
      </c>
      <c r="H1280" s="49">
        <v>0</v>
      </c>
      <c r="I1280" s="49" t="e">
        <v>#REF!</v>
      </c>
      <c r="J1280" s="50"/>
    </row>
    <row r="1281" outlineLevel="1" spans="1:10">
      <c r="A1281" s="50">
        <v>341</v>
      </c>
      <c r="B1281" s="51" t="str">
        <v>户内干法-地面砂浆</v>
      </c>
      <c r="C1281" s="51" t="e">
        <v>#REF!</v>
      </c>
      <c r="D1281" s="51" t="str">
        <v/>
      </c>
      <c r="E1281" s="51" t="str">
        <v/>
      </c>
      <c r="F1281" s="52" t="e">
        <v>#REF!</v>
      </c>
      <c r="G1281" s="48" t="e">
        <v>#REF!</v>
      </c>
      <c r="H1281" s="49">
        <v>0</v>
      </c>
      <c r="I1281" s="49" t="e">
        <v>#REF!</v>
      </c>
      <c r="J1281" s="50"/>
    </row>
    <row r="1282" outlineLevel="1" spans="1:10">
      <c r="A1282" s="50">
        <v>342</v>
      </c>
      <c r="B1282" s="51" t="str">
        <v>户内干法-沟槽板</v>
      </c>
      <c r="C1282" s="51" t="e">
        <v>#REF!</v>
      </c>
      <c r="D1282" s="51" t="str">
        <v/>
      </c>
      <c r="E1282" s="51" t="str">
        <v/>
      </c>
      <c r="F1282" s="52" t="e">
        <v>#REF!</v>
      </c>
      <c r="G1282" s="48" t="e">
        <v>#REF!</v>
      </c>
      <c r="H1282" s="49">
        <v>0</v>
      </c>
      <c r="I1282" s="49" t="e">
        <v>#REF!</v>
      </c>
      <c r="J1282" s="50"/>
    </row>
    <row r="1283" outlineLevel="1" spans="1:10">
      <c r="A1283" s="50">
        <v>343</v>
      </c>
      <c r="B1283" s="51" t="str">
        <v>户内干法-粘接砂浆</v>
      </c>
      <c r="C1283" s="51" t="e">
        <v>#REF!</v>
      </c>
      <c r="D1283" s="51" t="str">
        <v/>
      </c>
      <c r="E1283" s="51" t="str">
        <v/>
      </c>
      <c r="F1283" s="52" t="e">
        <v>#REF!</v>
      </c>
      <c r="G1283" s="48" t="e">
        <v>#REF!</v>
      </c>
      <c r="H1283" s="49">
        <v>0</v>
      </c>
      <c r="I1283" s="49" t="e">
        <v>#REF!</v>
      </c>
      <c r="J1283" s="50"/>
    </row>
    <row r="1284" outlineLevel="1" spans="1:10">
      <c r="A1284" s="50">
        <v>344</v>
      </c>
      <c r="B1284" s="51" t="str">
        <v>户内干法-石膏自流平</v>
      </c>
      <c r="C1284" s="51" t="e">
        <v>#REF!</v>
      </c>
      <c r="D1284" s="51" t="str">
        <v/>
      </c>
      <c r="E1284" s="51" t="str">
        <v/>
      </c>
      <c r="F1284" s="52" t="e">
        <v>#REF!</v>
      </c>
      <c r="G1284" s="48" t="e">
        <v>#REF!</v>
      </c>
      <c r="H1284" s="49">
        <v>0</v>
      </c>
      <c r="I1284" s="49" t="e">
        <v>#REF!</v>
      </c>
      <c r="J1284" s="50"/>
    </row>
    <row r="1285" outlineLevel="1" spans="1:10">
      <c r="A1285" s="50">
        <v>345</v>
      </c>
      <c r="B1285" s="51" t="str">
        <v>户内干法-基层处理</v>
      </c>
      <c r="C1285" s="51" t="e">
        <v>#REF!</v>
      </c>
      <c r="D1285" s="51" t="str">
        <v/>
      </c>
      <c r="E1285" s="51" t="str">
        <v/>
      </c>
      <c r="F1285" s="52" t="e">
        <v>#REF!</v>
      </c>
      <c r="G1285" s="48" t="e">
        <v>#REF!</v>
      </c>
      <c r="H1285" s="49">
        <v>0</v>
      </c>
      <c r="I1285" s="49" t="e">
        <v>#REF!</v>
      </c>
      <c r="J1285" s="50"/>
    </row>
    <row r="1286" outlineLevel="1" spans="1:10">
      <c r="A1286" s="50">
        <v>346</v>
      </c>
      <c r="B1286" s="51" t="str">
        <v>30mm厚1000Kpa压缩强度</v>
      </c>
      <c r="C1286" s="51" t="e">
        <v>#REF!</v>
      </c>
      <c r="D1286" s="51" t="str">
        <v/>
      </c>
      <c r="E1286" s="51" t="str">
        <v/>
      </c>
      <c r="F1286" s="52" t="e">
        <v>#REF!</v>
      </c>
      <c r="G1286" s="48" t="e">
        <v>#REF!</v>
      </c>
      <c r="H1286" s="49">
        <v>0</v>
      </c>
      <c r="I1286" s="49" t="e">
        <v>#REF!</v>
      </c>
      <c r="J1286" s="50"/>
    </row>
    <row r="1287" outlineLevel="1" spans="1:10">
      <c r="A1287" s="50">
        <v>347</v>
      </c>
      <c r="B1287" s="51" t="str">
        <v>30mm厚1200Kpa压缩强度</v>
      </c>
      <c r="C1287" s="51" t="e">
        <v>#REF!</v>
      </c>
      <c r="D1287" s="51" t="str">
        <v/>
      </c>
      <c r="E1287" s="51" t="str">
        <v/>
      </c>
      <c r="F1287" s="52" t="e">
        <v>#REF!</v>
      </c>
      <c r="G1287" s="48" t="e">
        <v>#REF!</v>
      </c>
      <c r="H1287" s="49">
        <v>0</v>
      </c>
      <c r="I1287" s="49" t="e">
        <v>#REF!</v>
      </c>
      <c r="J1287" s="50"/>
    </row>
    <row r="1288" outlineLevel="1" spans="1:10">
      <c r="A1288" s="50">
        <v>348</v>
      </c>
      <c r="B1288" s="51" t="str">
        <v>30mm厚1250Kpa压缩强度</v>
      </c>
      <c r="C1288" s="51" t="e">
        <v>#REF!</v>
      </c>
      <c r="D1288" s="51" t="str">
        <v/>
      </c>
      <c r="E1288" s="51" t="str">
        <v/>
      </c>
      <c r="F1288" s="52" t="e">
        <v>#REF!</v>
      </c>
      <c r="G1288" s="48" t="e">
        <v>#REF!</v>
      </c>
      <c r="H1288" s="49">
        <v>0</v>
      </c>
      <c r="I1288" s="49" t="e">
        <v>#REF!</v>
      </c>
      <c r="J1288" s="50"/>
    </row>
    <row r="1289" ht="28.8" outlineLevel="1" spans="1:10">
      <c r="A1289" s="50">
        <v>349</v>
      </c>
      <c r="B1289" s="51" t="str">
        <v>橡胶减震垫-5厚单面凹发泡</v>
      </c>
      <c r="C1289" s="51" t="e">
        <v>#REF!</v>
      </c>
      <c r="D1289" s="51" t="str">
        <v/>
      </c>
      <c r="E1289" s="51" t="str">
        <v/>
      </c>
      <c r="F1289" s="52" t="e">
        <v>#REF!</v>
      </c>
      <c r="G1289" s="48" t="e">
        <v>#REF!</v>
      </c>
      <c r="H1289" s="49">
        <v>1028</v>
      </c>
      <c r="I1289" s="49" t="e">
        <v>#REF!</v>
      </c>
      <c r="J1289" s="50"/>
    </row>
    <row r="1290" ht="28.8" outlineLevel="1" spans="1:10">
      <c r="A1290" s="50">
        <v>350</v>
      </c>
      <c r="B1290" s="51" t="str">
        <v>聚乙烯减震垫-5厚单面凹发泡</v>
      </c>
      <c r="C1290" s="51" t="e">
        <v>#REF!</v>
      </c>
      <c r="D1290" s="51" t="str">
        <v/>
      </c>
      <c r="E1290" s="51" t="str">
        <v/>
      </c>
      <c r="F1290" s="52" t="e">
        <v>#REF!</v>
      </c>
      <c r="G1290" s="48" t="e">
        <v>#REF!</v>
      </c>
      <c r="H1290" s="49">
        <v>1</v>
      </c>
      <c r="I1290" s="49" t="e">
        <v>#REF!</v>
      </c>
      <c r="J1290" s="50"/>
    </row>
    <row r="1291" ht="28.8" outlineLevel="1" spans="1:10">
      <c r="A1291" s="50">
        <v>351</v>
      </c>
      <c r="B1291" s="51" t="str">
        <v>聚乙烯减震垫-5厚单面平发泡</v>
      </c>
      <c r="C1291" s="51" t="e">
        <v>#REF!</v>
      </c>
      <c r="D1291" s="51" t="str">
        <v/>
      </c>
      <c r="E1291" s="51" t="str">
        <v/>
      </c>
      <c r="F1291" s="52" t="e">
        <v>#REF!</v>
      </c>
      <c r="G1291" s="48" t="e">
        <v>#REF!</v>
      </c>
      <c r="H1291" s="49">
        <v>1</v>
      </c>
      <c r="I1291" s="49" t="e">
        <v>#REF!</v>
      </c>
      <c r="J1291" s="50"/>
    </row>
    <row r="1292" outlineLevel="1" spans="1:10">
      <c r="A1292" s="50">
        <v>352</v>
      </c>
      <c r="B1292" s="51" t="str">
        <v>2回路分/集水器</v>
      </c>
      <c r="C1292" s="51" t="e">
        <v>#REF!</v>
      </c>
      <c r="D1292" s="51" t="str">
        <v/>
      </c>
      <c r="E1292" s="51" t="str">
        <v/>
      </c>
      <c r="F1292" s="52" t="e">
        <v>#REF!</v>
      </c>
      <c r="G1292" s="48" t="e">
        <v>#REF!</v>
      </c>
      <c r="H1292" s="49">
        <v>0</v>
      </c>
      <c r="I1292" s="49" t="e">
        <v>#REF!</v>
      </c>
      <c r="J1292" s="50"/>
    </row>
    <row r="1293" outlineLevel="1" spans="1:10">
      <c r="A1293" s="50">
        <v>353</v>
      </c>
      <c r="B1293" s="51" t="str">
        <v>3回路分/集水器</v>
      </c>
      <c r="C1293" s="51" t="e">
        <v>#REF!</v>
      </c>
      <c r="D1293" s="51" t="str">
        <v/>
      </c>
      <c r="E1293" s="51" t="str">
        <v/>
      </c>
      <c r="F1293" s="52" t="e">
        <v>#REF!</v>
      </c>
      <c r="G1293" s="48" t="e">
        <v>#REF!</v>
      </c>
      <c r="H1293" s="49">
        <v>7</v>
      </c>
      <c r="I1293" s="49" t="e">
        <v>#REF!</v>
      </c>
      <c r="J1293" s="50"/>
    </row>
    <row r="1294" outlineLevel="1" spans="1:10">
      <c r="A1294" s="50">
        <v>354</v>
      </c>
      <c r="B1294" s="51" t="str">
        <v>4回路分/集水器</v>
      </c>
      <c r="C1294" s="51" t="e">
        <v>#REF!</v>
      </c>
      <c r="D1294" s="51" t="str">
        <v/>
      </c>
      <c r="E1294" s="51" t="str">
        <v/>
      </c>
      <c r="F1294" s="52" t="e">
        <v>#REF!</v>
      </c>
      <c r="G1294" s="48" t="e">
        <v>#REF!</v>
      </c>
      <c r="H1294" s="49">
        <v>3</v>
      </c>
      <c r="I1294" s="49" t="e">
        <v>#REF!</v>
      </c>
      <c r="J1294" s="50"/>
    </row>
    <row r="1295" outlineLevel="1" spans="1:10">
      <c r="A1295" s="50">
        <v>355</v>
      </c>
      <c r="B1295" s="51" t="str">
        <v>5回路分/集水器</v>
      </c>
      <c r="C1295" s="51" t="e">
        <v>#REF!</v>
      </c>
      <c r="D1295" s="51" t="str">
        <v/>
      </c>
      <c r="E1295" s="51" t="str">
        <v/>
      </c>
      <c r="F1295" s="52" t="e">
        <v>#REF!</v>
      </c>
      <c r="G1295" s="48" t="e">
        <v>#REF!</v>
      </c>
      <c r="H1295" s="49">
        <v>1</v>
      </c>
      <c r="I1295" s="49" t="e">
        <v>#REF!</v>
      </c>
      <c r="J1295" s="50"/>
    </row>
    <row r="1296" outlineLevel="1" spans="1:10">
      <c r="A1296" s="50">
        <v>356</v>
      </c>
      <c r="B1296" s="51" t="str">
        <v>6回路分/集水器</v>
      </c>
      <c r="C1296" s="51" t="e">
        <v>#REF!</v>
      </c>
      <c r="D1296" s="51" t="str">
        <v/>
      </c>
      <c r="E1296" s="51" t="str">
        <v/>
      </c>
      <c r="F1296" s="52" t="e">
        <v>#REF!</v>
      </c>
      <c r="G1296" s="48" t="e">
        <v>#REF!</v>
      </c>
      <c r="H1296" s="49">
        <v>0</v>
      </c>
      <c r="I1296" s="49" t="e">
        <v>#REF!</v>
      </c>
      <c r="J1296" s="50"/>
    </row>
    <row r="1297" outlineLevel="1" spans="1:10">
      <c r="A1297" s="50">
        <v>357</v>
      </c>
      <c r="B1297" s="51" t="str">
        <v>7回路分/集水器</v>
      </c>
      <c r="C1297" s="51" t="e">
        <v>#REF!</v>
      </c>
      <c r="D1297" s="51" t="str">
        <v/>
      </c>
      <c r="E1297" s="51" t="str">
        <v/>
      </c>
      <c r="F1297" s="52" t="e">
        <v>#REF!</v>
      </c>
      <c r="G1297" s="48" t="e">
        <v>#REF!</v>
      </c>
      <c r="H1297" s="49">
        <v>0</v>
      </c>
      <c r="I1297" s="49" t="e">
        <v>#REF!</v>
      </c>
      <c r="J1297" s="50"/>
    </row>
    <row r="1298" outlineLevel="1" spans="1:10">
      <c r="A1298" s="50">
        <v>358</v>
      </c>
      <c r="B1298" s="51" t="str">
        <v>8回路分/集水器</v>
      </c>
      <c r="C1298" s="51" t="e">
        <v>#REF!</v>
      </c>
      <c r="D1298" s="51" t="str">
        <v/>
      </c>
      <c r="E1298" s="51" t="str">
        <v/>
      </c>
      <c r="F1298" s="52" t="e">
        <v>#REF!</v>
      </c>
      <c r="G1298" s="48" t="e">
        <v>#REF!</v>
      </c>
      <c r="H1298" s="49">
        <v>0</v>
      </c>
      <c r="I1298" s="49" t="e">
        <v>#REF!</v>
      </c>
      <c r="J1298" s="50"/>
    </row>
    <row r="1299" ht="28.8" outlineLevel="1" spans="1:10">
      <c r="A1299" s="50">
        <v>359</v>
      </c>
      <c r="B1299" s="51" t="str">
        <v>螺纹阀门-全铜截止阀-De32</v>
      </c>
      <c r="C1299" s="51" t="e">
        <v>#REF!</v>
      </c>
      <c r="D1299" s="51" t="str">
        <v/>
      </c>
      <c r="E1299" s="51" t="str">
        <v/>
      </c>
      <c r="F1299" s="52" t="e">
        <v>#REF!</v>
      </c>
      <c r="G1299" s="48" t="e">
        <v>#REF!</v>
      </c>
      <c r="H1299" s="49">
        <v>1</v>
      </c>
      <c r="I1299" s="49" t="e">
        <v>#REF!</v>
      </c>
      <c r="J1299" s="50"/>
    </row>
    <row r="1300" outlineLevel="1" spans="1:10">
      <c r="A1300" s="50" t="str">
        <v/>
      </c>
      <c r="B1300" s="51" t="str">
        <v>B.14采暖管道</v>
      </c>
      <c r="C1300" s="51" t="str">
        <v/>
      </c>
      <c r="D1300" s="51" t="str">
        <v/>
      </c>
      <c r="E1300" s="51" t="str">
        <v/>
      </c>
      <c r="F1300" s="52" t="str">
        <v/>
      </c>
      <c r="G1300" s="48" t="str">
        <v/>
      </c>
      <c r="H1300" s="49">
        <v>0</v>
      </c>
      <c r="I1300" s="49" t="e">
        <v>#REF!</v>
      </c>
      <c r="J1300" s="50"/>
    </row>
    <row r="1301" outlineLevel="1" spans="1:10">
      <c r="A1301" s="50">
        <v>360</v>
      </c>
      <c r="B1301" s="51" t="str">
        <v>室内供暖镀锌钢管-DN15</v>
      </c>
      <c r="C1301" s="51" t="e">
        <v>#REF!</v>
      </c>
      <c r="D1301" s="51" t="str">
        <v/>
      </c>
      <c r="E1301" s="51" t="str">
        <v/>
      </c>
      <c r="F1301" s="52" t="e">
        <v>#REF!</v>
      </c>
      <c r="G1301" s="48" t="e">
        <v>#REF!</v>
      </c>
      <c r="H1301" s="49">
        <v>5</v>
      </c>
      <c r="I1301" s="49" t="e">
        <v>#REF!</v>
      </c>
      <c r="J1301" s="50"/>
    </row>
    <row r="1302" outlineLevel="1" spans="1:10">
      <c r="A1302" s="50">
        <v>361</v>
      </c>
      <c r="B1302" s="51" t="str">
        <v>室内供暖镀锌钢管-DN20</v>
      </c>
      <c r="C1302" s="51" t="e">
        <v>#REF!</v>
      </c>
      <c r="D1302" s="51" t="str">
        <v/>
      </c>
      <c r="E1302" s="51" t="str">
        <v/>
      </c>
      <c r="F1302" s="52" t="e">
        <v>#REF!</v>
      </c>
      <c r="G1302" s="48" t="e">
        <v>#REF!</v>
      </c>
      <c r="H1302" s="49">
        <v>2</v>
      </c>
      <c r="I1302" s="49" t="e">
        <v>#REF!</v>
      </c>
      <c r="J1302" s="50"/>
    </row>
    <row r="1303" outlineLevel="1" spans="1:10">
      <c r="A1303" s="50">
        <v>362</v>
      </c>
      <c r="B1303" s="51" t="str">
        <v>室内供暖镀锌钢管-DN25</v>
      </c>
      <c r="C1303" s="51" t="e">
        <v>#REF!</v>
      </c>
      <c r="D1303" s="51" t="str">
        <v/>
      </c>
      <c r="E1303" s="51" t="str">
        <v/>
      </c>
      <c r="F1303" s="52" t="e">
        <v>#REF!</v>
      </c>
      <c r="G1303" s="48" t="e">
        <v>#REF!</v>
      </c>
      <c r="H1303" s="49">
        <v>163.38</v>
      </c>
      <c r="I1303" s="49" t="e">
        <v>#REF!</v>
      </c>
      <c r="J1303" s="50"/>
    </row>
    <row r="1304" outlineLevel="1" spans="1:10">
      <c r="A1304" s="50">
        <v>363</v>
      </c>
      <c r="B1304" s="51" t="str">
        <v>室内供暖镀锌钢管-DN32</v>
      </c>
      <c r="C1304" s="51" t="e">
        <v>#REF!</v>
      </c>
      <c r="D1304" s="51" t="str">
        <v/>
      </c>
      <c r="E1304" s="51" t="str">
        <v/>
      </c>
      <c r="F1304" s="52" t="e">
        <v>#REF!</v>
      </c>
      <c r="G1304" s="48" t="e">
        <v>#REF!</v>
      </c>
      <c r="H1304" s="49">
        <v>60.87</v>
      </c>
      <c r="I1304" s="49" t="e">
        <v>#REF!</v>
      </c>
      <c r="J1304" s="50"/>
    </row>
    <row r="1305" outlineLevel="1" spans="1:10">
      <c r="A1305" s="50">
        <v>364</v>
      </c>
      <c r="B1305" s="51" t="str">
        <v>室内供暖镀锌钢管-DN40</v>
      </c>
      <c r="C1305" s="51" t="e">
        <v>#REF!</v>
      </c>
      <c r="D1305" s="51" t="str">
        <v/>
      </c>
      <c r="E1305" s="51" t="str">
        <v/>
      </c>
      <c r="F1305" s="52" t="e">
        <v>#REF!</v>
      </c>
      <c r="G1305" s="48" t="e">
        <v>#REF!</v>
      </c>
      <c r="H1305" s="49">
        <v>23.4</v>
      </c>
      <c r="I1305" s="49" t="e">
        <v>#REF!</v>
      </c>
      <c r="J1305" s="50"/>
    </row>
    <row r="1306" outlineLevel="1" spans="1:10">
      <c r="A1306" s="50">
        <v>365</v>
      </c>
      <c r="B1306" s="51" t="str">
        <v>室内供暖镀锌钢管-DN50</v>
      </c>
      <c r="C1306" s="51" t="e">
        <v>#REF!</v>
      </c>
      <c r="D1306" s="51" t="str">
        <v/>
      </c>
      <c r="E1306" s="51" t="str">
        <v/>
      </c>
      <c r="F1306" s="52" t="e">
        <v>#REF!</v>
      </c>
      <c r="G1306" s="48" t="e">
        <v>#REF!</v>
      </c>
      <c r="H1306" s="49">
        <v>13.6</v>
      </c>
      <c r="I1306" s="49" t="e">
        <v>#REF!</v>
      </c>
      <c r="J1306" s="50"/>
    </row>
    <row r="1307" outlineLevel="1" spans="1:10">
      <c r="A1307" s="50">
        <v>366</v>
      </c>
      <c r="B1307" s="51" t="str">
        <v>室内供暖镀锌钢管-DN65</v>
      </c>
      <c r="C1307" s="51" t="e">
        <v>#REF!</v>
      </c>
      <c r="D1307" s="51" t="str">
        <v/>
      </c>
      <c r="E1307" s="51" t="str">
        <v/>
      </c>
      <c r="F1307" s="52" t="e">
        <v>#REF!</v>
      </c>
      <c r="G1307" s="48" t="e">
        <v>#REF!</v>
      </c>
      <c r="H1307" s="49">
        <v>27.8</v>
      </c>
      <c r="I1307" s="49" t="e">
        <v>#REF!</v>
      </c>
      <c r="J1307" s="50"/>
    </row>
    <row r="1308" outlineLevel="1" spans="1:10">
      <c r="A1308" s="50">
        <v>367</v>
      </c>
      <c r="B1308" s="51" t="str">
        <v>室内供暖镀锌钢管-DN80</v>
      </c>
      <c r="C1308" s="51" t="e">
        <v>#REF!</v>
      </c>
      <c r="D1308" s="51" t="str">
        <v/>
      </c>
      <c r="E1308" s="51" t="str">
        <v/>
      </c>
      <c r="F1308" s="52" t="e">
        <v>#REF!</v>
      </c>
      <c r="G1308" s="48" t="e">
        <v>#REF!</v>
      </c>
      <c r="H1308" s="49">
        <v>1</v>
      </c>
      <c r="I1308" s="49" t="e">
        <v>#REF!</v>
      </c>
      <c r="J1308" s="50"/>
    </row>
    <row r="1309" ht="28.8" outlineLevel="1" spans="1:10">
      <c r="A1309" s="50">
        <v>368</v>
      </c>
      <c r="B1309" s="51" t="str">
        <v>室内供暖无缝镀锌钢管-DN100</v>
      </c>
      <c r="C1309" s="51" t="e">
        <v>#REF!</v>
      </c>
      <c r="D1309" s="51" t="str">
        <v/>
      </c>
      <c r="E1309" s="51" t="str">
        <v/>
      </c>
      <c r="F1309" s="52" t="e">
        <v>#REF!</v>
      </c>
      <c r="G1309" s="48" t="e">
        <v>#REF!</v>
      </c>
      <c r="H1309" s="49">
        <v>0</v>
      </c>
      <c r="I1309" s="49" t="e">
        <v>#REF!</v>
      </c>
      <c r="J1309" s="50"/>
    </row>
    <row r="1310" ht="28.8" outlineLevel="1" spans="1:10">
      <c r="A1310" s="50">
        <v>369</v>
      </c>
      <c r="B1310" s="51" t="str">
        <v>室内采暖塑料管-PPR-De25</v>
      </c>
      <c r="C1310" s="51" t="e">
        <v>#REF!</v>
      </c>
      <c r="D1310" s="51" t="str">
        <v/>
      </c>
      <c r="E1310" s="51" t="str">
        <v/>
      </c>
      <c r="F1310" s="52" t="e">
        <v>#REF!</v>
      </c>
      <c r="G1310" s="48" t="e">
        <v>#REF!</v>
      </c>
      <c r="H1310" s="49">
        <v>0</v>
      </c>
      <c r="I1310" s="49" t="e">
        <v>#REF!</v>
      </c>
      <c r="J1310" s="50"/>
    </row>
    <row r="1311" ht="28.8" outlineLevel="1" spans="1:10">
      <c r="A1311" s="50">
        <v>370</v>
      </c>
      <c r="B1311" s="51" t="str">
        <v>室内采暖塑料管-PPR-De32</v>
      </c>
      <c r="C1311" s="51" t="e">
        <v>#REF!</v>
      </c>
      <c r="D1311" s="51" t="str">
        <v/>
      </c>
      <c r="E1311" s="51" t="str">
        <v/>
      </c>
      <c r="F1311" s="52" t="e">
        <v>#REF!</v>
      </c>
      <c r="G1311" s="48" t="e">
        <v>#REF!</v>
      </c>
      <c r="H1311" s="49">
        <v>1</v>
      </c>
      <c r="I1311" s="49" t="e">
        <v>#REF!</v>
      </c>
      <c r="J1311" s="50"/>
    </row>
    <row r="1312" outlineLevel="1" spans="1:10">
      <c r="A1312" s="50" t="str">
        <v/>
      </c>
      <c r="B1312" s="51" t="str">
        <v>B.15阀部件</v>
      </c>
      <c r="C1312" s="51" t="str">
        <v/>
      </c>
      <c r="D1312" s="51" t="str">
        <v/>
      </c>
      <c r="E1312" s="51" t="str">
        <v/>
      </c>
      <c r="F1312" s="52" t="str">
        <v/>
      </c>
      <c r="G1312" s="48" t="str">
        <v/>
      </c>
      <c r="H1312" s="49">
        <v>0</v>
      </c>
      <c r="I1312" s="49" t="e">
        <v>#REF!</v>
      </c>
      <c r="J1312" s="50"/>
    </row>
    <row r="1313" ht="28.8" outlineLevel="1" spans="1:10">
      <c r="A1313" s="50">
        <v>371</v>
      </c>
      <c r="B1313" s="51" t="str">
        <v>螺纹阀门-自动放气阀-DN15</v>
      </c>
      <c r="C1313" s="51" t="e">
        <v>#REF!</v>
      </c>
      <c r="D1313" s="51" t="str">
        <v/>
      </c>
      <c r="E1313" s="51" t="str">
        <v/>
      </c>
      <c r="F1313" s="52" t="e">
        <v>#REF!</v>
      </c>
      <c r="G1313" s="48" t="e">
        <v>#REF!</v>
      </c>
      <c r="H1313" s="49">
        <v>10</v>
      </c>
      <c r="I1313" s="49" t="e">
        <v>#REF!</v>
      </c>
      <c r="J1313" s="50"/>
    </row>
    <row r="1314" ht="28.8" outlineLevel="1" spans="1:10">
      <c r="A1314" s="50">
        <v>372</v>
      </c>
      <c r="B1314" s="51" t="str">
        <v>自动放气阀下截止阀-DN15</v>
      </c>
      <c r="C1314" s="51" t="e">
        <v>#REF!</v>
      </c>
      <c r="D1314" s="51" t="str">
        <v/>
      </c>
      <c r="E1314" s="51" t="str">
        <v/>
      </c>
      <c r="F1314" s="52" t="e">
        <v>#REF!</v>
      </c>
      <c r="G1314" s="48" t="e">
        <v>#REF!</v>
      </c>
      <c r="H1314" s="49">
        <v>10</v>
      </c>
      <c r="I1314" s="49" t="e">
        <v>#REF!</v>
      </c>
      <c r="J1314" s="50"/>
    </row>
    <row r="1315" ht="28.8" outlineLevel="1" spans="1:10">
      <c r="A1315" s="50">
        <v>373</v>
      </c>
      <c r="B1315" s="51" t="str">
        <v>螺纹阀门-手动调节阀-DN25</v>
      </c>
      <c r="C1315" s="51" t="e">
        <v>#REF!</v>
      </c>
      <c r="D1315" s="51" t="str">
        <v/>
      </c>
      <c r="E1315" s="51" t="str">
        <v/>
      </c>
      <c r="F1315" s="52" t="e">
        <v>#REF!</v>
      </c>
      <c r="G1315" s="48" t="e">
        <v>#REF!</v>
      </c>
      <c r="H1315" s="49">
        <v>10</v>
      </c>
      <c r="I1315" s="49" t="e">
        <v>#REF!</v>
      </c>
      <c r="J1315" s="50"/>
    </row>
    <row r="1316" ht="28.8" outlineLevel="1" spans="1:10">
      <c r="A1316" s="50">
        <v>374</v>
      </c>
      <c r="B1316" s="51" t="str">
        <v>螺纹阀门-手动调节阀-DN32</v>
      </c>
      <c r="C1316" s="51" t="e">
        <v>#REF!</v>
      </c>
      <c r="D1316" s="51" t="str">
        <v/>
      </c>
      <c r="E1316" s="51" t="str">
        <v/>
      </c>
      <c r="F1316" s="52" t="e">
        <v>#REF!</v>
      </c>
      <c r="G1316" s="48" t="e">
        <v>#REF!</v>
      </c>
      <c r="H1316" s="49">
        <v>3</v>
      </c>
      <c r="I1316" s="49" t="e">
        <v>#REF!</v>
      </c>
      <c r="J1316" s="50"/>
    </row>
    <row r="1317" ht="28.8" outlineLevel="1" spans="1:10">
      <c r="A1317" s="50">
        <v>375</v>
      </c>
      <c r="B1317" s="51" t="str">
        <v>螺纹阀门-手动调节阀-DN50</v>
      </c>
      <c r="C1317" s="51" t="e">
        <v>#REF!</v>
      </c>
      <c r="D1317" s="51" t="str">
        <v/>
      </c>
      <c r="E1317" s="51" t="str">
        <v/>
      </c>
      <c r="F1317" s="52" t="e">
        <v>#REF!</v>
      </c>
      <c r="G1317" s="48" t="e">
        <v>#REF!</v>
      </c>
      <c r="H1317" s="49">
        <v>1</v>
      </c>
      <c r="I1317" s="49" t="e">
        <v>#REF!</v>
      </c>
      <c r="J1317" s="50"/>
    </row>
    <row r="1318" outlineLevel="1" spans="1:10">
      <c r="A1318" s="50">
        <v>376</v>
      </c>
      <c r="B1318" s="51" t="str">
        <v>螺纹阀门-截止阀-DN20</v>
      </c>
      <c r="C1318" s="51" t="e">
        <v>#REF!</v>
      </c>
      <c r="D1318" s="51" t="str">
        <v/>
      </c>
      <c r="E1318" s="51" t="str">
        <v/>
      </c>
      <c r="F1318" s="52" t="e">
        <v>#REF!</v>
      </c>
      <c r="G1318" s="48" t="e">
        <v>#REF!</v>
      </c>
      <c r="H1318" s="49">
        <v>10</v>
      </c>
      <c r="I1318" s="49" t="e">
        <v>#REF!</v>
      </c>
      <c r="J1318" s="50"/>
    </row>
    <row r="1319" outlineLevel="1" spans="1:10">
      <c r="A1319" s="50">
        <v>377</v>
      </c>
      <c r="B1319" s="51" t="str">
        <v>螺纹阀门-截止阀-DN32</v>
      </c>
      <c r="C1319" s="51" t="e">
        <v>#REF!</v>
      </c>
      <c r="D1319" s="51" t="str">
        <v/>
      </c>
      <c r="E1319" s="51" t="str">
        <v/>
      </c>
      <c r="F1319" s="52" t="e">
        <v>#REF!</v>
      </c>
      <c r="G1319" s="48" t="e">
        <v>#REF!</v>
      </c>
      <c r="H1319" s="49">
        <v>3</v>
      </c>
      <c r="I1319" s="49" t="e">
        <v>#REF!</v>
      </c>
      <c r="J1319" s="50"/>
    </row>
    <row r="1320" outlineLevel="1" spans="1:10">
      <c r="A1320" s="50">
        <v>378</v>
      </c>
      <c r="B1320" s="51" t="str">
        <v>螺纹阀门-截止阀-DN50</v>
      </c>
      <c r="C1320" s="51" t="e">
        <v>#REF!</v>
      </c>
      <c r="D1320" s="51" t="str">
        <v/>
      </c>
      <c r="E1320" s="51" t="str">
        <v/>
      </c>
      <c r="F1320" s="52" t="e">
        <v>#REF!</v>
      </c>
      <c r="G1320" s="48" t="e">
        <v>#REF!</v>
      </c>
      <c r="H1320" s="49">
        <v>1</v>
      </c>
      <c r="I1320" s="49" t="e">
        <v>#REF!</v>
      </c>
      <c r="J1320" s="50"/>
    </row>
    <row r="1321" outlineLevel="1" spans="1:10">
      <c r="A1321" s="50">
        <v>379</v>
      </c>
      <c r="B1321" s="51" t="str">
        <v>螺纹阀门-锁闭阀-DN20</v>
      </c>
      <c r="C1321" s="51" t="e">
        <v>#REF!</v>
      </c>
      <c r="D1321" s="51" t="str">
        <v/>
      </c>
      <c r="E1321" s="51" t="str">
        <v/>
      </c>
      <c r="F1321" s="52" t="e">
        <v>#REF!</v>
      </c>
      <c r="G1321" s="48" t="e">
        <v>#REF!</v>
      </c>
      <c r="H1321" s="49">
        <v>0</v>
      </c>
      <c r="I1321" s="49" t="e">
        <v>#REF!</v>
      </c>
      <c r="J1321" s="50"/>
    </row>
    <row r="1322" outlineLevel="1" spans="1:10">
      <c r="A1322" s="50">
        <v>380</v>
      </c>
      <c r="B1322" s="51" t="str">
        <v>螺纹阀门-锁闭阀-DN25</v>
      </c>
      <c r="C1322" s="51" t="e">
        <v>#REF!</v>
      </c>
      <c r="D1322" s="51" t="str">
        <v/>
      </c>
      <c r="E1322" s="51" t="str">
        <v/>
      </c>
      <c r="F1322" s="52" t="e">
        <v>#REF!</v>
      </c>
      <c r="G1322" s="48" t="e">
        <v>#REF!</v>
      </c>
      <c r="H1322" s="49">
        <v>10</v>
      </c>
      <c r="I1322" s="49" t="e">
        <v>#REF!</v>
      </c>
      <c r="J1322" s="50"/>
    </row>
    <row r="1323" ht="28.8" outlineLevel="1" spans="1:10">
      <c r="A1323" s="50">
        <v>381</v>
      </c>
      <c r="B1323" s="51" t="str">
        <v>螺纹阀门-铜测温球阀-DN20</v>
      </c>
      <c r="C1323" s="51" t="e">
        <v>#REF!</v>
      </c>
      <c r="D1323" s="51" t="str">
        <v/>
      </c>
      <c r="E1323" s="51" t="str">
        <v/>
      </c>
      <c r="F1323" s="52" t="e">
        <v>#REF!</v>
      </c>
      <c r="G1323" s="48" t="e">
        <v>#REF!</v>
      </c>
      <c r="H1323" s="49">
        <v>0</v>
      </c>
      <c r="I1323" s="49" t="e">
        <v>#REF!</v>
      </c>
      <c r="J1323" s="50"/>
    </row>
    <row r="1324" ht="28.8" outlineLevel="1" spans="1:10">
      <c r="A1324" s="50">
        <v>382</v>
      </c>
      <c r="B1324" s="51" t="str">
        <v>螺纹阀门-铜测温球阀-DN25</v>
      </c>
      <c r="C1324" s="51" t="e">
        <v>#REF!</v>
      </c>
      <c r="D1324" s="51" t="str">
        <v/>
      </c>
      <c r="E1324" s="51" t="str">
        <v/>
      </c>
      <c r="F1324" s="52" t="e">
        <v>#REF!</v>
      </c>
      <c r="G1324" s="48" t="e">
        <v>#REF!</v>
      </c>
      <c r="H1324" s="49">
        <v>0</v>
      </c>
      <c r="I1324" s="49" t="e">
        <v>#REF!</v>
      </c>
      <c r="J1324" s="50"/>
    </row>
    <row r="1325" ht="28.8" outlineLevel="1" spans="1:10">
      <c r="A1325" s="50">
        <v>383</v>
      </c>
      <c r="B1325" s="51" t="str">
        <v>螺纹阀门-Y型过滤器-DN20</v>
      </c>
      <c r="C1325" s="51" t="e">
        <v>#REF!</v>
      </c>
      <c r="D1325" s="51" t="str">
        <v/>
      </c>
      <c r="E1325" s="51" t="str">
        <v/>
      </c>
      <c r="F1325" s="52" t="e">
        <v>#REF!</v>
      </c>
      <c r="G1325" s="48" t="e">
        <v>#REF!</v>
      </c>
      <c r="H1325" s="49">
        <v>0</v>
      </c>
      <c r="I1325" s="49" t="e">
        <v>#REF!</v>
      </c>
      <c r="J1325" s="50"/>
    </row>
    <row r="1326" ht="28.8" outlineLevel="1" spans="1:10">
      <c r="A1326" s="50">
        <v>384</v>
      </c>
      <c r="B1326" s="51" t="str">
        <v>螺纹阀门-Y型过滤器-DN25</v>
      </c>
      <c r="C1326" s="51" t="e">
        <v>#REF!</v>
      </c>
      <c r="D1326" s="51" t="str">
        <v/>
      </c>
      <c r="E1326" s="51" t="str">
        <v/>
      </c>
      <c r="F1326" s="52" t="e">
        <v>#REF!</v>
      </c>
      <c r="G1326" s="48" t="e">
        <v>#REF!</v>
      </c>
      <c r="H1326" s="49">
        <v>10</v>
      </c>
      <c r="I1326" s="49" t="e">
        <v>#REF!</v>
      </c>
      <c r="J1326" s="50"/>
    </row>
    <row r="1327" ht="28.8" outlineLevel="1" spans="1:10">
      <c r="A1327" s="50">
        <v>385</v>
      </c>
      <c r="B1327" s="51" t="str">
        <v>法兰阀门-Y型过滤器-DN65</v>
      </c>
      <c r="C1327" s="51" t="e">
        <v>#REF!</v>
      </c>
      <c r="D1327" s="51" t="str">
        <v/>
      </c>
      <c r="E1327" s="51" t="str">
        <v/>
      </c>
      <c r="F1327" s="52" t="e">
        <v>#REF!</v>
      </c>
      <c r="G1327" s="48" t="e">
        <v>#REF!</v>
      </c>
      <c r="H1327" s="49">
        <v>4</v>
      </c>
      <c r="I1327" s="49" t="e">
        <v>#REF!</v>
      </c>
      <c r="J1327" s="50"/>
    </row>
    <row r="1328" ht="28.8" outlineLevel="1" spans="1:10">
      <c r="A1328" s="50">
        <v>386</v>
      </c>
      <c r="B1328" s="51" t="str">
        <v>螺纹阀门-静态水力平衡阀-DN20</v>
      </c>
      <c r="C1328" s="51" t="e">
        <v>#REF!</v>
      </c>
      <c r="D1328" s="51" t="str">
        <v/>
      </c>
      <c r="E1328" s="51" t="str">
        <v/>
      </c>
      <c r="F1328" s="52" t="e">
        <v>#REF!</v>
      </c>
      <c r="G1328" s="48" t="e">
        <v>#REF!</v>
      </c>
      <c r="H1328" s="49">
        <v>0</v>
      </c>
      <c r="I1328" s="49" t="e">
        <v>#REF!</v>
      </c>
      <c r="J1328" s="50"/>
    </row>
    <row r="1329" ht="28.8" outlineLevel="1" spans="1:10">
      <c r="A1329" s="50">
        <v>387</v>
      </c>
      <c r="B1329" s="51" t="str">
        <v>螺纹阀门-静态水力平衡阀-DN25</v>
      </c>
      <c r="C1329" s="51" t="e">
        <v>#REF!</v>
      </c>
      <c r="D1329" s="51" t="str">
        <v/>
      </c>
      <c r="E1329" s="51" t="str">
        <v/>
      </c>
      <c r="F1329" s="52" t="e">
        <v>#REF!</v>
      </c>
      <c r="G1329" s="48" t="e">
        <v>#REF!</v>
      </c>
      <c r="H1329" s="49">
        <v>0</v>
      </c>
      <c r="I1329" s="49" t="e">
        <v>#REF!</v>
      </c>
      <c r="J1329" s="50"/>
    </row>
    <row r="1330" ht="28.8" outlineLevel="1" spans="1:10">
      <c r="A1330" s="50">
        <v>388</v>
      </c>
      <c r="B1330" s="51" t="str">
        <v>法兰阀门-静态水力平衡阀-DN65</v>
      </c>
      <c r="C1330" s="51" t="e">
        <v>#REF!</v>
      </c>
      <c r="D1330" s="51" t="str">
        <v/>
      </c>
      <c r="E1330" s="51" t="str">
        <v/>
      </c>
      <c r="F1330" s="52" t="e">
        <v>#REF!</v>
      </c>
      <c r="G1330" s="48" t="e">
        <v>#REF!</v>
      </c>
      <c r="H1330" s="49">
        <v>1</v>
      </c>
      <c r="I1330" s="49" t="e">
        <v>#REF!</v>
      </c>
      <c r="J1330" s="50"/>
    </row>
    <row r="1331" ht="28.8" outlineLevel="1" spans="1:10">
      <c r="A1331" s="50">
        <v>389</v>
      </c>
      <c r="B1331" s="51" t="str">
        <v>螺纹阀门-电动温控阀-DN20</v>
      </c>
      <c r="C1331" s="51" t="e">
        <v>#REF!</v>
      </c>
      <c r="D1331" s="51" t="str">
        <v/>
      </c>
      <c r="E1331" s="51" t="str">
        <v/>
      </c>
      <c r="F1331" s="52" t="e">
        <v>#REF!</v>
      </c>
      <c r="G1331" s="48" t="e">
        <v>#REF!</v>
      </c>
      <c r="H1331" s="49">
        <v>0</v>
      </c>
      <c r="I1331" s="49" t="e">
        <v>#REF!</v>
      </c>
      <c r="J1331" s="50"/>
    </row>
    <row r="1332" ht="28.8" outlineLevel="1" spans="1:10">
      <c r="A1332" s="50">
        <v>390</v>
      </c>
      <c r="B1332" s="51" t="str">
        <v>螺纹阀门-电动温控阀-DN25</v>
      </c>
      <c r="C1332" s="51" t="e">
        <v>#REF!</v>
      </c>
      <c r="D1332" s="51" t="str">
        <v/>
      </c>
      <c r="E1332" s="51" t="str">
        <v/>
      </c>
      <c r="F1332" s="52" t="e">
        <v>#REF!</v>
      </c>
      <c r="G1332" s="48" t="e">
        <v>#REF!</v>
      </c>
      <c r="H1332" s="49">
        <v>10</v>
      </c>
      <c r="I1332" s="49" t="e">
        <v>#REF!</v>
      </c>
      <c r="J1332" s="50"/>
    </row>
    <row r="1333" ht="28.8" outlineLevel="1" spans="1:10">
      <c r="A1333" s="50">
        <v>391</v>
      </c>
      <c r="B1333" s="51" t="str">
        <v>螺纹阀门-泄水球阀-DN25</v>
      </c>
      <c r="C1333" s="51" t="e">
        <v>#REF!</v>
      </c>
      <c r="D1333" s="51" t="str">
        <v/>
      </c>
      <c r="E1333" s="51" t="str">
        <v/>
      </c>
      <c r="F1333" s="52" t="e">
        <v>#REF!</v>
      </c>
      <c r="G1333" s="48" t="e">
        <v>#REF!</v>
      </c>
      <c r="H1333" s="49">
        <v>2</v>
      </c>
      <c r="I1333" s="49" t="e">
        <v>#REF!</v>
      </c>
      <c r="J1333" s="50"/>
    </row>
    <row r="1334" outlineLevel="1" spans="1:10">
      <c r="A1334" s="50">
        <v>392</v>
      </c>
      <c r="B1334" s="51" t="str">
        <v>螺纹阀门-连通阀-DN25</v>
      </c>
      <c r="C1334" s="51" t="e">
        <v>#REF!</v>
      </c>
      <c r="D1334" s="51" t="str">
        <v/>
      </c>
      <c r="E1334" s="51" t="str">
        <v/>
      </c>
      <c r="F1334" s="52" t="e">
        <v>#REF!</v>
      </c>
      <c r="G1334" s="48" t="e">
        <v>#REF!</v>
      </c>
      <c r="H1334" s="49">
        <v>1</v>
      </c>
      <c r="I1334" s="49" t="e">
        <v>#REF!</v>
      </c>
      <c r="J1334" s="50"/>
    </row>
    <row r="1335" outlineLevel="1" spans="1:10">
      <c r="A1335" s="50">
        <v>393</v>
      </c>
      <c r="B1335" s="51" t="str">
        <v>波纹补偿器-DN65</v>
      </c>
      <c r="C1335" s="51" t="e">
        <v>#REF!</v>
      </c>
      <c r="D1335" s="51" t="str">
        <v/>
      </c>
      <c r="E1335" s="51" t="str">
        <v/>
      </c>
      <c r="F1335" s="52" t="e">
        <v>#REF!</v>
      </c>
      <c r="G1335" s="48" t="e">
        <v>#REF!</v>
      </c>
      <c r="H1335" s="49">
        <v>1</v>
      </c>
      <c r="I1335" s="49" t="e">
        <v>#REF!</v>
      </c>
      <c r="J1335" s="50"/>
    </row>
    <row r="1336" outlineLevel="1" spans="1:10">
      <c r="A1336" s="50">
        <v>394</v>
      </c>
      <c r="B1336" s="51" t="str">
        <v>波纹补偿器-DN80</v>
      </c>
      <c r="C1336" s="51" t="e">
        <v>#REF!</v>
      </c>
      <c r="D1336" s="51" t="str">
        <v/>
      </c>
      <c r="E1336" s="51" t="str">
        <v/>
      </c>
      <c r="F1336" s="52" t="e">
        <v>#REF!</v>
      </c>
      <c r="G1336" s="48" t="e">
        <v>#REF!</v>
      </c>
      <c r="H1336" s="49">
        <v>0</v>
      </c>
      <c r="I1336" s="49" t="e">
        <v>#REF!</v>
      </c>
      <c r="J1336" s="50"/>
    </row>
    <row r="1337" outlineLevel="1" spans="1:10">
      <c r="A1337" s="50">
        <v>395</v>
      </c>
      <c r="B1337" s="51" t="str">
        <v>波纹补偿器-DN100</v>
      </c>
      <c r="C1337" s="51" t="e">
        <v>#REF!</v>
      </c>
      <c r="D1337" s="51" t="str">
        <v/>
      </c>
      <c r="E1337" s="51" t="str">
        <v/>
      </c>
      <c r="F1337" s="52" t="e">
        <v>#REF!</v>
      </c>
      <c r="G1337" s="48" t="e">
        <v>#REF!</v>
      </c>
      <c r="H1337" s="49">
        <v>0</v>
      </c>
      <c r="I1337" s="49" t="e">
        <v>#REF!</v>
      </c>
      <c r="J1337" s="50"/>
    </row>
    <row r="1338" outlineLevel="1" spans="1:10">
      <c r="A1338" s="50">
        <v>396</v>
      </c>
      <c r="B1338" s="51" t="str">
        <v>法兰阀门-闸阀-DN65</v>
      </c>
      <c r="C1338" s="51" t="e">
        <v>#REF!</v>
      </c>
      <c r="D1338" s="51" t="str">
        <v/>
      </c>
      <c r="E1338" s="51" t="str">
        <v/>
      </c>
      <c r="F1338" s="52" t="e">
        <v>#REF!</v>
      </c>
      <c r="G1338" s="48" t="e">
        <v>#REF!</v>
      </c>
      <c r="H1338" s="49">
        <v>4</v>
      </c>
      <c r="I1338" s="49" t="e">
        <v>#REF!</v>
      </c>
      <c r="J1338" s="50"/>
    </row>
    <row r="1339" outlineLevel="1" spans="1:10">
      <c r="A1339" s="50">
        <v>397</v>
      </c>
      <c r="B1339" s="51" t="str">
        <v>热量表-DN15</v>
      </c>
      <c r="C1339" s="51" t="e">
        <v>#REF!</v>
      </c>
      <c r="D1339" s="51" t="str">
        <v/>
      </c>
      <c r="E1339" s="51" t="str">
        <v/>
      </c>
      <c r="F1339" s="52" t="e">
        <v>#REF!</v>
      </c>
      <c r="G1339" s="48" t="e">
        <v>#REF!</v>
      </c>
      <c r="H1339" s="49">
        <v>1</v>
      </c>
      <c r="I1339" s="49" t="e">
        <v>#REF!</v>
      </c>
      <c r="J1339" s="50"/>
    </row>
    <row r="1340" outlineLevel="1" spans="1:10">
      <c r="A1340" s="50">
        <v>398</v>
      </c>
      <c r="B1340" s="51" t="str">
        <v>热量表-DN15（甲供）</v>
      </c>
      <c r="C1340" s="51" t="e">
        <v>#REF!</v>
      </c>
      <c r="D1340" s="51" t="str">
        <v/>
      </c>
      <c r="E1340" s="51" t="str">
        <v/>
      </c>
      <c r="F1340" s="52" t="e">
        <v>#REF!</v>
      </c>
      <c r="G1340" s="48" t="e">
        <v>#REF!</v>
      </c>
      <c r="H1340" s="49">
        <v>1</v>
      </c>
      <c r="I1340" s="49" t="e">
        <v>#REF!</v>
      </c>
      <c r="J1340" s="50"/>
    </row>
    <row r="1341" outlineLevel="1" spans="1:10">
      <c r="A1341" s="50">
        <v>399</v>
      </c>
      <c r="B1341" s="51" t="str">
        <v>温度仪表</v>
      </c>
      <c r="C1341" s="51" t="e">
        <v>#REF!</v>
      </c>
      <c r="D1341" s="51" t="str">
        <v/>
      </c>
      <c r="E1341" s="51" t="str">
        <v/>
      </c>
      <c r="F1341" s="52" t="e">
        <v>#REF!</v>
      </c>
      <c r="G1341" s="48" t="e">
        <v>#REF!</v>
      </c>
      <c r="H1341" s="49">
        <v>1</v>
      </c>
      <c r="I1341" s="49" t="e">
        <v>#REF!</v>
      </c>
      <c r="J1341" s="50"/>
    </row>
    <row r="1342" outlineLevel="1" spans="1:10">
      <c r="A1342" s="50">
        <v>400</v>
      </c>
      <c r="B1342" s="51" t="str">
        <v>采暖压力仪表</v>
      </c>
      <c r="C1342" s="51" t="e">
        <v>#REF!</v>
      </c>
      <c r="D1342" s="51" t="str">
        <v/>
      </c>
      <c r="E1342" s="51" t="str">
        <v/>
      </c>
      <c r="F1342" s="52" t="e">
        <v>#REF!</v>
      </c>
      <c r="G1342" s="48" t="e">
        <v>#REF!</v>
      </c>
      <c r="H1342" s="49">
        <v>5</v>
      </c>
      <c r="I1342" s="49" t="e">
        <v>#REF!</v>
      </c>
      <c r="J1342" s="50"/>
    </row>
    <row r="1343" outlineLevel="1" spans="1:10">
      <c r="A1343" s="50">
        <v>401</v>
      </c>
      <c r="B1343" s="51" t="str">
        <v>风扇</v>
      </c>
      <c r="C1343" s="51" t="e">
        <v>#REF!</v>
      </c>
      <c r="D1343" s="51" t="str">
        <v/>
      </c>
      <c r="E1343" s="51" t="str">
        <v/>
      </c>
      <c r="F1343" s="52" t="e">
        <v>#REF!</v>
      </c>
      <c r="G1343" s="48" t="e">
        <v>#REF!</v>
      </c>
      <c r="H1343" s="49">
        <v>0</v>
      </c>
      <c r="I1343" s="49" t="e">
        <v>#REF!</v>
      </c>
      <c r="J1343" s="50"/>
    </row>
    <row r="1344" outlineLevel="1" spans="1:10">
      <c r="A1344" s="50">
        <v>402</v>
      </c>
      <c r="B1344" s="51" t="str">
        <v>刚性防水套管-DN65</v>
      </c>
      <c r="C1344" s="51" t="e">
        <v>#REF!</v>
      </c>
      <c r="D1344" s="51" t="str">
        <v/>
      </c>
      <c r="E1344" s="51" t="str">
        <v/>
      </c>
      <c r="F1344" s="52" t="e">
        <v>#REF!</v>
      </c>
      <c r="G1344" s="48" t="e">
        <v>#REF!</v>
      </c>
      <c r="H1344" s="49">
        <v>1</v>
      </c>
      <c r="I1344" s="49" t="e">
        <v>#REF!</v>
      </c>
      <c r="J1344" s="50"/>
    </row>
    <row r="1345" outlineLevel="1" spans="1:10">
      <c r="A1345" s="50">
        <v>403</v>
      </c>
      <c r="B1345" s="51" t="str">
        <v>刚性防水套管-DN80</v>
      </c>
      <c r="C1345" s="51" t="e">
        <v>#REF!</v>
      </c>
      <c r="D1345" s="51" t="str">
        <v/>
      </c>
      <c r="E1345" s="51" t="str">
        <v/>
      </c>
      <c r="F1345" s="52" t="e">
        <v>#REF!</v>
      </c>
      <c r="G1345" s="48" t="e">
        <v>#REF!</v>
      </c>
      <c r="H1345" s="49">
        <v>1</v>
      </c>
      <c r="I1345" s="49" t="e">
        <v>#REF!</v>
      </c>
      <c r="J1345" s="50"/>
    </row>
    <row r="1346" outlineLevel="1" spans="1:10">
      <c r="A1346" s="50" t="str">
        <v/>
      </c>
      <c r="B1346" s="51" t="str">
        <v>B.16绝热</v>
      </c>
      <c r="C1346" s="51" t="str">
        <v/>
      </c>
      <c r="D1346" s="51" t="str">
        <v/>
      </c>
      <c r="E1346" s="51" t="str">
        <v/>
      </c>
      <c r="F1346" s="52" t="str">
        <v/>
      </c>
      <c r="G1346" s="48" t="str">
        <v/>
      </c>
      <c r="H1346" s="49">
        <v>0</v>
      </c>
      <c r="I1346" s="49" t="e">
        <v>#REF!</v>
      </c>
      <c r="J1346" s="50"/>
    </row>
    <row r="1347" outlineLevel="1" spans="1:10">
      <c r="A1347" s="50">
        <v>404</v>
      </c>
      <c r="B1347" s="51" t="str">
        <v>管道绝热</v>
      </c>
      <c r="C1347" s="51" t="e">
        <v>#REF!</v>
      </c>
      <c r="D1347" s="51" t="str">
        <v/>
      </c>
      <c r="E1347" s="51" t="str">
        <v/>
      </c>
      <c r="F1347" s="52" t="e">
        <v>#REF!</v>
      </c>
      <c r="G1347" s="48" t="e">
        <v>#REF!</v>
      </c>
      <c r="H1347" s="49">
        <v>0.06</v>
      </c>
      <c r="I1347" s="49" t="e">
        <v>#REF!</v>
      </c>
      <c r="J1347" s="50"/>
    </row>
    <row r="1348" outlineLevel="1" spans="1:10">
      <c r="A1348" s="50">
        <v>405</v>
      </c>
      <c r="B1348" s="51" t="str">
        <v>防火胶带保护层</v>
      </c>
      <c r="C1348" s="51" t="e">
        <v>#REF!</v>
      </c>
      <c r="D1348" s="51" t="str">
        <v/>
      </c>
      <c r="E1348" s="51" t="str">
        <v/>
      </c>
      <c r="F1348" s="52" t="e">
        <v>#REF!</v>
      </c>
      <c r="G1348" s="48" t="e">
        <v>#REF!</v>
      </c>
      <c r="H1348" s="49">
        <v>1</v>
      </c>
      <c r="I1348" s="49" t="e">
        <v>#REF!</v>
      </c>
      <c r="J1348" s="50"/>
    </row>
    <row r="1349" outlineLevel="1" spans="1:10">
      <c r="A1349" s="50" t="str">
        <v/>
      </c>
      <c r="B1349" s="51" t="str">
        <v>B.17系统调试</v>
      </c>
      <c r="C1349" s="51" t="str">
        <v/>
      </c>
      <c r="D1349" s="51" t="str">
        <v/>
      </c>
      <c r="E1349" s="51" t="str">
        <v/>
      </c>
      <c r="F1349" s="52" t="str">
        <v/>
      </c>
      <c r="G1349" s="48" t="str">
        <v/>
      </c>
      <c r="H1349" s="49">
        <v>0</v>
      </c>
      <c r="I1349" s="49" t="e">
        <v>#REF!</v>
      </c>
      <c r="J1349" s="50"/>
    </row>
    <row r="1350" outlineLevel="1" spans="1:10">
      <c r="A1350" s="50">
        <v>406</v>
      </c>
      <c r="B1350" s="51" t="str">
        <v>采暖工程系统调试</v>
      </c>
      <c r="C1350" s="51" t="e">
        <v>#REF!</v>
      </c>
      <c r="D1350" s="51" t="str">
        <v/>
      </c>
      <c r="E1350" s="51" t="str">
        <v/>
      </c>
      <c r="F1350" s="52" t="e">
        <v>#REF!</v>
      </c>
      <c r="G1350" s="48" t="e">
        <v>#REF!</v>
      </c>
      <c r="H1350" s="49">
        <v>1313.8</v>
      </c>
      <c r="I1350" s="49" t="e">
        <v>#REF!</v>
      </c>
      <c r="J1350" s="50"/>
    </row>
    <row r="1351" outlineLevel="1" spans="1:10">
      <c r="A1351" s="50" t="str">
        <v/>
      </c>
      <c r="B1351" s="51" t="str">
        <v>地下电气</v>
      </c>
      <c r="C1351" s="51" t="str">
        <v/>
      </c>
      <c r="D1351" s="51" t="str">
        <v/>
      </c>
      <c r="E1351" s="51" t="str">
        <v/>
      </c>
      <c r="F1351" s="52" t="str">
        <v/>
      </c>
      <c r="G1351" s="48" t="str">
        <v/>
      </c>
      <c r="H1351" s="49">
        <v>0</v>
      </c>
      <c r="I1351" s="49" t="e">
        <v>#REF!</v>
      </c>
      <c r="J1351" s="50"/>
    </row>
    <row r="1352" outlineLevel="1" spans="1:10">
      <c r="A1352" s="50" t="str">
        <v/>
      </c>
      <c r="B1352" s="51" t="str">
        <v>B.18强电工程</v>
      </c>
      <c r="C1352" s="51" t="str">
        <v/>
      </c>
      <c r="D1352" s="51" t="str">
        <v/>
      </c>
      <c r="E1352" s="51" t="str">
        <v/>
      </c>
      <c r="F1352" s="52" t="str">
        <v/>
      </c>
      <c r="G1352" s="48" t="str">
        <v/>
      </c>
      <c r="H1352" s="49">
        <v>0</v>
      </c>
      <c r="I1352" s="49" t="e">
        <v>#REF!</v>
      </c>
      <c r="J1352" s="50"/>
    </row>
    <row r="1353" outlineLevel="1" spans="1:10">
      <c r="A1353" s="50" t="str">
        <v/>
      </c>
      <c r="B1353" s="51" t="str">
        <v>B.18.1配电箱</v>
      </c>
      <c r="C1353" s="51" t="str">
        <v/>
      </c>
      <c r="D1353" s="51" t="str">
        <v/>
      </c>
      <c r="E1353" s="51" t="str">
        <v/>
      </c>
      <c r="F1353" s="52" t="str">
        <v/>
      </c>
      <c r="G1353" s="48" t="str">
        <v/>
      </c>
      <c r="H1353" s="49">
        <v>0</v>
      </c>
      <c r="I1353" s="49" t="e">
        <v>#REF!</v>
      </c>
      <c r="J1353" s="50"/>
    </row>
    <row r="1354" outlineLevel="1" spans="1:10">
      <c r="A1354" s="50">
        <v>407</v>
      </c>
      <c r="B1354" s="51" t="str">
        <v>落地配电柜</v>
      </c>
      <c r="C1354" s="51" t="e">
        <v>#REF!</v>
      </c>
      <c r="D1354" s="51" t="str">
        <v/>
      </c>
      <c r="E1354" s="51" t="str">
        <v/>
      </c>
      <c r="F1354" s="52" t="e">
        <v>#REF!</v>
      </c>
      <c r="G1354" s="48" t="e">
        <v>#REF!</v>
      </c>
      <c r="H1354" s="49">
        <v>1</v>
      </c>
      <c r="I1354" s="49" t="e">
        <v>#REF!</v>
      </c>
      <c r="J1354" s="50"/>
    </row>
    <row r="1355" ht="28.8" outlineLevel="1" spans="1:10">
      <c r="A1355" s="50">
        <v>408</v>
      </c>
      <c r="B1355" s="51" t="str">
        <v>公区电源箱（半周长0.5m以内）</v>
      </c>
      <c r="C1355" s="51" t="e">
        <v>#REF!</v>
      </c>
      <c r="D1355" s="51" t="str">
        <v/>
      </c>
      <c r="E1355" s="51" t="str">
        <v/>
      </c>
      <c r="F1355" s="52" t="e">
        <v>#REF!</v>
      </c>
      <c r="G1355" s="48" t="e">
        <v>#REF!</v>
      </c>
      <c r="H1355" s="49">
        <v>1</v>
      </c>
      <c r="I1355" s="49" t="e">
        <v>#REF!</v>
      </c>
      <c r="J1355" s="50"/>
    </row>
    <row r="1356" ht="28.8" outlineLevel="1" spans="1:10">
      <c r="A1356" s="50">
        <v>409</v>
      </c>
      <c r="B1356" s="51" t="str">
        <v>公区电源箱（半周长1.0m以内）</v>
      </c>
      <c r="C1356" s="51" t="e">
        <v>#REF!</v>
      </c>
      <c r="D1356" s="51" t="str">
        <v/>
      </c>
      <c r="E1356" s="51" t="str">
        <v/>
      </c>
      <c r="F1356" s="52" t="e">
        <v>#REF!</v>
      </c>
      <c r="G1356" s="48" t="e">
        <v>#REF!</v>
      </c>
      <c r="H1356" s="49">
        <v>0</v>
      </c>
      <c r="I1356" s="49" t="e">
        <v>#REF!</v>
      </c>
      <c r="J1356" s="50"/>
    </row>
    <row r="1357" ht="28.8" outlineLevel="1" spans="1:10">
      <c r="A1357" s="50">
        <v>410</v>
      </c>
      <c r="B1357" s="51" t="str">
        <v>公区电源箱（半周长1.5m以内）</v>
      </c>
      <c r="C1357" s="51" t="e">
        <v>#REF!</v>
      </c>
      <c r="D1357" s="51" t="str">
        <v/>
      </c>
      <c r="E1357" s="51" t="str">
        <v/>
      </c>
      <c r="F1357" s="52" t="e">
        <v>#REF!</v>
      </c>
      <c r="G1357" s="48" t="e">
        <v>#REF!</v>
      </c>
      <c r="H1357" s="49">
        <v>0</v>
      </c>
      <c r="I1357" s="49" t="e">
        <v>#REF!</v>
      </c>
      <c r="J1357" s="50"/>
    </row>
    <row r="1358" ht="28.8" outlineLevel="1" spans="1:10">
      <c r="A1358" s="50">
        <v>411</v>
      </c>
      <c r="B1358" s="51" t="str">
        <v>公区电源箱（半周长2m以内）</v>
      </c>
      <c r="C1358" s="51" t="e">
        <v>#REF!</v>
      </c>
      <c r="D1358" s="51" t="str">
        <v/>
      </c>
      <c r="E1358" s="51" t="str">
        <v/>
      </c>
      <c r="F1358" s="52" t="e">
        <v>#REF!</v>
      </c>
      <c r="G1358" s="48" t="e">
        <v>#REF!</v>
      </c>
      <c r="H1358" s="49">
        <v>0</v>
      </c>
      <c r="I1358" s="49" t="e">
        <v>#REF!</v>
      </c>
      <c r="J1358" s="50"/>
    </row>
    <row r="1359" outlineLevel="1" spans="1:10">
      <c r="A1359" s="50">
        <v>412</v>
      </c>
      <c r="B1359" s="51" t="str">
        <v>应急电源配电箱</v>
      </c>
      <c r="C1359" s="51" t="e">
        <v>#REF!</v>
      </c>
      <c r="D1359" s="51" t="str">
        <v/>
      </c>
      <c r="E1359" s="51" t="str">
        <v/>
      </c>
      <c r="F1359" s="52" t="e">
        <v>#REF!</v>
      </c>
      <c r="G1359" s="48" t="e">
        <v>#REF!</v>
      </c>
      <c r="H1359" s="49">
        <v>0</v>
      </c>
      <c r="I1359" s="49" t="e">
        <v>#REF!</v>
      </c>
      <c r="J1359" s="50"/>
    </row>
    <row r="1360" ht="28.8" outlineLevel="1" spans="1:10">
      <c r="A1360" s="50">
        <v>413</v>
      </c>
      <c r="B1360" s="51" t="str">
        <v>应急照明配电箱-0.15KW DC36V</v>
      </c>
      <c r="C1360" s="51" t="e">
        <v>#REF!</v>
      </c>
      <c r="D1360" s="51" t="str">
        <v/>
      </c>
      <c r="E1360" s="51" t="str">
        <v/>
      </c>
      <c r="F1360" s="52" t="e">
        <v>#REF!</v>
      </c>
      <c r="G1360" s="48" t="e">
        <v>#REF!</v>
      </c>
      <c r="H1360" s="49">
        <v>0</v>
      </c>
      <c r="I1360" s="49" t="e">
        <v>#REF!</v>
      </c>
      <c r="J1360" s="50"/>
    </row>
    <row r="1361" ht="28.8" outlineLevel="1" spans="1:10">
      <c r="A1361" s="50">
        <v>414</v>
      </c>
      <c r="B1361" s="51" t="str">
        <v>应急照明配电箱-0.3KW DC36V</v>
      </c>
      <c r="C1361" s="51" t="e">
        <v>#REF!</v>
      </c>
      <c r="D1361" s="51" t="str">
        <v/>
      </c>
      <c r="E1361" s="51" t="str">
        <v/>
      </c>
      <c r="F1361" s="52" t="e">
        <v>#REF!</v>
      </c>
      <c r="G1361" s="48" t="e">
        <v>#REF!</v>
      </c>
      <c r="H1361" s="49">
        <v>2</v>
      </c>
      <c r="I1361" s="49" t="e">
        <v>#REF!</v>
      </c>
      <c r="J1361" s="50"/>
    </row>
    <row r="1362" ht="28.8" outlineLevel="1" spans="1:10">
      <c r="A1362" s="50">
        <v>415</v>
      </c>
      <c r="B1362" s="51" t="str">
        <v>应急照明配电箱-0.6KW DC36V</v>
      </c>
      <c r="C1362" s="51" t="e">
        <v>#REF!</v>
      </c>
      <c r="D1362" s="51" t="str">
        <v/>
      </c>
      <c r="E1362" s="51" t="str">
        <v/>
      </c>
      <c r="F1362" s="52" t="e">
        <v>#REF!</v>
      </c>
      <c r="G1362" s="48" t="e">
        <v>#REF!</v>
      </c>
      <c r="H1362" s="49">
        <v>0</v>
      </c>
      <c r="I1362" s="49" t="e">
        <v>#REF!</v>
      </c>
      <c r="J1362" s="50"/>
    </row>
    <row r="1363" ht="28.8" outlineLevel="1" spans="1:10">
      <c r="A1363" s="50">
        <v>416</v>
      </c>
      <c r="B1363" s="51" t="str">
        <v>应急照明配电箱-0.9KW DC36V</v>
      </c>
      <c r="C1363" s="51" t="e">
        <v>#REF!</v>
      </c>
      <c r="D1363" s="51" t="str">
        <v/>
      </c>
      <c r="E1363" s="51" t="str">
        <v/>
      </c>
      <c r="F1363" s="52" t="e">
        <v>#REF!</v>
      </c>
      <c r="G1363" s="48" t="e">
        <v>#REF!</v>
      </c>
      <c r="H1363" s="49">
        <v>0</v>
      </c>
      <c r="I1363" s="49" t="e">
        <v>#REF!</v>
      </c>
      <c r="J1363" s="50"/>
    </row>
    <row r="1364" ht="28.8" outlineLevel="1" spans="1:10">
      <c r="A1364" s="50">
        <v>417</v>
      </c>
      <c r="B1364" s="51" t="str">
        <v>消防应急主机（2000点以下）</v>
      </c>
      <c r="C1364" s="51" t="e">
        <v>#REF!</v>
      </c>
      <c r="D1364" s="51" t="str">
        <v/>
      </c>
      <c r="E1364" s="51" t="str">
        <v/>
      </c>
      <c r="F1364" s="52" t="e">
        <v>#REF!</v>
      </c>
      <c r="G1364" s="48" t="e">
        <v>#REF!</v>
      </c>
      <c r="H1364" s="49">
        <v>1</v>
      </c>
      <c r="I1364" s="49" t="e">
        <v>#REF!</v>
      </c>
      <c r="J1364" s="50"/>
    </row>
    <row r="1365" ht="28.8" outlineLevel="1" spans="1:10">
      <c r="A1365" s="50">
        <v>418</v>
      </c>
      <c r="B1365" s="51" t="str">
        <v>接线箱（半周长700mm以内）</v>
      </c>
      <c r="C1365" s="51" t="e">
        <v>#REF!</v>
      </c>
      <c r="D1365" s="51" t="str">
        <v/>
      </c>
      <c r="E1365" s="51" t="str">
        <v/>
      </c>
      <c r="F1365" s="52" t="e">
        <v>#REF!</v>
      </c>
      <c r="G1365" s="48" t="e">
        <v>#REF!</v>
      </c>
      <c r="H1365" s="49">
        <v>0</v>
      </c>
      <c r="I1365" s="49" t="e">
        <v>#REF!</v>
      </c>
      <c r="J1365" s="50"/>
    </row>
    <row r="1366" ht="28.8" outlineLevel="1" spans="1:10">
      <c r="A1366" s="50">
        <v>419</v>
      </c>
      <c r="B1366" s="51" t="str">
        <v>低压交流异步电动机6kw以内</v>
      </c>
      <c r="C1366" s="51" t="e">
        <v>#REF!</v>
      </c>
      <c r="D1366" s="51" t="str">
        <v/>
      </c>
      <c r="E1366" s="51" t="str">
        <v/>
      </c>
      <c r="F1366" s="52" t="e">
        <v>#REF!</v>
      </c>
      <c r="G1366" s="48" t="e">
        <v>#REF!</v>
      </c>
      <c r="H1366" s="49">
        <v>2</v>
      </c>
      <c r="I1366" s="49" t="e">
        <v>#REF!</v>
      </c>
      <c r="J1366" s="50"/>
    </row>
    <row r="1367" outlineLevel="1" spans="1:10">
      <c r="A1367" s="50">
        <v>420</v>
      </c>
      <c r="B1367" s="51" t="str">
        <v>送配电装置系统调试</v>
      </c>
      <c r="C1367" s="51" t="e">
        <v>#REF!</v>
      </c>
      <c r="D1367" s="51" t="str">
        <v/>
      </c>
      <c r="E1367" s="51" t="str">
        <v/>
      </c>
      <c r="F1367" s="52" t="e">
        <v>#REF!</v>
      </c>
      <c r="G1367" s="48" t="e">
        <v>#REF!</v>
      </c>
      <c r="H1367" s="49">
        <v>1</v>
      </c>
      <c r="I1367" s="49" t="e">
        <v>#REF!</v>
      </c>
      <c r="J1367" s="50"/>
    </row>
    <row r="1368" outlineLevel="1" spans="1:10">
      <c r="A1368" s="50" t="str">
        <v/>
      </c>
      <c r="B1368" s="51" t="str">
        <v>B.18.2电力桥架</v>
      </c>
      <c r="C1368" s="51" t="str">
        <v/>
      </c>
      <c r="D1368" s="51" t="str">
        <v/>
      </c>
      <c r="E1368" s="51" t="str">
        <v/>
      </c>
      <c r="F1368" s="52" t="str">
        <v/>
      </c>
      <c r="G1368" s="48" t="str">
        <v/>
      </c>
      <c r="H1368" s="49">
        <v>0</v>
      </c>
      <c r="I1368" s="49" t="e">
        <v>#REF!</v>
      </c>
      <c r="J1368" s="50"/>
    </row>
    <row r="1369" outlineLevel="1" spans="1:10">
      <c r="A1369" s="50">
        <v>421</v>
      </c>
      <c r="B1369" s="51" t="str">
        <v>防火桥架-700*200</v>
      </c>
      <c r="C1369" s="51" t="e">
        <v>#REF!</v>
      </c>
      <c r="D1369" s="51" t="str">
        <v/>
      </c>
      <c r="E1369" s="51" t="str">
        <v/>
      </c>
      <c r="F1369" s="52" t="e">
        <v>#REF!</v>
      </c>
      <c r="G1369" s="48" t="e">
        <v>#REF!</v>
      </c>
      <c r="H1369" s="49">
        <v>0</v>
      </c>
      <c r="I1369" s="49" t="e">
        <v>#REF!</v>
      </c>
      <c r="J1369" s="50"/>
    </row>
    <row r="1370" outlineLevel="1" spans="1:10">
      <c r="A1370" s="50">
        <v>422</v>
      </c>
      <c r="B1370" s="51" t="str">
        <v>防火桥架-500*250</v>
      </c>
      <c r="C1370" s="51" t="e">
        <v>#REF!</v>
      </c>
      <c r="D1370" s="51" t="str">
        <v/>
      </c>
      <c r="E1370" s="51" t="str">
        <v/>
      </c>
      <c r="F1370" s="52" t="e">
        <v>#REF!</v>
      </c>
      <c r="G1370" s="48" t="e">
        <v>#REF!</v>
      </c>
      <c r="H1370" s="49">
        <v>0</v>
      </c>
      <c r="I1370" s="49" t="e">
        <v>#REF!</v>
      </c>
      <c r="J1370" s="50"/>
    </row>
    <row r="1371" outlineLevel="1" spans="1:10">
      <c r="A1371" s="50">
        <v>423</v>
      </c>
      <c r="B1371" s="51" t="str">
        <v>防火桥架-550*200</v>
      </c>
      <c r="C1371" s="51" t="e">
        <v>#REF!</v>
      </c>
      <c r="D1371" s="51" t="str">
        <v/>
      </c>
      <c r="E1371" s="51" t="str">
        <v/>
      </c>
      <c r="F1371" s="52" t="e">
        <v>#REF!</v>
      </c>
      <c r="G1371" s="48" t="e">
        <v>#REF!</v>
      </c>
      <c r="H1371" s="49">
        <v>0</v>
      </c>
      <c r="I1371" s="49" t="e">
        <v>#REF!</v>
      </c>
      <c r="J1371" s="50"/>
    </row>
    <row r="1372" outlineLevel="1" spans="1:10">
      <c r="A1372" s="50">
        <v>424</v>
      </c>
      <c r="B1372" s="51" t="str">
        <v>防火桥架-450*200</v>
      </c>
      <c r="C1372" s="51" t="e">
        <v>#REF!</v>
      </c>
      <c r="D1372" s="51" t="str">
        <v/>
      </c>
      <c r="E1372" s="51" t="str">
        <v/>
      </c>
      <c r="F1372" s="52" t="e">
        <v>#REF!</v>
      </c>
      <c r="G1372" s="48" t="e">
        <v>#REF!</v>
      </c>
      <c r="H1372" s="49">
        <v>0</v>
      </c>
      <c r="I1372" s="49" t="e">
        <v>#REF!</v>
      </c>
      <c r="J1372" s="50"/>
    </row>
    <row r="1373" outlineLevel="1" spans="1:10">
      <c r="A1373" s="50">
        <v>425</v>
      </c>
      <c r="B1373" s="51" t="str">
        <v>防火桥架-400*200</v>
      </c>
      <c r="C1373" s="51" t="e">
        <v>#REF!</v>
      </c>
      <c r="D1373" s="51" t="str">
        <v/>
      </c>
      <c r="E1373" s="51" t="str">
        <v/>
      </c>
      <c r="F1373" s="52" t="e">
        <v>#REF!</v>
      </c>
      <c r="G1373" s="48" t="e">
        <v>#REF!</v>
      </c>
      <c r="H1373" s="49">
        <v>1</v>
      </c>
      <c r="I1373" s="49" t="e">
        <v>#REF!</v>
      </c>
      <c r="J1373" s="50"/>
    </row>
    <row r="1374" outlineLevel="1" spans="1:10">
      <c r="A1374" s="50">
        <v>426</v>
      </c>
      <c r="B1374" s="51" t="str">
        <v>防火桥架-350*200</v>
      </c>
      <c r="C1374" s="51" t="e">
        <v>#REF!</v>
      </c>
      <c r="D1374" s="51" t="str">
        <v/>
      </c>
      <c r="E1374" s="51" t="str">
        <v/>
      </c>
      <c r="F1374" s="52" t="e">
        <v>#REF!</v>
      </c>
      <c r="G1374" s="48" t="e">
        <v>#REF!</v>
      </c>
      <c r="H1374" s="49">
        <v>0</v>
      </c>
      <c r="I1374" s="49" t="e">
        <v>#REF!</v>
      </c>
      <c r="J1374" s="50"/>
    </row>
    <row r="1375" outlineLevel="1" spans="1:10">
      <c r="A1375" s="50">
        <v>427</v>
      </c>
      <c r="B1375" s="51" t="str">
        <v>防火桥架-300*200</v>
      </c>
      <c r="C1375" s="51" t="e">
        <v>#REF!</v>
      </c>
      <c r="D1375" s="51" t="str">
        <v/>
      </c>
      <c r="E1375" s="51" t="str">
        <v/>
      </c>
      <c r="F1375" s="52" t="e">
        <v>#REF!</v>
      </c>
      <c r="G1375" s="48" t="e">
        <v>#REF!</v>
      </c>
      <c r="H1375" s="49">
        <v>1</v>
      </c>
      <c r="I1375" s="49" t="e">
        <v>#REF!</v>
      </c>
      <c r="J1375" s="50"/>
    </row>
    <row r="1376" outlineLevel="1" spans="1:10">
      <c r="A1376" s="50">
        <v>428</v>
      </c>
      <c r="B1376" s="51" t="str">
        <v>防火桥架-300*150</v>
      </c>
      <c r="C1376" s="51" t="e">
        <v>#REF!</v>
      </c>
      <c r="D1376" s="51" t="str">
        <v/>
      </c>
      <c r="E1376" s="51" t="str">
        <v/>
      </c>
      <c r="F1376" s="52" t="e">
        <v>#REF!</v>
      </c>
      <c r="G1376" s="48" t="e">
        <v>#REF!</v>
      </c>
      <c r="H1376" s="49">
        <v>1</v>
      </c>
      <c r="I1376" s="49" t="e">
        <v>#REF!</v>
      </c>
      <c r="J1376" s="50"/>
    </row>
    <row r="1377" outlineLevel="1" spans="1:10">
      <c r="A1377" s="50">
        <v>429</v>
      </c>
      <c r="B1377" s="51" t="str">
        <v>防火桥架-300*100</v>
      </c>
      <c r="C1377" s="51" t="e">
        <v>#REF!</v>
      </c>
      <c r="D1377" s="51" t="str">
        <v/>
      </c>
      <c r="E1377" s="51" t="str">
        <v/>
      </c>
      <c r="F1377" s="52" t="e">
        <v>#REF!</v>
      </c>
      <c r="G1377" s="48" t="e">
        <v>#REF!</v>
      </c>
      <c r="H1377" s="49">
        <v>0</v>
      </c>
      <c r="I1377" s="49" t="e">
        <v>#REF!</v>
      </c>
      <c r="J1377" s="50"/>
    </row>
    <row r="1378" outlineLevel="1" spans="1:10">
      <c r="A1378" s="50">
        <v>430</v>
      </c>
      <c r="B1378" s="51" t="str">
        <v>防火桥架-250*200</v>
      </c>
      <c r="C1378" s="51" t="e">
        <v>#REF!</v>
      </c>
      <c r="D1378" s="51" t="str">
        <v/>
      </c>
      <c r="E1378" s="51" t="str">
        <v/>
      </c>
      <c r="F1378" s="52" t="e">
        <v>#REF!</v>
      </c>
      <c r="G1378" s="48" t="e">
        <v>#REF!</v>
      </c>
      <c r="H1378" s="49">
        <v>0</v>
      </c>
      <c r="I1378" s="49" t="e">
        <v>#REF!</v>
      </c>
      <c r="J1378" s="50"/>
    </row>
    <row r="1379" outlineLevel="1" spans="1:10">
      <c r="A1379" s="50">
        <v>431</v>
      </c>
      <c r="B1379" s="51" t="str">
        <v>防火桥架-200*150</v>
      </c>
      <c r="C1379" s="51" t="e">
        <v>#REF!</v>
      </c>
      <c r="D1379" s="51" t="str">
        <v/>
      </c>
      <c r="E1379" s="51" t="str">
        <v/>
      </c>
      <c r="F1379" s="52" t="e">
        <v>#REF!</v>
      </c>
      <c r="G1379" s="48" t="e">
        <v>#REF!</v>
      </c>
      <c r="H1379" s="49">
        <v>0</v>
      </c>
      <c r="I1379" s="49" t="e">
        <v>#REF!</v>
      </c>
      <c r="J1379" s="50"/>
    </row>
    <row r="1380" outlineLevel="1" spans="1:10">
      <c r="A1380" s="50">
        <v>432</v>
      </c>
      <c r="B1380" s="51" t="str">
        <v>防火桥架-250*100</v>
      </c>
      <c r="C1380" s="51" t="e">
        <v>#REF!</v>
      </c>
      <c r="D1380" s="51" t="str">
        <v/>
      </c>
      <c r="E1380" s="51" t="str">
        <v/>
      </c>
      <c r="F1380" s="52" t="e">
        <v>#REF!</v>
      </c>
      <c r="G1380" s="48" t="e">
        <v>#REF!</v>
      </c>
      <c r="H1380" s="49">
        <v>0</v>
      </c>
      <c r="I1380" s="49" t="e">
        <v>#REF!</v>
      </c>
      <c r="J1380" s="50"/>
    </row>
    <row r="1381" outlineLevel="1" spans="1:10">
      <c r="A1381" s="50">
        <v>433</v>
      </c>
      <c r="B1381" s="51" t="str">
        <v>防火桥架-200*200</v>
      </c>
      <c r="C1381" s="51" t="e">
        <v>#REF!</v>
      </c>
      <c r="D1381" s="51" t="str">
        <v/>
      </c>
      <c r="E1381" s="51" t="str">
        <v/>
      </c>
      <c r="F1381" s="52" t="e">
        <v>#REF!</v>
      </c>
      <c r="G1381" s="48" t="e">
        <v>#REF!</v>
      </c>
      <c r="H1381" s="49">
        <v>0</v>
      </c>
      <c r="I1381" s="49" t="e">
        <v>#REF!</v>
      </c>
      <c r="J1381" s="50"/>
    </row>
    <row r="1382" outlineLevel="1" spans="1:10">
      <c r="A1382" s="50">
        <v>434</v>
      </c>
      <c r="B1382" s="51" t="str">
        <v>防火桥架-200*100</v>
      </c>
      <c r="C1382" s="51" t="e">
        <v>#REF!</v>
      </c>
      <c r="D1382" s="51" t="str">
        <v/>
      </c>
      <c r="E1382" s="51" t="str">
        <v/>
      </c>
      <c r="F1382" s="52" t="e">
        <v>#REF!</v>
      </c>
      <c r="G1382" s="48" t="e">
        <v>#REF!</v>
      </c>
      <c r="H1382" s="49">
        <v>0</v>
      </c>
      <c r="I1382" s="49" t="e">
        <v>#REF!</v>
      </c>
      <c r="J1382" s="50"/>
    </row>
    <row r="1383" outlineLevel="1" spans="1:10">
      <c r="A1383" s="50">
        <v>435</v>
      </c>
      <c r="B1383" s="51" t="str">
        <v>防火桥架-150*100</v>
      </c>
      <c r="C1383" s="51" t="e">
        <v>#REF!</v>
      </c>
      <c r="D1383" s="51" t="str">
        <v/>
      </c>
      <c r="E1383" s="51" t="str">
        <v/>
      </c>
      <c r="F1383" s="52" t="e">
        <v>#REF!</v>
      </c>
      <c r="G1383" s="48" t="e">
        <v>#REF!</v>
      </c>
      <c r="H1383" s="49">
        <v>1</v>
      </c>
      <c r="I1383" s="49" t="e">
        <v>#REF!</v>
      </c>
      <c r="J1383" s="50"/>
    </row>
    <row r="1384" outlineLevel="1" spans="1:10">
      <c r="A1384" s="50">
        <v>436</v>
      </c>
      <c r="B1384" s="51" t="str">
        <v>防火桥架-100*100</v>
      </c>
      <c r="C1384" s="51" t="e">
        <v>#REF!</v>
      </c>
      <c r="D1384" s="51" t="str">
        <v/>
      </c>
      <c r="E1384" s="51" t="str">
        <v/>
      </c>
      <c r="F1384" s="52" t="e">
        <v>#REF!</v>
      </c>
      <c r="G1384" s="48" t="e">
        <v>#REF!</v>
      </c>
      <c r="H1384" s="49">
        <v>0</v>
      </c>
      <c r="I1384" s="49" t="e">
        <v>#REF!</v>
      </c>
      <c r="J1384" s="50"/>
    </row>
    <row r="1385" outlineLevel="1" spans="1:10">
      <c r="A1385" s="50">
        <v>437</v>
      </c>
      <c r="B1385" s="51" t="str">
        <v>金属桥架-800*150</v>
      </c>
      <c r="C1385" s="51" t="e">
        <v>#REF!</v>
      </c>
      <c r="D1385" s="51" t="str">
        <v/>
      </c>
      <c r="E1385" s="51" t="str">
        <v/>
      </c>
      <c r="F1385" s="52" t="e">
        <v>#REF!</v>
      </c>
      <c r="G1385" s="48" t="e">
        <v>#REF!</v>
      </c>
      <c r="H1385" s="49">
        <v>0</v>
      </c>
      <c r="I1385" s="49" t="e">
        <v>#REF!</v>
      </c>
      <c r="J1385" s="50"/>
    </row>
    <row r="1386" outlineLevel="1" spans="1:10">
      <c r="A1386" s="50">
        <v>438</v>
      </c>
      <c r="B1386" s="51" t="str">
        <v>金属桥架-600*200</v>
      </c>
      <c r="C1386" s="51" t="e">
        <v>#REF!</v>
      </c>
      <c r="D1386" s="51" t="str">
        <v/>
      </c>
      <c r="E1386" s="51" t="str">
        <v/>
      </c>
      <c r="F1386" s="52" t="e">
        <v>#REF!</v>
      </c>
      <c r="G1386" s="48" t="e">
        <v>#REF!</v>
      </c>
      <c r="H1386" s="49">
        <v>0</v>
      </c>
      <c r="I1386" s="49" t="e">
        <v>#REF!</v>
      </c>
      <c r="J1386" s="50"/>
    </row>
    <row r="1387" outlineLevel="1" spans="1:10">
      <c r="A1387" s="50">
        <v>439</v>
      </c>
      <c r="B1387" s="51" t="str">
        <v>金属桥架-600*150</v>
      </c>
      <c r="C1387" s="51" t="e">
        <v>#REF!</v>
      </c>
      <c r="D1387" s="51" t="str">
        <v/>
      </c>
      <c r="E1387" s="51" t="str">
        <v/>
      </c>
      <c r="F1387" s="52" t="e">
        <v>#REF!</v>
      </c>
      <c r="G1387" s="48" t="e">
        <v>#REF!</v>
      </c>
      <c r="H1387" s="49">
        <v>0</v>
      </c>
      <c r="I1387" s="49" t="e">
        <v>#REF!</v>
      </c>
      <c r="J1387" s="50"/>
    </row>
    <row r="1388" outlineLevel="1" spans="1:10">
      <c r="A1388" s="50">
        <v>440</v>
      </c>
      <c r="B1388" s="51" t="str">
        <v>金属桥架-500*150</v>
      </c>
      <c r="C1388" s="51" t="e">
        <v>#REF!</v>
      </c>
      <c r="D1388" s="51" t="str">
        <v/>
      </c>
      <c r="E1388" s="51" t="str">
        <v/>
      </c>
      <c r="F1388" s="52" t="e">
        <v>#REF!</v>
      </c>
      <c r="G1388" s="48" t="e">
        <v>#REF!</v>
      </c>
      <c r="H1388" s="49">
        <v>0</v>
      </c>
      <c r="I1388" s="49" t="e">
        <v>#REF!</v>
      </c>
      <c r="J1388" s="50"/>
    </row>
    <row r="1389" outlineLevel="1" spans="1:10">
      <c r="A1389" s="50">
        <v>441</v>
      </c>
      <c r="B1389" s="51" t="str">
        <v>金属桥架-400*150</v>
      </c>
      <c r="C1389" s="51" t="e">
        <v>#REF!</v>
      </c>
      <c r="D1389" s="51" t="str">
        <v/>
      </c>
      <c r="E1389" s="51" t="str">
        <v/>
      </c>
      <c r="F1389" s="52" t="e">
        <v>#REF!</v>
      </c>
      <c r="G1389" s="48" t="e">
        <v>#REF!</v>
      </c>
      <c r="H1389" s="49">
        <v>0</v>
      </c>
      <c r="I1389" s="49" t="e">
        <v>#REF!</v>
      </c>
      <c r="J1389" s="50"/>
    </row>
    <row r="1390" outlineLevel="1" spans="1:10">
      <c r="A1390" s="50">
        <v>442</v>
      </c>
      <c r="B1390" s="51" t="str">
        <v>金属桥架-400*100</v>
      </c>
      <c r="C1390" s="51" t="e">
        <v>#REF!</v>
      </c>
      <c r="D1390" s="51" t="str">
        <v/>
      </c>
      <c r="E1390" s="51" t="str">
        <v/>
      </c>
      <c r="F1390" s="52" t="e">
        <v>#REF!</v>
      </c>
      <c r="G1390" s="48" t="e">
        <v>#REF!</v>
      </c>
      <c r="H1390" s="49">
        <v>0</v>
      </c>
      <c r="I1390" s="49" t="e">
        <v>#REF!</v>
      </c>
      <c r="J1390" s="50"/>
    </row>
    <row r="1391" outlineLevel="1" spans="1:10">
      <c r="A1391" s="50">
        <v>443</v>
      </c>
      <c r="B1391" s="51" t="str">
        <v>金属桥架-350*200</v>
      </c>
      <c r="C1391" s="51" t="e">
        <v>#REF!</v>
      </c>
      <c r="D1391" s="51" t="str">
        <v/>
      </c>
      <c r="E1391" s="51" t="str">
        <v/>
      </c>
      <c r="F1391" s="52" t="e">
        <v>#REF!</v>
      </c>
      <c r="G1391" s="48" t="e">
        <v>#REF!</v>
      </c>
      <c r="H1391" s="49">
        <v>0</v>
      </c>
      <c r="I1391" s="49" t="e">
        <v>#REF!</v>
      </c>
      <c r="J1391" s="50"/>
    </row>
    <row r="1392" outlineLevel="1" spans="1:10">
      <c r="A1392" s="50">
        <v>444</v>
      </c>
      <c r="B1392" s="51" t="str">
        <v>金属桥架-300*200</v>
      </c>
      <c r="C1392" s="51" t="e">
        <v>#REF!</v>
      </c>
      <c r="D1392" s="51" t="str">
        <v/>
      </c>
      <c r="E1392" s="51" t="str">
        <v/>
      </c>
      <c r="F1392" s="52" t="e">
        <v>#REF!</v>
      </c>
      <c r="G1392" s="48" t="e">
        <v>#REF!</v>
      </c>
      <c r="H1392" s="49">
        <v>0</v>
      </c>
      <c r="I1392" s="49" t="e">
        <v>#REF!</v>
      </c>
      <c r="J1392" s="50"/>
    </row>
    <row r="1393" outlineLevel="1" spans="1:10">
      <c r="A1393" s="50">
        <v>445</v>
      </c>
      <c r="B1393" s="51" t="str">
        <v>金属桥架-300*100</v>
      </c>
      <c r="C1393" s="51" t="e">
        <v>#REF!</v>
      </c>
      <c r="D1393" s="51" t="str">
        <v/>
      </c>
      <c r="E1393" s="51" t="str">
        <v/>
      </c>
      <c r="F1393" s="52" t="e">
        <v>#REF!</v>
      </c>
      <c r="G1393" s="48" t="e">
        <v>#REF!</v>
      </c>
      <c r="H1393" s="49">
        <v>0</v>
      </c>
      <c r="I1393" s="49" t="e">
        <v>#REF!</v>
      </c>
      <c r="J1393" s="50"/>
    </row>
    <row r="1394" outlineLevel="1" spans="1:10">
      <c r="A1394" s="50">
        <v>446</v>
      </c>
      <c r="B1394" s="51" t="str">
        <v>金属桥架-200*100</v>
      </c>
      <c r="C1394" s="51" t="e">
        <v>#REF!</v>
      </c>
      <c r="D1394" s="51" t="str">
        <v/>
      </c>
      <c r="E1394" s="51" t="str">
        <v/>
      </c>
      <c r="F1394" s="52" t="e">
        <v>#REF!</v>
      </c>
      <c r="G1394" s="48" t="e">
        <v>#REF!</v>
      </c>
      <c r="H1394" s="49">
        <v>0</v>
      </c>
      <c r="I1394" s="49" t="e">
        <v>#REF!</v>
      </c>
      <c r="J1394" s="50"/>
    </row>
    <row r="1395" outlineLevel="1" spans="1:10">
      <c r="A1395" s="50">
        <v>447</v>
      </c>
      <c r="B1395" s="51" t="str">
        <v>金属桥架-150*100</v>
      </c>
      <c r="C1395" s="51" t="e">
        <v>#REF!</v>
      </c>
      <c r="D1395" s="51" t="str">
        <v/>
      </c>
      <c r="E1395" s="51" t="str">
        <v/>
      </c>
      <c r="F1395" s="52" t="e">
        <v>#REF!</v>
      </c>
      <c r="G1395" s="48" t="e">
        <v>#REF!</v>
      </c>
      <c r="H1395" s="49">
        <v>0</v>
      </c>
      <c r="I1395" s="49" t="e">
        <v>#REF!</v>
      </c>
      <c r="J1395" s="50"/>
    </row>
    <row r="1396" outlineLevel="1" spans="1:10">
      <c r="A1396" s="50">
        <v>448</v>
      </c>
      <c r="B1396" s="51" t="str">
        <v>金属桥架-100*100</v>
      </c>
      <c r="C1396" s="51" t="e">
        <v>#REF!</v>
      </c>
      <c r="D1396" s="51" t="str">
        <v/>
      </c>
      <c r="E1396" s="51" t="str">
        <v/>
      </c>
      <c r="F1396" s="52" t="e">
        <v>#REF!</v>
      </c>
      <c r="G1396" s="48" t="e">
        <v>#REF!</v>
      </c>
      <c r="H1396" s="49">
        <v>0</v>
      </c>
      <c r="I1396" s="49" t="e">
        <v>#REF!</v>
      </c>
      <c r="J1396" s="50"/>
    </row>
    <row r="1397" outlineLevel="1" spans="1:10">
      <c r="A1397" s="50">
        <v>449</v>
      </c>
      <c r="B1397" s="51" t="str">
        <v>电业桥架-750*200</v>
      </c>
      <c r="C1397" s="51" t="e">
        <v>#REF!</v>
      </c>
      <c r="D1397" s="51" t="str">
        <v/>
      </c>
      <c r="E1397" s="51" t="str">
        <v/>
      </c>
      <c r="F1397" s="52" t="e">
        <v>#REF!</v>
      </c>
      <c r="G1397" s="48" t="e">
        <v>#REF!</v>
      </c>
      <c r="H1397" s="49">
        <v>0</v>
      </c>
      <c r="I1397" s="49" t="e">
        <v>#REF!</v>
      </c>
      <c r="J1397" s="50"/>
    </row>
    <row r="1398" outlineLevel="1" spans="1:10">
      <c r="A1398" s="50">
        <v>450</v>
      </c>
      <c r="B1398" s="51" t="str">
        <v>电业桥架-500*200</v>
      </c>
      <c r="C1398" s="51" t="e">
        <v>#REF!</v>
      </c>
      <c r="D1398" s="51" t="str">
        <v/>
      </c>
      <c r="E1398" s="51" t="str">
        <v/>
      </c>
      <c r="F1398" s="52" t="e">
        <v>#REF!</v>
      </c>
      <c r="G1398" s="48" t="e">
        <v>#REF!</v>
      </c>
      <c r="H1398" s="49">
        <v>0</v>
      </c>
      <c r="I1398" s="49" t="e">
        <v>#REF!</v>
      </c>
      <c r="J1398" s="50"/>
    </row>
    <row r="1399" outlineLevel="1" spans="1:10">
      <c r="A1399" s="50">
        <v>451</v>
      </c>
      <c r="B1399" s="51" t="str">
        <v>电业桥架-450*200</v>
      </c>
      <c r="C1399" s="51" t="e">
        <v>#REF!</v>
      </c>
      <c r="D1399" s="51" t="str">
        <v/>
      </c>
      <c r="E1399" s="51" t="str">
        <v/>
      </c>
      <c r="F1399" s="52" t="e">
        <v>#REF!</v>
      </c>
      <c r="G1399" s="48" t="e">
        <v>#REF!</v>
      </c>
      <c r="H1399" s="49">
        <v>0</v>
      </c>
      <c r="I1399" s="49" t="e">
        <v>#REF!</v>
      </c>
      <c r="J1399" s="50"/>
    </row>
    <row r="1400" outlineLevel="1" spans="1:10">
      <c r="A1400" s="50">
        <v>452</v>
      </c>
      <c r="B1400" s="51" t="str">
        <v>电业桥架-400*200</v>
      </c>
      <c r="C1400" s="51" t="e">
        <v>#REF!</v>
      </c>
      <c r="D1400" s="51" t="str">
        <v/>
      </c>
      <c r="E1400" s="51" t="str">
        <v/>
      </c>
      <c r="F1400" s="52" t="e">
        <v>#REF!</v>
      </c>
      <c r="G1400" s="48" t="e">
        <v>#REF!</v>
      </c>
      <c r="H1400" s="49">
        <v>0</v>
      </c>
      <c r="I1400" s="49" t="e">
        <v>#REF!</v>
      </c>
      <c r="J1400" s="50"/>
    </row>
    <row r="1401" outlineLevel="1" spans="1:10">
      <c r="A1401" s="50">
        <v>453</v>
      </c>
      <c r="B1401" s="51" t="str">
        <v>电业桥架-350*200</v>
      </c>
      <c r="C1401" s="51" t="e">
        <v>#REF!</v>
      </c>
      <c r="D1401" s="51" t="str">
        <v/>
      </c>
      <c r="E1401" s="51" t="str">
        <v/>
      </c>
      <c r="F1401" s="52" t="e">
        <v>#REF!</v>
      </c>
      <c r="G1401" s="48" t="e">
        <v>#REF!</v>
      </c>
      <c r="H1401" s="49">
        <v>0</v>
      </c>
      <c r="I1401" s="49" t="e">
        <v>#REF!</v>
      </c>
      <c r="J1401" s="50"/>
    </row>
    <row r="1402" outlineLevel="1" spans="1:10">
      <c r="A1402" s="50">
        <v>454</v>
      </c>
      <c r="B1402" s="51" t="str">
        <v>电业桥架-300*200</v>
      </c>
      <c r="C1402" s="51" t="e">
        <v>#REF!</v>
      </c>
      <c r="D1402" s="51" t="str">
        <v/>
      </c>
      <c r="E1402" s="51" t="str">
        <v/>
      </c>
      <c r="F1402" s="52" t="e">
        <v>#REF!</v>
      </c>
      <c r="G1402" s="48" t="e">
        <v>#REF!</v>
      </c>
      <c r="H1402" s="49">
        <v>0</v>
      </c>
      <c r="I1402" s="49" t="e">
        <v>#REF!</v>
      </c>
      <c r="J1402" s="50"/>
    </row>
    <row r="1403" outlineLevel="1" spans="1:10">
      <c r="A1403" s="50">
        <v>455</v>
      </c>
      <c r="B1403" s="51" t="str">
        <v>电业桥架-200*200</v>
      </c>
      <c r="C1403" s="51" t="e">
        <v>#REF!</v>
      </c>
      <c r="D1403" s="51" t="str">
        <v/>
      </c>
      <c r="E1403" s="51" t="str">
        <v/>
      </c>
      <c r="F1403" s="52" t="e">
        <v>#REF!</v>
      </c>
      <c r="G1403" s="48" t="e">
        <v>#REF!</v>
      </c>
      <c r="H1403" s="49">
        <v>0</v>
      </c>
      <c r="I1403" s="49" t="e">
        <v>#REF!</v>
      </c>
      <c r="J1403" s="50"/>
    </row>
    <row r="1404" outlineLevel="1" spans="1:10">
      <c r="A1404" s="50">
        <v>456</v>
      </c>
      <c r="B1404" s="51" t="str">
        <v>电业桥架-200*150</v>
      </c>
      <c r="C1404" s="51" t="e">
        <v>#REF!</v>
      </c>
      <c r="D1404" s="51" t="str">
        <v/>
      </c>
      <c r="E1404" s="51" t="str">
        <v/>
      </c>
      <c r="F1404" s="52" t="e">
        <v>#REF!</v>
      </c>
      <c r="G1404" s="48" t="e">
        <v>#REF!</v>
      </c>
      <c r="H1404" s="49">
        <v>0</v>
      </c>
      <c r="I1404" s="49" t="e">
        <v>#REF!</v>
      </c>
      <c r="J1404" s="50"/>
    </row>
    <row r="1405" outlineLevel="1" spans="1:10">
      <c r="A1405" s="50">
        <v>457</v>
      </c>
      <c r="B1405" s="51" t="str">
        <v>电业桥架-150*100</v>
      </c>
      <c r="C1405" s="51" t="e">
        <v>#REF!</v>
      </c>
      <c r="D1405" s="51" t="str">
        <v/>
      </c>
      <c r="E1405" s="51" t="str">
        <v/>
      </c>
      <c r="F1405" s="52" t="e">
        <v>#REF!</v>
      </c>
      <c r="G1405" s="48" t="e">
        <v>#REF!</v>
      </c>
      <c r="H1405" s="49">
        <v>0</v>
      </c>
      <c r="I1405" s="49" t="e">
        <v>#REF!</v>
      </c>
      <c r="J1405" s="50"/>
    </row>
    <row r="1406" outlineLevel="1" spans="1:10">
      <c r="A1406" s="50">
        <v>458</v>
      </c>
      <c r="B1406" s="51" t="str">
        <v>防火堵洞</v>
      </c>
      <c r="C1406" s="51" t="e">
        <v>#REF!</v>
      </c>
      <c r="D1406" s="51" t="str">
        <v/>
      </c>
      <c r="E1406" s="51" t="str">
        <v/>
      </c>
      <c r="F1406" s="52" t="e">
        <v>#REF!</v>
      </c>
      <c r="G1406" s="48" t="e">
        <v>#REF!</v>
      </c>
      <c r="H1406" s="49">
        <v>1</v>
      </c>
      <c r="I1406" s="49" t="e">
        <v>#REF!</v>
      </c>
      <c r="J1406" s="50"/>
    </row>
    <row r="1407" outlineLevel="1" spans="1:10">
      <c r="A1407" s="50" t="str">
        <v/>
      </c>
      <c r="B1407" s="51" t="str">
        <v>B.18.3配管配线</v>
      </c>
      <c r="C1407" s="51" t="str">
        <v/>
      </c>
      <c r="D1407" s="51" t="str">
        <v/>
      </c>
      <c r="E1407" s="51" t="str">
        <v/>
      </c>
      <c r="F1407" s="52" t="str">
        <v/>
      </c>
      <c r="G1407" s="48" t="str">
        <v/>
      </c>
      <c r="H1407" s="49">
        <v>0</v>
      </c>
      <c r="I1407" s="49" t="e">
        <v>#REF!</v>
      </c>
      <c r="J1407" s="50"/>
    </row>
    <row r="1408" ht="28.8" outlineLevel="1" spans="1:10">
      <c r="A1408" s="50">
        <v>459</v>
      </c>
      <c r="B1408" s="51" t="str">
        <v>阻燃塑料管配管-PC16-暗配</v>
      </c>
      <c r="C1408" s="51" t="e">
        <v>#REF!</v>
      </c>
      <c r="D1408" s="51" t="str">
        <v/>
      </c>
      <c r="E1408" s="51" t="str">
        <v/>
      </c>
      <c r="F1408" s="52" t="e">
        <v>#REF!</v>
      </c>
      <c r="G1408" s="48" t="e">
        <v>#REF!</v>
      </c>
      <c r="H1408" s="49">
        <v>1</v>
      </c>
      <c r="I1408" s="49" t="e">
        <v>#REF!</v>
      </c>
      <c r="J1408" s="50"/>
    </row>
    <row r="1409" ht="28.8" outlineLevel="1" spans="1:10">
      <c r="A1409" s="50">
        <v>460</v>
      </c>
      <c r="B1409" s="51" t="str">
        <v>阻燃塑料管配管-PC20-暗配</v>
      </c>
      <c r="C1409" s="51" t="e">
        <v>#REF!</v>
      </c>
      <c r="D1409" s="51" t="str">
        <v/>
      </c>
      <c r="E1409" s="51" t="str">
        <v/>
      </c>
      <c r="F1409" s="52" t="e">
        <v>#REF!</v>
      </c>
      <c r="G1409" s="48" t="e">
        <v>#REF!</v>
      </c>
      <c r="H1409" s="49">
        <v>0</v>
      </c>
      <c r="I1409" s="49" t="e">
        <v>#REF!</v>
      </c>
      <c r="J1409" s="50"/>
    </row>
    <row r="1410" ht="28.8" outlineLevel="1" spans="1:10">
      <c r="A1410" s="50">
        <v>461</v>
      </c>
      <c r="B1410" s="51" t="str">
        <v>阻燃塑料管配管-PC25-暗配</v>
      </c>
      <c r="C1410" s="51" t="e">
        <v>#REF!</v>
      </c>
      <c r="D1410" s="51" t="str">
        <v/>
      </c>
      <c r="E1410" s="51" t="str">
        <v/>
      </c>
      <c r="F1410" s="52" t="e">
        <v>#REF!</v>
      </c>
      <c r="G1410" s="48" t="e">
        <v>#REF!</v>
      </c>
      <c r="H1410" s="49">
        <v>0</v>
      </c>
      <c r="I1410" s="49" t="e">
        <v>#REF!</v>
      </c>
      <c r="J1410" s="50"/>
    </row>
    <row r="1411" ht="28.8" outlineLevel="1" spans="1:10">
      <c r="A1411" s="50">
        <v>462</v>
      </c>
      <c r="B1411" s="51" t="str">
        <v>阻燃塑料管配管-PC32-暗配</v>
      </c>
      <c r="C1411" s="51" t="e">
        <v>#REF!</v>
      </c>
      <c r="D1411" s="51" t="str">
        <v/>
      </c>
      <c r="E1411" s="51" t="str">
        <v/>
      </c>
      <c r="F1411" s="52" t="e">
        <v>#REF!</v>
      </c>
      <c r="G1411" s="48" t="e">
        <v>#REF!</v>
      </c>
      <c r="H1411" s="49">
        <v>0</v>
      </c>
      <c r="I1411" s="49" t="e">
        <v>#REF!</v>
      </c>
      <c r="J1411" s="50"/>
    </row>
    <row r="1412" ht="28.8" outlineLevel="1" spans="1:10">
      <c r="A1412" s="50">
        <v>463</v>
      </c>
      <c r="B1412" s="51" t="str">
        <v>阻燃塑料管配管-PC40-暗配</v>
      </c>
      <c r="C1412" s="51" t="e">
        <v>#REF!</v>
      </c>
      <c r="D1412" s="51" t="str">
        <v/>
      </c>
      <c r="E1412" s="51" t="str">
        <v/>
      </c>
      <c r="F1412" s="52" t="e">
        <v>#REF!</v>
      </c>
      <c r="G1412" s="48" t="e">
        <v>#REF!</v>
      </c>
      <c r="H1412" s="49">
        <v>1</v>
      </c>
      <c r="I1412" s="49" t="e">
        <v>#REF!</v>
      </c>
      <c r="J1412" s="50"/>
    </row>
    <row r="1413" ht="28.8" outlineLevel="1" spans="1:10">
      <c r="A1413" s="50">
        <v>464</v>
      </c>
      <c r="B1413" s="51" t="str">
        <v>阻燃塑料管配管-PC16-明配</v>
      </c>
      <c r="C1413" s="51" t="e">
        <v>#REF!</v>
      </c>
      <c r="D1413" s="51" t="str">
        <v/>
      </c>
      <c r="E1413" s="51" t="str">
        <v/>
      </c>
      <c r="F1413" s="52" t="e">
        <v>#REF!</v>
      </c>
      <c r="G1413" s="48" t="e">
        <v>#REF!</v>
      </c>
      <c r="H1413" s="49">
        <v>1</v>
      </c>
      <c r="I1413" s="49" t="e">
        <v>#REF!</v>
      </c>
      <c r="J1413" s="50"/>
    </row>
    <row r="1414" ht="28.8" outlineLevel="1" spans="1:10">
      <c r="A1414" s="50">
        <v>465</v>
      </c>
      <c r="B1414" s="51" t="str">
        <v>阻燃塑料管配管-PC20-明配</v>
      </c>
      <c r="C1414" s="51" t="e">
        <v>#REF!</v>
      </c>
      <c r="D1414" s="51" t="str">
        <v/>
      </c>
      <c r="E1414" s="51" t="str">
        <v/>
      </c>
      <c r="F1414" s="52" t="e">
        <v>#REF!</v>
      </c>
      <c r="G1414" s="48" t="e">
        <v>#REF!</v>
      </c>
      <c r="H1414" s="49">
        <v>1</v>
      </c>
      <c r="I1414" s="49" t="e">
        <v>#REF!</v>
      </c>
      <c r="J1414" s="50"/>
    </row>
    <row r="1415" ht="28.8" outlineLevel="1" spans="1:10">
      <c r="A1415" s="50">
        <v>466</v>
      </c>
      <c r="B1415" s="51" t="str">
        <v>阻燃塑料管配管-PC25-明配</v>
      </c>
      <c r="C1415" s="51" t="e">
        <v>#REF!</v>
      </c>
      <c r="D1415" s="51" t="str">
        <v/>
      </c>
      <c r="E1415" s="51" t="str">
        <v/>
      </c>
      <c r="F1415" s="52" t="e">
        <v>#REF!</v>
      </c>
      <c r="G1415" s="48" t="e">
        <v>#REF!</v>
      </c>
      <c r="H1415" s="49">
        <v>1</v>
      </c>
      <c r="I1415" s="49" t="e">
        <v>#REF!</v>
      </c>
      <c r="J1415" s="50"/>
    </row>
    <row r="1416" ht="28.8" outlineLevel="1" spans="1:10">
      <c r="A1416" s="50">
        <v>467</v>
      </c>
      <c r="B1416" s="51" t="str">
        <v>阻燃塑料管配管-PC32-明配</v>
      </c>
      <c r="C1416" s="51" t="e">
        <v>#REF!</v>
      </c>
      <c r="D1416" s="51" t="str">
        <v/>
      </c>
      <c r="E1416" s="51" t="str">
        <v/>
      </c>
      <c r="F1416" s="52" t="e">
        <v>#REF!</v>
      </c>
      <c r="G1416" s="48" t="e">
        <v>#REF!</v>
      </c>
      <c r="H1416" s="49">
        <v>1</v>
      </c>
      <c r="I1416" s="49" t="e">
        <v>#REF!</v>
      </c>
      <c r="J1416" s="50"/>
    </row>
    <row r="1417" ht="28.8" outlineLevel="1" spans="1:10">
      <c r="A1417" s="50">
        <v>468</v>
      </c>
      <c r="B1417" s="51" t="str">
        <v>阻燃塑料管配管-PC40-明配</v>
      </c>
      <c r="C1417" s="51" t="e">
        <v>#REF!</v>
      </c>
      <c r="D1417" s="51" t="str">
        <v/>
      </c>
      <c r="E1417" s="51" t="str">
        <v/>
      </c>
      <c r="F1417" s="52" t="e">
        <v>#REF!</v>
      </c>
      <c r="G1417" s="48" t="e">
        <v>#REF!</v>
      </c>
      <c r="H1417" s="49">
        <v>1</v>
      </c>
      <c r="I1417" s="49" t="e">
        <v>#REF!</v>
      </c>
      <c r="J1417" s="50"/>
    </row>
    <row r="1418" ht="28.8" outlineLevel="1" spans="1:10">
      <c r="A1418" s="50">
        <v>469</v>
      </c>
      <c r="B1418" s="51" t="str">
        <v>薄壁钢导管配管-JDG15-暗配</v>
      </c>
      <c r="C1418" s="51" t="e">
        <v>#REF!</v>
      </c>
      <c r="D1418" s="51" t="str">
        <v/>
      </c>
      <c r="E1418" s="51" t="str">
        <v/>
      </c>
      <c r="F1418" s="52" t="e">
        <v>#REF!</v>
      </c>
      <c r="G1418" s="48" t="e">
        <v>#REF!</v>
      </c>
      <c r="H1418" s="49">
        <v>0</v>
      </c>
      <c r="I1418" s="49" t="e">
        <v>#REF!</v>
      </c>
      <c r="J1418" s="50"/>
    </row>
    <row r="1419" ht="28.8" outlineLevel="1" spans="1:10">
      <c r="A1419" s="50">
        <v>470</v>
      </c>
      <c r="B1419" s="51" t="str">
        <v>薄壁钢导管配管-JDG20-暗配</v>
      </c>
      <c r="C1419" s="51" t="e">
        <v>#REF!</v>
      </c>
      <c r="D1419" s="51" t="str">
        <v/>
      </c>
      <c r="E1419" s="51" t="str">
        <v/>
      </c>
      <c r="F1419" s="52" t="e">
        <v>#REF!</v>
      </c>
      <c r="G1419" s="48" t="e">
        <v>#REF!</v>
      </c>
      <c r="H1419" s="49">
        <v>0</v>
      </c>
      <c r="I1419" s="49" t="e">
        <v>#REF!</v>
      </c>
      <c r="J1419" s="50"/>
    </row>
    <row r="1420" ht="28.8" outlineLevel="1" spans="1:10">
      <c r="A1420" s="50">
        <v>471</v>
      </c>
      <c r="B1420" s="51" t="str">
        <v>薄壁钢导管配管-JDG25-暗配</v>
      </c>
      <c r="C1420" s="51" t="e">
        <v>#REF!</v>
      </c>
      <c r="D1420" s="51" t="str">
        <v/>
      </c>
      <c r="E1420" s="51" t="str">
        <v/>
      </c>
      <c r="F1420" s="52" t="e">
        <v>#REF!</v>
      </c>
      <c r="G1420" s="48" t="e">
        <v>#REF!</v>
      </c>
      <c r="H1420" s="49">
        <v>0</v>
      </c>
      <c r="I1420" s="49" t="e">
        <v>#REF!</v>
      </c>
      <c r="J1420" s="50"/>
    </row>
    <row r="1421" ht="28.8" outlineLevel="1" spans="1:10">
      <c r="A1421" s="50">
        <v>472</v>
      </c>
      <c r="B1421" s="51" t="str">
        <v>薄壁钢导管配管-JDG32-暗配</v>
      </c>
      <c r="C1421" s="51" t="e">
        <v>#REF!</v>
      </c>
      <c r="D1421" s="51" t="str">
        <v/>
      </c>
      <c r="E1421" s="51" t="str">
        <v/>
      </c>
      <c r="F1421" s="52" t="e">
        <v>#REF!</v>
      </c>
      <c r="G1421" s="48" t="e">
        <v>#REF!</v>
      </c>
      <c r="H1421" s="49">
        <v>0</v>
      </c>
      <c r="I1421" s="49" t="e">
        <v>#REF!</v>
      </c>
      <c r="J1421" s="50"/>
    </row>
    <row r="1422" ht="28.8" outlineLevel="1" spans="1:10">
      <c r="A1422" s="50">
        <v>473</v>
      </c>
      <c r="B1422" s="51" t="str">
        <v>薄壁钢导管配管-JDG40-暗配</v>
      </c>
      <c r="C1422" s="51" t="e">
        <v>#REF!</v>
      </c>
      <c r="D1422" s="51" t="str">
        <v/>
      </c>
      <c r="E1422" s="51" t="str">
        <v/>
      </c>
      <c r="F1422" s="52" t="e">
        <v>#REF!</v>
      </c>
      <c r="G1422" s="48" t="e">
        <v>#REF!</v>
      </c>
      <c r="H1422" s="49">
        <v>0</v>
      </c>
      <c r="I1422" s="49" t="e">
        <v>#REF!</v>
      </c>
      <c r="J1422" s="50"/>
    </row>
    <row r="1423" outlineLevel="1" spans="1:10">
      <c r="A1423" s="50">
        <v>474</v>
      </c>
      <c r="B1423" s="51" t="str">
        <v>SC15-暗配</v>
      </c>
      <c r="C1423" s="51" t="e">
        <v>#REF!</v>
      </c>
      <c r="D1423" s="51" t="str">
        <v/>
      </c>
      <c r="E1423" s="51" t="str">
        <v/>
      </c>
      <c r="F1423" s="52" t="e">
        <v>#REF!</v>
      </c>
      <c r="G1423" s="48" t="e">
        <v>#REF!</v>
      </c>
      <c r="H1423" s="49">
        <v>1</v>
      </c>
      <c r="I1423" s="49" t="e">
        <v>#REF!</v>
      </c>
      <c r="J1423" s="50"/>
    </row>
    <row r="1424" outlineLevel="1" spans="1:10">
      <c r="A1424" s="50">
        <v>475</v>
      </c>
      <c r="B1424" s="51" t="str">
        <v>SC20-暗配</v>
      </c>
      <c r="C1424" s="51" t="e">
        <v>#REF!</v>
      </c>
      <c r="D1424" s="51" t="str">
        <v/>
      </c>
      <c r="E1424" s="51" t="str">
        <v/>
      </c>
      <c r="F1424" s="52" t="e">
        <v>#REF!</v>
      </c>
      <c r="G1424" s="48" t="e">
        <v>#REF!</v>
      </c>
      <c r="H1424" s="49">
        <v>0</v>
      </c>
      <c r="I1424" s="49" t="e">
        <v>#REF!</v>
      </c>
      <c r="J1424" s="50"/>
    </row>
    <row r="1425" outlineLevel="1" spans="1:10">
      <c r="A1425" s="50">
        <v>476</v>
      </c>
      <c r="B1425" s="51" t="str">
        <v>SC25-暗配</v>
      </c>
      <c r="C1425" s="51" t="e">
        <v>#REF!</v>
      </c>
      <c r="D1425" s="51" t="str">
        <v/>
      </c>
      <c r="E1425" s="51" t="str">
        <v/>
      </c>
      <c r="F1425" s="52" t="e">
        <v>#REF!</v>
      </c>
      <c r="G1425" s="48" t="e">
        <v>#REF!</v>
      </c>
      <c r="H1425" s="49">
        <v>1</v>
      </c>
      <c r="I1425" s="49" t="e">
        <v>#REF!</v>
      </c>
      <c r="J1425" s="50"/>
    </row>
    <row r="1426" outlineLevel="1" spans="1:10">
      <c r="A1426" s="50">
        <v>477</v>
      </c>
      <c r="B1426" s="51" t="str">
        <v>SC32-暗配</v>
      </c>
      <c r="C1426" s="51" t="e">
        <v>#REF!</v>
      </c>
      <c r="D1426" s="51" t="str">
        <v/>
      </c>
      <c r="E1426" s="51" t="str">
        <v/>
      </c>
      <c r="F1426" s="52" t="e">
        <v>#REF!</v>
      </c>
      <c r="G1426" s="48" t="e">
        <v>#REF!</v>
      </c>
      <c r="H1426" s="49">
        <v>0</v>
      </c>
      <c r="I1426" s="49" t="e">
        <v>#REF!</v>
      </c>
      <c r="J1426" s="50"/>
    </row>
    <row r="1427" outlineLevel="1" spans="1:10">
      <c r="A1427" s="50">
        <v>478</v>
      </c>
      <c r="B1427" s="51" t="str">
        <v>SC40-暗配</v>
      </c>
      <c r="C1427" s="51" t="e">
        <v>#REF!</v>
      </c>
      <c r="D1427" s="51" t="str">
        <v/>
      </c>
      <c r="E1427" s="51" t="str">
        <v/>
      </c>
      <c r="F1427" s="52" t="e">
        <v>#REF!</v>
      </c>
      <c r="G1427" s="48" t="e">
        <v>#REF!</v>
      </c>
      <c r="H1427" s="49">
        <v>0</v>
      </c>
      <c r="I1427" s="49" t="e">
        <v>#REF!</v>
      </c>
      <c r="J1427" s="50"/>
    </row>
    <row r="1428" outlineLevel="1" spans="1:10">
      <c r="A1428" s="50">
        <v>479</v>
      </c>
      <c r="B1428" s="51" t="str">
        <v>SC50-暗配</v>
      </c>
      <c r="C1428" s="51" t="e">
        <v>#REF!</v>
      </c>
      <c r="D1428" s="51" t="str">
        <v/>
      </c>
      <c r="E1428" s="51" t="str">
        <v/>
      </c>
      <c r="F1428" s="52" t="e">
        <v>#REF!</v>
      </c>
      <c r="G1428" s="48" t="e">
        <v>#REF!</v>
      </c>
      <c r="H1428" s="49">
        <v>0</v>
      </c>
      <c r="I1428" s="49" t="e">
        <v>#REF!</v>
      </c>
      <c r="J1428" s="50"/>
    </row>
    <row r="1429" outlineLevel="1" spans="1:10">
      <c r="A1429" s="50">
        <v>480</v>
      </c>
      <c r="B1429" s="51" t="str">
        <v>SC70-暗配</v>
      </c>
      <c r="C1429" s="51" t="e">
        <v>#REF!</v>
      </c>
      <c r="D1429" s="51" t="str">
        <v/>
      </c>
      <c r="E1429" s="51" t="str">
        <v/>
      </c>
      <c r="F1429" s="52" t="e">
        <v>#REF!</v>
      </c>
      <c r="G1429" s="48" t="e">
        <v>#REF!</v>
      </c>
      <c r="H1429" s="49">
        <v>0</v>
      </c>
      <c r="I1429" s="49" t="e">
        <v>#REF!</v>
      </c>
      <c r="J1429" s="50"/>
    </row>
    <row r="1430" outlineLevel="1" spans="1:10">
      <c r="A1430" s="50">
        <v>481</v>
      </c>
      <c r="B1430" s="51" t="str">
        <v>SC100-暗配</v>
      </c>
      <c r="C1430" s="51" t="e">
        <v>#REF!</v>
      </c>
      <c r="D1430" s="51" t="str">
        <v/>
      </c>
      <c r="E1430" s="51" t="str">
        <v/>
      </c>
      <c r="F1430" s="52" t="e">
        <v>#REF!</v>
      </c>
      <c r="G1430" s="48" t="e">
        <v>#REF!</v>
      </c>
      <c r="H1430" s="49">
        <v>6.14</v>
      </c>
      <c r="I1430" s="49" t="e">
        <v>#REF!</v>
      </c>
      <c r="J1430" s="50"/>
    </row>
    <row r="1431" outlineLevel="1" spans="1:10">
      <c r="A1431" s="50">
        <v>482</v>
      </c>
      <c r="B1431" s="51" t="str">
        <v>SC150-暗配</v>
      </c>
      <c r="C1431" s="51" t="e">
        <v>#REF!</v>
      </c>
      <c r="D1431" s="51" t="str">
        <v/>
      </c>
      <c r="E1431" s="51" t="str">
        <v/>
      </c>
      <c r="F1431" s="52" t="e">
        <v>#REF!</v>
      </c>
      <c r="G1431" s="48" t="e">
        <v>#REF!</v>
      </c>
      <c r="H1431" s="49">
        <v>0</v>
      </c>
      <c r="I1431" s="49" t="e">
        <v>#REF!</v>
      </c>
      <c r="J1431" s="50"/>
    </row>
    <row r="1432" outlineLevel="1" spans="1:10">
      <c r="A1432" s="50">
        <v>483</v>
      </c>
      <c r="B1432" s="51" t="str">
        <v>SC32-明配</v>
      </c>
      <c r="C1432" s="51" t="e">
        <v>#REF!</v>
      </c>
      <c r="D1432" s="51" t="str">
        <v/>
      </c>
      <c r="E1432" s="51" t="str">
        <v/>
      </c>
      <c r="F1432" s="52" t="e">
        <v>#REF!</v>
      </c>
      <c r="G1432" s="48" t="e">
        <v>#REF!</v>
      </c>
      <c r="H1432" s="49">
        <v>0</v>
      </c>
      <c r="I1432" s="49" t="e">
        <v>#REF!</v>
      </c>
      <c r="J1432" s="50"/>
    </row>
    <row r="1433" outlineLevel="1" spans="1:10">
      <c r="A1433" s="50">
        <v>484</v>
      </c>
      <c r="B1433" s="51" t="str">
        <v>SC40-明配</v>
      </c>
      <c r="C1433" s="51" t="e">
        <v>#REF!</v>
      </c>
      <c r="D1433" s="51" t="str">
        <v/>
      </c>
      <c r="E1433" s="51" t="str">
        <v/>
      </c>
      <c r="F1433" s="52" t="e">
        <v>#REF!</v>
      </c>
      <c r="G1433" s="48" t="e">
        <v>#REF!</v>
      </c>
      <c r="H1433" s="49">
        <v>1</v>
      </c>
      <c r="I1433" s="49" t="e">
        <v>#REF!</v>
      </c>
      <c r="J1433" s="50"/>
    </row>
    <row r="1434" outlineLevel="1" spans="1:10">
      <c r="A1434" s="50">
        <v>485</v>
      </c>
      <c r="B1434" s="51" t="str">
        <v>SC50-明配</v>
      </c>
      <c r="C1434" s="51" t="e">
        <v>#REF!</v>
      </c>
      <c r="D1434" s="51" t="str">
        <v/>
      </c>
      <c r="E1434" s="51" t="str">
        <v/>
      </c>
      <c r="F1434" s="52" t="e">
        <v>#REF!</v>
      </c>
      <c r="G1434" s="48" t="e">
        <v>#REF!</v>
      </c>
      <c r="H1434" s="49">
        <v>1</v>
      </c>
      <c r="I1434" s="49" t="e">
        <v>#REF!</v>
      </c>
      <c r="J1434" s="50"/>
    </row>
    <row r="1435" outlineLevel="1" spans="1:10">
      <c r="A1435" s="50">
        <v>486</v>
      </c>
      <c r="B1435" s="51" t="str">
        <v>SC70-明配</v>
      </c>
      <c r="C1435" s="51" t="e">
        <v>#REF!</v>
      </c>
      <c r="D1435" s="51" t="str">
        <v/>
      </c>
      <c r="E1435" s="51" t="str">
        <v/>
      </c>
      <c r="F1435" s="52" t="e">
        <v>#REF!</v>
      </c>
      <c r="G1435" s="48" t="e">
        <v>#REF!</v>
      </c>
      <c r="H1435" s="49">
        <v>1</v>
      </c>
      <c r="I1435" s="49" t="e">
        <v>#REF!</v>
      </c>
      <c r="J1435" s="50"/>
    </row>
    <row r="1436" outlineLevel="1" spans="1:10">
      <c r="A1436" s="50">
        <v>487</v>
      </c>
      <c r="B1436" s="51" t="str">
        <v>RC15-暗配</v>
      </c>
      <c r="C1436" s="51" t="e">
        <v>#REF!</v>
      </c>
      <c r="D1436" s="51" t="str">
        <v/>
      </c>
      <c r="E1436" s="51" t="str">
        <v/>
      </c>
      <c r="F1436" s="52" t="e">
        <v>#REF!</v>
      </c>
      <c r="G1436" s="48" t="e">
        <v>#REF!</v>
      </c>
      <c r="H1436" s="49">
        <v>0</v>
      </c>
      <c r="I1436" s="49" t="e">
        <v>#REF!</v>
      </c>
      <c r="J1436" s="50"/>
    </row>
    <row r="1437" outlineLevel="1" spans="1:10">
      <c r="A1437" s="50">
        <v>488</v>
      </c>
      <c r="B1437" s="51" t="str">
        <v>RC20-暗配</v>
      </c>
      <c r="C1437" s="51" t="e">
        <v>#REF!</v>
      </c>
      <c r="D1437" s="51" t="str">
        <v/>
      </c>
      <c r="E1437" s="51" t="str">
        <v/>
      </c>
      <c r="F1437" s="52" t="e">
        <v>#REF!</v>
      </c>
      <c r="G1437" s="48" t="e">
        <v>#REF!</v>
      </c>
      <c r="H1437" s="49">
        <v>0</v>
      </c>
      <c r="I1437" s="49" t="e">
        <v>#REF!</v>
      </c>
      <c r="J1437" s="50"/>
    </row>
    <row r="1438" outlineLevel="1" spans="1:10">
      <c r="A1438" s="50">
        <v>489</v>
      </c>
      <c r="B1438" s="51" t="str">
        <v>RC25-暗配</v>
      </c>
      <c r="C1438" s="51" t="e">
        <v>#REF!</v>
      </c>
      <c r="D1438" s="51" t="str">
        <v/>
      </c>
      <c r="E1438" s="51" t="str">
        <v/>
      </c>
      <c r="F1438" s="52" t="e">
        <v>#REF!</v>
      </c>
      <c r="G1438" s="48" t="e">
        <v>#REF!</v>
      </c>
      <c r="H1438" s="49">
        <v>0</v>
      </c>
      <c r="I1438" s="49" t="e">
        <v>#REF!</v>
      </c>
      <c r="J1438" s="50"/>
    </row>
    <row r="1439" outlineLevel="1" spans="1:10">
      <c r="A1439" s="50">
        <v>490</v>
      </c>
      <c r="B1439" s="51" t="str">
        <v>RC32-暗配</v>
      </c>
      <c r="C1439" s="51" t="e">
        <v>#REF!</v>
      </c>
      <c r="D1439" s="51" t="str">
        <v/>
      </c>
      <c r="E1439" s="51" t="str">
        <v/>
      </c>
      <c r="F1439" s="52" t="e">
        <v>#REF!</v>
      </c>
      <c r="G1439" s="48" t="e">
        <v>#REF!</v>
      </c>
      <c r="H1439" s="49">
        <v>0</v>
      </c>
      <c r="I1439" s="49">
        <v>0</v>
      </c>
      <c r="J1439" s="50"/>
    </row>
    <row r="1440" outlineLevel="1" spans="1:10">
      <c r="A1440" s="50">
        <v>491</v>
      </c>
      <c r="B1440" s="51" t="str">
        <v>RC40-暗配</v>
      </c>
      <c r="C1440" s="51" t="e">
        <v>#REF!</v>
      </c>
      <c r="D1440" s="51" t="str">
        <v/>
      </c>
      <c r="E1440" s="51" t="str">
        <v/>
      </c>
      <c r="F1440" s="52" t="e">
        <v>#REF!</v>
      </c>
      <c r="G1440" s="48" t="e">
        <v>#REF!</v>
      </c>
      <c r="H1440" s="49">
        <v>0</v>
      </c>
      <c r="I1440" s="49" t="e">
        <v>#REF!</v>
      </c>
      <c r="J1440" s="50"/>
    </row>
    <row r="1441" outlineLevel="1" spans="1:10">
      <c r="A1441" s="50">
        <v>492</v>
      </c>
      <c r="B1441" s="51" t="str">
        <v>RC50-暗配</v>
      </c>
      <c r="C1441" s="51" t="e">
        <v>#REF!</v>
      </c>
      <c r="D1441" s="51" t="str">
        <v/>
      </c>
      <c r="E1441" s="51" t="str">
        <v/>
      </c>
      <c r="F1441" s="52" t="e">
        <v>#REF!</v>
      </c>
      <c r="G1441" s="48" t="e">
        <v>#REF!</v>
      </c>
      <c r="H1441" s="49">
        <v>0</v>
      </c>
      <c r="I1441" s="49" t="e">
        <v>#REF!</v>
      </c>
      <c r="J1441" s="50"/>
    </row>
    <row r="1442" outlineLevel="1" spans="1:10">
      <c r="A1442" s="50">
        <v>493</v>
      </c>
      <c r="B1442" s="51" t="str">
        <v>RC15-明配</v>
      </c>
      <c r="C1442" s="51" t="e">
        <v>#REF!</v>
      </c>
      <c r="D1442" s="51" t="str">
        <v/>
      </c>
      <c r="E1442" s="51" t="str">
        <v/>
      </c>
      <c r="F1442" s="52" t="e">
        <v>#REF!</v>
      </c>
      <c r="G1442" s="48" t="e">
        <v>#REF!</v>
      </c>
      <c r="H1442" s="49">
        <v>0</v>
      </c>
      <c r="I1442" s="49" t="e">
        <v>#REF!</v>
      </c>
      <c r="J1442" s="50"/>
    </row>
    <row r="1443" outlineLevel="1" spans="1:10">
      <c r="A1443" s="50">
        <v>494</v>
      </c>
      <c r="B1443" s="51" t="str">
        <v>RC20-明配</v>
      </c>
      <c r="C1443" s="51" t="e">
        <v>#REF!</v>
      </c>
      <c r="D1443" s="51" t="str">
        <v/>
      </c>
      <c r="E1443" s="51" t="str">
        <v/>
      </c>
      <c r="F1443" s="52" t="e">
        <v>#REF!</v>
      </c>
      <c r="G1443" s="48" t="e">
        <v>#REF!</v>
      </c>
      <c r="H1443" s="49">
        <v>0</v>
      </c>
      <c r="I1443" s="49" t="e">
        <v>#REF!</v>
      </c>
      <c r="J1443" s="50"/>
    </row>
    <row r="1444" outlineLevel="1" spans="1:10">
      <c r="A1444" s="50">
        <v>495</v>
      </c>
      <c r="B1444" s="51" t="str">
        <v>RC25-明配</v>
      </c>
      <c r="C1444" s="51" t="e">
        <v>#REF!</v>
      </c>
      <c r="D1444" s="51" t="str">
        <v/>
      </c>
      <c r="E1444" s="51" t="str">
        <v/>
      </c>
      <c r="F1444" s="52" t="e">
        <v>#REF!</v>
      </c>
      <c r="G1444" s="48" t="e">
        <v>#REF!</v>
      </c>
      <c r="H1444" s="49">
        <v>0</v>
      </c>
      <c r="I1444" s="49" t="e">
        <v>#REF!</v>
      </c>
      <c r="J1444" s="50"/>
    </row>
    <row r="1445" outlineLevel="1" spans="1:10">
      <c r="A1445" s="50">
        <v>496</v>
      </c>
      <c r="B1445" s="51" t="str">
        <v>RC32-明配</v>
      </c>
      <c r="C1445" s="51" t="e">
        <v>#REF!</v>
      </c>
      <c r="D1445" s="51" t="str">
        <v/>
      </c>
      <c r="E1445" s="51" t="str">
        <v/>
      </c>
      <c r="F1445" s="52" t="e">
        <v>#REF!</v>
      </c>
      <c r="G1445" s="48" t="e">
        <v>#REF!</v>
      </c>
      <c r="H1445" s="49">
        <v>0</v>
      </c>
      <c r="I1445" s="49" t="e">
        <v>#REF!</v>
      </c>
      <c r="J1445" s="50"/>
    </row>
    <row r="1446" outlineLevel="1" spans="1:10">
      <c r="A1446" s="50">
        <v>497</v>
      </c>
      <c r="B1446" s="51" t="str">
        <v>RC40-明配</v>
      </c>
      <c r="C1446" s="51" t="e">
        <v>#REF!</v>
      </c>
      <c r="D1446" s="51" t="str">
        <v/>
      </c>
      <c r="E1446" s="51" t="str">
        <v/>
      </c>
      <c r="F1446" s="52" t="e">
        <v>#REF!</v>
      </c>
      <c r="G1446" s="48" t="e">
        <v>#REF!</v>
      </c>
      <c r="H1446" s="49">
        <v>0</v>
      </c>
      <c r="I1446" s="49" t="e">
        <v>#REF!</v>
      </c>
      <c r="J1446" s="50"/>
    </row>
    <row r="1447" outlineLevel="1" spans="1:10">
      <c r="A1447" s="50">
        <v>498</v>
      </c>
      <c r="B1447" s="51" t="str">
        <v>RC50-明配</v>
      </c>
      <c r="C1447" s="51" t="e">
        <v>#REF!</v>
      </c>
      <c r="D1447" s="51" t="str">
        <v/>
      </c>
      <c r="E1447" s="51" t="str">
        <v/>
      </c>
      <c r="F1447" s="52" t="e">
        <v>#REF!</v>
      </c>
      <c r="G1447" s="48" t="e">
        <v>#REF!</v>
      </c>
      <c r="H1447" s="49">
        <v>0</v>
      </c>
      <c r="I1447" s="49" t="e">
        <v>#REF!</v>
      </c>
      <c r="J1447" s="50"/>
    </row>
    <row r="1448" outlineLevel="1" spans="1:10">
      <c r="A1448" s="50">
        <v>499</v>
      </c>
      <c r="B1448" s="51" t="str">
        <v>电缆保护管-阻水钢板1</v>
      </c>
      <c r="C1448" s="51" t="e">
        <v>#REF!</v>
      </c>
      <c r="D1448" s="51" t="str">
        <v/>
      </c>
      <c r="E1448" s="51" t="str">
        <v/>
      </c>
      <c r="F1448" s="52" t="e">
        <v>#REF!</v>
      </c>
      <c r="G1448" s="48" t="e">
        <v>#REF!</v>
      </c>
      <c r="H1448" s="49">
        <v>0</v>
      </c>
      <c r="I1448" s="49" t="e">
        <v>#REF!</v>
      </c>
      <c r="J1448" s="50"/>
    </row>
    <row r="1449" outlineLevel="1" spans="1:10">
      <c r="A1449" s="50">
        <v>500</v>
      </c>
      <c r="B1449" s="51" t="str">
        <v>电缆保护管-阻水钢板2</v>
      </c>
      <c r="C1449" s="51" t="e">
        <v>#REF!</v>
      </c>
      <c r="D1449" s="51" t="str">
        <v/>
      </c>
      <c r="E1449" s="51" t="str">
        <v/>
      </c>
      <c r="F1449" s="52" t="e">
        <v>#REF!</v>
      </c>
      <c r="G1449" s="48" t="e">
        <v>#REF!</v>
      </c>
      <c r="H1449" s="49">
        <v>0</v>
      </c>
      <c r="I1449" s="49" t="e">
        <v>#REF!</v>
      </c>
      <c r="J1449" s="50"/>
    </row>
    <row r="1450" outlineLevel="1" spans="1:10">
      <c r="A1450" s="50">
        <v>501</v>
      </c>
      <c r="B1450" s="51" t="str">
        <v>电缆保护管-阻水钢板3</v>
      </c>
      <c r="C1450" s="51" t="e">
        <v>#REF!</v>
      </c>
      <c r="D1450" s="51" t="str">
        <v/>
      </c>
      <c r="E1450" s="51" t="str">
        <v/>
      </c>
      <c r="F1450" s="52" t="e">
        <v>#REF!</v>
      </c>
      <c r="G1450" s="48" t="e">
        <v>#REF!</v>
      </c>
      <c r="H1450" s="49">
        <v>0</v>
      </c>
      <c r="I1450" s="49" t="e">
        <v>#REF!</v>
      </c>
      <c r="J1450" s="50"/>
    </row>
    <row r="1451" outlineLevel="1" spans="1:10">
      <c r="A1451" s="50">
        <v>502</v>
      </c>
      <c r="B1451" s="51" t="str">
        <v>电缆保护管-止水翼环1</v>
      </c>
      <c r="C1451" s="51" t="e">
        <v>#REF!</v>
      </c>
      <c r="D1451" s="51" t="str">
        <v/>
      </c>
      <c r="E1451" s="51" t="str">
        <v/>
      </c>
      <c r="F1451" s="52" t="e">
        <v>#REF!</v>
      </c>
      <c r="G1451" s="48" t="e">
        <v>#REF!</v>
      </c>
      <c r="H1451" s="49">
        <v>0</v>
      </c>
      <c r="I1451" s="49" t="e">
        <v>#REF!</v>
      </c>
      <c r="J1451" s="50"/>
    </row>
    <row r="1452" outlineLevel="1" spans="1:10">
      <c r="A1452" s="50">
        <v>503</v>
      </c>
      <c r="B1452" s="51" t="str">
        <v>电缆保护管-止水翼环2</v>
      </c>
      <c r="C1452" s="51" t="e">
        <v>#REF!</v>
      </c>
      <c r="D1452" s="51" t="str">
        <v/>
      </c>
      <c r="E1452" s="51" t="str">
        <v/>
      </c>
      <c r="F1452" s="52" t="e">
        <v>#REF!</v>
      </c>
      <c r="G1452" s="48" t="e">
        <v>#REF!</v>
      </c>
      <c r="H1452" s="49">
        <v>0</v>
      </c>
      <c r="I1452" s="49" t="e">
        <v>#REF!</v>
      </c>
      <c r="J1452" s="50"/>
    </row>
    <row r="1453" outlineLevel="1" spans="1:10">
      <c r="A1453" s="50">
        <v>504</v>
      </c>
      <c r="B1453" s="51" t="str">
        <v>电缆保护管-止水翼环3</v>
      </c>
      <c r="C1453" s="51" t="e">
        <v>#REF!</v>
      </c>
      <c r="D1453" s="51" t="str">
        <v/>
      </c>
      <c r="E1453" s="51" t="str">
        <v/>
      </c>
      <c r="F1453" s="52" t="e">
        <v>#REF!</v>
      </c>
      <c r="G1453" s="48" t="e">
        <v>#REF!</v>
      </c>
      <c r="H1453" s="49">
        <v>0</v>
      </c>
      <c r="I1453" s="49" t="e">
        <v>#REF!</v>
      </c>
      <c r="J1453" s="50"/>
    </row>
    <row r="1454" outlineLevel="1" spans="1:10">
      <c r="A1454" s="50">
        <v>505</v>
      </c>
      <c r="B1454" s="51" t="str">
        <v>电缆保护管-止水翼环4</v>
      </c>
      <c r="C1454" s="51" t="e">
        <v>#REF!</v>
      </c>
      <c r="D1454" s="51" t="str">
        <v/>
      </c>
      <c r="E1454" s="51" t="str">
        <v/>
      </c>
      <c r="F1454" s="52" t="e">
        <v>#REF!</v>
      </c>
      <c r="G1454" s="48" t="e">
        <v>#REF!</v>
      </c>
      <c r="H1454" s="49">
        <v>0</v>
      </c>
      <c r="I1454" s="49" t="e">
        <v>#REF!</v>
      </c>
      <c r="J1454" s="50"/>
    </row>
    <row r="1455" outlineLevel="1" spans="1:10">
      <c r="A1455" s="50">
        <v>506</v>
      </c>
      <c r="B1455" s="51" t="str">
        <v>电缆保护管-止水翼环5</v>
      </c>
      <c r="C1455" s="51" t="e">
        <v>#REF!</v>
      </c>
      <c r="D1455" s="51" t="str">
        <v/>
      </c>
      <c r="E1455" s="51" t="str">
        <v/>
      </c>
      <c r="F1455" s="52" t="e">
        <v>#REF!</v>
      </c>
      <c r="G1455" s="48" t="e">
        <v>#REF!</v>
      </c>
      <c r="H1455" s="49">
        <v>0</v>
      </c>
      <c r="I1455" s="49" t="e">
        <v>#REF!</v>
      </c>
      <c r="J1455" s="50"/>
    </row>
    <row r="1456" outlineLevel="1" spans="1:10">
      <c r="A1456" s="50">
        <v>507</v>
      </c>
      <c r="B1456" s="51" t="str">
        <v>电缆保护管-RC150</v>
      </c>
      <c r="C1456" s="51" t="e">
        <v>#REF!</v>
      </c>
      <c r="D1456" s="51" t="str">
        <v/>
      </c>
      <c r="E1456" s="51" t="str">
        <v/>
      </c>
      <c r="F1456" s="52" t="e">
        <v>#REF!</v>
      </c>
      <c r="G1456" s="48" t="e">
        <v>#REF!</v>
      </c>
      <c r="H1456" s="49">
        <v>0</v>
      </c>
      <c r="I1456" s="49" t="e">
        <v>#REF!</v>
      </c>
      <c r="J1456" s="50"/>
    </row>
    <row r="1457" outlineLevel="1" spans="1:10">
      <c r="A1457" s="50">
        <v>508</v>
      </c>
      <c r="B1457" s="51" t="str">
        <v>电缆保护管-RC100</v>
      </c>
      <c r="C1457" s="51" t="e">
        <v>#REF!</v>
      </c>
      <c r="D1457" s="51" t="str">
        <v/>
      </c>
      <c r="E1457" s="51" t="str">
        <v/>
      </c>
      <c r="F1457" s="52" t="e">
        <v>#REF!</v>
      </c>
      <c r="G1457" s="48" t="e">
        <v>#REF!</v>
      </c>
      <c r="H1457" s="49">
        <v>0</v>
      </c>
      <c r="I1457" s="49" t="e">
        <v>#REF!</v>
      </c>
      <c r="J1457" s="50"/>
    </row>
    <row r="1458" outlineLevel="1" spans="1:10">
      <c r="A1458" s="50">
        <v>509</v>
      </c>
      <c r="B1458" s="51" t="str">
        <v>电缆保护管-RC80</v>
      </c>
      <c r="C1458" s="51" t="e">
        <v>#REF!</v>
      </c>
      <c r="D1458" s="51" t="str">
        <v/>
      </c>
      <c r="E1458" s="51" t="str">
        <v/>
      </c>
      <c r="F1458" s="52" t="e">
        <v>#REF!</v>
      </c>
      <c r="G1458" s="48" t="e">
        <v>#REF!</v>
      </c>
      <c r="H1458" s="49">
        <v>0</v>
      </c>
      <c r="I1458" s="49" t="e">
        <v>#REF!</v>
      </c>
      <c r="J1458" s="50"/>
    </row>
    <row r="1459" outlineLevel="1" spans="1:10">
      <c r="A1459" s="50">
        <v>510</v>
      </c>
      <c r="B1459" s="51" t="str">
        <v>电缆保护管-RC50</v>
      </c>
      <c r="C1459" s="51" t="e">
        <v>#REF!</v>
      </c>
      <c r="D1459" s="51" t="str">
        <v/>
      </c>
      <c r="E1459" s="51" t="str">
        <v/>
      </c>
      <c r="F1459" s="52" t="e">
        <v>#REF!</v>
      </c>
      <c r="G1459" s="48" t="e">
        <v>#REF!</v>
      </c>
      <c r="H1459" s="49">
        <v>0</v>
      </c>
      <c r="I1459" s="49" t="e">
        <v>#REF!</v>
      </c>
      <c r="J1459" s="50"/>
    </row>
    <row r="1460" outlineLevel="1" spans="1:10">
      <c r="A1460" s="50">
        <v>511</v>
      </c>
      <c r="B1460" s="51" t="str">
        <v>密闭肋套管-DN15至32</v>
      </c>
      <c r="C1460" s="51" t="e">
        <v>#REF!</v>
      </c>
      <c r="D1460" s="51" t="str">
        <v/>
      </c>
      <c r="E1460" s="51" t="str">
        <v/>
      </c>
      <c r="F1460" s="52" t="e">
        <v>#REF!</v>
      </c>
      <c r="G1460" s="48" t="e">
        <v>#REF!</v>
      </c>
      <c r="H1460" s="49">
        <v>0</v>
      </c>
      <c r="I1460" s="49" t="e">
        <v>#REF!</v>
      </c>
      <c r="J1460" s="50"/>
    </row>
    <row r="1461" outlineLevel="1" spans="1:10">
      <c r="A1461" s="50">
        <v>512</v>
      </c>
      <c r="B1461" s="51" t="str">
        <v>密闭肋套管-DN50</v>
      </c>
      <c r="C1461" s="51" t="e">
        <v>#REF!</v>
      </c>
      <c r="D1461" s="51" t="str">
        <v/>
      </c>
      <c r="E1461" s="51" t="str">
        <v/>
      </c>
      <c r="F1461" s="52" t="e">
        <v>#REF!</v>
      </c>
      <c r="G1461" s="48" t="e">
        <v>#REF!</v>
      </c>
      <c r="H1461" s="49">
        <v>0</v>
      </c>
      <c r="I1461" s="49" t="e">
        <v>#REF!</v>
      </c>
      <c r="J1461" s="50"/>
    </row>
    <row r="1462" outlineLevel="1" spans="1:10">
      <c r="A1462" s="50">
        <v>513</v>
      </c>
      <c r="B1462" s="51" t="str">
        <v>密闭肋套管-DN65至70</v>
      </c>
      <c r="C1462" s="51" t="e">
        <v>#REF!</v>
      </c>
      <c r="D1462" s="51" t="str">
        <v/>
      </c>
      <c r="E1462" s="51" t="str">
        <v/>
      </c>
      <c r="F1462" s="52" t="e">
        <v>#REF!</v>
      </c>
      <c r="G1462" s="48" t="e">
        <v>#REF!</v>
      </c>
      <c r="H1462" s="49">
        <v>0</v>
      </c>
      <c r="I1462" s="49" t="e">
        <v>#REF!</v>
      </c>
      <c r="J1462" s="50"/>
    </row>
    <row r="1463" outlineLevel="1" spans="1:10">
      <c r="A1463" s="50">
        <v>514</v>
      </c>
      <c r="B1463" s="51" t="str">
        <v>密闭肋套管-DN80至100</v>
      </c>
      <c r="C1463" s="51" t="e">
        <v>#REF!</v>
      </c>
      <c r="D1463" s="51" t="str">
        <v/>
      </c>
      <c r="E1463" s="51" t="str">
        <v/>
      </c>
      <c r="F1463" s="52" t="e">
        <v>#REF!</v>
      </c>
      <c r="G1463" s="48" t="e">
        <v>#REF!</v>
      </c>
      <c r="H1463" s="49">
        <v>0</v>
      </c>
      <c r="I1463" s="49" t="e">
        <v>#REF!</v>
      </c>
      <c r="J1463" s="50"/>
    </row>
    <row r="1464" outlineLevel="1" spans="1:10">
      <c r="A1464" s="50">
        <v>515</v>
      </c>
      <c r="B1464" s="51" t="str">
        <v>排污泵防水电缆</v>
      </c>
      <c r="C1464" s="51" t="e">
        <v>#REF!</v>
      </c>
      <c r="D1464" s="51" t="str">
        <v/>
      </c>
      <c r="E1464" s="51" t="str">
        <v/>
      </c>
      <c r="F1464" s="52" t="e">
        <v>#REF!</v>
      </c>
      <c r="G1464" s="48" t="e">
        <v>#REF!</v>
      </c>
      <c r="H1464" s="49">
        <v>0</v>
      </c>
      <c r="I1464" s="49" t="e">
        <v>#REF!</v>
      </c>
      <c r="J1464" s="50"/>
    </row>
    <row r="1465" outlineLevel="1" spans="1:10">
      <c r="A1465" s="50">
        <v>516</v>
      </c>
      <c r="B1465" s="51" t="str">
        <v>综合配线-BV2.5</v>
      </c>
      <c r="C1465" s="51" t="e">
        <v>#REF!</v>
      </c>
      <c r="D1465" s="51" t="str">
        <v/>
      </c>
      <c r="E1465" s="51" t="str">
        <v/>
      </c>
      <c r="F1465" s="52" t="e">
        <v>#REF!</v>
      </c>
      <c r="G1465" s="48" t="e">
        <v>#REF!</v>
      </c>
      <c r="H1465" s="49">
        <v>0</v>
      </c>
      <c r="I1465" s="49" t="e">
        <v>#REF!</v>
      </c>
      <c r="J1465" s="50"/>
    </row>
    <row r="1466" outlineLevel="1" spans="1:10">
      <c r="A1466" s="50">
        <v>517</v>
      </c>
      <c r="B1466" s="51" t="str">
        <v>综合配线-BV4</v>
      </c>
      <c r="C1466" s="51" t="e">
        <v>#REF!</v>
      </c>
      <c r="D1466" s="51" t="str">
        <v/>
      </c>
      <c r="E1466" s="51" t="str">
        <v/>
      </c>
      <c r="F1466" s="52" t="e">
        <v>#REF!</v>
      </c>
      <c r="G1466" s="48" t="e">
        <v>#REF!</v>
      </c>
      <c r="H1466" s="49">
        <v>0</v>
      </c>
      <c r="I1466" s="49" t="e">
        <v>#REF!</v>
      </c>
      <c r="J1466" s="50"/>
    </row>
    <row r="1467" outlineLevel="1" spans="1:10">
      <c r="A1467" s="50">
        <v>518</v>
      </c>
      <c r="B1467" s="51" t="str">
        <v>综合配线-BV6</v>
      </c>
      <c r="C1467" s="51" t="e">
        <v>#REF!</v>
      </c>
      <c r="D1467" s="51" t="str">
        <v/>
      </c>
      <c r="E1467" s="51" t="str">
        <v/>
      </c>
      <c r="F1467" s="52" t="e">
        <v>#REF!</v>
      </c>
      <c r="G1467" s="48" t="e">
        <v>#REF!</v>
      </c>
      <c r="H1467" s="49">
        <v>0</v>
      </c>
      <c r="I1467" s="49" t="e">
        <v>#REF!</v>
      </c>
      <c r="J1467" s="50"/>
    </row>
    <row r="1468" outlineLevel="1" spans="1:10">
      <c r="A1468" s="50">
        <v>519</v>
      </c>
      <c r="B1468" s="51" t="str">
        <v>综合配线-BV10</v>
      </c>
      <c r="C1468" s="51" t="e">
        <v>#REF!</v>
      </c>
      <c r="D1468" s="51" t="str">
        <v/>
      </c>
      <c r="E1468" s="51" t="str">
        <v/>
      </c>
      <c r="F1468" s="52" t="e">
        <v>#REF!</v>
      </c>
      <c r="G1468" s="48" t="e">
        <v>#REF!</v>
      </c>
      <c r="H1468" s="49">
        <v>0</v>
      </c>
      <c r="I1468" s="49" t="e">
        <v>#REF!</v>
      </c>
      <c r="J1468" s="50"/>
    </row>
    <row r="1469" outlineLevel="1" spans="1:10">
      <c r="A1469" s="50">
        <v>520</v>
      </c>
      <c r="B1469" s="51" t="str">
        <v>综合配线-BV16</v>
      </c>
      <c r="C1469" s="51" t="e">
        <v>#REF!</v>
      </c>
      <c r="D1469" s="51" t="str">
        <v/>
      </c>
      <c r="E1469" s="51" t="str">
        <v/>
      </c>
      <c r="F1469" s="52" t="e">
        <v>#REF!</v>
      </c>
      <c r="G1469" s="48" t="e">
        <v>#REF!</v>
      </c>
      <c r="H1469" s="49">
        <v>0</v>
      </c>
      <c r="I1469" s="49" t="e">
        <v>#REF!</v>
      </c>
      <c r="J1469" s="50"/>
    </row>
    <row r="1470" outlineLevel="1" spans="1:10">
      <c r="A1470" s="50">
        <v>521</v>
      </c>
      <c r="B1470" s="51" t="str">
        <v>综合配线-BV25</v>
      </c>
      <c r="C1470" s="51" t="e">
        <v>#REF!</v>
      </c>
      <c r="D1470" s="51" t="str">
        <v/>
      </c>
      <c r="E1470" s="51" t="str">
        <v/>
      </c>
      <c r="F1470" s="52" t="e">
        <v>#REF!</v>
      </c>
      <c r="G1470" s="48" t="e">
        <v>#REF!</v>
      </c>
      <c r="H1470" s="49">
        <v>0</v>
      </c>
      <c r="I1470" s="49" t="e">
        <v>#REF!</v>
      </c>
      <c r="J1470" s="50"/>
    </row>
    <row r="1471" outlineLevel="1" spans="1:10">
      <c r="A1471" s="50">
        <v>522</v>
      </c>
      <c r="B1471" s="51" t="str">
        <v>综合配线-ZRBV2.5</v>
      </c>
      <c r="C1471" s="51" t="e">
        <v>#REF!</v>
      </c>
      <c r="D1471" s="51" t="str">
        <v/>
      </c>
      <c r="E1471" s="51" t="str">
        <v/>
      </c>
      <c r="F1471" s="52" t="e">
        <v>#REF!</v>
      </c>
      <c r="G1471" s="48" t="e">
        <v>#REF!</v>
      </c>
      <c r="H1471" s="49">
        <v>0</v>
      </c>
      <c r="I1471" s="49" t="e">
        <v>#REF!</v>
      </c>
      <c r="J1471" s="50"/>
    </row>
    <row r="1472" outlineLevel="1" spans="1:10">
      <c r="A1472" s="50">
        <v>523</v>
      </c>
      <c r="B1472" s="51" t="str">
        <v>综合配线-ZRBV4</v>
      </c>
      <c r="C1472" s="51" t="e">
        <v>#REF!</v>
      </c>
      <c r="D1472" s="51" t="str">
        <v/>
      </c>
      <c r="E1472" s="51" t="str">
        <v/>
      </c>
      <c r="F1472" s="52" t="e">
        <v>#REF!</v>
      </c>
      <c r="G1472" s="48" t="e">
        <v>#REF!</v>
      </c>
      <c r="H1472" s="49">
        <v>0</v>
      </c>
      <c r="I1472" s="49" t="e">
        <v>#REF!</v>
      </c>
      <c r="J1472" s="50"/>
    </row>
    <row r="1473" outlineLevel="1" spans="1:10">
      <c r="A1473" s="50">
        <v>524</v>
      </c>
      <c r="B1473" s="51" t="str">
        <v>综合配线-NHBV1.5</v>
      </c>
      <c r="C1473" s="51" t="e">
        <v>#REF!</v>
      </c>
      <c r="D1473" s="51" t="str">
        <v/>
      </c>
      <c r="E1473" s="51" t="str">
        <v/>
      </c>
      <c r="F1473" s="52" t="e">
        <v>#REF!</v>
      </c>
      <c r="G1473" s="48" t="e">
        <v>#REF!</v>
      </c>
      <c r="H1473" s="49">
        <v>1</v>
      </c>
      <c r="I1473" s="49" t="e">
        <v>#REF!</v>
      </c>
      <c r="J1473" s="50"/>
    </row>
    <row r="1474" outlineLevel="1" spans="1:10">
      <c r="A1474" s="50">
        <v>525</v>
      </c>
      <c r="B1474" s="51" t="str">
        <v>综合配线-NHBV2.5</v>
      </c>
      <c r="C1474" s="51" t="e">
        <v>#REF!</v>
      </c>
      <c r="D1474" s="51" t="str">
        <v/>
      </c>
      <c r="E1474" s="51" t="str">
        <v/>
      </c>
      <c r="F1474" s="52" t="e">
        <v>#REF!</v>
      </c>
      <c r="G1474" s="48" t="e">
        <v>#REF!</v>
      </c>
      <c r="H1474" s="49">
        <v>0</v>
      </c>
      <c r="I1474" s="49" t="e">
        <v>#REF!</v>
      </c>
      <c r="J1474" s="50"/>
    </row>
    <row r="1475" outlineLevel="1" spans="1:10">
      <c r="A1475" s="50">
        <v>526</v>
      </c>
      <c r="B1475" s="51" t="str">
        <v>综合配线-NHBV4</v>
      </c>
      <c r="C1475" s="51" t="e">
        <v>#REF!</v>
      </c>
      <c r="D1475" s="51" t="str">
        <v/>
      </c>
      <c r="E1475" s="51" t="str">
        <v/>
      </c>
      <c r="F1475" s="52" t="e">
        <v>#REF!</v>
      </c>
      <c r="G1475" s="48" t="e">
        <v>#REF!</v>
      </c>
      <c r="H1475" s="49">
        <v>0</v>
      </c>
      <c r="I1475" s="49" t="e">
        <v>#REF!</v>
      </c>
      <c r="J1475" s="50"/>
    </row>
    <row r="1476" outlineLevel="1" spans="1:10">
      <c r="A1476" s="50">
        <v>527</v>
      </c>
      <c r="B1476" s="51" t="str">
        <v>综合配线-WDZNBYJ2.5</v>
      </c>
      <c r="C1476" s="51" t="e">
        <v>#REF!</v>
      </c>
      <c r="D1476" s="51" t="str">
        <v/>
      </c>
      <c r="E1476" s="51" t="str">
        <v/>
      </c>
      <c r="F1476" s="52" t="e">
        <v>#REF!</v>
      </c>
      <c r="G1476" s="48" t="e">
        <v>#REF!</v>
      </c>
      <c r="H1476" s="49">
        <v>0</v>
      </c>
      <c r="I1476" s="49" t="e">
        <v>#REF!</v>
      </c>
      <c r="J1476" s="50"/>
    </row>
    <row r="1477" outlineLevel="1" spans="1:10">
      <c r="A1477" s="50">
        <v>528</v>
      </c>
      <c r="B1477" s="51" t="str">
        <v>综合配线-WDZNBYJ4</v>
      </c>
      <c r="C1477" s="51" t="e">
        <v>#REF!</v>
      </c>
      <c r="D1477" s="51" t="str">
        <v/>
      </c>
      <c r="E1477" s="51" t="str">
        <v/>
      </c>
      <c r="F1477" s="52" t="e">
        <v>#REF!</v>
      </c>
      <c r="G1477" s="48" t="e">
        <v>#REF!</v>
      </c>
      <c r="H1477" s="49">
        <v>1</v>
      </c>
      <c r="I1477" s="49" t="e">
        <v>#REF!</v>
      </c>
      <c r="J1477" s="50"/>
    </row>
    <row r="1478" outlineLevel="1" spans="1:10">
      <c r="A1478" s="50">
        <v>529</v>
      </c>
      <c r="B1478" s="51" t="str">
        <v>综合配线-WDZBYJ2.5</v>
      </c>
      <c r="C1478" s="51" t="e">
        <v>#REF!</v>
      </c>
      <c r="D1478" s="51" t="str">
        <v/>
      </c>
      <c r="E1478" s="51" t="str">
        <v/>
      </c>
      <c r="F1478" s="52" t="e">
        <v>#REF!</v>
      </c>
      <c r="G1478" s="48" t="e">
        <v>#REF!</v>
      </c>
      <c r="H1478" s="49">
        <v>0</v>
      </c>
      <c r="I1478" s="49" t="e">
        <v>#REF!</v>
      </c>
      <c r="J1478" s="50"/>
    </row>
    <row r="1479" outlineLevel="1" spans="1:10">
      <c r="A1479" s="50">
        <v>530</v>
      </c>
      <c r="B1479" s="51" t="str">
        <v>综合配线-WDZBYJ4</v>
      </c>
      <c r="C1479" s="51" t="e">
        <v>#REF!</v>
      </c>
      <c r="D1479" s="51" t="str">
        <v/>
      </c>
      <c r="E1479" s="51" t="str">
        <v/>
      </c>
      <c r="F1479" s="52" t="e">
        <v>#REF!</v>
      </c>
      <c r="G1479" s="48" t="e">
        <v>#REF!</v>
      </c>
      <c r="H1479" s="49">
        <v>2</v>
      </c>
      <c r="I1479" s="49" t="e">
        <v>#REF!</v>
      </c>
      <c r="J1479" s="50"/>
    </row>
    <row r="1480" outlineLevel="1" spans="1:10">
      <c r="A1480" s="50">
        <v>531</v>
      </c>
      <c r="B1480" s="51" t="str">
        <v>综合配线-WDZBYJ6</v>
      </c>
      <c r="C1480" s="51" t="e">
        <v>#REF!</v>
      </c>
      <c r="D1480" s="51" t="str">
        <v/>
      </c>
      <c r="E1480" s="51" t="str">
        <v/>
      </c>
      <c r="F1480" s="52" t="e">
        <v>#REF!</v>
      </c>
      <c r="G1480" s="48" t="e">
        <v>#REF!</v>
      </c>
      <c r="H1480" s="49">
        <v>2</v>
      </c>
      <c r="I1480" s="49" t="e">
        <v>#REF!</v>
      </c>
      <c r="J1480" s="50"/>
    </row>
    <row r="1481" outlineLevel="1" spans="1:10">
      <c r="A1481" s="50">
        <v>532</v>
      </c>
      <c r="B1481" s="51" t="str">
        <v>综合配线-WDZBYJ10</v>
      </c>
      <c r="C1481" s="51" t="e">
        <v>#REF!</v>
      </c>
      <c r="D1481" s="51" t="str">
        <v/>
      </c>
      <c r="E1481" s="51" t="str">
        <v/>
      </c>
      <c r="F1481" s="52" t="e">
        <v>#REF!</v>
      </c>
      <c r="G1481" s="48" t="e">
        <v>#REF!</v>
      </c>
      <c r="H1481" s="49">
        <v>2</v>
      </c>
      <c r="I1481" s="49" t="e">
        <v>#REF!</v>
      </c>
      <c r="J1481" s="50"/>
    </row>
    <row r="1482" ht="28.8" outlineLevel="1" spans="1:10">
      <c r="A1482" s="50">
        <v>533</v>
      </c>
      <c r="B1482" s="51" t="str">
        <v>综合配线-WDZNRYJS2*2.5</v>
      </c>
      <c r="C1482" s="51" t="e">
        <v>#REF!</v>
      </c>
      <c r="D1482" s="51" t="str">
        <v/>
      </c>
      <c r="E1482" s="51" t="str">
        <v/>
      </c>
      <c r="F1482" s="52" t="e">
        <v>#REF!</v>
      </c>
      <c r="G1482" s="48" t="e">
        <v>#REF!</v>
      </c>
      <c r="H1482" s="49">
        <v>1</v>
      </c>
      <c r="I1482" s="49" t="e">
        <v>#REF!</v>
      </c>
      <c r="J1482" s="50"/>
    </row>
    <row r="1483" outlineLevel="1" spans="1:10">
      <c r="A1483" s="50">
        <v>534</v>
      </c>
      <c r="B1483" s="51" t="str">
        <v>综合配线-NHRVS2*2.5</v>
      </c>
      <c r="C1483" s="51" t="e">
        <v>#REF!</v>
      </c>
      <c r="D1483" s="51" t="str">
        <v/>
      </c>
      <c r="E1483" s="51" t="str">
        <v/>
      </c>
      <c r="F1483" s="52" t="e">
        <v>#REF!</v>
      </c>
      <c r="G1483" s="48" t="e">
        <v>#REF!</v>
      </c>
      <c r="H1483" s="49">
        <v>0</v>
      </c>
      <c r="I1483" s="49" t="e">
        <v>#REF!</v>
      </c>
      <c r="J1483" s="50"/>
    </row>
    <row r="1484" outlineLevel="1" spans="1:10">
      <c r="A1484" s="50" t="str">
        <v/>
      </c>
      <c r="B1484" s="51" t="str">
        <v>B.18.4照明器具</v>
      </c>
      <c r="C1484" s="51" t="str">
        <v/>
      </c>
      <c r="D1484" s="51" t="str">
        <v/>
      </c>
      <c r="E1484" s="51" t="str">
        <v/>
      </c>
      <c r="F1484" s="52" t="str">
        <v/>
      </c>
      <c r="G1484" s="48" t="str">
        <v/>
      </c>
      <c r="H1484" s="49">
        <v>0</v>
      </c>
      <c r="I1484" s="49" t="e">
        <v>#REF!</v>
      </c>
      <c r="J1484" s="50"/>
    </row>
    <row r="1485" outlineLevel="1" spans="1:10">
      <c r="A1485" s="50">
        <v>535</v>
      </c>
      <c r="B1485" s="51" t="str">
        <v>灯具-门上座灯</v>
      </c>
      <c r="C1485" s="51" t="e">
        <v>#REF!</v>
      </c>
      <c r="D1485" s="51" t="str">
        <v/>
      </c>
      <c r="E1485" s="51" t="str">
        <v/>
      </c>
      <c r="F1485" s="52" t="e">
        <v>#REF!</v>
      </c>
      <c r="G1485" s="48" t="e">
        <v>#REF!</v>
      </c>
      <c r="H1485" s="49">
        <v>0</v>
      </c>
      <c r="I1485" s="49" t="e">
        <v>#REF!</v>
      </c>
      <c r="J1485" s="50"/>
    </row>
    <row r="1486" outlineLevel="1" spans="1:10">
      <c r="A1486" s="50">
        <v>536</v>
      </c>
      <c r="B1486" s="51" t="str">
        <v>灯具-节能座灯头</v>
      </c>
      <c r="C1486" s="51" t="e">
        <v>#REF!</v>
      </c>
      <c r="D1486" s="51" t="str">
        <v/>
      </c>
      <c r="E1486" s="51" t="str">
        <v/>
      </c>
      <c r="F1486" s="52" t="e">
        <v>#REF!</v>
      </c>
      <c r="G1486" s="48" t="e">
        <v>#REF!</v>
      </c>
      <c r="H1486" s="49">
        <v>0</v>
      </c>
      <c r="I1486" s="49" t="e">
        <v>#REF!</v>
      </c>
      <c r="J1486" s="50"/>
    </row>
    <row r="1487" outlineLevel="1" spans="1:10">
      <c r="A1487" s="50">
        <v>537</v>
      </c>
      <c r="B1487" s="51" t="str">
        <v>灯具-普通座灯头</v>
      </c>
      <c r="C1487" s="51" t="e">
        <v>#REF!</v>
      </c>
      <c r="D1487" s="51" t="str">
        <v/>
      </c>
      <c r="E1487" s="51" t="str">
        <v/>
      </c>
      <c r="F1487" s="52" t="e">
        <v>#REF!</v>
      </c>
      <c r="G1487" s="48" t="e">
        <v>#REF!</v>
      </c>
      <c r="H1487" s="49">
        <v>0</v>
      </c>
      <c r="I1487" s="49" t="e">
        <v>#REF!</v>
      </c>
      <c r="J1487" s="50"/>
    </row>
    <row r="1488" outlineLevel="1" spans="1:10">
      <c r="A1488" s="50">
        <v>538</v>
      </c>
      <c r="B1488" s="51" t="str">
        <v>灯具-壁灯</v>
      </c>
      <c r="C1488" s="51" t="e">
        <v>#REF!</v>
      </c>
      <c r="D1488" s="51" t="str">
        <v/>
      </c>
      <c r="E1488" s="51" t="str">
        <v/>
      </c>
      <c r="F1488" s="52" t="e">
        <v>#REF!</v>
      </c>
      <c r="G1488" s="48" t="e">
        <v>#REF!</v>
      </c>
      <c r="H1488" s="49">
        <v>0</v>
      </c>
      <c r="I1488" s="49" t="e">
        <v>#REF!</v>
      </c>
      <c r="J1488" s="50"/>
    </row>
    <row r="1489" outlineLevel="1" spans="1:10">
      <c r="A1489" s="50">
        <v>539</v>
      </c>
      <c r="B1489" s="51" t="str">
        <v>灯具-吸顶灯</v>
      </c>
      <c r="C1489" s="51" t="e">
        <v>#REF!</v>
      </c>
      <c r="D1489" s="51" t="str">
        <v/>
      </c>
      <c r="E1489" s="51" t="str">
        <v/>
      </c>
      <c r="F1489" s="52" t="e">
        <v>#REF!</v>
      </c>
      <c r="G1489" s="48" t="e">
        <v>#REF!</v>
      </c>
      <c r="H1489" s="49">
        <v>0</v>
      </c>
      <c r="I1489" s="49" t="e">
        <v>#REF!</v>
      </c>
      <c r="J1489" s="50"/>
    </row>
    <row r="1490" ht="28.8" outlineLevel="1" spans="1:10">
      <c r="A1490" s="50">
        <v>540</v>
      </c>
      <c r="B1490" s="51" t="str">
        <v>灯具-吸顶灯(自带声光控开关) </v>
      </c>
      <c r="C1490" s="51" t="e">
        <v>#REF!</v>
      </c>
      <c r="D1490" s="51" t="str">
        <v/>
      </c>
      <c r="E1490" s="51" t="str">
        <v/>
      </c>
      <c r="F1490" s="52" t="e">
        <v>#REF!</v>
      </c>
      <c r="G1490" s="48" t="e">
        <v>#REF!</v>
      </c>
      <c r="H1490" s="49">
        <v>0</v>
      </c>
      <c r="I1490" s="49" t="e">
        <v>#REF!</v>
      </c>
      <c r="J1490" s="50"/>
    </row>
    <row r="1491" ht="28.8" outlineLevel="1" spans="1:10">
      <c r="A1491" s="50">
        <v>541</v>
      </c>
      <c r="B1491" s="51" t="str">
        <v>灯具-半圆球吸顶灯 灯罩直径(300mm以内)</v>
      </c>
      <c r="C1491" s="51" t="e">
        <v>#REF!</v>
      </c>
      <c r="D1491" s="51" t="str">
        <v/>
      </c>
      <c r="E1491" s="51" t="str">
        <v/>
      </c>
      <c r="F1491" s="52" t="e">
        <v>#REF!</v>
      </c>
      <c r="G1491" s="48" t="e">
        <v>#REF!</v>
      </c>
      <c r="H1491" s="49">
        <v>1</v>
      </c>
      <c r="I1491" s="49" t="e">
        <v>#REF!</v>
      </c>
      <c r="J1491" s="50"/>
    </row>
    <row r="1492" ht="28.8" outlineLevel="1" spans="1:10">
      <c r="A1492" s="50">
        <v>542</v>
      </c>
      <c r="B1492" s="51" t="str">
        <v>灯具-半圆球吸顶灯 灯罩直径(350mm以内)</v>
      </c>
      <c r="C1492" s="51" t="e">
        <v>#REF!</v>
      </c>
      <c r="D1492" s="51" t="str">
        <v/>
      </c>
      <c r="E1492" s="51" t="str">
        <v/>
      </c>
      <c r="F1492" s="52" t="e">
        <v>#REF!</v>
      </c>
      <c r="G1492" s="48" t="e">
        <v>#REF!</v>
      </c>
      <c r="H1492" s="49">
        <v>1</v>
      </c>
      <c r="I1492" s="49" t="e">
        <v>#REF!</v>
      </c>
      <c r="J1492" s="50"/>
    </row>
    <row r="1493" outlineLevel="1" spans="1:10">
      <c r="A1493" s="50">
        <v>543</v>
      </c>
      <c r="B1493" s="51" t="str">
        <v>灯具-紧凑型节能日光灯</v>
      </c>
      <c r="C1493" s="51" t="e">
        <v>#REF!</v>
      </c>
      <c r="D1493" s="51" t="str">
        <v/>
      </c>
      <c r="E1493" s="51" t="str">
        <v/>
      </c>
      <c r="F1493" s="52" t="e">
        <v>#REF!</v>
      </c>
      <c r="G1493" s="48" t="e">
        <v>#REF!</v>
      </c>
      <c r="H1493" s="49">
        <v>1</v>
      </c>
      <c r="I1493" s="49" t="e">
        <v>#REF!</v>
      </c>
      <c r="J1493" s="50"/>
    </row>
    <row r="1494" ht="28.8" outlineLevel="1" spans="1:10">
      <c r="A1494" s="50">
        <v>544</v>
      </c>
      <c r="B1494" s="51" t="str">
        <v>灯具-单管荧光灯-吊链安装</v>
      </c>
      <c r="C1494" s="51" t="e">
        <v>#REF!</v>
      </c>
      <c r="D1494" s="51" t="str">
        <v/>
      </c>
      <c r="E1494" s="51" t="str">
        <v/>
      </c>
      <c r="F1494" s="52" t="e">
        <v>#REF!</v>
      </c>
      <c r="G1494" s="48" t="e">
        <v>#REF!</v>
      </c>
      <c r="H1494" s="49">
        <v>0</v>
      </c>
      <c r="I1494" s="49" t="e">
        <v>#REF!</v>
      </c>
      <c r="J1494" s="50"/>
    </row>
    <row r="1495" outlineLevel="1" spans="1:10">
      <c r="A1495" s="50">
        <v>545</v>
      </c>
      <c r="B1495" s="51" t="str">
        <v>灯具-单管荧光灯-壁装</v>
      </c>
      <c r="C1495" s="51" t="e">
        <v>#REF!</v>
      </c>
      <c r="D1495" s="51" t="str">
        <v/>
      </c>
      <c r="E1495" s="51" t="str">
        <v/>
      </c>
      <c r="F1495" s="52" t="e">
        <v>#REF!</v>
      </c>
      <c r="G1495" s="48" t="e">
        <v>#REF!</v>
      </c>
      <c r="H1495" s="49">
        <v>0</v>
      </c>
      <c r="I1495" s="49" t="e">
        <v>#REF!</v>
      </c>
      <c r="J1495" s="50"/>
    </row>
    <row r="1496" ht="28.8" outlineLevel="1" spans="1:10">
      <c r="A1496" s="50">
        <v>546</v>
      </c>
      <c r="B1496" s="51" t="str">
        <v>灯具-单管荧光灯-吊杆安装</v>
      </c>
      <c r="C1496" s="51" t="e">
        <v>#REF!</v>
      </c>
      <c r="D1496" s="51" t="str">
        <v/>
      </c>
      <c r="E1496" s="51" t="str">
        <v/>
      </c>
      <c r="F1496" s="52" t="e">
        <v>#REF!</v>
      </c>
      <c r="G1496" s="48" t="e">
        <v>#REF!</v>
      </c>
      <c r="H1496" s="49">
        <v>2</v>
      </c>
      <c r="I1496" s="49" t="e">
        <v>#REF!</v>
      </c>
      <c r="J1496" s="50"/>
    </row>
    <row r="1497" ht="28.8" outlineLevel="1" spans="1:10">
      <c r="A1497" s="50">
        <v>547</v>
      </c>
      <c r="B1497" s="51" t="str">
        <v>灯具-单管荧光灯-吸顶安装</v>
      </c>
      <c r="C1497" s="51" t="e">
        <v>#REF!</v>
      </c>
      <c r="D1497" s="51" t="str">
        <v/>
      </c>
      <c r="E1497" s="51" t="str">
        <v/>
      </c>
      <c r="F1497" s="52" t="e">
        <v>#REF!</v>
      </c>
      <c r="G1497" s="48" t="e">
        <v>#REF!</v>
      </c>
      <c r="H1497" s="49">
        <v>2</v>
      </c>
      <c r="I1497" s="49" t="e">
        <v>#REF!</v>
      </c>
      <c r="J1497" s="50"/>
    </row>
    <row r="1498" ht="28.8" outlineLevel="1" spans="1:10">
      <c r="A1498" s="50">
        <v>548</v>
      </c>
      <c r="B1498" s="51" t="str">
        <v>疏散出口标志灯-带蓄电池</v>
      </c>
      <c r="C1498" s="51" t="e">
        <v>#REF!</v>
      </c>
      <c r="D1498" s="51" t="str">
        <v/>
      </c>
      <c r="E1498" s="51" t="str">
        <v/>
      </c>
      <c r="F1498" s="52" t="e">
        <v>#REF!</v>
      </c>
      <c r="G1498" s="48" t="e">
        <v>#REF!</v>
      </c>
      <c r="H1498" s="49">
        <v>0</v>
      </c>
      <c r="I1498" s="49" t="e">
        <v>#REF!</v>
      </c>
      <c r="J1498" s="50"/>
    </row>
    <row r="1499" ht="28.8" outlineLevel="1" spans="1:10">
      <c r="A1499" s="50">
        <v>549</v>
      </c>
      <c r="B1499" s="51" t="str">
        <v>疏散出口标志灯（防护等级IP67）带蓄电池</v>
      </c>
      <c r="C1499" s="51" t="e">
        <v>#REF!</v>
      </c>
      <c r="D1499" s="51" t="str">
        <v/>
      </c>
      <c r="E1499" s="51" t="str">
        <v/>
      </c>
      <c r="F1499" s="52" t="e">
        <v>#REF!</v>
      </c>
      <c r="G1499" s="48" t="e">
        <v>#REF!</v>
      </c>
      <c r="H1499" s="49">
        <v>0</v>
      </c>
      <c r="I1499" s="49" t="e">
        <v>#REF!</v>
      </c>
      <c r="J1499" s="50"/>
    </row>
    <row r="1500" ht="28.8" outlineLevel="1" spans="1:10">
      <c r="A1500" s="50">
        <v>550</v>
      </c>
      <c r="B1500" s="51" t="str">
        <v>楼层指示标志灯-带蓄电池</v>
      </c>
      <c r="C1500" s="51" t="e">
        <v>#REF!</v>
      </c>
      <c r="D1500" s="51" t="str">
        <v/>
      </c>
      <c r="E1500" s="51" t="str">
        <v/>
      </c>
      <c r="F1500" s="52" t="e">
        <v>#REF!</v>
      </c>
      <c r="G1500" s="48" t="e">
        <v>#REF!</v>
      </c>
      <c r="H1500" s="49">
        <v>0</v>
      </c>
      <c r="I1500" s="49" t="e">
        <v>#REF!</v>
      </c>
      <c r="J1500" s="50"/>
    </row>
    <row r="1501" ht="28.8" outlineLevel="1" spans="1:10">
      <c r="A1501" s="50">
        <v>551</v>
      </c>
      <c r="B1501" s="51" t="str">
        <v>单向单面疏散指示标志灯-带蓄电池</v>
      </c>
      <c r="C1501" s="51" t="e">
        <v>#REF!</v>
      </c>
      <c r="D1501" s="51" t="str">
        <v/>
      </c>
      <c r="E1501" s="51" t="str">
        <v/>
      </c>
      <c r="F1501" s="52" t="e">
        <v>#REF!</v>
      </c>
      <c r="G1501" s="48" t="e">
        <v>#REF!</v>
      </c>
      <c r="H1501" s="49">
        <v>0</v>
      </c>
      <c r="I1501" s="49" t="e">
        <v>#REF!</v>
      </c>
      <c r="J1501" s="50"/>
    </row>
    <row r="1502" ht="28.8" outlineLevel="1" spans="1:10">
      <c r="A1502" s="50">
        <v>552</v>
      </c>
      <c r="B1502" s="51" t="str">
        <v>单向双面疏散指示标志灯-带蓄电池</v>
      </c>
      <c r="C1502" s="51" t="e">
        <v>#REF!</v>
      </c>
      <c r="D1502" s="51" t="str">
        <v/>
      </c>
      <c r="E1502" s="51" t="str">
        <v/>
      </c>
      <c r="F1502" s="52" t="e">
        <v>#REF!</v>
      </c>
      <c r="G1502" s="48" t="e">
        <v>#REF!</v>
      </c>
      <c r="H1502" s="49">
        <v>0</v>
      </c>
      <c r="I1502" s="49" t="e">
        <v>#REF!</v>
      </c>
      <c r="J1502" s="50"/>
    </row>
    <row r="1503" ht="28.8" outlineLevel="1" spans="1:10">
      <c r="A1503" s="50">
        <v>553</v>
      </c>
      <c r="B1503" s="51" t="str">
        <v>双向单面疏散指示标志灯-带蓄电池</v>
      </c>
      <c r="C1503" s="51" t="e">
        <v>#REF!</v>
      </c>
      <c r="D1503" s="51" t="str">
        <v/>
      </c>
      <c r="E1503" s="51" t="str">
        <v/>
      </c>
      <c r="F1503" s="52" t="e">
        <v>#REF!</v>
      </c>
      <c r="G1503" s="48" t="e">
        <v>#REF!</v>
      </c>
      <c r="H1503" s="49">
        <v>0</v>
      </c>
      <c r="I1503" s="49" t="e">
        <v>#REF!</v>
      </c>
      <c r="J1503" s="50"/>
    </row>
    <row r="1504" ht="28.8" outlineLevel="1" spans="1:10">
      <c r="A1504" s="50">
        <v>554</v>
      </c>
      <c r="B1504" s="51" t="str">
        <v>安全出口标志灯-带蓄电池</v>
      </c>
      <c r="C1504" s="51" t="e">
        <v>#REF!</v>
      </c>
      <c r="D1504" s="51" t="str">
        <v/>
      </c>
      <c r="E1504" s="51" t="str">
        <v/>
      </c>
      <c r="F1504" s="52" t="e">
        <v>#REF!</v>
      </c>
      <c r="G1504" s="48" t="e">
        <v>#REF!</v>
      </c>
      <c r="H1504" s="49">
        <v>0</v>
      </c>
      <c r="I1504" s="49" t="e">
        <v>#REF!</v>
      </c>
      <c r="J1504" s="50"/>
    </row>
    <row r="1505" ht="28.8" outlineLevel="1" spans="1:10">
      <c r="A1505" s="50">
        <v>555</v>
      </c>
      <c r="B1505" s="51" t="str">
        <v>E-X带禁止入内的安全出口标志灯-带蓄电池</v>
      </c>
      <c r="C1505" s="51" t="e">
        <v>#REF!</v>
      </c>
      <c r="D1505" s="51" t="str">
        <v/>
      </c>
      <c r="E1505" s="51" t="str">
        <v/>
      </c>
      <c r="F1505" s="52" t="e">
        <v>#REF!</v>
      </c>
      <c r="G1505" s="48" t="e">
        <v>#REF!</v>
      </c>
      <c r="H1505" s="49">
        <v>0</v>
      </c>
      <c r="I1505" s="49" t="e">
        <v>#REF!</v>
      </c>
      <c r="J1505" s="50"/>
    </row>
    <row r="1506" ht="28.8" outlineLevel="1" spans="1:10">
      <c r="A1506" s="50">
        <v>556</v>
      </c>
      <c r="B1506" s="51" t="str">
        <v>火灾禁入标志灯-带蓄电池</v>
      </c>
      <c r="C1506" s="51" t="e">
        <v>#REF!</v>
      </c>
      <c r="D1506" s="51" t="str">
        <v/>
      </c>
      <c r="E1506" s="51" t="str">
        <v/>
      </c>
      <c r="F1506" s="52" t="e">
        <v>#REF!</v>
      </c>
      <c r="G1506" s="48" t="e">
        <v>#REF!</v>
      </c>
      <c r="H1506" s="49">
        <v>0</v>
      </c>
      <c r="I1506" s="49" t="e">
        <v>#REF!</v>
      </c>
      <c r="J1506" s="50"/>
    </row>
    <row r="1507" ht="28.8" outlineLevel="1" spans="1:10">
      <c r="A1507" s="50">
        <v>557</v>
      </c>
      <c r="B1507" s="51" t="str">
        <v>E1消防应急壁灯-带蓄电池</v>
      </c>
      <c r="C1507" s="51" t="e">
        <v>#REF!</v>
      </c>
      <c r="D1507" s="51" t="str">
        <v/>
      </c>
      <c r="E1507" s="51" t="str">
        <v/>
      </c>
      <c r="F1507" s="52" t="e">
        <v>#REF!</v>
      </c>
      <c r="G1507" s="48" t="e">
        <v>#REF!</v>
      </c>
      <c r="H1507" s="49">
        <v>0</v>
      </c>
      <c r="I1507" s="49" t="e">
        <v>#REF!</v>
      </c>
      <c r="J1507" s="50"/>
    </row>
    <row r="1508" ht="28.8" outlineLevel="1" spans="1:10">
      <c r="A1508" s="50">
        <v>558</v>
      </c>
      <c r="B1508" s="51" t="str">
        <v>消防应急吸顶灯-带蓄电池</v>
      </c>
      <c r="C1508" s="51" t="e">
        <v>#REF!</v>
      </c>
      <c r="D1508" s="51" t="str">
        <v/>
      </c>
      <c r="E1508" s="51" t="str">
        <v/>
      </c>
      <c r="F1508" s="52" t="e">
        <v>#REF!</v>
      </c>
      <c r="G1508" s="48" t="e">
        <v>#REF!</v>
      </c>
      <c r="H1508" s="49">
        <v>0</v>
      </c>
      <c r="I1508" s="49" t="e">
        <v>#REF!</v>
      </c>
      <c r="J1508" s="50"/>
    </row>
    <row r="1509" ht="28.8" outlineLevel="1" spans="1:10">
      <c r="A1509" s="50">
        <v>559</v>
      </c>
      <c r="B1509" s="51" t="str">
        <v>消防应急吸顶灯（防护等级IP67）带蓄电池</v>
      </c>
      <c r="C1509" s="51" t="e">
        <v>#REF!</v>
      </c>
      <c r="D1509" s="51" t="str">
        <v/>
      </c>
      <c r="E1509" s="51" t="str">
        <v/>
      </c>
      <c r="F1509" s="52" t="e">
        <v>#REF!</v>
      </c>
      <c r="G1509" s="48" t="e">
        <v>#REF!</v>
      </c>
      <c r="H1509" s="49">
        <v>0</v>
      </c>
      <c r="I1509" s="49" t="e">
        <v>#REF!</v>
      </c>
      <c r="J1509" s="50"/>
    </row>
    <row r="1510" outlineLevel="1" spans="1:10">
      <c r="A1510" s="50">
        <v>560</v>
      </c>
      <c r="B1510" s="51" t="str">
        <v>灯具-安全出口标志灯</v>
      </c>
      <c r="C1510" s="51" t="e">
        <v>#REF!</v>
      </c>
      <c r="D1510" s="51" t="str">
        <v/>
      </c>
      <c r="E1510" s="51" t="str">
        <v/>
      </c>
      <c r="F1510" s="52" t="e">
        <v>#REF!</v>
      </c>
      <c r="G1510" s="48" t="e">
        <v>#REF!</v>
      </c>
      <c r="H1510" s="49">
        <v>0</v>
      </c>
      <c r="I1510" s="49" t="e">
        <v>#REF!</v>
      </c>
      <c r="J1510" s="50"/>
    </row>
    <row r="1511" outlineLevel="1" spans="1:10">
      <c r="A1511" s="50">
        <v>561</v>
      </c>
      <c r="B1511" s="51" t="str">
        <v>灯具-多信息复合标志灯</v>
      </c>
      <c r="C1511" s="51" t="e">
        <v>#REF!</v>
      </c>
      <c r="D1511" s="51" t="str">
        <v/>
      </c>
      <c r="E1511" s="51" t="str">
        <v/>
      </c>
      <c r="F1511" s="52" t="e">
        <v>#REF!</v>
      </c>
      <c r="G1511" s="48" t="e">
        <v>#REF!</v>
      </c>
      <c r="H1511" s="49">
        <v>0</v>
      </c>
      <c r="I1511" s="49" t="e">
        <v>#REF!</v>
      </c>
      <c r="J1511" s="50"/>
    </row>
    <row r="1512" outlineLevel="1" spans="1:10">
      <c r="A1512" s="50">
        <v>562</v>
      </c>
      <c r="B1512" s="51" t="str">
        <v>灯具-楼层指示标志灯</v>
      </c>
      <c r="C1512" s="51" t="e">
        <v>#REF!</v>
      </c>
      <c r="D1512" s="51" t="str">
        <v/>
      </c>
      <c r="E1512" s="51" t="str">
        <v/>
      </c>
      <c r="F1512" s="52" t="e">
        <v>#REF!</v>
      </c>
      <c r="G1512" s="48" t="e">
        <v>#REF!</v>
      </c>
      <c r="H1512" s="49">
        <v>0</v>
      </c>
      <c r="I1512" s="49" t="e">
        <v>#REF!</v>
      </c>
      <c r="J1512" s="50"/>
    </row>
    <row r="1513" outlineLevel="1" spans="1:10">
      <c r="A1513" s="50">
        <v>563</v>
      </c>
      <c r="B1513" s="51" t="str">
        <v>灯具-疏散出口标志灯</v>
      </c>
      <c r="C1513" s="51" t="e">
        <v>#REF!</v>
      </c>
      <c r="D1513" s="51" t="str">
        <v/>
      </c>
      <c r="E1513" s="51" t="str">
        <v/>
      </c>
      <c r="F1513" s="52" t="e">
        <v>#REF!</v>
      </c>
      <c r="G1513" s="48" t="e">
        <v>#REF!</v>
      </c>
      <c r="H1513" s="49">
        <v>0</v>
      </c>
      <c r="I1513" s="49" t="e">
        <v>#REF!</v>
      </c>
      <c r="J1513" s="50"/>
    </row>
    <row r="1514" ht="28.8" outlineLevel="1" spans="1:10">
      <c r="A1514" s="50">
        <v>564</v>
      </c>
      <c r="B1514" s="51" t="str">
        <v>灯具-单向双面疏散指示标志灯</v>
      </c>
      <c r="C1514" s="51" t="e">
        <v>#REF!</v>
      </c>
      <c r="D1514" s="51" t="str">
        <v/>
      </c>
      <c r="E1514" s="51" t="str">
        <v/>
      </c>
      <c r="F1514" s="52" t="e">
        <v>#REF!</v>
      </c>
      <c r="G1514" s="48" t="e">
        <v>#REF!</v>
      </c>
      <c r="H1514" s="49">
        <v>0</v>
      </c>
      <c r="I1514" s="49" t="e">
        <v>#REF!</v>
      </c>
      <c r="J1514" s="50"/>
    </row>
    <row r="1515" ht="28.8" outlineLevel="1" spans="1:10">
      <c r="A1515" s="50">
        <v>565</v>
      </c>
      <c r="B1515" s="51" t="str">
        <v>灯具-消防应急壁灯（微波感应）带蓄电池</v>
      </c>
      <c r="C1515" s="51" t="e">
        <v>#REF!</v>
      </c>
      <c r="D1515" s="51" t="str">
        <v/>
      </c>
      <c r="E1515" s="51" t="str">
        <v/>
      </c>
      <c r="F1515" s="52" t="e">
        <v>#REF!</v>
      </c>
      <c r="G1515" s="48" t="e">
        <v>#REF!</v>
      </c>
      <c r="H1515" s="49">
        <v>0</v>
      </c>
      <c r="I1515" s="49" t="e">
        <v>#REF!</v>
      </c>
      <c r="J1515" s="50"/>
    </row>
    <row r="1516" ht="28.8" outlineLevel="1" spans="1:10">
      <c r="A1516" s="50">
        <v>566</v>
      </c>
      <c r="B1516" s="51" t="str">
        <v>灯具-消防应急吸顶灯-附微波感应带蓄电池</v>
      </c>
      <c r="C1516" s="51" t="e">
        <v>#REF!</v>
      </c>
      <c r="D1516" s="51" t="str">
        <v/>
      </c>
      <c r="E1516" s="51" t="str">
        <v/>
      </c>
      <c r="F1516" s="52" t="e">
        <v>#REF!</v>
      </c>
      <c r="G1516" s="48" t="e">
        <v>#REF!</v>
      </c>
      <c r="H1516" s="49">
        <v>0</v>
      </c>
      <c r="I1516" s="49" t="e">
        <v>#REF!</v>
      </c>
      <c r="J1516" s="50"/>
    </row>
    <row r="1517" ht="28.8" outlineLevel="1" spans="1:10">
      <c r="A1517" s="50">
        <v>567</v>
      </c>
      <c r="B1517" s="51" t="str">
        <v>灯具-单向单面疏散指示标志灯</v>
      </c>
      <c r="C1517" s="51" t="e">
        <v>#REF!</v>
      </c>
      <c r="D1517" s="51" t="str">
        <v/>
      </c>
      <c r="E1517" s="51" t="str">
        <v/>
      </c>
      <c r="F1517" s="52" t="e">
        <v>#REF!</v>
      </c>
      <c r="G1517" s="48" t="e">
        <v>#REF!</v>
      </c>
      <c r="H1517" s="49">
        <v>0</v>
      </c>
      <c r="I1517" s="49" t="e">
        <v>#REF!</v>
      </c>
      <c r="J1517" s="50"/>
    </row>
    <row r="1518" outlineLevel="1" spans="1:10">
      <c r="A1518" s="50">
        <v>568</v>
      </c>
      <c r="B1518" s="51" t="str">
        <v>灯具-消防应急壁灯</v>
      </c>
      <c r="C1518" s="51" t="e">
        <v>#REF!</v>
      </c>
      <c r="D1518" s="51" t="str">
        <v/>
      </c>
      <c r="E1518" s="51" t="str">
        <v/>
      </c>
      <c r="F1518" s="52" t="e">
        <v>#REF!</v>
      </c>
      <c r="G1518" s="48" t="e">
        <v>#REF!</v>
      </c>
      <c r="H1518" s="49">
        <v>0</v>
      </c>
      <c r="I1518" s="49" t="e">
        <v>#REF!</v>
      </c>
      <c r="J1518" s="50"/>
    </row>
    <row r="1519" outlineLevel="1" spans="1:10">
      <c r="A1519" s="50">
        <v>569</v>
      </c>
      <c r="B1519" s="51" t="str">
        <v>灯具-应急单管荧光灯</v>
      </c>
      <c r="C1519" s="51" t="e">
        <v>#REF!</v>
      </c>
      <c r="D1519" s="51" t="str">
        <v/>
      </c>
      <c r="E1519" s="51" t="str">
        <v/>
      </c>
      <c r="F1519" s="52" t="e">
        <v>#REF!</v>
      </c>
      <c r="G1519" s="48" t="e">
        <v>#REF!</v>
      </c>
      <c r="H1519" s="49">
        <v>0</v>
      </c>
      <c r="I1519" s="49" t="e">
        <v>#REF!</v>
      </c>
      <c r="J1519" s="50"/>
    </row>
    <row r="1520" outlineLevel="1" spans="1:10">
      <c r="A1520" s="50" t="str">
        <v/>
      </c>
      <c r="B1520" s="51" t="str">
        <v>B.18.5开关插座</v>
      </c>
      <c r="C1520" s="51" t="str">
        <v/>
      </c>
      <c r="D1520" s="51" t="str">
        <v/>
      </c>
      <c r="E1520" s="51" t="str">
        <v/>
      </c>
      <c r="F1520" s="52" t="str">
        <v/>
      </c>
      <c r="G1520" s="48" t="str">
        <v/>
      </c>
      <c r="H1520" s="49">
        <v>0</v>
      </c>
      <c r="I1520" s="49" t="e">
        <v>#REF!</v>
      </c>
      <c r="J1520" s="50"/>
    </row>
    <row r="1521" outlineLevel="1" spans="1:10">
      <c r="A1521" s="50">
        <v>570</v>
      </c>
      <c r="B1521" s="51" t="str">
        <v>单联单控开关</v>
      </c>
      <c r="C1521" s="51" t="e">
        <v>#REF!</v>
      </c>
      <c r="D1521" s="51" t="str">
        <v/>
      </c>
      <c r="E1521" s="51" t="str">
        <v/>
      </c>
      <c r="F1521" s="52" t="e">
        <v>#REF!</v>
      </c>
      <c r="G1521" s="48" t="e">
        <v>#REF!</v>
      </c>
      <c r="H1521" s="49">
        <v>0</v>
      </c>
      <c r="I1521" s="49" t="e">
        <v>#REF!</v>
      </c>
      <c r="J1521" s="50"/>
    </row>
    <row r="1522" outlineLevel="1" spans="1:10">
      <c r="A1522" s="50">
        <v>571</v>
      </c>
      <c r="B1522" s="51" t="str">
        <v>单联双控开关</v>
      </c>
      <c r="C1522" s="51" t="e">
        <v>#REF!</v>
      </c>
      <c r="D1522" s="51" t="str">
        <v/>
      </c>
      <c r="E1522" s="51" t="str">
        <v/>
      </c>
      <c r="F1522" s="52" t="e">
        <v>#REF!</v>
      </c>
      <c r="G1522" s="48" t="e">
        <v>#REF!</v>
      </c>
      <c r="H1522" s="49">
        <v>0</v>
      </c>
      <c r="I1522" s="49" t="e">
        <v>#REF!</v>
      </c>
      <c r="J1522" s="50"/>
    </row>
    <row r="1523" outlineLevel="1" spans="1:10">
      <c r="A1523" s="50">
        <v>572</v>
      </c>
      <c r="B1523" s="51" t="str">
        <v>双联单控开关</v>
      </c>
      <c r="C1523" s="51" t="e">
        <v>#REF!</v>
      </c>
      <c r="D1523" s="51" t="str">
        <v/>
      </c>
      <c r="E1523" s="51" t="str">
        <v/>
      </c>
      <c r="F1523" s="52" t="e">
        <v>#REF!</v>
      </c>
      <c r="G1523" s="48" t="e">
        <v>#REF!</v>
      </c>
      <c r="H1523" s="49">
        <v>0</v>
      </c>
      <c r="I1523" s="49" t="e">
        <v>#REF!</v>
      </c>
      <c r="J1523" s="50"/>
    </row>
    <row r="1524" outlineLevel="1" spans="1:10">
      <c r="A1524" s="50">
        <v>573</v>
      </c>
      <c r="B1524" s="51" t="str">
        <v>三联单控开关</v>
      </c>
      <c r="C1524" s="51" t="e">
        <v>#REF!</v>
      </c>
      <c r="D1524" s="51" t="str">
        <v/>
      </c>
      <c r="E1524" s="51" t="str">
        <v/>
      </c>
      <c r="F1524" s="52" t="e">
        <v>#REF!</v>
      </c>
      <c r="G1524" s="48" t="e">
        <v>#REF!</v>
      </c>
      <c r="H1524" s="49">
        <v>0</v>
      </c>
      <c r="I1524" s="49" t="e">
        <v>#REF!</v>
      </c>
      <c r="J1524" s="50"/>
    </row>
    <row r="1525" outlineLevel="1" spans="1:10">
      <c r="A1525" s="50">
        <v>574</v>
      </c>
      <c r="B1525" s="51" t="str">
        <v>四联单控开关</v>
      </c>
      <c r="C1525" s="51" t="e">
        <v>#REF!</v>
      </c>
      <c r="D1525" s="51" t="str">
        <v/>
      </c>
      <c r="E1525" s="51" t="str">
        <v/>
      </c>
      <c r="F1525" s="52" t="e">
        <v>#REF!</v>
      </c>
      <c r="G1525" s="48" t="e">
        <v>#REF!</v>
      </c>
      <c r="H1525" s="49">
        <v>0</v>
      </c>
      <c r="I1525" s="49" t="e">
        <v>#REF!</v>
      </c>
      <c r="J1525" s="50"/>
    </row>
    <row r="1526" outlineLevel="1" spans="1:10">
      <c r="A1526" s="50">
        <v>575</v>
      </c>
      <c r="B1526" s="51" t="str">
        <v>五孔插座</v>
      </c>
      <c r="C1526" s="51" t="e">
        <v>#REF!</v>
      </c>
      <c r="D1526" s="51" t="str">
        <v/>
      </c>
      <c r="E1526" s="51" t="str">
        <v/>
      </c>
      <c r="F1526" s="52" t="e">
        <v>#REF!</v>
      </c>
      <c r="G1526" s="48" t="e">
        <v>#REF!</v>
      </c>
      <c r="H1526" s="49">
        <v>0</v>
      </c>
      <c r="I1526" s="49" t="e">
        <v>#REF!</v>
      </c>
      <c r="J1526" s="50"/>
    </row>
    <row r="1527" outlineLevel="1" spans="1:10">
      <c r="A1527" s="50">
        <v>576</v>
      </c>
      <c r="B1527" s="51" t="str">
        <v>电梯检修插座</v>
      </c>
      <c r="C1527" s="51" t="e">
        <v>#REF!</v>
      </c>
      <c r="D1527" s="51" t="str">
        <v/>
      </c>
      <c r="E1527" s="51" t="str">
        <v/>
      </c>
      <c r="F1527" s="52" t="e">
        <v>#REF!</v>
      </c>
      <c r="G1527" s="48" t="e">
        <v>#REF!</v>
      </c>
      <c r="H1527" s="49">
        <v>1</v>
      </c>
      <c r="I1527" s="49" t="e">
        <v>#REF!</v>
      </c>
      <c r="J1527" s="50"/>
    </row>
    <row r="1528" ht="28.8" outlineLevel="1" spans="1:10">
      <c r="A1528" s="50">
        <v>577</v>
      </c>
      <c r="B1528" s="51" t="str">
        <v>卫生间五孔插座（IP54）</v>
      </c>
      <c r="C1528" s="51" t="e">
        <v>#REF!</v>
      </c>
      <c r="D1528" s="51" t="str">
        <v/>
      </c>
      <c r="E1528" s="51" t="str">
        <v/>
      </c>
      <c r="F1528" s="52" t="e">
        <v>#REF!</v>
      </c>
      <c r="G1528" s="48" t="e">
        <v>#REF!</v>
      </c>
      <c r="H1528" s="49">
        <v>0</v>
      </c>
      <c r="I1528" s="49" t="e">
        <v>#REF!</v>
      </c>
      <c r="J1528" s="50"/>
    </row>
    <row r="1529" ht="28.8" outlineLevel="1" spans="1:10">
      <c r="A1529" s="50">
        <v>578</v>
      </c>
      <c r="B1529" s="51" t="str">
        <v>电磁阀五孔插座（IP54）</v>
      </c>
      <c r="C1529" s="51" t="e">
        <v>#REF!</v>
      </c>
      <c r="D1529" s="51" t="str">
        <v/>
      </c>
      <c r="E1529" s="51" t="str">
        <v/>
      </c>
      <c r="F1529" s="52" t="e">
        <v>#REF!</v>
      </c>
      <c r="G1529" s="48" t="e">
        <v>#REF!</v>
      </c>
      <c r="H1529" s="49">
        <v>0</v>
      </c>
      <c r="I1529" s="49" t="e">
        <v>#REF!</v>
      </c>
      <c r="J1529" s="50"/>
    </row>
    <row r="1530" ht="28.8" outlineLevel="1" spans="1:10">
      <c r="A1530" s="50">
        <v>579</v>
      </c>
      <c r="B1530" s="51" t="str">
        <v>空调挂机、柜机三孔插座-（带开关）</v>
      </c>
      <c r="C1530" s="51" t="e">
        <v>#REF!</v>
      </c>
      <c r="D1530" s="51" t="str">
        <v/>
      </c>
      <c r="E1530" s="51" t="str">
        <v/>
      </c>
      <c r="F1530" s="52" t="e">
        <v>#REF!</v>
      </c>
      <c r="G1530" s="48" t="e">
        <v>#REF!</v>
      </c>
      <c r="H1530" s="49">
        <v>30</v>
      </c>
      <c r="I1530" s="49" t="e">
        <v>#REF!</v>
      </c>
      <c r="J1530" s="50"/>
    </row>
    <row r="1531" outlineLevel="1" spans="1:10">
      <c r="A1531" s="50">
        <v>580</v>
      </c>
      <c r="B1531" s="51" t="str">
        <v>电动门五孔插座</v>
      </c>
      <c r="C1531" s="51" t="e">
        <v>#REF!</v>
      </c>
      <c r="D1531" s="51" t="str">
        <v/>
      </c>
      <c r="E1531" s="51" t="str">
        <v/>
      </c>
      <c r="F1531" s="52" t="e">
        <v>#REF!</v>
      </c>
      <c r="G1531" s="48" t="e">
        <v>#REF!</v>
      </c>
      <c r="H1531" s="49">
        <v>0</v>
      </c>
      <c r="I1531" s="49" t="e">
        <v>#REF!</v>
      </c>
      <c r="J1531" s="50"/>
    </row>
    <row r="1532" outlineLevel="1" spans="1:10">
      <c r="A1532" s="50">
        <v>581</v>
      </c>
      <c r="B1532" s="51" t="str">
        <v>五孔插座</v>
      </c>
      <c r="C1532" s="51" t="e">
        <v>#REF!</v>
      </c>
      <c r="D1532" s="51" t="str">
        <v/>
      </c>
      <c r="E1532" s="51" t="str">
        <v/>
      </c>
      <c r="F1532" s="52" t="e">
        <v>#REF!</v>
      </c>
      <c r="G1532" s="48" t="e">
        <v>#REF!</v>
      </c>
      <c r="H1532" s="49">
        <v>0</v>
      </c>
      <c r="I1532" s="49" t="e">
        <v>#REF!</v>
      </c>
      <c r="J1532" s="50"/>
    </row>
    <row r="1533" outlineLevel="1" spans="1:10">
      <c r="A1533" s="50">
        <v>582</v>
      </c>
      <c r="B1533" s="51" t="str">
        <v>电伴热插座</v>
      </c>
      <c r="C1533" s="51" t="e">
        <v>#REF!</v>
      </c>
      <c r="D1533" s="51" t="str">
        <v/>
      </c>
      <c r="E1533" s="51" t="str">
        <v/>
      </c>
      <c r="F1533" s="52" t="e">
        <v>#REF!</v>
      </c>
      <c r="G1533" s="48" t="e">
        <v>#REF!</v>
      </c>
      <c r="H1533" s="49">
        <v>0</v>
      </c>
      <c r="I1533" s="49" t="e">
        <v>#REF!</v>
      </c>
      <c r="J1533" s="50"/>
    </row>
    <row r="1534" outlineLevel="1" spans="1:10">
      <c r="A1534" s="50">
        <v>583</v>
      </c>
      <c r="B1534" s="51" t="str">
        <v>警报插座</v>
      </c>
      <c r="C1534" s="51" t="e">
        <v>#REF!</v>
      </c>
      <c r="D1534" s="51" t="str">
        <v/>
      </c>
      <c r="E1534" s="51" t="str">
        <v/>
      </c>
      <c r="F1534" s="52" t="e">
        <v>#REF!</v>
      </c>
      <c r="G1534" s="48" t="e">
        <v>#REF!</v>
      </c>
      <c r="H1534" s="49">
        <v>0</v>
      </c>
      <c r="I1534" s="49" t="e">
        <v>#REF!</v>
      </c>
      <c r="J1534" s="50"/>
    </row>
    <row r="1535" outlineLevel="1" spans="1:10">
      <c r="A1535" s="50">
        <v>584</v>
      </c>
      <c r="B1535" s="51" t="str">
        <v>滤毒室插座</v>
      </c>
      <c r="C1535" s="51" t="e">
        <v>#REF!</v>
      </c>
      <c r="D1535" s="51" t="str">
        <v/>
      </c>
      <c r="E1535" s="51" t="str">
        <v/>
      </c>
      <c r="F1535" s="52" t="e">
        <v>#REF!</v>
      </c>
      <c r="G1535" s="48" t="e">
        <v>#REF!</v>
      </c>
      <c r="H1535" s="49">
        <v>0</v>
      </c>
      <c r="I1535" s="49" t="e">
        <v>#REF!</v>
      </c>
      <c r="J1535" s="50"/>
    </row>
    <row r="1536" outlineLevel="1" spans="1:10">
      <c r="A1536" s="50">
        <v>585</v>
      </c>
      <c r="B1536" s="51" t="str">
        <v>人防呼唤按钮</v>
      </c>
      <c r="C1536" s="51" t="e">
        <v>#REF!</v>
      </c>
      <c r="D1536" s="51" t="str">
        <v/>
      </c>
      <c r="E1536" s="51" t="str">
        <v/>
      </c>
      <c r="F1536" s="52" t="e">
        <v>#REF!</v>
      </c>
      <c r="G1536" s="48" t="e">
        <v>#REF!</v>
      </c>
      <c r="H1536" s="49">
        <v>0</v>
      </c>
      <c r="I1536" s="49" t="e">
        <v>#REF!</v>
      </c>
      <c r="J1536" s="50"/>
    </row>
    <row r="1537" outlineLevel="1" spans="1:10">
      <c r="A1537" s="50">
        <v>586</v>
      </c>
      <c r="B1537" s="51" t="str">
        <v>电话插孔</v>
      </c>
      <c r="C1537" s="51" t="e">
        <v>#REF!</v>
      </c>
      <c r="D1537" s="51" t="str">
        <v/>
      </c>
      <c r="E1537" s="51" t="str">
        <v/>
      </c>
      <c r="F1537" s="52" t="e">
        <v>#REF!</v>
      </c>
      <c r="G1537" s="48" t="e">
        <v>#REF!</v>
      </c>
      <c r="H1537" s="49">
        <v>0</v>
      </c>
      <c r="I1537" s="49" t="e">
        <v>#REF!</v>
      </c>
      <c r="J1537" s="50"/>
    </row>
    <row r="1538" ht="28.8" outlineLevel="1" spans="1:10">
      <c r="A1538" s="50">
        <v>587</v>
      </c>
      <c r="B1538" s="51" t="str">
        <v>暗装排气扇接线盒（含面板）</v>
      </c>
      <c r="C1538" s="51" t="e">
        <v>#REF!</v>
      </c>
      <c r="D1538" s="51" t="str">
        <v/>
      </c>
      <c r="E1538" s="51" t="str">
        <v/>
      </c>
      <c r="F1538" s="52" t="e">
        <v>#REF!</v>
      </c>
      <c r="G1538" s="48" t="e">
        <v>#REF!</v>
      </c>
      <c r="H1538" s="49">
        <v>0</v>
      </c>
      <c r="I1538" s="49" t="e">
        <v>#REF!</v>
      </c>
      <c r="J1538" s="50"/>
    </row>
    <row r="1539" outlineLevel="1" spans="1:10">
      <c r="A1539" s="50">
        <v>588</v>
      </c>
      <c r="B1539" s="51" t="str">
        <v>空白面板</v>
      </c>
      <c r="C1539" s="51" t="e">
        <v>#REF!</v>
      </c>
      <c r="D1539" s="51" t="str">
        <v/>
      </c>
      <c r="E1539" s="51" t="str">
        <v/>
      </c>
      <c r="F1539" s="52" t="e">
        <v>#REF!</v>
      </c>
      <c r="G1539" s="48" t="e">
        <v>#REF!</v>
      </c>
      <c r="H1539" s="49">
        <v>0</v>
      </c>
      <c r="I1539" s="49" t="e">
        <v>#REF!</v>
      </c>
      <c r="J1539" s="50"/>
    </row>
    <row r="1540" outlineLevel="1" spans="1:10">
      <c r="A1540" s="50">
        <v>589</v>
      </c>
      <c r="B1540" s="51" t="str">
        <v>暗装塑料接线盒</v>
      </c>
      <c r="C1540" s="51" t="e">
        <v>#REF!</v>
      </c>
      <c r="D1540" s="51" t="str">
        <v/>
      </c>
      <c r="E1540" s="51" t="str">
        <v/>
      </c>
      <c r="F1540" s="52" t="e">
        <v>#REF!</v>
      </c>
      <c r="G1540" s="48" t="e">
        <v>#REF!</v>
      </c>
      <c r="H1540" s="49">
        <v>33</v>
      </c>
      <c r="I1540" s="49" t="e">
        <v>#REF!</v>
      </c>
      <c r="J1540" s="50"/>
    </row>
    <row r="1541" outlineLevel="1" spans="1:10">
      <c r="A1541" s="50">
        <v>590</v>
      </c>
      <c r="B1541" s="51" t="str">
        <v>暗装钢制接线盒</v>
      </c>
      <c r="C1541" s="51" t="e">
        <v>#REF!</v>
      </c>
      <c r="D1541" s="51" t="str">
        <v/>
      </c>
      <c r="E1541" s="51" t="str">
        <v/>
      </c>
      <c r="F1541" s="52" t="e">
        <v>#REF!</v>
      </c>
      <c r="G1541" s="48" t="e">
        <v>#REF!</v>
      </c>
      <c r="H1541" s="49">
        <v>0</v>
      </c>
      <c r="I1541" s="49" t="e">
        <v>#REF!</v>
      </c>
      <c r="J1541" s="50"/>
    </row>
    <row r="1542" outlineLevel="1" spans="1:10">
      <c r="A1542" s="50">
        <v>591</v>
      </c>
      <c r="B1542" s="51" t="str">
        <v>低压熔断器</v>
      </c>
      <c r="C1542" s="51" t="e">
        <v>#REF!</v>
      </c>
      <c r="D1542" s="51" t="str">
        <v/>
      </c>
      <c r="E1542" s="51" t="str">
        <v/>
      </c>
      <c r="F1542" s="52" t="e">
        <v>#REF!</v>
      </c>
      <c r="G1542" s="48" t="e">
        <v>#REF!</v>
      </c>
      <c r="H1542" s="49">
        <v>0</v>
      </c>
      <c r="I1542" s="49" t="e">
        <v>#REF!</v>
      </c>
      <c r="J1542" s="50"/>
    </row>
    <row r="1543" outlineLevel="1" spans="1:10">
      <c r="A1543" s="50" t="str">
        <v/>
      </c>
      <c r="B1543" s="51" t="str">
        <v>B.18.6防雷接地</v>
      </c>
      <c r="C1543" s="51" t="str">
        <v/>
      </c>
      <c r="D1543" s="51" t="str">
        <v/>
      </c>
      <c r="E1543" s="51" t="str">
        <v/>
      </c>
      <c r="F1543" s="52" t="str">
        <v/>
      </c>
      <c r="G1543" s="48" t="str">
        <v/>
      </c>
      <c r="H1543" s="49">
        <v>0</v>
      </c>
      <c r="I1543" s="49" t="e">
        <v>#REF!</v>
      </c>
      <c r="J1543" s="50"/>
    </row>
    <row r="1544" outlineLevel="1" spans="1:10">
      <c r="A1544" s="50">
        <v>592</v>
      </c>
      <c r="B1544" s="51" t="str">
        <v>接地极</v>
      </c>
      <c r="C1544" s="51" t="e">
        <v>#REF!</v>
      </c>
      <c r="D1544" s="51" t="str">
        <v/>
      </c>
      <c r="E1544" s="51" t="str">
        <v/>
      </c>
      <c r="F1544" s="52" t="e">
        <v>#REF!</v>
      </c>
      <c r="G1544" s="48" t="e">
        <v>#REF!</v>
      </c>
      <c r="H1544" s="49">
        <v>1</v>
      </c>
      <c r="I1544" s="49" t="e">
        <v>#REF!</v>
      </c>
      <c r="J1544" s="50"/>
    </row>
    <row r="1545" outlineLevel="1" spans="1:10">
      <c r="A1545" s="50">
        <v>593</v>
      </c>
      <c r="B1545" s="51" t="str">
        <v>避雷引下线1</v>
      </c>
      <c r="C1545" s="51" t="e">
        <v>#REF!</v>
      </c>
      <c r="D1545" s="51" t="str">
        <v/>
      </c>
      <c r="E1545" s="51" t="str">
        <v/>
      </c>
      <c r="F1545" s="52" t="e">
        <v>#REF!</v>
      </c>
      <c r="G1545" s="48" t="e">
        <v>#REF!</v>
      </c>
      <c r="H1545" s="49">
        <v>0</v>
      </c>
      <c r="I1545" s="49" t="e">
        <v>#REF!</v>
      </c>
      <c r="J1545" s="50"/>
    </row>
    <row r="1546" outlineLevel="1" spans="1:10">
      <c r="A1546" s="50">
        <v>594</v>
      </c>
      <c r="B1546" s="51" t="str">
        <v>局部等电位端子箱</v>
      </c>
      <c r="C1546" s="51" t="e">
        <v>#REF!</v>
      </c>
      <c r="D1546" s="51" t="str">
        <v/>
      </c>
      <c r="E1546" s="51" t="str">
        <v/>
      </c>
      <c r="F1546" s="52" t="e">
        <v>#REF!</v>
      </c>
      <c r="G1546" s="48" t="e">
        <v>#REF!</v>
      </c>
      <c r="H1546" s="49">
        <v>0</v>
      </c>
      <c r="I1546" s="49" t="e">
        <v>#REF!</v>
      </c>
      <c r="J1546" s="50"/>
    </row>
    <row r="1547" outlineLevel="1" spans="1:10">
      <c r="A1547" s="50">
        <v>595</v>
      </c>
      <c r="B1547" s="51" t="str">
        <v>总等电位连接端子箱</v>
      </c>
      <c r="C1547" s="51" t="e">
        <v>#REF!</v>
      </c>
      <c r="D1547" s="51" t="str">
        <v/>
      </c>
      <c r="E1547" s="51" t="str">
        <v/>
      </c>
      <c r="F1547" s="52" t="e">
        <v>#REF!</v>
      </c>
      <c r="G1547" s="48" t="e">
        <v>#REF!</v>
      </c>
      <c r="H1547" s="49">
        <v>1</v>
      </c>
      <c r="I1547" s="49" t="e">
        <v>#REF!</v>
      </c>
      <c r="J1547" s="50"/>
    </row>
    <row r="1548" ht="28.8" outlineLevel="1" spans="1:10">
      <c r="A1548" s="50">
        <v>596</v>
      </c>
      <c r="B1548" s="51" t="str">
        <v>进出户管道、突出金属物接地</v>
      </c>
      <c r="C1548" s="51" t="e">
        <v>#REF!</v>
      </c>
      <c r="D1548" s="51" t="str">
        <v/>
      </c>
      <c r="E1548" s="51" t="str">
        <v/>
      </c>
      <c r="F1548" s="52" t="e">
        <v>#REF!</v>
      </c>
      <c r="G1548" s="48" t="e">
        <v>#REF!</v>
      </c>
      <c r="H1548" s="49">
        <v>10</v>
      </c>
      <c r="I1548" s="49" t="e">
        <v>#REF!</v>
      </c>
      <c r="J1548" s="50"/>
    </row>
    <row r="1549" outlineLevel="1" spans="1:10">
      <c r="A1549" s="50">
        <v>597</v>
      </c>
      <c r="B1549" s="51" t="str">
        <v>钢铝窗接地</v>
      </c>
      <c r="C1549" s="51" t="e">
        <v>#REF!</v>
      </c>
      <c r="D1549" s="51" t="str">
        <v/>
      </c>
      <c r="E1549" s="51" t="str">
        <v/>
      </c>
      <c r="F1549" s="52" t="e">
        <v>#REF!</v>
      </c>
      <c r="G1549" s="48" t="e">
        <v>#REF!</v>
      </c>
      <c r="H1549" s="49">
        <v>0</v>
      </c>
      <c r="I1549" s="49" t="e">
        <v>#REF!</v>
      </c>
      <c r="J1549" s="50"/>
    </row>
    <row r="1550" outlineLevel="1" spans="1:10">
      <c r="A1550" s="50">
        <v>598</v>
      </c>
      <c r="B1550" s="51" t="str">
        <v>接地跨接线</v>
      </c>
      <c r="C1550" s="51" t="e">
        <v>#REF!</v>
      </c>
      <c r="D1550" s="51" t="str">
        <v/>
      </c>
      <c r="E1550" s="51" t="str">
        <v/>
      </c>
      <c r="F1550" s="52" t="e">
        <v>#REF!</v>
      </c>
      <c r="G1550" s="48" t="e">
        <v>#REF!</v>
      </c>
      <c r="H1550" s="49">
        <v>0</v>
      </c>
      <c r="I1550" s="49" t="e">
        <v>#REF!</v>
      </c>
      <c r="J1550" s="50"/>
    </row>
    <row r="1551" outlineLevel="1" spans="1:10">
      <c r="A1551" s="50">
        <v>599</v>
      </c>
      <c r="B1551" s="51" t="str">
        <v>接地端子板</v>
      </c>
      <c r="C1551" s="51" t="e">
        <v>#REF!</v>
      </c>
      <c r="D1551" s="51" t="str">
        <v/>
      </c>
      <c r="E1551" s="51" t="str">
        <v/>
      </c>
      <c r="F1551" s="52" t="e">
        <v>#REF!</v>
      </c>
      <c r="G1551" s="48" t="e">
        <v>#REF!</v>
      </c>
      <c r="H1551" s="49">
        <v>0</v>
      </c>
      <c r="I1551" s="49" t="e">
        <v>#REF!</v>
      </c>
      <c r="J1551" s="50"/>
    </row>
    <row r="1552" outlineLevel="1" spans="1:10">
      <c r="A1552" s="50">
        <v>600</v>
      </c>
      <c r="B1552" s="51" t="str">
        <v>接地连接板</v>
      </c>
      <c r="C1552" s="51" t="e">
        <v>#REF!</v>
      </c>
      <c r="D1552" s="51" t="str">
        <v/>
      </c>
      <c r="E1552" s="51" t="str">
        <v/>
      </c>
      <c r="F1552" s="52" t="e">
        <v>#REF!</v>
      </c>
      <c r="G1552" s="48" t="e">
        <v>#REF!</v>
      </c>
      <c r="H1552" s="49">
        <v>0</v>
      </c>
      <c r="I1552" s="49" t="e">
        <v>#REF!</v>
      </c>
      <c r="J1552" s="50"/>
    </row>
    <row r="1553" outlineLevel="1" spans="1:10">
      <c r="A1553" s="50">
        <v>601</v>
      </c>
      <c r="B1553" s="51" t="str">
        <v>镀锌钢板接地极</v>
      </c>
      <c r="C1553" s="51" t="e">
        <v>#REF!</v>
      </c>
      <c r="D1553" s="51" t="str">
        <v/>
      </c>
      <c r="E1553" s="51" t="str">
        <v/>
      </c>
      <c r="F1553" s="52" t="e">
        <v>#REF!</v>
      </c>
      <c r="G1553" s="48" t="e">
        <v>#REF!</v>
      </c>
      <c r="H1553" s="49">
        <v>0</v>
      </c>
      <c r="I1553" s="49" t="e">
        <v>#REF!</v>
      </c>
      <c r="J1553" s="50"/>
    </row>
    <row r="1554" outlineLevel="1" spans="1:10">
      <c r="A1554" s="50">
        <v>602</v>
      </c>
      <c r="B1554" s="51" t="str">
        <v>接地母线-40*4（室外）</v>
      </c>
      <c r="C1554" s="51" t="e">
        <v>#REF!</v>
      </c>
      <c r="D1554" s="51" t="str">
        <v/>
      </c>
      <c r="E1554" s="51" t="str">
        <v/>
      </c>
      <c r="F1554" s="52" t="e">
        <v>#REF!</v>
      </c>
      <c r="G1554" s="48" t="e">
        <v>#REF!</v>
      </c>
      <c r="H1554" s="49">
        <v>0</v>
      </c>
      <c r="I1554" s="49" t="e">
        <v>#REF!</v>
      </c>
      <c r="J1554" s="50"/>
    </row>
    <row r="1555" outlineLevel="1" spans="1:10">
      <c r="A1555" s="50">
        <v>603</v>
      </c>
      <c r="B1555" s="51" t="str">
        <v>接地母线-50*5</v>
      </c>
      <c r="C1555" s="51" t="e">
        <v>#REF!</v>
      </c>
      <c r="D1555" s="51" t="str">
        <v/>
      </c>
      <c r="E1555" s="51" t="str">
        <v/>
      </c>
      <c r="F1555" s="52" t="e">
        <v>#REF!</v>
      </c>
      <c r="G1555" s="48" t="e">
        <v>#REF!</v>
      </c>
      <c r="H1555" s="49">
        <v>0</v>
      </c>
      <c r="I1555" s="49" t="e">
        <v>#REF!</v>
      </c>
      <c r="J1555" s="50"/>
    </row>
    <row r="1556" outlineLevel="1" spans="1:10">
      <c r="A1556" s="50">
        <v>604</v>
      </c>
      <c r="B1556" s="51" t="str">
        <v>接地母线-40*4</v>
      </c>
      <c r="C1556" s="51" t="e">
        <v>#REF!</v>
      </c>
      <c r="D1556" s="51" t="str">
        <v/>
      </c>
      <c r="E1556" s="51" t="str">
        <v/>
      </c>
      <c r="F1556" s="52" t="e">
        <v>#REF!</v>
      </c>
      <c r="G1556" s="48" t="e">
        <v>#REF!</v>
      </c>
      <c r="H1556" s="49">
        <v>0</v>
      </c>
      <c r="I1556" s="49" t="e">
        <v>#REF!</v>
      </c>
      <c r="J1556" s="50"/>
    </row>
    <row r="1557" ht="28.8" outlineLevel="1" spans="1:10">
      <c r="A1557" s="50">
        <v>605</v>
      </c>
      <c r="B1557" s="51" t="str">
        <v>阻燃塑料管配管-PC32-暗配</v>
      </c>
      <c r="C1557" s="51" t="e">
        <v>#REF!</v>
      </c>
      <c r="D1557" s="51" t="str">
        <v/>
      </c>
      <c r="E1557" s="51" t="str">
        <v/>
      </c>
      <c r="F1557" s="52" t="e">
        <v>#REF!</v>
      </c>
      <c r="G1557" s="48" t="e">
        <v>#REF!</v>
      </c>
      <c r="H1557" s="49">
        <v>1</v>
      </c>
      <c r="I1557" s="49" t="e">
        <v>#REF!</v>
      </c>
      <c r="J1557" s="50"/>
    </row>
    <row r="1558" outlineLevel="1" spans="1:10">
      <c r="A1558" s="50">
        <v>606</v>
      </c>
      <c r="B1558" s="51" t="str">
        <v>综合配线-BV25</v>
      </c>
      <c r="C1558" s="51" t="e">
        <v>#REF!</v>
      </c>
      <c r="D1558" s="51" t="str">
        <v/>
      </c>
      <c r="E1558" s="51" t="str">
        <v/>
      </c>
      <c r="F1558" s="52" t="e">
        <v>#REF!</v>
      </c>
      <c r="G1558" s="48" t="e">
        <v>#REF!</v>
      </c>
      <c r="H1558" s="49">
        <v>1</v>
      </c>
      <c r="I1558" s="49" t="e">
        <v>#REF!</v>
      </c>
      <c r="J1558" s="50"/>
    </row>
    <row r="1559" outlineLevel="1" spans="1:10">
      <c r="A1559" s="50">
        <v>607</v>
      </c>
      <c r="B1559" s="51" t="str">
        <v>接地装置</v>
      </c>
      <c r="C1559" s="51" t="e">
        <v>#REF!</v>
      </c>
      <c r="D1559" s="51" t="str">
        <v/>
      </c>
      <c r="E1559" s="51" t="str">
        <v/>
      </c>
      <c r="F1559" s="52" t="e">
        <v>#REF!</v>
      </c>
      <c r="G1559" s="48" t="e">
        <v>#REF!</v>
      </c>
      <c r="H1559" s="49">
        <v>1</v>
      </c>
      <c r="I1559" s="49" t="e">
        <v>#REF!</v>
      </c>
      <c r="J1559" s="50"/>
    </row>
    <row r="1560" outlineLevel="1" spans="1:10">
      <c r="A1560" s="50" t="str">
        <v/>
      </c>
      <c r="B1560" s="51" t="str">
        <v>B.19弱电工程</v>
      </c>
      <c r="C1560" s="51" t="str">
        <v/>
      </c>
      <c r="D1560" s="51" t="str">
        <v/>
      </c>
      <c r="E1560" s="51" t="str">
        <v/>
      </c>
      <c r="F1560" s="52" t="str">
        <v/>
      </c>
      <c r="G1560" s="48" t="str">
        <v/>
      </c>
      <c r="H1560" s="49">
        <v>0</v>
      </c>
      <c r="I1560" s="49" t="e">
        <v>#REF!</v>
      </c>
      <c r="J1560" s="50"/>
    </row>
    <row r="1561" outlineLevel="1" spans="1:10">
      <c r="A1561" s="50">
        <v>608</v>
      </c>
      <c r="B1561" s="51" t="str">
        <v>金属桥架-100*100</v>
      </c>
      <c r="C1561" s="51" t="e">
        <v>#REF!</v>
      </c>
      <c r="D1561" s="51" t="str">
        <v/>
      </c>
      <c r="E1561" s="51" t="str">
        <v/>
      </c>
      <c r="F1561" s="52" t="e">
        <v>#REF!</v>
      </c>
      <c r="G1561" s="48" t="e">
        <v>#REF!</v>
      </c>
      <c r="H1561" s="49">
        <v>0</v>
      </c>
      <c r="I1561" s="49" t="e">
        <v>#REF!</v>
      </c>
      <c r="J1561" s="50"/>
    </row>
    <row r="1562" outlineLevel="1" spans="1:10">
      <c r="A1562" s="50">
        <v>609</v>
      </c>
      <c r="B1562" s="51" t="str">
        <v>金属桥架-300*200</v>
      </c>
      <c r="C1562" s="51" t="e">
        <v>#REF!</v>
      </c>
      <c r="D1562" s="51" t="str">
        <v/>
      </c>
      <c r="E1562" s="51" t="str">
        <v/>
      </c>
      <c r="F1562" s="52" t="e">
        <v>#REF!</v>
      </c>
      <c r="G1562" s="48" t="e">
        <v>#REF!</v>
      </c>
      <c r="H1562" s="49">
        <v>0</v>
      </c>
      <c r="I1562" s="49" t="e">
        <v>#REF!</v>
      </c>
      <c r="J1562" s="50"/>
    </row>
    <row r="1563" outlineLevel="1" spans="1:10">
      <c r="A1563" s="50">
        <v>610</v>
      </c>
      <c r="B1563" s="51" t="str">
        <v>金属桥架-200*200</v>
      </c>
      <c r="C1563" s="51" t="e">
        <v>#REF!</v>
      </c>
      <c r="D1563" s="51" t="str">
        <v/>
      </c>
      <c r="E1563" s="51" t="str">
        <v/>
      </c>
      <c r="F1563" s="52" t="e">
        <v>#REF!</v>
      </c>
      <c r="G1563" s="48" t="e">
        <v>#REF!</v>
      </c>
      <c r="H1563" s="49">
        <v>0</v>
      </c>
      <c r="I1563" s="49" t="e">
        <v>#REF!</v>
      </c>
      <c r="J1563" s="50"/>
    </row>
    <row r="1564" outlineLevel="1" spans="1:10">
      <c r="A1564" s="50">
        <v>611</v>
      </c>
      <c r="B1564" s="51" t="str">
        <v>金属桥架-200*100</v>
      </c>
      <c r="C1564" s="51" t="e">
        <v>#REF!</v>
      </c>
      <c r="D1564" s="51" t="str">
        <v/>
      </c>
      <c r="E1564" s="51" t="str">
        <v/>
      </c>
      <c r="F1564" s="52" t="e">
        <v>#REF!</v>
      </c>
      <c r="G1564" s="48" t="e">
        <v>#REF!</v>
      </c>
      <c r="H1564" s="49">
        <v>1</v>
      </c>
      <c r="I1564" s="49" t="e">
        <v>#REF!</v>
      </c>
      <c r="J1564" s="50"/>
    </row>
    <row r="1565" outlineLevel="1" spans="1:10">
      <c r="A1565" s="50">
        <v>612</v>
      </c>
      <c r="B1565" s="51" t="str">
        <v>金属桥架-150*100</v>
      </c>
      <c r="C1565" s="51" t="e">
        <v>#REF!</v>
      </c>
      <c r="D1565" s="51" t="str">
        <v/>
      </c>
      <c r="E1565" s="51" t="str">
        <v/>
      </c>
      <c r="F1565" s="52" t="e">
        <v>#REF!</v>
      </c>
      <c r="G1565" s="48" t="e">
        <v>#REF!</v>
      </c>
      <c r="H1565" s="49">
        <v>1</v>
      </c>
      <c r="I1565" s="49" t="e">
        <v>#REF!</v>
      </c>
      <c r="J1565" s="50"/>
    </row>
    <row r="1566" outlineLevel="1" spans="1:10">
      <c r="A1566" s="50">
        <v>613</v>
      </c>
      <c r="B1566" s="51" t="str">
        <v>金属桥架-150*100</v>
      </c>
      <c r="C1566" s="51" t="e">
        <v>#REF!</v>
      </c>
      <c r="D1566" s="51" t="str">
        <v/>
      </c>
      <c r="E1566" s="51" t="str">
        <v/>
      </c>
      <c r="F1566" s="52" t="e">
        <v>#REF!</v>
      </c>
      <c r="G1566" s="48" t="e">
        <v>#REF!</v>
      </c>
      <c r="H1566" s="49">
        <v>0</v>
      </c>
      <c r="I1566" s="49" t="e">
        <v>#REF!</v>
      </c>
      <c r="J1566" s="50"/>
    </row>
    <row r="1567" outlineLevel="1" spans="1:10">
      <c r="A1567" s="50">
        <v>614</v>
      </c>
      <c r="B1567" s="51" t="str">
        <v>金属桥架-200*100</v>
      </c>
      <c r="C1567" s="51" t="e">
        <v>#REF!</v>
      </c>
      <c r="D1567" s="51" t="str">
        <v/>
      </c>
      <c r="E1567" s="51" t="str">
        <v/>
      </c>
      <c r="F1567" s="52" t="e">
        <v>#REF!</v>
      </c>
      <c r="G1567" s="48" t="e">
        <v>#REF!</v>
      </c>
      <c r="H1567" s="49">
        <v>0</v>
      </c>
      <c r="I1567" s="49" t="e">
        <v>#REF!</v>
      </c>
      <c r="J1567" s="50"/>
    </row>
    <row r="1568" outlineLevel="1" spans="1:10">
      <c r="A1568" s="50">
        <v>615</v>
      </c>
      <c r="B1568" s="51" t="str">
        <v>金属桥架-80*50</v>
      </c>
      <c r="C1568" s="51" t="e">
        <v>#REF!</v>
      </c>
      <c r="D1568" s="51" t="str">
        <v/>
      </c>
      <c r="E1568" s="51" t="str">
        <v/>
      </c>
      <c r="F1568" s="52" t="e">
        <v>#REF!</v>
      </c>
      <c r="G1568" s="48" t="e">
        <v>#REF!</v>
      </c>
      <c r="H1568" s="49">
        <v>0</v>
      </c>
      <c r="I1568" s="49" t="e">
        <v>#REF!</v>
      </c>
      <c r="J1568" s="50"/>
    </row>
    <row r="1569" outlineLevel="1" spans="1:10">
      <c r="A1569" s="50">
        <v>616</v>
      </c>
      <c r="B1569" s="51" t="str">
        <v>金属桥架-100*50</v>
      </c>
      <c r="C1569" s="51" t="e">
        <v>#REF!</v>
      </c>
      <c r="D1569" s="51" t="str">
        <v/>
      </c>
      <c r="E1569" s="51" t="str">
        <v/>
      </c>
      <c r="F1569" s="52" t="e">
        <v>#REF!</v>
      </c>
      <c r="G1569" s="48" t="e">
        <v>#REF!</v>
      </c>
      <c r="H1569" s="49">
        <v>0</v>
      </c>
      <c r="I1569" s="49" t="e">
        <v>#REF!</v>
      </c>
      <c r="J1569" s="50"/>
    </row>
    <row r="1570" outlineLevel="1" spans="1:10">
      <c r="A1570" s="50">
        <v>617</v>
      </c>
      <c r="B1570" s="51" t="str">
        <v>防火堵洞</v>
      </c>
      <c r="C1570" s="51" t="e">
        <v>#REF!</v>
      </c>
      <c r="D1570" s="51" t="str">
        <v/>
      </c>
      <c r="E1570" s="51" t="str">
        <v/>
      </c>
      <c r="F1570" s="52" t="e">
        <v>#REF!</v>
      </c>
      <c r="G1570" s="48" t="e">
        <v>#REF!</v>
      </c>
      <c r="H1570" s="49">
        <v>0</v>
      </c>
      <c r="I1570" s="49" t="e">
        <v>#REF!</v>
      </c>
      <c r="J1570" s="50"/>
    </row>
    <row r="1571" ht="28.8" outlineLevel="1" spans="1:10">
      <c r="A1571" s="50">
        <v>618</v>
      </c>
      <c r="B1571" s="51" t="str">
        <v>阻燃塑料管配管-PC20-暗配</v>
      </c>
      <c r="C1571" s="51" t="e">
        <v>#REF!</v>
      </c>
      <c r="D1571" s="51" t="str">
        <v/>
      </c>
      <c r="E1571" s="51" t="str">
        <v/>
      </c>
      <c r="F1571" s="52" t="e">
        <v>#REF!</v>
      </c>
      <c r="G1571" s="48" t="e">
        <v>#REF!</v>
      </c>
      <c r="H1571" s="49">
        <v>0</v>
      </c>
      <c r="I1571" s="49" t="e">
        <v>#REF!</v>
      </c>
      <c r="J1571" s="50"/>
    </row>
    <row r="1572" ht="28.8" outlineLevel="1" spans="1:10">
      <c r="A1572" s="50">
        <v>619</v>
      </c>
      <c r="B1572" s="51" t="str">
        <v>阻燃塑料管配管-PC25-暗配</v>
      </c>
      <c r="C1572" s="51" t="e">
        <v>#REF!</v>
      </c>
      <c r="D1572" s="51" t="str">
        <v/>
      </c>
      <c r="E1572" s="51" t="str">
        <v/>
      </c>
      <c r="F1572" s="52" t="e">
        <v>#REF!</v>
      </c>
      <c r="G1572" s="48" t="e">
        <v>#REF!</v>
      </c>
      <c r="H1572" s="49">
        <v>0</v>
      </c>
      <c r="I1572" s="49" t="e">
        <v>#REF!</v>
      </c>
      <c r="J1572" s="50"/>
    </row>
    <row r="1573" ht="28.8" outlineLevel="1" spans="1:10">
      <c r="A1573" s="50">
        <v>620</v>
      </c>
      <c r="B1573" s="51" t="str">
        <v>薄壁钢导管配管-JDG20-暗配</v>
      </c>
      <c r="C1573" s="51" t="e">
        <v>#REF!</v>
      </c>
      <c r="D1573" s="51" t="str">
        <v/>
      </c>
      <c r="E1573" s="51" t="str">
        <v/>
      </c>
      <c r="F1573" s="52" t="e">
        <v>#REF!</v>
      </c>
      <c r="G1573" s="48" t="e">
        <v>#REF!</v>
      </c>
      <c r="H1573" s="49">
        <v>0</v>
      </c>
      <c r="I1573" s="49" t="e">
        <v>#REF!</v>
      </c>
      <c r="J1573" s="50"/>
    </row>
    <row r="1574" ht="28.8" outlineLevel="1" spans="1:10">
      <c r="A1574" s="50">
        <v>621</v>
      </c>
      <c r="B1574" s="51" t="str">
        <v>薄壁钢导管配管-JDG25-暗配</v>
      </c>
      <c r="C1574" s="51" t="e">
        <v>#REF!</v>
      </c>
      <c r="D1574" s="51" t="str">
        <v/>
      </c>
      <c r="E1574" s="51" t="str">
        <v/>
      </c>
      <c r="F1574" s="52" t="e">
        <v>#REF!</v>
      </c>
      <c r="G1574" s="48" t="e">
        <v>#REF!</v>
      </c>
      <c r="H1574" s="49">
        <v>0</v>
      </c>
      <c r="I1574" s="49" t="e">
        <v>#REF!</v>
      </c>
      <c r="J1574" s="50"/>
    </row>
    <row r="1575" outlineLevel="1" spans="1:10">
      <c r="A1575" s="50">
        <v>622</v>
      </c>
      <c r="B1575" s="51" t="str">
        <v>SC20-暗配</v>
      </c>
      <c r="C1575" s="51" t="e">
        <v>#REF!</v>
      </c>
      <c r="D1575" s="51" t="str">
        <v/>
      </c>
      <c r="E1575" s="51" t="str">
        <v/>
      </c>
      <c r="F1575" s="52" t="e">
        <v>#REF!</v>
      </c>
      <c r="G1575" s="48" t="e">
        <v>#REF!</v>
      </c>
      <c r="H1575" s="49">
        <v>0</v>
      </c>
      <c r="I1575" s="49" t="e">
        <v>#REF!</v>
      </c>
      <c r="J1575" s="50"/>
    </row>
    <row r="1576" outlineLevel="1" spans="1:10">
      <c r="A1576" s="50">
        <v>623</v>
      </c>
      <c r="B1576" s="51" t="str">
        <v>SC40-暗配</v>
      </c>
      <c r="C1576" s="51" t="e">
        <v>#REF!</v>
      </c>
      <c r="D1576" s="51" t="str">
        <v/>
      </c>
      <c r="E1576" s="51" t="str">
        <v/>
      </c>
      <c r="F1576" s="52" t="e">
        <v>#REF!</v>
      </c>
      <c r="G1576" s="48" t="e">
        <v>#REF!</v>
      </c>
      <c r="H1576" s="49">
        <v>11.86</v>
      </c>
      <c r="I1576" s="49" t="e">
        <v>#REF!</v>
      </c>
      <c r="J1576" s="50"/>
    </row>
    <row r="1577" outlineLevel="1" spans="1:10">
      <c r="A1577" s="50">
        <v>624</v>
      </c>
      <c r="B1577" s="51" t="str">
        <v>SC80-暗配</v>
      </c>
      <c r="C1577" s="51" t="e">
        <v>#REF!</v>
      </c>
      <c r="D1577" s="51" t="str">
        <v/>
      </c>
      <c r="E1577" s="51" t="str">
        <v/>
      </c>
      <c r="F1577" s="52" t="e">
        <v>#REF!</v>
      </c>
      <c r="G1577" s="48" t="e">
        <v>#REF!</v>
      </c>
      <c r="H1577" s="49">
        <v>0</v>
      </c>
      <c r="I1577" s="49" t="e">
        <v>#REF!</v>
      </c>
      <c r="J1577" s="50"/>
    </row>
    <row r="1578" outlineLevel="1" spans="1:10">
      <c r="A1578" s="50">
        <v>625</v>
      </c>
      <c r="B1578" s="51" t="str">
        <v>暗装塑料接线盒</v>
      </c>
      <c r="C1578" s="51" t="e">
        <v>#REF!</v>
      </c>
      <c r="D1578" s="51" t="str">
        <v/>
      </c>
      <c r="E1578" s="51" t="str">
        <v/>
      </c>
      <c r="F1578" s="52" t="e">
        <v>#REF!</v>
      </c>
      <c r="G1578" s="48" t="e">
        <v>#REF!</v>
      </c>
      <c r="H1578" s="49">
        <v>0</v>
      </c>
      <c r="I1578" s="49" t="e">
        <v>#REF!</v>
      </c>
      <c r="J1578" s="50"/>
    </row>
    <row r="1579" outlineLevel="1" spans="1:10">
      <c r="A1579" s="50">
        <v>626</v>
      </c>
      <c r="B1579" s="51" t="str">
        <v>暗装钢制接线盒</v>
      </c>
      <c r="C1579" s="51" t="e">
        <v>#REF!</v>
      </c>
      <c r="D1579" s="51" t="str">
        <v/>
      </c>
      <c r="E1579" s="51" t="str">
        <v/>
      </c>
      <c r="F1579" s="52" t="e">
        <v>#REF!</v>
      </c>
      <c r="G1579" s="48" t="e">
        <v>#REF!</v>
      </c>
      <c r="H1579" s="49">
        <v>0</v>
      </c>
      <c r="I1579" s="49" t="e">
        <v>#REF!</v>
      </c>
      <c r="J1579" s="50"/>
    </row>
    <row r="1580" outlineLevel="1" spans="1:10">
      <c r="A1580" s="50">
        <v>627</v>
      </c>
      <c r="B1580" s="51" t="str">
        <v>空白面板</v>
      </c>
      <c r="C1580" s="51" t="e">
        <v>#REF!</v>
      </c>
      <c r="D1580" s="51" t="str">
        <v/>
      </c>
      <c r="E1580" s="51" t="str">
        <v/>
      </c>
      <c r="F1580" s="52" t="e">
        <v>#REF!</v>
      </c>
      <c r="G1580" s="48" t="e">
        <v>#REF!</v>
      </c>
      <c r="H1580" s="49">
        <v>0</v>
      </c>
      <c r="I1580" s="49" t="e">
        <v>#REF!</v>
      </c>
      <c r="J1580" s="50"/>
    </row>
    <row r="1581" outlineLevel="1" spans="1:10">
      <c r="A1581" s="50">
        <v>628</v>
      </c>
      <c r="B1581" s="51" t="str">
        <v>管内穿铁丝</v>
      </c>
      <c r="C1581" s="51" t="e">
        <v>#REF!</v>
      </c>
      <c r="D1581" s="51" t="str">
        <v/>
      </c>
      <c r="E1581" s="51" t="str">
        <v/>
      </c>
      <c r="F1581" s="52" t="e">
        <v>#REF!</v>
      </c>
      <c r="G1581" s="48" t="e">
        <v>#REF!</v>
      </c>
      <c r="H1581" s="49">
        <v>0</v>
      </c>
      <c r="I1581" s="49" t="e">
        <v>#REF!</v>
      </c>
      <c r="J1581" s="50"/>
    </row>
    <row r="1582" outlineLevel="1" spans="1:10">
      <c r="A1582" s="50">
        <v>629</v>
      </c>
      <c r="B1582" s="51" t="str">
        <v>电缆保护管-RC80</v>
      </c>
      <c r="C1582" s="51" t="e">
        <v>#REF!</v>
      </c>
      <c r="D1582" s="51" t="str">
        <v/>
      </c>
      <c r="E1582" s="51" t="str">
        <v/>
      </c>
      <c r="F1582" s="52" t="e">
        <v>#REF!</v>
      </c>
      <c r="G1582" s="48" t="e">
        <v>#REF!</v>
      </c>
      <c r="H1582" s="49">
        <v>0</v>
      </c>
      <c r="I1582" s="49" t="e">
        <v>#REF!</v>
      </c>
      <c r="J1582" s="50"/>
    </row>
    <row r="1583" outlineLevel="1" spans="1:10">
      <c r="A1583" s="50" t="str">
        <v/>
      </c>
      <c r="B1583" s="51" t="str">
        <v>B.20消防工程</v>
      </c>
      <c r="C1583" s="51" t="str">
        <v/>
      </c>
      <c r="D1583" s="51" t="str">
        <v/>
      </c>
      <c r="E1583" s="51" t="str">
        <v/>
      </c>
      <c r="F1583" s="52" t="str">
        <v/>
      </c>
      <c r="G1583" s="48" t="str">
        <v/>
      </c>
      <c r="H1583" s="49">
        <v>0</v>
      </c>
      <c r="I1583" s="49" t="e">
        <v>#REF!</v>
      </c>
      <c r="J1583" s="50"/>
    </row>
    <row r="1584" outlineLevel="1" spans="1:10">
      <c r="A1584" s="50">
        <v>630</v>
      </c>
      <c r="B1584" s="51" t="str">
        <v>防火桥架-100*100</v>
      </c>
      <c r="C1584" s="51" t="e">
        <v>#REF!</v>
      </c>
      <c r="D1584" s="51" t="str">
        <v/>
      </c>
      <c r="E1584" s="51" t="str">
        <v/>
      </c>
      <c r="F1584" s="52" t="e">
        <v>#REF!</v>
      </c>
      <c r="G1584" s="48" t="e">
        <v>#REF!</v>
      </c>
      <c r="H1584" s="49">
        <v>1</v>
      </c>
      <c r="I1584" s="49" t="e">
        <v>#REF!</v>
      </c>
      <c r="J1584" s="50"/>
    </row>
    <row r="1585" outlineLevel="1" spans="1:10">
      <c r="A1585" s="50">
        <v>631</v>
      </c>
      <c r="B1585" s="51" t="str">
        <v>防火桥架-200*100</v>
      </c>
      <c r="C1585" s="51" t="e">
        <v>#REF!</v>
      </c>
      <c r="D1585" s="51" t="str">
        <v/>
      </c>
      <c r="E1585" s="51" t="str">
        <v/>
      </c>
      <c r="F1585" s="52" t="e">
        <v>#REF!</v>
      </c>
      <c r="G1585" s="48" t="e">
        <v>#REF!</v>
      </c>
      <c r="H1585" s="49">
        <v>0</v>
      </c>
      <c r="I1585" s="49" t="e">
        <v>#REF!</v>
      </c>
      <c r="J1585" s="50"/>
    </row>
    <row r="1586" outlineLevel="1" spans="1:10">
      <c r="A1586" s="50">
        <v>632</v>
      </c>
      <c r="B1586" s="51" t="str">
        <v>防火桥架-200*150</v>
      </c>
      <c r="C1586" s="51" t="e">
        <v>#REF!</v>
      </c>
      <c r="D1586" s="51" t="str">
        <v/>
      </c>
      <c r="E1586" s="51" t="str">
        <v/>
      </c>
      <c r="F1586" s="52" t="e">
        <v>#REF!</v>
      </c>
      <c r="G1586" s="48" t="e">
        <v>#REF!</v>
      </c>
      <c r="H1586" s="49">
        <v>0</v>
      </c>
      <c r="I1586" s="49" t="e">
        <v>#REF!</v>
      </c>
      <c r="J1586" s="50"/>
    </row>
    <row r="1587" outlineLevel="1" spans="1:10">
      <c r="A1587" s="50">
        <v>633</v>
      </c>
      <c r="B1587" s="51" t="str">
        <v>防火桥架-200*200</v>
      </c>
      <c r="C1587" s="51" t="e">
        <v>#REF!</v>
      </c>
      <c r="D1587" s="51" t="str">
        <v/>
      </c>
      <c r="E1587" s="51" t="str">
        <v/>
      </c>
      <c r="F1587" s="52" t="e">
        <v>#REF!</v>
      </c>
      <c r="G1587" s="48" t="e">
        <v>#REF!</v>
      </c>
      <c r="H1587" s="49">
        <v>0</v>
      </c>
      <c r="I1587" s="49" t="e">
        <v>#REF!</v>
      </c>
      <c r="J1587" s="50"/>
    </row>
    <row r="1588" outlineLevel="1" spans="1:10">
      <c r="A1588" s="50">
        <v>634</v>
      </c>
      <c r="B1588" s="51" t="str">
        <v>防火桥架-300*150</v>
      </c>
      <c r="C1588" s="51" t="e">
        <v>#REF!</v>
      </c>
      <c r="D1588" s="51" t="str">
        <v/>
      </c>
      <c r="E1588" s="51" t="str">
        <v/>
      </c>
      <c r="F1588" s="52" t="e">
        <v>#REF!</v>
      </c>
      <c r="G1588" s="48" t="e">
        <v>#REF!</v>
      </c>
      <c r="H1588" s="49">
        <v>0</v>
      </c>
      <c r="I1588" s="49" t="e">
        <v>#REF!</v>
      </c>
      <c r="J1588" s="50"/>
    </row>
    <row r="1589" outlineLevel="1" spans="1:10">
      <c r="A1589" s="50">
        <v>635</v>
      </c>
      <c r="B1589" s="51" t="str">
        <v>防火桥架-300*200</v>
      </c>
      <c r="C1589" s="51" t="e">
        <v>#REF!</v>
      </c>
      <c r="D1589" s="51" t="str">
        <v/>
      </c>
      <c r="E1589" s="51" t="str">
        <v/>
      </c>
      <c r="F1589" s="52" t="e">
        <v>#REF!</v>
      </c>
      <c r="G1589" s="48" t="e">
        <v>#REF!</v>
      </c>
      <c r="H1589" s="49">
        <v>0</v>
      </c>
      <c r="I1589" s="49" t="e">
        <v>#REF!</v>
      </c>
      <c r="J1589" s="50"/>
    </row>
    <row r="1590" outlineLevel="1" spans="1:10">
      <c r="A1590" s="50">
        <v>636</v>
      </c>
      <c r="B1590" s="51" t="str">
        <v>防火桥架-400*150</v>
      </c>
      <c r="C1590" s="51" t="e">
        <v>#REF!</v>
      </c>
      <c r="D1590" s="51" t="str">
        <v/>
      </c>
      <c r="E1590" s="51" t="str">
        <v/>
      </c>
      <c r="F1590" s="52" t="e">
        <v>#REF!</v>
      </c>
      <c r="G1590" s="48" t="e">
        <v>#REF!</v>
      </c>
      <c r="H1590" s="49">
        <v>0</v>
      </c>
      <c r="I1590" s="49" t="e">
        <v>#REF!</v>
      </c>
      <c r="J1590" s="50"/>
    </row>
    <row r="1591" outlineLevel="1" spans="1:10">
      <c r="A1591" s="50">
        <v>637</v>
      </c>
      <c r="B1591" s="51" t="str">
        <v>防火桥架-400*200</v>
      </c>
      <c r="C1591" s="51" t="e">
        <v>#REF!</v>
      </c>
      <c r="D1591" s="51" t="str">
        <v/>
      </c>
      <c r="E1591" s="51" t="str">
        <v/>
      </c>
      <c r="F1591" s="52" t="e">
        <v>#REF!</v>
      </c>
      <c r="G1591" s="48" t="e">
        <v>#REF!</v>
      </c>
      <c r="H1591" s="49">
        <v>0</v>
      </c>
      <c r="I1591" s="49" t="e">
        <v>#REF!</v>
      </c>
      <c r="J1591" s="50"/>
    </row>
    <row r="1592" outlineLevel="1" spans="1:10">
      <c r="A1592" s="50">
        <v>636</v>
      </c>
      <c r="B1592" s="51" t="str">
        <v>防火堵洞</v>
      </c>
      <c r="C1592" s="51" t="e">
        <v>#REF!</v>
      </c>
      <c r="D1592" s="51" t="str">
        <v/>
      </c>
      <c r="E1592" s="51" t="str">
        <v/>
      </c>
      <c r="F1592" s="52" t="e">
        <v>#REF!</v>
      </c>
      <c r="G1592" s="48" t="e">
        <v>#REF!</v>
      </c>
      <c r="H1592" s="49">
        <v>1</v>
      </c>
      <c r="I1592" s="49" t="e">
        <v>#REF!</v>
      </c>
      <c r="J1592" s="50"/>
    </row>
    <row r="1593" ht="28.8" outlineLevel="1" spans="1:10">
      <c r="A1593" s="50">
        <v>638</v>
      </c>
      <c r="B1593" s="51" t="str">
        <v>薄壁钢导管配管-JDG20-暗配</v>
      </c>
      <c r="C1593" s="51" t="e">
        <v>#REF!</v>
      </c>
      <c r="D1593" s="51" t="str">
        <v/>
      </c>
      <c r="E1593" s="51" t="str">
        <v/>
      </c>
      <c r="F1593" s="52" t="e">
        <v>#REF!</v>
      </c>
      <c r="G1593" s="48" t="e">
        <v>#REF!</v>
      </c>
      <c r="H1593" s="49">
        <v>0</v>
      </c>
      <c r="I1593" s="49" t="e">
        <v>#REF!</v>
      </c>
      <c r="J1593" s="50"/>
    </row>
    <row r="1594" ht="28.8" outlineLevel="1" spans="1:10">
      <c r="A1594" s="50">
        <v>639</v>
      </c>
      <c r="B1594" s="51" t="str">
        <v>薄壁钢导管配管-JDG25-暗配</v>
      </c>
      <c r="C1594" s="51" t="e">
        <v>#REF!</v>
      </c>
      <c r="D1594" s="51" t="str">
        <v/>
      </c>
      <c r="E1594" s="51" t="str">
        <v/>
      </c>
      <c r="F1594" s="52" t="e">
        <v>#REF!</v>
      </c>
      <c r="G1594" s="48" t="e">
        <v>#REF!</v>
      </c>
      <c r="H1594" s="49">
        <v>0</v>
      </c>
      <c r="I1594" s="49" t="e">
        <v>#REF!</v>
      </c>
      <c r="J1594" s="50"/>
    </row>
    <row r="1595" outlineLevel="1" spans="1:10">
      <c r="A1595" s="50">
        <v>640</v>
      </c>
      <c r="B1595" s="51" t="str">
        <v>SC15-暗配</v>
      </c>
      <c r="C1595" s="51" t="e">
        <v>#REF!</v>
      </c>
      <c r="D1595" s="51" t="str">
        <v/>
      </c>
      <c r="E1595" s="51" t="str">
        <v/>
      </c>
      <c r="F1595" s="52" t="e">
        <v>#REF!</v>
      </c>
      <c r="G1595" s="48" t="e">
        <v>#REF!</v>
      </c>
      <c r="H1595" s="49">
        <v>1</v>
      </c>
      <c r="I1595" s="49" t="e">
        <v>#REF!</v>
      </c>
      <c r="J1595" s="50"/>
    </row>
    <row r="1596" outlineLevel="1" spans="1:10">
      <c r="A1596" s="50">
        <v>641</v>
      </c>
      <c r="B1596" s="51" t="str">
        <v>SC20-暗配</v>
      </c>
      <c r="C1596" s="51" t="e">
        <v>#REF!</v>
      </c>
      <c r="D1596" s="51" t="str">
        <v/>
      </c>
      <c r="E1596" s="51" t="str">
        <v/>
      </c>
      <c r="F1596" s="52" t="e">
        <v>#REF!</v>
      </c>
      <c r="G1596" s="48" t="e">
        <v>#REF!</v>
      </c>
      <c r="H1596" s="49">
        <v>1</v>
      </c>
      <c r="I1596" s="49" t="e">
        <v>#REF!</v>
      </c>
      <c r="J1596" s="50"/>
    </row>
    <row r="1597" outlineLevel="1" spans="1:10">
      <c r="A1597" s="50">
        <v>642</v>
      </c>
      <c r="B1597" s="51" t="str">
        <v>SC25-暗配</v>
      </c>
      <c r="C1597" s="51" t="e">
        <v>#REF!</v>
      </c>
      <c r="D1597" s="51" t="str">
        <v/>
      </c>
      <c r="E1597" s="51" t="str">
        <v/>
      </c>
      <c r="F1597" s="52" t="e">
        <v>#REF!</v>
      </c>
      <c r="G1597" s="48" t="e">
        <v>#REF!</v>
      </c>
      <c r="H1597" s="49">
        <v>1</v>
      </c>
      <c r="I1597" s="49" t="e">
        <v>#REF!</v>
      </c>
      <c r="J1597" s="50"/>
    </row>
    <row r="1598" outlineLevel="1" spans="1:10">
      <c r="A1598" s="50">
        <v>643</v>
      </c>
      <c r="B1598" s="51" t="str">
        <v>管内穿铁丝</v>
      </c>
      <c r="C1598" s="51" t="e">
        <v>#REF!</v>
      </c>
      <c r="D1598" s="51" t="str">
        <v/>
      </c>
      <c r="E1598" s="51" t="str">
        <v/>
      </c>
      <c r="F1598" s="52" t="e">
        <v>#REF!</v>
      </c>
      <c r="G1598" s="48" t="e">
        <v>#REF!</v>
      </c>
      <c r="H1598" s="49">
        <v>1</v>
      </c>
      <c r="I1598" s="49" t="e">
        <v>#REF!</v>
      </c>
      <c r="J1598" s="50"/>
    </row>
    <row r="1599" outlineLevel="1" spans="1:10">
      <c r="A1599" s="50">
        <v>644</v>
      </c>
      <c r="B1599" s="51" t="str">
        <v>暗装钢制接线盒</v>
      </c>
      <c r="C1599" s="51" t="e">
        <v>#REF!</v>
      </c>
      <c r="D1599" s="51" t="str">
        <v/>
      </c>
      <c r="E1599" s="51" t="str">
        <v/>
      </c>
      <c r="F1599" s="52" t="e">
        <v>#REF!</v>
      </c>
      <c r="G1599" s="48" t="e">
        <v>#REF!</v>
      </c>
      <c r="H1599" s="49">
        <v>1</v>
      </c>
      <c r="I1599" s="49" t="e">
        <v>#REF!</v>
      </c>
      <c r="J1599" s="50"/>
    </row>
    <row r="1600" outlineLevel="1" spans="1:10">
      <c r="A1600" s="50" t="str">
        <v/>
      </c>
      <c r="B1600" s="51" t="str">
        <v>地上电气</v>
      </c>
      <c r="C1600" s="51" t="str">
        <v/>
      </c>
      <c r="D1600" s="51" t="str">
        <v/>
      </c>
      <c r="E1600" s="51" t="str">
        <v/>
      </c>
      <c r="F1600" s="52" t="str">
        <v/>
      </c>
      <c r="G1600" s="48" t="str">
        <v/>
      </c>
      <c r="H1600" s="49">
        <v>0</v>
      </c>
      <c r="I1600" s="49" t="e">
        <v>#REF!</v>
      </c>
      <c r="J1600" s="50"/>
    </row>
    <row r="1601" outlineLevel="1" spans="1:10">
      <c r="A1601" s="50" t="str">
        <v/>
      </c>
      <c r="B1601" s="51" t="str">
        <v>B.21强电工程</v>
      </c>
      <c r="C1601" s="51" t="str">
        <v/>
      </c>
      <c r="D1601" s="51" t="str">
        <v/>
      </c>
      <c r="E1601" s="51" t="str">
        <v/>
      </c>
      <c r="F1601" s="52" t="str">
        <v/>
      </c>
      <c r="G1601" s="48" t="str">
        <v/>
      </c>
      <c r="H1601" s="49">
        <v>0</v>
      </c>
      <c r="I1601" s="49" t="e">
        <v>#REF!</v>
      </c>
      <c r="J1601" s="50"/>
    </row>
    <row r="1602" outlineLevel="1" spans="1:10">
      <c r="A1602" s="50" t="str">
        <v/>
      </c>
      <c r="B1602" s="51" t="str">
        <v>B.21.1配电箱</v>
      </c>
      <c r="C1602" s="51" t="str">
        <v/>
      </c>
      <c r="D1602" s="51" t="str">
        <v/>
      </c>
      <c r="E1602" s="51" t="str">
        <v/>
      </c>
      <c r="F1602" s="52" t="str">
        <v/>
      </c>
      <c r="G1602" s="48" t="str">
        <v/>
      </c>
      <c r="H1602" s="49">
        <v>0</v>
      </c>
      <c r="I1602" s="49" t="e">
        <v>#REF!</v>
      </c>
      <c r="J1602" s="50"/>
    </row>
    <row r="1603" outlineLevel="1" spans="1:10">
      <c r="A1603" s="50">
        <v>645</v>
      </c>
      <c r="B1603" s="51" t="str">
        <v>AL1配电箱</v>
      </c>
      <c r="C1603" s="51" t="e">
        <v>#REF!</v>
      </c>
      <c r="D1603" s="51" t="str">
        <v/>
      </c>
      <c r="E1603" s="51" t="str">
        <v/>
      </c>
      <c r="F1603" s="52" t="e">
        <v>#REF!</v>
      </c>
      <c r="G1603" s="48" t="e">
        <v>#REF!</v>
      </c>
      <c r="H1603" s="49">
        <v>0</v>
      </c>
      <c r="I1603" s="49" t="e">
        <v>#REF!</v>
      </c>
      <c r="J1603" s="50"/>
    </row>
    <row r="1604" outlineLevel="1" spans="1:10">
      <c r="A1604" s="50">
        <v>646</v>
      </c>
      <c r="B1604" s="51" t="str">
        <v>AL2配电箱</v>
      </c>
      <c r="C1604" s="51" t="e">
        <v>#REF!</v>
      </c>
      <c r="D1604" s="51" t="str">
        <v/>
      </c>
      <c r="E1604" s="51" t="str">
        <v/>
      </c>
      <c r="F1604" s="52" t="e">
        <v>#REF!</v>
      </c>
      <c r="G1604" s="48" t="e">
        <v>#REF!</v>
      </c>
      <c r="H1604" s="49">
        <v>0</v>
      </c>
      <c r="I1604" s="49" t="e">
        <v>#REF!</v>
      </c>
      <c r="J1604" s="50"/>
    </row>
    <row r="1605" ht="28.8" outlineLevel="1" spans="1:10">
      <c r="A1605" s="50">
        <v>647</v>
      </c>
      <c r="B1605" s="51" t="str">
        <v>应急照明配电箱-0.3KW DC36V</v>
      </c>
      <c r="C1605" s="51" t="e">
        <v>#REF!</v>
      </c>
      <c r="D1605" s="51" t="str">
        <v/>
      </c>
      <c r="E1605" s="51" t="str">
        <v/>
      </c>
      <c r="F1605" s="52" t="e">
        <v>#REF!</v>
      </c>
      <c r="G1605" s="48" t="e">
        <v>#REF!</v>
      </c>
      <c r="H1605" s="49">
        <v>0</v>
      </c>
      <c r="I1605" s="49" t="e">
        <v>#REF!</v>
      </c>
      <c r="J1605" s="50"/>
    </row>
    <row r="1606" ht="28.8" outlineLevel="1" spans="1:10">
      <c r="A1606" s="50">
        <v>648</v>
      </c>
      <c r="B1606" s="51" t="str">
        <v>应急照明配电箱-0.6KW DC36V</v>
      </c>
      <c r="C1606" s="51" t="e">
        <v>#REF!</v>
      </c>
      <c r="D1606" s="51" t="str">
        <v/>
      </c>
      <c r="E1606" s="51" t="str">
        <v/>
      </c>
      <c r="F1606" s="52" t="e">
        <v>#REF!</v>
      </c>
      <c r="G1606" s="48" t="e">
        <v>#REF!</v>
      </c>
      <c r="H1606" s="49">
        <v>0</v>
      </c>
      <c r="I1606" s="49" t="e">
        <v>#REF!</v>
      </c>
      <c r="J1606" s="50"/>
    </row>
    <row r="1607" ht="28.8" outlineLevel="1" spans="1:10">
      <c r="A1607" s="50">
        <v>649</v>
      </c>
      <c r="B1607" s="51" t="str">
        <v>应急照明配电箱-0.9KW DC36V</v>
      </c>
      <c r="C1607" s="51" t="e">
        <v>#REF!</v>
      </c>
      <c r="D1607" s="51" t="str">
        <v/>
      </c>
      <c r="E1607" s="51" t="str">
        <v/>
      </c>
      <c r="F1607" s="52" t="e">
        <v>#REF!</v>
      </c>
      <c r="G1607" s="48" t="e">
        <v>#REF!</v>
      </c>
      <c r="H1607" s="49">
        <v>0</v>
      </c>
      <c r="I1607" s="49" t="e">
        <v>#REF!</v>
      </c>
      <c r="J1607" s="50"/>
    </row>
    <row r="1608" ht="28.8" outlineLevel="1" spans="1:10">
      <c r="A1608" s="50">
        <v>650</v>
      </c>
      <c r="B1608" s="51" t="str">
        <v>公区电源箱（半周长1.0m以内）</v>
      </c>
      <c r="C1608" s="51" t="e">
        <v>#REF!</v>
      </c>
      <c r="D1608" s="51" t="str">
        <v/>
      </c>
      <c r="E1608" s="51" t="str">
        <v/>
      </c>
      <c r="F1608" s="52" t="e">
        <v>#REF!</v>
      </c>
      <c r="G1608" s="48" t="e">
        <v>#REF!</v>
      </c>
      <c r="H1608" s="49">
        <v>0</v>
      </c>
      <c r="I1608" s="49" t="e">
        <v>#REF!</v>
      </c>
      <c r="J1608" s="50"/>
    </row>
    <row r="1609" ht="28.8" outlineLevel="1" spans="1:10">
      <c r="A1609" s="50">
        <v>651</v>
      </c>
      <c r="B1609" s="51" t="str">
        <v>公区电源箱（半周长1.5m以内）</v>
      </c>
      <c r="C1609" s="51" t="e">
        <v>#REF!</v>
      </c>
      <c r="D1609" s="51" t="str">
        <v/>
      </c>
      <c r="E1609" s="51" t="str">
        <v/>
      </c>
      <c r="F1609" s="52" t="e">
        <v>#REF!</v>
      </c>
      <c r="G1609" s="48" t="e">
        <v>#REF!</v>
      </c>
      <c r="H1609" s="49">
        <v>3</v>
      </c>
      <c r="I1609" s="49" t="e">
        <v>#REF!</v>
      </c>
      <c r="J1609" s="50"/>
    </row>
    <row r="1610" ht="28.8" outlineLevel="1" spans="1:10">
      <c r="A1610" s="50">
        <v>652</v>
      </c>
      <c r="B1610" s="51" t="str">
        <v>公区电源箱（半周长2m以内）</v>
      </c>
      <c r="C1610" s="51" t="e">
        <v>#REF!</v>
      </c>
      <c r="D1610" s="51" t="str">
        <v/>
      </c>
      <c r="E1610" s="51" t="str">
        <v/>
      </c>
      <c r="F1610" s="52" t="e">
        <v>#REF!</v>
      </c>
      <c r="G1610" s="48" t="e">
        <v>#REF!</v>
      </c>
      <c r="H1610" s="49">
        <v>0</v>
      </c>
      <c r="I1610" s="49" t="e">
        <v>#REF!</v>
      </c>
      <c r="J1610" s="50"/>
    </row>
    <row r="1611" outlineLevel="1" spans="1:10">
      <c r="A1611" s="50">
        <v>653</v>
      </c>
      <c r="B1611" s="51" t="str">
        <v>应急电源配电箱</v>
      </c>
      <c r="C1611" s="51" t="e">
        <v>#REF!</v>
      </c>
      <c r="D1611" s="51" t="str">
        <v/>
      </c>
      <c r="E1611" s="51" t="str">
        <v/>
      </c>
      <c r="F1611" s="52" t="e">
        <v>#REF!</v>
      </c>
      <c r="G1611" s="48" t="e">
        <v>#REF!</v>
      </c>
      <c r="H1611" s="49">
        <v>2</v>
      </c>
      <c r="I1611" s="49" t="e">
        <v>#REF!</v>
      </c>
      <c r="J1611" s="50"/>
    </row>
    <row r="1612" outlineLevel="1" spans="1:10">
      <c r="A1612" s="50" t="str">
        <v/>
      </c>
      <c r="B1612" s="51" t="str">
        <v>B.21.2电力桥架</v>
      </c>
      <c r="C1612" s="51" t="str">
        <v/>
      </c>
      <c r="D1612" s="51" t="str">
        <v/>
      </c>
      <c r="E1612" s="51" t="str">
        <v/>
      </c>
      <c r="F1612" s="52" t="str">
        <v/>
      </c>
      <c r="G1612" s="48" t="str">
        <v/>
      </c>
      <c r="H1612" s="49">
        <v>0</v>
      </c>
      <c r="I1612" s="49" t="e">
        <v>#REF!</v>
      </c>
      <c r="J1612" s="50"/>
    </row>
    <row r="1613" outlineLevel="1" spans="1:10">
      <c r="A1613" s="50">
        <v>654</v>
      </c>
      <c r="B1613" s="51" t="str">
        <v>防火桥架-100*100</v>
      </c>
      <c r="C1613" s="51" t="e">
        <v>#REF!</v>
      </c>
      <c r="D1613" s="51" t="str">
        <v/>
      </c>
      <c r="E1613" s="51" t="str">
        <v/>
      </c>
      <c r="F1613" s="52" t="e">
        <v>#REF!</v>
      </c>
      <c r="G1613" s="48" t="e">
        <v>#REF!</v>
      </c>
      <c r="H1613" s="49">
        <v>0</v>
      </c>
      <c r="I1613" s="49" t="e">
        <v>#REF!</v>
      </c>
      <c r="J1613" s="50"/>
    </row>
    <row r="1614" outlineLevel="1" spans="1:10">
      <c r="A1614" s="50">
        <v>655</v>
      </c>
      <c r="B1614" s="51" t="str">
        <v>防火桥架-200*100</v>
      </c>
      <c r="C1614" s="51" t="e">
        <v>#REF!</v>
      </c>
      <c r="D1614" s="51" t="str">
        <v/>
      </c>
      <c r="E1614" s="51" t="str">
        <v/>
      </c>
      <c r="F1614" s="52" t="e">
        <v>#REF!</v>
      </c>
      <c r="G1614" s="48" t="e">
        <v>#REF!</v>
      </c>
      <c r="H1614" s="49">
        <v>0</v>
      </c>
      <c r="I1614" s="49" t="e">
        <v>#REF!</v>
      </c>
      <c r="J1614" s="50"/>
    </row>
    <row r="1615" outlineLevel="1" spans="1:10">
      <c r="A1615" s="50">
        <v>656</v>
      </c>
      <c r="B1615" s="51" t="str">
        <v>防火桥架-300*150</v>
      </c>
      <c r="C1615" s="51" t="e">
        <v>#REF!</v>
      </c>
      <c r="D1615" s="51" t="str">
        <v/>
      </c>
      <c r="E1615" s="51" t="str">
        <v/>
      </c>
      <c r="F1615" s="52" t="e">
        <v>#REF!</v>
      </c>
      <c r="G1615" s="48" t="e">
        <v>#REF!</v>
      </c>
      <c r="H1615" s="49">
        <v>1</v>
      </c>
      <c r="I1615" s="49" t="e">
        <v>#REF!</v>
      </c>
      <c r="J1615" s="50"/>
    </row>
    <row r="1616" outlineLevel="1" spans="1:10">
      <c r="A1616" s="50">
        <v>657</v>
      </c>
      <c r="B1616" s="51" t="str">
        <v>电业桥架-200*150</v>
      </c>
      <c r="C1616" s="51" t="e">
        <v>#REF!</v>
      </c>
      <c r="D1616" s="51" t="str">
        <v/>
      </c>
      <c r="E1616" s="51" t="str">
        <v/>
      </c>
      <c r="F1616" s="52" t="e">
        <v>#REF!</v>
      </c>
      <c r="G1616" s="48" t="e">
        <v>#REF!</v>
      </c>
      <c r="H1616" s="49">
        <v>0</v>
      </c>
      <c r="I1616" s="49" t="e">
        <v>#REF!</v>
      </c>
      <c r="J1616" s="50"/>
    </row>
    <row r="1617" outlineLevel="1" spans="1:10">
      <c r="A1617" s="50">
        <v>658</v>
      </c>
      <c r="B1617" s="51" t="str">
        <v>电业桥架-200*200</v>
      </c>
      <c r="C1617" s="51" t="e">
        <v>#REF!</v>
      </c>
      <c r="D1617" s="51" t="str">
        <v/>
      </c>
      <c r="E1617" s="51" t="str">
        <v/>
      </c>
      <c r="F1617" s="52" t="e">
        <v>#REF!</v>
      </c>
      <c r="G1617" s="48" t="e">
        <v>#REF!</v>
      </c>
      <c r="H1617" s="49">
        <v>0</v>
      </c>
      <c r="I1617" s="49" t="e">
        <v>#REF!</v>
      </c>
      <c r="J1617" s="50"/>
    </row>
    <row r="1618" outlineLevel="1" spans="1:10">
      <c r="A1618" s="50">
        <v>659</v>
      </c>
      <c r="B1618" s="51" t="str">
        <v>电业桥架-300*150</v>
      </c>
      <c r="C1618" s="51" t="e">
        <v>#REF!</v>
      </c>
      <c r="D1618" s="51" t="str">
        <v/>
      </c>
      <c r="E1618" s="51" t="str">
        <v/>
      </c>
      <c r="F1618" s="52" t="e">
        <v>#REF!</v>
      </c>
      <c r="G1618" s="48" t="e">
        <v>#REF!</v>
      </c>
      <c r="H1618" s="49">
        <v>0</v>
      </c>
      <c r="I1618" s="49" t="e">
        <v>#REF!</v>
      </c>
      <c r="J1618" s="50"/>
    </row>
    <row r="1619" outlineLevel="1" spans="1:10">
      <c r="A1619" s="50">
        <v>660</v>
      </c>
      <c r="B1619" s="51" t="str">
        <v>电业桥架-300*200</v>
      </c>
      <c r="C1619" s="51" t="e">
        <v>#REF!</v>
      </c>
      <c r="D1619" s="51" t="str">
        <v/>
      </c>
      <c r="E1619" s="51" t="str">
        <v/>
      </c>
      <c r="F1619" s="52" t="e">
        <v>#REF!</v>
      </c>
      <c r="G1619" s="48" t="e">
        <v>#REF!</v>
      </c>
      <c r="H1619" s="49">
        <v>0</v>
      </c>
      <c r="I1619" s="49" t="e">
        <v>#REF!</v>
      </c>
      <c r="J1619" s="50"/>
    </row>
    <row r="1620" outlineLevel="1" spans="1:10">
      <c r="A1620" s="50">
        <v>661</v>
      </c>
      <c r="B1620" s="51" t="str">
        <v>电业桥架-400*200</v>
      </c>
      <c r="C1620" s="51" t="e">
        <v>#REF!</v>
      </c>
      <c r="D1620" s="51" t="str">
        <v/>
      </c>
      <c r="E1620" s="51" t="str">
        <v/>
      </c>
      <c r="F1620" s="52" t="e">
        <v>#REF!</v>
      </c>
      <c r="G1620" s="48" t="e">
        <v>#REF!</v>
      </c>
      <c r="H1620" s="49">
        <v>0</v>
      </c>
      <c r="I1620" s="49" t="e">
        <v>#REF!</v>
      </c>
      <c r="J1620" s="50"/>
    </row>
    <row r="1621" outlineLevel="1" spans="1:10">
      <c r="A1621" s="50">
        <v>662</v>
      </c>
      <c r="B1621" s="51" t="str">
        <v>防火堵洞</v>
      </c>
      <c r="C1621" s="51" t="e">
        <v>#REF!</v>
      </c>
      <c r="D1621" s="51" t="str">
        <v/>
      </c>
      <c r="E1621" s="51" t="str">
        <v/>
      </c>
      <c r="F1621" s="52" t="e">
        <v>#REF!</v>
      </c>
      <c r="G1621" s="48" t="e">
        <v>#REF!</v>
      </c>
      <c r="H1621" s="49">
        <v>0</v>
      </c>
      <c r="I1621" s="49" t="e">
        <v>#REF!</v>
      </c>
      <c r="J1621" s="50"/>
    </row>
    <row r="1622" outlineLevel="1" spans="1:10">
      <c r="A1622" s="50" t="str">
        <v/>
      </c>
      <c r="B1622" s="51" t="str">
        <v>B.21.3配管配线</v>
      </c>
      <c r="C1622" s="51" t="str">
        <v/>
      </c>
      <c r="D1622" s="51" t="str">
        <v/>
      </c>
      <c r="E1622" s="51" t="str">
        <v/>
      </c>
      <c r="F1622" s="52" t="str">
        <v/>
      </c>
      <c r="G1622" s="48" t="str">
        <v/>
      </c>
      <c r="H1622" s="49">
        <v>0</v>
      </c>
      <c r="I1622" s="49" t="e">
        <v>#REF!</v>
      </c>
      <c r="J1622" s="50"/>
    </row>
    <row r="1623" ht="28.8" outlineLevel="1" spans="1:10">
      <c r="A1623" s="50">
        <v>663</v>
      </c>
      <c r="B1623" s="51" t="str">
        <v>阻燃塑料管配管-PC20-暗配</v>
      </c>
      <c r="C1623" s="51" t="e">
        <v>#REF!</v>
      </c>
      <c r="D1623" s="51" t="str">
        <v/>
      </c>
      <c r="E1623" s="51" t="str">
        <v/>
      </c>
      <c r="F1623" s="52" t="e">
        <v>#REF!</v>
      </c>
      <c r="G1623" s="48" t="e">
        <v>#REF!</v>
      </c>
      <c r="H1623" s="49">
        <v>815.36</v>
      </c>
      <c r="I1623" s="49" t="e">
        <v>#REF!</v>
      </c>
      <c r="J1623" s="50"/>
    </row>
    <row r="1624" ht="28.8" outlineLevel="1" spans="1:10">
      <c r="A1624" s="50">
        <v>664</v>
      </c>
      <c r="B1624" s="51" t="str">
        <v>阻燃塑料管配管-PC25-暗配</v>
      </c>
      <c r="C1624" s="51" t="e">
        <v>#REF!</v>
      </c>
      <c r="D1624" s="51" t="str">
        <v/>
      </c>
      <c r="E1624" s="51" t="str">
        <v/>
      </c>
      <c r="F1624" s="52" t="e">
        <v>#REF!</v>
      </c>
      <c r="G1624" s="48" t="e">
        <v>#REF!</v>
      </c>
      <c r="H1624" s="49">
        <v>430.76</v>
      </c>
      <c r="I1624" s="49" t="e">
        <v>#REF!</v>
      </c>
      <c r="J1624" s="50"/>
    </row>
    <row r="1625" ht="28.8" outlineLevel="1" spans="1:10">
      <c r="A1625" s="50">
        <v>665</v>
      </c>
      <c r="B1625" s="51" t="str">
        <v>阻燃塑料管配管-PC32-暗配</v>
      </c>
      <c r="C1625" s="51" t="e">
        <v>#REF!</v>
      </c>
      <c r="D1625" s="51" t="str">
        <v/>
      </c>
      <c r="E1625" s="51" t="str">
        <v/>
      </c>
      <c r="F1625" s="52" t="e">
        <v>#REF!</v>
      </c>
      <c r="G1625" s="48" t="e">
        <v>#REF!</v>
      </c>
      <c r="H1625" s="49">
        <v>1</v>
      </c>
      <c r="I1625" s="49" t="e">
        <v>#REF!</v>
      </c>
      <c r="J1625" s="50"/>
    </row>
    <row r="1626" ht="28.8" outlineLevel="1" spans="1:10">
      <c r="A1626" s="50">
        <v>666</v>
      </c>
      <c r="B1626" s="51" t="str">
        <v>薄壁钢导管配管-JDG15-暗配</v>
      </c>
      <c r="C1626" s="51" t="e">
        <v>#REF!</v>
      </c>
      <c r="D1626" s="51" t="str">
        <v/>
      </c>
      <c r="E1626" s="51" t="str">
        <v/>
      </c>
      <c r="F1626" s="52" t="e">
        <v>#REF!</v>
      </c>
      <c r="G1626" s="48" t="e">
        <v>#REF!</v>
      </c>
      <c r="H1626" s="49">
        <v>0</v>
      </c>
      <c r="I1626" s="49" t="e">
        <v>#REF!</v>
      </c>
      <c r="J1626" s="50"/>
    </row>
    <row r="1627" ht="28.8" outlineLevel="1" spans="1:10">
      <c r="A1627" s="50">
        <v>667</v>
      </c>
      <c r="B1627" s="51" t="str">
        <v>薄壁钢导管配管-JDG20-暗配</v>
      </c>
      <c r="C1627" s="51" t="e">
        <v>#REF!</v>
      </c>
      <c r="D1627" s="51" t="str">
        <v/>
      </c>
      <c r="E1627" s="51" t="str">
        <v/>
      </c>
      <c r="F1627" s="52" t="e">
        <v>#REF!</v>
      </c>
      <c r="G1627" s="48" t="e">
        <v>#REF!</v>
      </c>
      <c r="H1627" s="49">
        <v>0</v>
      </c>
      <c r="I1627" s="49" t="e">
        <v>#REF!</v>
      </c>
      <c r="J1627" s="50"/>
    </row>
    <row r="1628" ht="28.8" outlineLevel="1" spans="1:10">
      <c r="A1628" s="50">
        <v>668</v>
      </c>
      <c r="B1628" s="51" t="str">
        <v>薄壁钢导管配管-JDG25-暗配</v>
      </c>
      <c r="C1628" s="51" t="e">
        <v>#REF!</v>
      </c>
      <c r="D1628" s="51" t="str">
        <v/>
      </c>
      <c r="E1628" s="51" t="str">
        <v/>
      </c>
      <c r="F1628" s="52" t="e">
        <v>#REF!</v>
      </c>
      <c r="G1628" s="48" t="e">
        <v>#REF!</v>
      </c>
      <c r="H1628" s="49">
        <v>0</v>
      </c>
      <c r="I1628" s="49" t="e">
        <v>#REF!</v>
      </c>
      <c r="J1628" s="50"/>
    </row>
    <row r="1629" ht="28.8" outlineLevel="1" spans="1:10">
      <c r="A1629" s="50">
        <v>669</v>
      </c>
      <c r="B1629" s="51" t="str">
        <v>薄壁钢导管配管-JDG32-暗配</v>
      </c>
      <c r="C1629" s="51" t="e">
        <v>#REF!</v>
      </c>
      <c r="D1629" s="51" t="str">
        <v/>
      </c>
      <c r="E1629" s="51" t="str">
        <v/>
      </c>
      <c r="F1629" s="52" t="e">
        <v>#REF!</v>
      </c>
      <c r="G1629" s="48" t="e">
        <v>#REF!</v>
      </c>
      <c r="H1629" s="49">
        <v>0</v>
      </c>
      <c r="I1629" s="49" t="e">
        <v>#REF!</v>
      </c>
      <c r="J1629" s="50"/>
    </row>
    <row r="1630" ht="28.8" outlineLevel="1" spans="1:10">
      <c r="A1630" s="50">
        <v>670</v>
      </c>
      <c r="B1630" s="51" t="str">
        <v>薄壁钢导管配管-JDG40-暗配</v>
      </c>
      <c r="C1630" s="51" t="e">
        <v>#REF!</v>
      </c>
      <c r="D1630" s="51" t="str">
        <v/>
      </c>
      <c r="E1630" s="51" t="str">
        <v/>
      </c>
      <c r="F1630" s="52" t="e">
        <v>#REF!</v>
      </c>
      <c r="G1630" s="48" t="e">
        <v>#REF!</v>
      </c>
      <c r="H1630" s="49">
        <v>0</v>
      </c>
      <c r="I1630" s="49" t="e">
        <v>#REF!</v>
      </c>
      <c r="J1630" s="50"/>
    </row>
    <row r="1631" ht="28.8" outlineLevel="1" spans="1:10">
      <c r="A1631" s="50">
        <v>671</v>
      </c>
      <c r="B1631" s="51" t="str">
        <v>薄壁钢导管配管-JDG15-明配</v>
      </c>
      <c r="C1631" s="51" t="e">
        <v>#REF!</v>
      </c>
      <c r="D1631" s="51" t="str">
        <v/>
      </c>
      <c r="E1631" s="51" t="str">
        <v/>
      </c>
      <c r="F1631" s="52" t="e">
        <v>#REF!</v>
      </c>
      <c r="G1631" s="48" t="e">
        <v>#REF!</v>
      </c>
      <c r="H1631" s="49">
        <v>0</v>
      </c>
      <c r="I1631" s="49" t="e">
        <v>#REF!</v>
      </c>
      <c r="J1631" s="50"/>
    </row>
    <row r="1632" ht="28.8" outlineLevel="1" spans="1:10">
      <c r="A1632" s="50">
        <v>672</v>
      </c>
      <c r="B1632" s="51" t="str">
        <v>薄壁钢导管配管-JDG20-明配</v>
      </c>
      <c r="C1632" s="51" t="e">
        <v>#REF!</v>
      </c>
      <c r="D1632" s="51" t="str">
        <v/>
      </c>
      <c r="E1632" s="51" t="str">
        <v/>
      </c>
      <c r="F1632" s="52" t="e">
        <v>#REF!</v>
      </c>
      <c r="G1632" s="48" t="e">
        <v>#REF!</v>
      </c>
      <c r="H1632" s="49">
        <v>0</v>
      </c>
      <c r="I1632" s="49" t="e">
        <v>#REF!</v>
      </c>
      <c r="J1632" s="50"/>
    </row>
    <row r="1633" ht="28.8" outlineLevel="1" spans="1:10">
      <c r="A1633" s="50">
        <v>673</v>
      </c>
      <c r="B1633" s="51" t="str">
        <v>薄壁钢导管配管-JDG25-明配</v>
      </c>
      <c r="C1633" s="51" t="e">
        <v>#REF!</v>
      </c>
      <c r="D1633" s="51" t="str">
        <v/>
      </c>
      <c r="E1633" s="51" t="str">
        <v/>
      </c>
      <c r="F1633" s="52" t="e">
        <v>#REF!</v>
      </c>
      <c r="G1633" s="48" t="e">
        <v>#REF!</v>
      </c>
      <c r="H1633" s="49">
        <v>0</v>
      </c>
      <c r="I1633" s="49" t="e">
        <v>#REF!</v>
      </c>
      <c r="J1633" s="50"/>
    </row>
    <row r="1634" ht="28.8" outlineLevel="1" spans="1:10">
      <c r="A1634" s="50">
        <v>674</v>
      </c>
      <c r="B1634" s="51" t="str">
        <v>薄壁钢导管配管-JDG32-明配</v>
      </c>
      <c r="C1634" s="51" t="e">
        <v>#REF!</v>
      </c>
      <c r="D1634" s="51" t="str">
        <v/>
      </c>
      <c r="E1634" s="51" t="str">
        <v/>
      </c>
      <c r="F1634" s="52" t="e">
        <v>#REF!</v>
      </c>
      <c r="G1634" s="48" t="e">
        <v>#REF!</v>
      </c>
      <c r="H1634" s="49">
        <v>0</v>
      </c>
      <c r="I1634" s="49" t="e">
        <v>#REF!</v>
      </c>
      <c r="J1634" s="50"/>
    </row>
    <row r="1635" ht="28.8" outlineLevel="1" spans="1:10">
      <c r="A1635" s="50">
        <v>675</v>
      </c>
      <c r="B1635" s="51" t="str">
        <v>薄壁钢导管配管-JDG40-明配</v>
      </c>
      <c r="C1635" s="51" t="e">
        <v>#REF!</v>
      </c>
      <c r="D1635" s="51" t="str">
        <v/>
      </c>
      <c r="E1635" s="51" t="str">
        <v/>
      </c>
      <c r="F1635" s="52" t="e">
        <v>#REF!</v>
      </c>
      <c r="G1635" s="48" t="e">
        <v>#REF!</v>
      </c>
      <c r="H1635" s="49">
        <v>0</v>
      </c>
      <c r="I1635" s="49" t="e">
        <v>#REF!</v>
      </c>
      <c r="J1635" s="50"/>
    </row>
    <row r="1636" outlineLevel="1" spans="1:10">
      <c r="A1636" s="50">
        <v>676</v>
      </c>
      <c r="B1636" s="51" t="str">
        <v>SC15-暗配</v>
      </c>
      <c r="C1636" s="51" t="e">
        <v>#REF!</v>
      </c>
      <c r="D1636" s="51" t="str">
        <v/>
      </c>
      <c r="E1636" s="51" t="str">
        <v/>
      </c>
      <c r="F1636" s="52" t="e">
        <v>#REF!</v>
      </c>
      <c r="G1636" s="48" t="e">
        <v>#REF!</v>
      </c>
      <c r="H1636" s="49">
        <v>0</v>
      </c>
      <c r="I1636" s="49" t="e">
        <v>#REF!</v>
      </c>
      <c r="J1636" s="50"/>
    </row>
    <row r="1637" outlineLevel="1" spans="1:10">
      <c r="A1637" s="50">
        <v>677</v>
      </c>
      <c r="B1637" s="51" t="str">
        <v>SC20-暗配</v>
      </c>
      <c r="C1637" s="51" t="e">
        <v>#REF!</v>
      </c>
      <c r="D1637" s="51" t="str">
        <v/>
      </c>
      <c r="E1637" s="51" t="str">
        <v/>
      </c>
      <c r="F1637" s="52" t="e">
        <v>#REF!</v>
      </c>
      <c r="G1637" s="48" t="e">
        <v>#REF!</v>
      </c>
      <c r="H1637" s="49">
        <v>590.7</v>
      </c>
      <c r="I1637" s="49" t="e">
        <v>#REF!</v>
      </c>
      <c r="J1637" s="50"/>
    </row>
    <row r="1638" outlineLevel="1" spans="1:10">
      <c r="A1638" s="50">
        <v>678</v>
      </c>
      <c r="B1638" s="51" t="str">
        <v>SC25-暗配</v>
      </c>
      <c r="C1638" s="51" t="e">
        <v>#REF!</v>
      </c>
      <c r="D1638" s="51" t="str">
        <v/>
      </c>
      <c r="E1638" s="51" t="str">
        <v/>
      </c>
      <c r="F1638" s="52" t="e">
        <v>#REF!</v>
      </c>
      <c r="G1638" s="48" t="e">
        <v>#REF!</v>
      </c>
      <c r="H1638" s="49">
        <v>0</v>
      </c>
      <c r="I1638" s="49" t="e">
        <v>#REF!</v>
      </c>
      <c r="J1638" s="50"/>
    </row>
    <row r="1639" outlineLevel="1" spans="1:10">
      <c r="A1639" s="50">
        <v>679</v>
      </c>
      <c r="B1639" s="51" t="str">
        <v>SC32-暗配</v>
      </c>
      <c r="C1639" s="51" t="e">
        <v>#REF!</v>
      </c>
      <c r="D1639" s="51" t="str">
        <v/>
      </c>
      <c r="E1639" s="51" t="str">
        <v/>
      </c>
      <c r="F1639" s="52" t="e">
        <v>#REF!</v>
      </c>
      <c r="G1639" s="48" t="e">
        <v>#REF!</v>
      </c>
      <c r="H1639" s="49">
        <v>1</v>
      </c>
      <c r="I1639" s="49" t="e">
        <v>#REF!</v>
      </c>
      <c r="J1639" s="50"/>
    </row>
    <row r="1640" outlineLevel="1" spans="1:10">
      <c r="A1640" s="50">
        <v>680</v>
      </c>
      <c r="B1640" s="51" t="str">
        <v>SC40-暗配</v>
      </c>
      <c r="C1640" s="51" t="e">
        <v>#REF!</v>
      </c>
      <c r="D1640" s="51" t="str">
        <v/>
      </c>
      <c r="E1640" s="51" t="str">
        <v/>
      </c>
      <c r="F1640" s="52" t="e">
        <v>#REF!</v>
      </c>
      <c r="G1640" s="48" t="e">
        <v>#REF!</v>
      </c>
      <c r="H1640" s="49">
        <v>38.69</v>
      </c>
      <c r="I1640" s="49" t="e">
        <v>#REF!</v>
      </c>
      <c r="J1640" s="50"/>
    </row>
    <row r="1641" outlineLevel="1" spans="1:10">
      <c r="A1641" s="50">
        <v>681</v>
      </c>
      <c r="B1641" s="51" t="str">
        <v>SC50-暗配</v>
      </c>
      <c r="C1641" s="51" t="e">
        <v>#REF!</v>
      </c>
      <c r="D1641" s="51" t="str">
        <v/>
      </c>
      <c r="E1641" s="51" t="str">
        <v/>
      </c>
      <c r="F1641" s="52" t="e">
        <v>#REF!</v>
      </c>
      <c r="G1641" s="48" t="e">
        <v>#REF!</v>
      </c>
      <c r="H1641" s="49">
        <v>5.11</v>
      </c>
      <c r="I1641" s="49" t="e">
        <v>#REF!</v>
      </c>
      <c r="J1641" s="50"/>
    </row>
    <row r="1642" outlineLevel="1" spans="1:10">
      <c r="A1642" s="50">
        <v>682</v>
      </c>
      <c r="B1642" s="51" t="str">
        <v>SC70-暗配</v>
      </c>
      <c r="C1642" s="51" t="e">
        <v>#REF!</v>
      </c>
      <c r="D1642" s="51" t="str">
        <v/>
      </c>
      <c r="E1642" s="51" t="str">
        <v/>
      </c>
      <c r="F1642" s="52" t="e">
        <v>#REF!</v>
      </c>
      <c r="G1642" s="48" t="e">
        <v>#REF!</v>
      </c>
      <c r="H1642" s="49">
        <v>1</v>
      </c>
      <c r="I1642" s="49" t="e">
        <v>#REF!</v>
      </c>
      <c r="J1642" s="50"/>
    </row>
    <row r="1643" outlineLevel="1" spans="1:10">
      <c r="A1643" s="50">
        <v>683</v>
      </c>
      <c r="B1643" s="51" t="str">
        <v>金属软管配管-DN20</v>
      </c>
      <c r="C1643" s="51" t="e">
        <v>#REF!</v>
      </c>
      <c r="D1643" s="51" t="str">
        <v/>
      </c>
      <c r="E1643" s="51" t="str">
        <v/>
      </c>
      <c r="F1643" s="52" t="e">
        <v>#REF!</v>
      </c>
      <c r="G1643" s="48" t="e">
        <v>#REF!</v>
      </c>
      <c r="H1643" s="49">
        <v>0</v>
      </c>
      <c r="I1643" s="49" t="e">
        <v>#REF!</v>
      </c>
      <c r="J1643" s="50"/>
    </row>
    <row r="1644" outlineLevel="1" spans="1:10">
      <c r="A1644" s="50">
        <v>684</v>
      </c>
      <c r="B1644" s="51" t="str">
        <v>金属软管配管-DN25</v>
      </c>
      <c r="C1644" s="51" t="e">
        <v>#REF!</v>
      </c>
      <c r="D1644" s="51" t="str">
        <v/>
      </c>
      <c r="E1644" s="51" t="str">
        <v/>
      </c>
      <c r="F1644" s="52" t="e">
        <v>#REF!</v>
      </c>
      <c r="G1644" s="48" t="e">
        <v>#REF!</v>
      </c>
      <c r="H1644" s="49">
        <v>0</v>
      </c>
      <c r="I1644" s="49" t="e">
        <v>#REF!</v>
      </c>
      <c r="J1644" s="50"/>
    </row>
    <row r="1645" outlineLevel="1" spans="1:10">
      <c r="A1645" s="50">
        <v>685</v>
      </c>
      <c r="B1645" s="51" t="str">
        <v>金属软管配管-DN32</v>
      </c>
      <c r="C1645" s="51" t="e">
        <v>#REF!</v>
      </c>
      <c r="D1645" s="51" t="str">
        <v/>
      </c>
      <c r="E1645" s="51" t="str">
        <v/>
      </c>
      <c r="F1645" s="52" t="e">
        <v>#REF!</v>
      </c>
      <c r="G1645" s="48" t="e">
        <v>#REF!</v>
      </c>
      <c r="H1645" s="49">
        <v>0</v>
      </c>
      <c r="I1645" s="49" t="e">
        <v>#REF!</v>
      </c>
      <c r="J1645" s="50"/>
    </row>
    <row r="1646" outlineLevel="1" spans="1:10">
      <c r="A1646" s="50">
        <v>686</v>
      </c>
      <c r="B1646" s="51" t="str">
        <v>综合配线-BV2.5</v>
      </c>
      <c r="C1646" s="51" t="e">
        <v>#REF!</v>
      </c>
      <c r="D1646" s="51" t="str">
        <v/>
      </c>
      <c r="E1646" s="51" t="str">
        <v/>
      </c>
      <c r="F1646" s="52" t="e">
        <v>#REF!</v>
      </c>
      <c r="G1646" s="48" t="e">
        <v>#REF!</v>
      </c>
      <c r="H1646" s="49">
        <v>2801.15</v>
      </c>
      <c r="I1646" s="49" t="e">
        <v>#REF!</v>
      </c>
      <c r="J1646" s="50"/>
    </row>
    <row r="1647" outlineLevel="1" spans="1:10">
      <c r="A1647" s="50">
        <v>687</v>
      </c>
      <c r="B1647" s="51" t="str">
        <v>综合配线-BV4</v>
      </c>
      <c r="C1647" s="51" t="e">
        <v>#REF!</v>
      </c>
      <c r="D1647" s="51" t="str">
        <v/>
      </c>
      <c r="E1647" s="51" t="str">
        <v/>
      </c>
      <c r="F1647" s="52" t="e">
        <v>#REF!</v>
      </c>
      <c r="G1647" s="48" t="e">
        <v>#REF!</v>
      </c>
      <c r="H1647" s="49">
        <v>1043.12</v>
      </c>
      <c r="I1647" s="49" t="e">
        <v>#REF!</v>
      </c>
      <c r="J1647" s="50"/>
    </row>
    <row r="1648" outlineLevel="1" spans="1:10">
      <c r="A1648" s="50">
        <v>688</v>
      </c>
      <c r="B1648" s="51" t="str">
        <v>综合配线-BV6</v>
      </c>
      <c r="C1648" s="51" t="e">
        <v>#REF!</v>
      </c>
      <c r="D1648" s="51" t="str">
        <v/>
      </c>
      <c r="E1648" s="51" t="str">
        <v/>
      </c>
      <c r="F1648" s="52" t="e">
        <v>#REF!</v>
      </c>
      <c r="G1648" s="48" t="e">
        <v>#REF!</v>
      </c>
      <c r="H1648" s="49">
        <v>0</v>
      </c>
      <c r="I1648" s="49" t="e">
        <v>#REF!</v>
      </c>
      <c r="J1648" s="50"/>
    </row>
    <row r="1649" outlineLevel="1" spans="1:10">
      <c r="A1649" s="50">
        <v>689</v>
      </c>
      <c r="B1649" s="51" t="str">
        <v>综合配线-BV10</v>
      </c>
      <c r="C1649" s="51" t="e">
        <v>#REF!</v>
      </c>
      <c r="D1649" s="51" t="str">
        <v/>
      </c>
      <c r="E1649" s="51" t="str">
        <v/>
      </c>
      <c r="F1649" s="52" t="e">
        <v>#REF!</v>
      </c>
      <c r="G1649" s="48" t="e">
        <v>#REF!</v>
      </c>
      <c r="H1649" s="49">
        <v>0</v>
      </c>
      <c r="I1649" s="49" t="e">
        <v>#REF!</v>
      </c>
      <c r="J1649" s="50"/>
    </row>
    <row r="1650" outlineLevel="1" spans="1:10">
      <c r="A1650" s="50">
        <v>690</v>
      </c>
      <c r="B1650" s="51" t="str">
        <v>综合配线-BV16</v>
      </c>
      <c r="C1650" s="51" t="e">
        <v>#REF!</v>
      </c>
      <c r="D1650" s="51" t="str">
        <v/>
      </c>
      <c r="E1650" s="51" t="str">
        <v/>
      </c>
      <c r="F1650" s="52" t="e">
        <v>#REF!</v>
      </c>
      <c r="G1650" s="48" t="e">
        <v>#REF!</v>
      </c>
      <c r="H1650" s="49">
        <v>155.46</v>
      </c>
      <c r="I1650" s="49" t="e">
        <v>#REF!</v>
      </c>
      <c r="J1650" s="50"/>
    </row>
    <row r="1651" outlineLevel="1" spans="1:10">
      <c r="A1651" s="50">
        <v>691</v>
      </c>
      <c r="B1651" s="51" t="str">
        <v>综合配线-BV25</v>
      </c>
      <c r="C1651" s="51" t="e">
        <v>#REF!</v>
      </c>
      <c r="D1651" s="51" t="str">
        <v/>
      </c>
      <c r="E1651" s="51" t="str">
        <v/>
      </c>
      <c r="F1651" s="52" t="e">
        <v>#REF!</v>
      </c>
      <c r="G1651" s="48" t="e">
        <v>#REF!</v>
      </c>
      <c r="H1651" s="49">
        <v>0</v>
      </c>
      <c r="I1651" s="49" t="e">
        <v>#REF!</v>
      </c>
      <c r="J1651" s="50"/>
    </row>
    <row r="1652" outlineLevel="1" spans="1:10">
      <c r="A1652" s="50">
        <v>692</v>
      </c>
      <c r="B1652" s="51" t="str">
        <v>综合配线-BVR4</v>
      </c>
      <c r="C1652" s="51" t="e">
        <v>#REF!</v>
      </c>
      <c r="D1652" s="51" t="str">
        <v/>
      </c>
      <c r="E1652" s="51" t="str">
        <v/>
      </c>
      <c r="F1652" s="52" t="e">
        <v>#REF!</v>
      </c>
      <c r="G1652" s="48" t="e">
        <v>#REF!</v>
      </c>
      <c r="H1652" s="49">
        <v>0</v>
      </c>
      <c r="I1652" s="49" t="e">
        <v>#REF!</v>
      </c>
      <c r="J1652" s="50"/>
    </row>
    <row r="1653" outlineLevel="1" spans="1:10">
      <c r="A1653" s="50">
        <v>693</v>
      </c>
      <c r="B1653" s="51" t="str">
        <v>综合配线-NHBV2.5</v>
      </c>
      <c r="C1653" s="51" t="e">
        <v>#REF!</v>
      </c>
      <c r="D1653" s="51" t="str">
        <v/>
      </c>
      <c r="E1653" s="51" t="str">
        <v/>
      </c>
      <c r="F1653" s="52" t="e">
        <v>#REF!</v>
      </c>
      <c r="G1653" s="48" t="e">
        <v>#REF!</v>
      </c>
      <c r="H1653" s="49">
        <v>27.31</v>
      </c>
      <c r="I1653" s="49" t="e">
        <v>#REF!</v>
      </c>
      <c r="J1653" s="50"/>
    </row>
    <row r="1654" outlineLevel="1" spans="1:10">
      <c r="A1654" s="50">
        <v>694</v>
      </c>
      <c r="B1654" s="51" t="str">
        <v>综合配线-NHBV4</v>
      </c>
      <c r="C1654" s="51" t="e">
        <v>#REF!</v>
      </c>
      <c r="D1654" s="51" t="str">
        <v/>
      </c>
      <c r="E1654" s="51" t="str">
        <v/>
      </c>
      <c r="F1654" s="52" t="e">
        <v>#REF!</v>
      </c>
      <c r="G1654" s="48" t="e">
        <v>#REF!</v>
      </c>
      <c r="H1654" s="49">
        <v>1</v>
      </c>
      <c r="I1654" s="49" t="e">
        <v>#REF!</v>
      </c>
      <c r="J1654" s="50"/>
    </row>
    <row r="1655" outlineLevel="1" spans="1:10">
      <c r="A1655" s="50">
        <v>695</v>
      </c>
      <c r="B1655" s="51" t="str">
        <v>综合配线-WDZNBYJ2.5</v>
      </c>
      <c r="C1655" s="51" t="e">
        <v>#REF!</v>
      </c>
      <c r="D1655" s="51" t="str">
        <v/>
      </c>
      <c r="E1655" s="51" t="str">
        <v/>
      </c>
      <c r="F1655" s="52" t="e">
        <v>#REF!</v>
      </c>
      <c r="G1655" s="48" t="e">
        <v>#REF!</v>
      </c>
      <c r="H1655" s="49">
        <v>48.81</v>
      </c>
      <c r="I1655" s="49" t="e">
        <v>#REF!</v>
      </c>
      <c r="J1655" s="50"/>
    </row>
    <row r="1656" outlineLevel="1" spans="1:10">
      <c r="A1656" s="50">
        <v>696</v>
      </c>
      <c r="B1656" s="51" t="str">
        <v>综合配线-WDZBYJ2.5</v>
      </c>
      <c r="C1656" s="51" t="e">
        <v>#REF!</v>
      </c>
      <c r="D1656" s="51" t="str">
        <v/>
      </c>
      <c r="E1656" s="51" t="str">
        <v/>
      </c>
      <c r="F1656" s="52" t="e">
        <v>#REF!</v>
      </c>
      <c r="G1656" s="48" t="e">
        <v>#REF!</v>
      </c>
      <c r="H1656" s="49">
        <v>0</v>
      </c>
      <c r="I1656" s="49" t="e">
        <v>#REF!</v>
      </c>
      <c r="J1656" s="50"/>
    </row>
    <row r="1657" outlineLevel="1" spans="1:10">
      <c r="A1657" s="50">
        <v>697</v>
      </c>
      <c r="B1657" s="51" t="str">
        <v>综合配线-WDZNBYJ4</v>
      </c>
      <c r="C1657" s="51" t="e">
        <v>#REF!</v>
      </c>
      <c r="D1657" s="51" t="str">
        <v/>
      </c>
      <c r="E1657" s="51" t="str">
        <v/>
      </c>
      <c r="F1657" s="52" t="e">
        <v>#REF!</v>
      </c>
      <c r="G1657" s="48" t="e">
        <v>#REF!</v>
      </c>
      <c r="H1657" s="49">
        <v>0</v>
      </c>
      <c r="I1657" s="49" t="e">
        <v>#REF!</v>
      </c>
      <c r="J1657" s="50"/>
    </row>
    <row r="1658" outlineLevel="1" spans="1:10">
      <c r="A1658" s="50">
        <v>698</v>
      </c>
      <c r="B1658" s="51" t="str">
        <v>综合配线-WDZBYJ10</v>
      </c>
      <c r="C1658" s="51" t="e">
        <v>#REF!</v>
      </c>
      <c r="D1658" s="51" t="str">
        <v/>
      </c>
      <c r="E1658" s="51" t="str">
        <v/>
      </c>
      <c r="F1658" s="52" t="e">
        <v>#REF!</v>
      </c>
      <c r="G1658" s="48" t="e">
        <v>#REF!</v>
      </c>
      <c r="H1658" s="49">
        <v>0</v>
      </c>
      <c r="I1658" s="49" t="e">
        <v>#REF!</v>
      </c>
      <c r="J1658" s="50"/>
    </row>
    <row r="1659" ht="28.8" outlineLevel="1" spans="1:10">
      <c r="A1659" s="50">
        <v>699</v>
      </c>
      <c r="B1659" s="51" t="str">
        <v>综合配线-WDZNRYJS2*2.5</v>
      </c>
      <c r="C1659" s="51" t="e">
        <v>#REF!</v>
      </c>
      <c r="D1659" s="51" t="str">
        <v/>
      </c>
      <c r="E1659" s="51" t="str">
        <v/>
      </c>
      <c r="F1659" s="52" t="e">
        <v>#REF!</v>
      </c>
      <c r="G1659" s="48" t="e">
        <v>#REF!</v>
      </c>
      <c r="H1659" s="49">
        <v>591.99</v>
      </c>
      <c r="I1659" s="49" t="e">
        <v>#REF!</v>
      </c>
      <c r="J1659" s="50"/>
    </row>
    <row r="1660" outlineLevel="1" spans="1:10">
      <c r="A1660" s="50">
        <v>700</v>
      </c>
      <c r="B1660" s="51" t="str">
        <v>综合配线-RVV-3*1.0</v>
      </c>
      <c r="C1660" s="51" t="e">
        <v>#REF!</v>
      </c>
      <c r="D1660" s="51" t="str">
        <v/>
      </c>
      <c r="E1660" s="51" t="str">
        <v/>
      </c>
      <c r="F1660" s="52" t="e">
        <v>#REF!</v>
      </c>
      <c r="G1660" s="48" t="e">
        <v>#REF!</v>
      </c>
      <c r="H1660" s="49">
        <v>0</v>
      </c>
      <c r="I1660" s="49" t="e">
        <v>#REF!</v>
      </c>
      <c r="J1660" s="50"/>
    </row>
    <row r="1661" outlineLevel="1" spans="1:10">
      <c r="A1661" s="50">
        <v>701</v>
      </c>
      <c r="B1661" s="51" t="str">
        <v>综合配线-RVV-4*1.0</v>
      </c>
      <c r="C1661" s="51" t="e">
        <v>#REF!</v>
      </c>
      <c r="D1661" s="51" t="str">
        <v/>
      </c>
      <c r="E1661" s="51" t="str">
        <v/>
      </c>
      <c r="F1661" s="52" t="e">
        <v>#REF!</v>
      </c>
      <c r="G1661" s="48" t="e">
        <v>#REF!</v>
      </c>
      <c r="H1661" s="49">
        <v>0</v>
      </c>
      <c r="I1661" s="49" t="e">
        <v>#REF!</v>
      </c>
      <c r="J1661" s="50"/>
    </row>
    <row r="1662" outlineLevel="1" spans="1:10">
      <c r="A1662" s="50">
        <v>702</v>
      </c>
      <c r="B1662" s="51" t="str">
        <v>综合配线-RVV-5*1.0</v>
      </c>
      <c r="C1662" s="51" t="e">
        <v>#REF!</v>
      </c>
      <c r="D1662" s="51" t="str">
        <v/>
      </c>
      <c r="E1662" s="51" t="str">
        <v/>
      </c>
      <c r="F1662" s="52" t="e">
        <v>#REF!</v>
      </c>
      <c r="G1662" s="48" t="e">
        <v>#REF!</v>
      </c>
      <c r="H1662" s="49">
        <v>0</v>
      </c>
      <c r="I1662" s="49" t="e">
        <v>#REF!</v>
      </c>
      <c r="J1662" s="50"/>
    </row>
    <row r="1663" outlineLevel="1" spans="1:10">
      <c r="A1663" s="50">
        <v>703</v>
      </c>
      <c r="B1663" s="51" t="str">
        <v>钢套管DN15-32</v>
      </c>
      <c r="C1663" s="51" t="e">
        <v>#REF!</v>
      </c>
      <c r="D1663" s="51" t="str">
        <v/>
      </c>
      <c r="E1663" s="51" t="str">
        <v/>
      </c>
      <c r="F1663" s="52" t="e">
        <v>#REF!</v>
      </c>
      <c r="G1663" s="48" t="e">
        <v>#REF!</v>
      </c>
      <c r="H1663" s="49">
        <v>0</v>
      </c>
      <c r="I1663" s="49" t="e">
        <v>#REF!</v>
      </c>
      <c r="J1663" s="50"/>
    </row>
    <row r="1664" outlineLevel="1" spans="1:10">
      <c r="A1664" s="50">
        <v>704</v>
      </c>
      <c r="B1664" s="51" t="str">
        <v>钢套管DN40-50</v>
      </c>
      <c r="C1664" s="51" t="e">
        <v>#REF!</v>
      </c>
      <c r="D1664" s="51" t="str">
        <v/>
      </c>
      <c r="E1664" s="51" t="str">
        <v/>
      </c>
      <c r="F1664" s="52" t="e">
        <v>#REF!</v>
      </c>
      <c r="G1664" s="48" t="e">
        <v>#REF!</v>
      </c>
      <c r="H1664" s="49">
        <v>0</v>
      </c>
      <c r="I1664" s="49" t="e">
        <v>#REF!</v>
      </c>
      <c r="J1664" s="50"/>
    </row>
    <row r="1665" outlineLevel="1" spans="1:10">
      <c r="A1665" s="50">
        <v>705</v>
      </c>
      <c r="B1665" s="51" t="str">
        <v>钢套管DN65-70</v>
      </c>
      <c r="C1665" s="51" t="e">
        <v>#REF!</v>
      </c>
      <c r="D1665" s="51" t="str">
        <v/>
      </c>
      <c r="E1665" s="51" t="str">
        <v/>
      </c>
      <c r="F1665" s="52" t="e">
        <v>#REF!</v>
      </c>
      <c r="G1665" s="48" t="e">
        <v>#REF!</v>
      </c>
      <c r="H1665" s="49">
        <v>0</v>
      </c>
      <c r="I1665" s="49" t="e">
        <v>#REF!</v>
      </c>
      <c r="J1665" s="50"/>
    </row>
    <row r="1666" outlineLevel="1" spans="1:10">
      <c r="A1666" s="50">
        <v>706</v>
      </c>
      <c r="B1666" s="51" t="str">
        <v>钢套管DN80-100</v>
      </c>
      <c r="C1666" s="51" t="e">
        <v>#REF!</v>
      </c>
      <c r="D1666" s="51" t="str">
        <v/>
      </c>
      <c r="E1666" s="51" t="str">
        <v/>
      </c>
      <c r="F1666" s="52" t="e">
        <v>#REF!</v>
      </c>
      <c r="G1666" s="48" t="e">
        <v>#REF!</v>
      </c>
      <c r="H1666" s="49">
        <v>0</v>
      </c>
      <c r="I1666" s="49" t="e">
        <v>#REF!</v>
      </c>
      <c r="J1666" s="50"/>
    </row>
    <row r="1667" outlineLevel="1" spans="1:10">
      <c r="A1667" s="50" t="str">
        <v/>
      </c>
      <c r="B1667" s="51" t="str">
        <v>B.21.4照明器具</v>
      </c>
      <c r="C1667" s="51" t="str">
        <v/>
      </c>
      <c r="D1667" s="51" t="str">
        <v/>
      </c>
      <c r="E1667" s="51" t="str">
        <v/>
      </c>
      <c r="F1667" s="52" t="str">
        <v/>
      </c>
      <c r="G1667" s="48" t="str">
        <v/>
      </c>
      <c r="H1667" s="49">
        <v>0</v>
      </c>
      <c r="I1667" s="49" t="e">
        <v>#REF!</v>
      </c>
      <c r="J1667" s="50"/>
    </row>
    <row r="1668" outlineLevel="1" spans="1:10">
      <c r="A1668" s="50">
        <v>707</v>
      </c>
      <c r="B1668" s="51" t="str">
        <v>灯具-门上座灯</v>
      </c>
      <c r="C1668" s="51" t="e">
        <v>#REF!</v>
      </c>
      <c r="D1668" s="51" t="str">
        <v/>
      </c>
      <c r="E1668" s="51" t="str">
        <v/>
      </c>
      <c r="F1668" s="52" t="e">
        <v>#REF!</v>
      </c>
      <c r="G1668" s="48" t="e">
        <v>#REF!</v>
      </c>
      <c r="H1668" s="49">
        <v>1</v>
      </c>
      <c r="I1668" s="49" t="e">
        <v>#REF!</v>
      </c>
      <c r="J1668" s="50"/>
    </row>
    <row r="1669" outlineLevel="1" spans="1:10">
      <c r="A1669" s="50">
        <v>708</v>
      </c>
      <c r="B1669" s="51" t="str">
        <v>灯具-普通座灯头</v>
      </c>
      <c r="C1669" s="51" t="e">
        <v>#REF!</v>
      </c>
      <c r="D1669" s="51" t="str">
        <v/>
      </c>
      <c r="E1669" s="51" t="str">
        <v/>
      </c>
      <c r="F1669" s="52" t="e">
        <v>#REF!</v>
      </c>
      <c r="G1669" s="48" t="e">
        <v>#REF!</v>
      </c>
      <c r="H1669" s="49">
        <v>95</v>
      </c>
      <c r="I1669" s="49" t="e">
        <v>#REF!</v>
      </c>
      <c r="J1669" s="50"/>
    </row>
    <row r="1670" ht="28.8" outlineLevel="1" spans="1:10">
      <c r="A1670" s="50">
        <v>709</v>
      </c>
      <c r="B1670" s="51" t="str">
        <v>灯具-单管荧光灯-吊链安装</v>
      </c>
      <c r="C1670" s="51" t="e">
        <v>#REF!</v>
      </c>
      <c r="D1670" s="51" t="str">
        <v/>
      </c>
      <c r="E1670" s="51" t="str">
        <v/>
      </c>
      <c r="F1670" s="52" t="e">
        <v>#REF!</v>
      </c>
      <c r="G1670" s="48" t="e">
        <v>#REF!</v>
      </c>
      <c r="H1670" s="49">
        <v>2</v>
      </c>
      <c r="I1670" s="49" t="e">
        <v>#REF!</v>
      </c>
      <c r="J1670" s="50"/>
    </row>
    <row r="1671" ht="28.8" outlineLevel="1" spans="1:10">
      <c r="A1671" s="50">
        <v>710</v>
      </c>
      <c r="B1671" s="51" t="str">
        <v>疏散出口标志灯-带蓄电池</v>
      </c>
      <c r="C1671" s="51" t="e">
        <v>#REF!</v>
      </c>
      <c r="D1671" s="51" t="str">
        <v/>
      </c>
      <c r="E1671" s="51" t="str">
        <v/>
      </c>
      <c r="F1671" s="52" t="e">
        <v>#REF!</v>
      </c>
      <c r="G1671" s="48" t="e">
        <v>#REF!</v>
      </c>
      <c r="H1671" s="49">
        <v>0</v>
      </c>
      <c r="I1671" s="49" t="e">
        <v>#REF!</v>
      </c>
      <c r="J1671" s="50"/>
    </row>
    <row r="1672" ht="28.8" outlineLevel="1" spans="1:10">
      <c r="A1672" s="50">
        <v>711</v>
      </c>
      <c r="B1672" s="51" t="str">
        <v>疏散出口标志灯（防护等级IP67）带蓄电池</v>
      </c>
      <c r="C1672" s="51" t="e">
        <v>#REF!</v>
      </c>
      <c r="D1672" s="51" t="str">
        <v/>
      </c>
      <c r="E1672" s="51" t="str">
        <v/>
      </c>
      <c r="F1672" s="52" t="e">
        <v>#REF!</v>
      </c>
      <c r="G1672" s="48" t="e">
        <v>#REF!</v>
      </c>
      <c r="H1672" s="49">
        <v>0</v>
      </c>
      <c r="I1672" s="49" t="e">
        <v>#REF!</v>
      </c>
      <c r="J1672" s="50"/>
    </row>
    <row r="1673" ht="28.8" outlineLevel="1" spans="1:10">
      <c r="A1673" s="50">
        <v>712</v>
      </c>
      <c r="B1673" s="51" t="str">
        <v>楼层指示标志灯-带蓄电池</v>
      </c>
      <c r="C1673" s="51" t="e">
        <v>#REF!</v>
      </c>
      <c r="D1673" s="51" t="str">
        <v/>
      </c>
      <c r="E1673" s="51" t="str">
        <v/>
      </c>
      <c r="F1673" s="52" t="e">
        <v>#REF!</v>
      </c>
      <c r="G1673" s="48" t="e">
        <v>#REF!</v>
      </c>
      <c r="H1673" s="49">
        <v>0</v>
      </c>
      <c r="I1673" s="49" t="e">
        <v>#REF!</v>
      </c>
      <c r="J1673" s="50"/>
    </row>
    <row r="1674" ht="28.8" outlineLevel="1" spans="1:10">
      <c r="A1674" s="50">
        <v>713</v>
      </c>
      <c r="B1674" s="51" t="str">
        <v>单向单面疏散指示标志灯-带蓄电池</v>
      </c>
      <c r="C1674" s="51" t="e">
        <v>#REF!</v>
      </c>
      <c r="D1674" s="51" t="str">
        <v/>
      </c>
      <c r="E1674" s="51" t="str">
        <v/>
      </c>
      <c r="F1674" s="52" t="e">
        <v>#REF!</v>
      </c>
      <c r="G1674" s="48" t="e">
        <v>#REF!</v>
      </c>
      <c r="H1674" s="49">
        <v>0</v>
      </c>
      <c r="I1674" s="49" t="e">
        <v>#REF!</v>
      </c>
      <c r="J1674" s="50"/>
    </row>
    <row r="1675" ht="28.8" outlineLevel="1" spans="1:10">
      <c r="A1675" s="50">
        <v>714</v>
      </c>
      <c r="B1675" s="51" t="str">
        <v>单向双面疏散指示标志灯-带蓄电池</v>
      </c>
      <c r="C1675" s="51" t="e">
        <v>#REF!</v>
      </c>
      <c r="D1675" s="51" t="str">
        <v/>
      </c>
      <c r="E1675" s="51" t="str">
        <v/>
      </c>
      <c r="F1675" s="52" t="e">
        <v>#REF!</v>
      </c>
      <c r="G1675" s="48" t="e">
        <v>#REF!</v>
      </c>
      <c r="H1675" s="49">
        <v>0</v>
      </c>
      <c r="I1675" s="49" t="e">
        <v>#REF!</v>
      </c>
      <c r="J1675" s="50"/>
    </row>
    <row r="1676" ht="28.8" outlineLevel="1" spans="1:10">
      <c r="A1676" s="50">
        <v>715</v>
      </c>
      <c r="B1676" s="51" t="str">
        <v>双向单面疏散指示标志灯-带蓄电池</v>
      </c>
      <c r="C1676" s="51" t="e">
        <v>#REF!</v>
      </c>
      <c r="D1676" s="51" t="str">
        <v/>
      </c>
      <c r="E1676" s="51" t="str">
        <v/>
      </c>
      <c r="F1676" s="52" t="e">
        <v>#REF!</v>
      </c>
      <c r="G1676" s="48" t="e">
        <v>#REF!</v>
      </c>
      <c r="H1676" s="49">
        <v>0</v>
      </c>
      <c r="I1676" s="49" t="e">
        <v>#REF!</v>
      </c>
      <c r="J1676" s="50"/>
    </row>
    <row r="1677" ht="28.8" outlineLevel="1" spans="1:10">
      <c r="A1677" s="50">
        <v>716</v>
      </c>
      <c r="B1677" s="51" t="str">
        <v>安全出口标志灯-带蓄电池</v>
      </c>
      <c r="C1677" s="51" t="e">
        <v>#REF!</v>
      </c>
      <c r="D1677" s="51" t="str">
        <v/>
      </c>
      <c r="E1677" s="51" t="str">
        <v/>
      </c>
      <c r="F1677" s="52" t="e">
        <v>#REF!</v>
      </c>
      <c r="G1677" s="48" t="e">
        <v>#REF!</v>
      </c>
      <c r="H1677" s="49">
        <v>0</v>
      </c>
      <c r="I1677" s="49" t="e">
        <v>#REF!</v>
      </c>
      <c r="J1677" s="50"/>
    </row>
    <row r="1678" ht="28.8" outlineLevel="1" spans="1:10">
      <c r="A1678" s="50">
        <v>717</v>
      </c>
      <c r="B1678" s="51" t="str">
        <v>E-X带禁止入内的安全出口标志灯-带蓄电池</v>
      </c>
      <c r="C1678" s="51" t="e">
        <v>#REF!</v>
      </c>
      <c r="D1678" s="51" t="str">
        <v/>
      </c>
      <c r="E1678" s="51" t="str">
        <v/>
      </c>
      <c r="F1678" s="52" t="e">
        <v>#REF!</v>
      </c>
      <c r="G1678" s="48" t="e">
        <v>#REF!</v>
      </c>
      <c r="H1678" s="49">
        <v>0</v>
      </c>
      <c r="I1678" s="49" t="e">
        <v>#REF!</v>
      </c>
      <c r="J1678" s="50"/>
    </row>
    <row r="1679" ht="28.8" outlineLevel="1" spans="1:10">
      <c r="A1679" s="50">
        <v>718</v>
      </c>
      <c r="B1679" s="51" t="str">
        <v>火灾禁入标志灯-带蓄电池</v>
      </c>
      <c r="C1679" s="51" t="e">
        <v>#REF!</v>
      </c>
      <c r="D1679" s="51" t="str">
        <v/>
      </c>
      <c r="E1679" s="51" t="str">
        <v/>
      </c>
      <c r="F1679" s="52" t="e">
        <v>#REF!</v>
      </c>
      <c r="G1679" s="48" t="e">
        <v>#REF!</v>
      </c>
      <c r="H1679" s="49">
        <v>0</v>
      </c>
      <c r="I1679" s="49" t="e">
        <v>#REF!</v>
      </c>
      <c r="J1679" s="50"/>
    </row>
    <row r="1680" ht="28.8" outlineLevel="1" spans="1:10">
      <c r="A1680" s="50">
        <v>719</v>
      </c>
      <c r="B1680" s="51" t="str">
        <v>E1消防应急壁灯-带蓄电池</v>
      </c>
      <c r="C1680" s="51" t="e">
        <v>#REF!</v>
      </c>
      <c r="D1680" s="51" t="str">
        <v/>
      </c>
      <c r="E1680" s="51" t="str">
        <v/>
      </c>
      <c r="F1680" s="52" t="e">
        <v>#REF!</v>
      </c>
      <c r="G1680" s="48" t="e">
        <v>#REF!</v>
      </c>
      <c r="H1680" s="49">
        <v>0</v>
      </c>
      <c r="I1680" s="49" t="e">
        <v>#REF!</v>
      </c>
      <c r="J1680" s="50"/>
    </row>
    <row r="1681" ht="28.8" outlineLevel="1" spans="1:10">
      <c r="A1681" s="50">
        <v>720</v>
      </c>
      <c r="B1681" s="51" t="str">
        <v>消防应急吸顶灯-带蓄电池</v>
      </c>
      <c r="C1681" s="51" t="e">
        <v>#REF!</v>
      </c>
      <c r="D1681" s="51" t="str">
        <v/>
      </c>
      <c r="E1681" s="51" t="str">
        <v/>
      </c>
      <c r="F1681" s="52" t="e">
        <v>#REF!</v>
      </c>
      <c r="G1681" s="48" t="e">
        <v>#REF!</v>
      </c>
      <c r="H1681" s="49">
        <v>0</v>
      </c>
      <c r="I1681" s="49" t="e">
        <v>#REF!</v>
      </c>
      <c r="J1681" s="50"/>
    </row>
    <row r="1682" ht="28.8" outlineLevel="1" spans="1:10">
      <c r="A1682" s="50">
        <v>721</v>
      </c>
      <c r="B1682" s="51" t="str">
        <v>消防应急吸顶灯（防护等级IP67）带蓄电池</v>
      </c>
      <c r="C1682" s="51" t="e">
        <v>#REF!</v>
      </c>
      <c r="D1682" s="51" t="str">
        <v/>
      </c>
      <c r="E1682" s="51" t="str">
        <v/>
      </c>
      <c r="F1682" s="52" t="e">
        <v>#REF!</v>
      </c>
      <c r="G1682" s="48" t="e">
        <v>#REF!</v>
      </c>
      <c r="H1682" s="49">
        <v>0</v>
      </c>
      <c r="I1682" s="49" t="e">
        <v>#REF!</v>
      </c>
      <c r="J1682" s="50"/>
    </row>
    <row r="1683" outlineLevel="1" spans="1:10">
      <c r="A1683" s="50">
        <v>722</v>
      </c>
      <c r="B1683" s="51" t="str">
        <v>灯具-安全出口标志灯</v>
      </c>
      <c r="C1683" s="51" t="e">
        <v>#REF!</v>
      </c>
      <c r="D1683" s="51" t="str">
        <v/>
      </c>
      <c r="E1683" s="51" t="str">
        <v/>
      </c>
      <c r="F1683" s="52" t="e">
        <v>#REF!</v>
      </c>
      <c r="G1683" s="48" t="e">
        <v>#REF!</v>
      </c>
      <c r="H1683" s="49">
        <v>4</v>
      </c>
      <c r="I1683" s="49" t="e">
        <v>#REF!</v>
      </c>
      <c r="J1683" s="50"/>
    </row>
    <row r="1684" outlineLevel="1" spans="1:10">
      <c r="A1684" s="50">
        <v>723</v>
      </c>
      <c r="B1684" s="51" t="str">
        <v>灯具-疏散出口标志灯</v>
      </c>
      <c r="C1684" s="51" t="e">
        <v>#REF!</v>
      </c>
      <c r="D1684" s="51" t="str">
        <v/>
      </c>
      <c r="E1684" s="51" t="str">
        <v/>
      </c>
      <c r="F1684" s="52" t="e">
        <v>#REF!</v>
      </c>
      <c r="G1684" s="48" t="e">
        <v>#REF!</v>
      </c>
      <c r="H1684" s="49">
        <v>1</v>
      </c>
      <c r="I1684" s="49" t="e">
        <v>#REF!</v>
      </c>
      <c r="J1684" s="50"/>
    </row>
    <row r="1685" outlineLevel="1" spans="1:10">
      <c r="A1685" s="50">
        <v>724</v>
      </c>
      <c r="B1685" s="51" t="str">
        <v>灯具-火灾禁入标志灯</v>
      </c>
      <c r="C1685" s="51" t="e">
        <v>#REF!</v>
      </c>
      <c r="D1685" s="51" t="str">
        <v/>
      </c>
      <c r="E1685" s="51" t="str">
        <v/>
      </c>
      <c r="F1685" s="52" t="e">
        <v>#REF!</v>
      </c>
      <c r="G1685" s="48" t="e">
        <v>#REF!</v>
      </c>
      <c r="H1685" s="49">
        <v>4</v>
      </c>
      <c r="I1685" s="49" t="e">
        <v>#REF!</v>
      </c>
      <c r="J1685" s="50"/>
    </row>
    <row r="1686" outlineLevel="1" spans="1:10">
      <c r="A1686" s="50">
        <v>725</v>
      </c>
      <c r="B1686" s="51" t="str">
        <v>灯具-楼层指示标志灯</v>
      </c>
      <c r="C1686" s="51" t="e">
        <v>#REF!</v>
      </c>
      <c r="D1686" s="51" t="str">
        <v/>
      </c>
      <c r="E1686" s="51" t="str">
        <v/>
      </c>
      <c r="F1686" s="52" t="e">
        <v>#REF!</v>
      </c>
      <c r="G1686" s="48" t="e">
        <v>#REF!</v>
      </c>
      <c r="H1686" s="49">
        <v>6</v>
      </c>
      <c r="I1686" s="49" t="e">
        <v>#REF!</v>
      </c>
      <c r="J1686" s="50"/>
    </row>
    <row r="1687" ht="28.8" outlineLevel="1" spans="1:10">
      <c r="A1687" s="50">
        <v>726</v>
      </c>
      <c r="B1687" s="51" t="str">
        <v>灯具-消防应急壁灯（微波感应）带蓄电池</v>
      </c>
      <c r="C1687" s="51" t="e">
        <v>#REF!</v>
      </c>
      <c r="D1687" s="51" t="str">
        <v/>
      </c>
      <c r="E1687" s="51" t="str">
        <v/>
      </c>
      <c r="F1687" s="52" t="e">
        <v>#REF!</v>
      </c>
      <c r="G1687" s="48" t="e">
        <v>#REF!</v>
      </c>
      <c r="H1687" s="49">
        <v>52</v>
      </c>
      <c r="I1687" s="49" t="e">
        <v>#REF!</v>
      </c>
      <c r="J1687" s="50"/>
    </row>
    <row r="1688" ht="28.8" outlineLevel="1" spans="1:10">
      <c r="A1688" s="50">
        <v>727</v>
      </c>
      <c r="B1688" s="51" t="str">
        <v>灯具-消防应急吸顶灯-附微波感应带蓄电池</v>
      </c>
      <c r="C1688" s="51" t="e">
        <v>#REF!</v>
      </c>
      <c r="D1688" s="51" t="str">
        <v/>
      </c>
      <c r="E1688" s="51" t="str">
        <v/>
      </c>
      <c r="F1688" s="52" t="e">
        <v>#REF!</v>
      </c>
      <c r="G1688" s="48" t="e">
        <v>#REF!</v>
      </c>
      <c r="H1688" s="49">
        <v>2</v>
      </c>
      <c r="I1688" s="49" t="e">
        <v>#REF!</v>
      </c>
      <c r="J1688" s="50"/>
    </row>
    <row r="1689" ht="28.8" outlineLevel="1" spans="1:10">
      <c r="A1689" s="50">
        <v>728</v>
      </c>
      <c r="B1689" s="51" t="str">
        <v>灯具-单向单面疏散指示标志灯</v>
      </c>
      <c r="C1689" s="51" t="e">
        <v>#REF!</v>
      </c>
      <c r="D1689" s="51" t="str">
        <v/>
      </c>
      <c r="E1689" s="51" t="str">
        <v/>
      </c>
      <c r="F1689" s="52" t="e">
        <v>#REF!</v>
      </c>
      <c r="G1689" s="48" t="e">
        <v>#REF!</v>
      </c>
      <c r="H1689" s="49">
        <v>18</v>
      </c>
      <c r="I1689" s="49" t="e">
        <v>#REF!</v>
      </c>
      <c r="J1689" s="50"/>
    </row>
    <row r="1690" outlineLevel="1" spans="1:10">
      <c r="A1690" s="50" t="str">
        <v/>
      </c>
      <c r="B1690" s="51" t="str">
        <v>B.21.5开关插座</v>
      </c>
      <c r="C1690" s="51" t="str">
        <v/>
      </c>
      <c r="D1690" s="51" t="str">
        <v/>
      </c>
      <c r="E1690" s="51" t="str">
        <v/>
      </c>
      <c r="F1690" s="52" t="str">
        <v/>
      </c>
      <c r="G1690" s="48" t="str">
        <v/>
      </c>
      <c r="H1690" s="49">
        <v>0</v>
      </c>
      <c r="I1690" s="49" t="e">
        <v>#REF!</v>
      </c>
      <c r="J1690" s="50"/>
    </row>
    <row r="1691" outlineLevel="1" spans="1:10">
      <c r="A1691" s="50">
        <v>729</v>
      </c>
      <c r="B1691" s="51" t="str">
        <v>五孔插座</v>
      </c>
      <c r="C1691" s="51" t="e">
        <v>#REF!</v>
      </c>
      <c r="D1691" s="51" t="str">
        <v/>
      </c>
      <c r="E1691" s="51" t="str">
        <v/>
      </c>
      <c r="F1691" s="52" t="e">
        <v>#REF!</v>
      </c>
      <c r="G1691" s="48" t="e">
        <v>#REF!</v>
      </c>
      <c r="H1691" s="49">
        <v>67</v>
      </c>
      <c r="I1691" s="49" t="e">
        <v>#REF!</v>
      </c>
      <c r="J1691" s="50"/>
    </row>
    <row r="1692" outlineLevel="1" spans="1:10">
      <c r="A1692" s="50">
        <v>730</v>
      </c>
      <c r="B1692" s="51" t="str">
        <v>电伴热插座</v>
      </c>
      <c r="C1692" s="51" t="e">
        <v>#REF!</v>
      </c>
      <c r="D1692" s="51" t="str">
        <v/>
      </c>
      <c r="E1692" s="51" t="str">
        <v/>
      </c>
      <c r="F1692" s="52" t="e">
        <v>#REF!</v>
      </c>
      <c r="G1692" s="48" t="e">
        <v>#REF!</v>
      </c>
      <c r="H1692" s="49">
        <v>0</v>
      </c>
      <c r="I1692" s="49" t="e">
        <v>#REF!</v>
      </c>
      <c r="J1692" s="50"/>
    </row>
    <row r="1693" outlineLevel="1" spans="1:10">
      <c r="A1693" s="50">
        <v>731</v>
      </c>
      <c r="B1693" s="51" t="str">
        <v>洗衣机插座</v>
      </c>
      <c r="C1693" s="51" t="e">
        <v>#REF!</v>
      </c>
      <c r="D1693" s="51" t="str">
        <v/>
      </c>
      <c r="E1693" s="51" t="str">
        <v/>
      </c>
      <c r="F1693" s="52" t="e">
        <v>#REF!</v>
      </c>
      <c r="G1693" s="48" t="e">
        <v>#REF!</v>
      </c>
      <c r="H1693" s="49">
        <v>0</v>
      </c>
      <c r="I1693" s="49" t="e">
        <v>#REF!</v>
      </c>
      <c r="J1693" s="50"/>
    </row>
    <row r="1694" outlineLevel="1" spans="1:10">
      <c r="A1694" s="50">
        <v>732</v>
      </c>
      <c r="B1694" s="51" t="str">
        <v>安全型燃气插座</v>
      </c>
      <c r="C1694" s="51" t="e">
        <v>#REF!</v>
      </c>
      <c r="D1694" s="51" t="str">
        <v/>
      </c>
      <c r="E1694" s="51" t="str">
        <v/>
      </c>
      <c r="F1694" s="52" t="e">
        <v>#REF!</v>
      </c>
      <c r="G1694" s="48" t="e">
        <v>#REF!</v>
      </c>
      <c r="H1694" s="49">
        <v>0</v>
      </c>
      <c r="I1694" s="49" t="e">
        <v>#REF!</v>
      </c>
      <c r="J1694" s="50"/>
    </row>
    <row r="1695" outlineLevel="1" spans="1:10">
      <c r="A1695" s="50">
        <v>733</v>
      </c>
      <c r="B1695" s="51" t="str">
        <v>电辅热插座</v>
      </c>
      <c r="C1695" s="51" t="e">
        <v>#REF!</v>
      </c>
      <c r="D1695" s="51" t="str">
        <v/>
      </c>
      <c r="E1695" s="51" t="str">
        <v/>
      </c>
      <c r="F1695" s="52" t="e">
        <v>#REF!</v>
      </c>
      <c r="G1695" s="48" t="e">
        <v>#REF!</v>
      </c>
      <c r="H1695" s="49">
        <v>0</v>
      </c>
      <c r="I1695" s="49" t="e">
        <v>#REF!</v>
      </c>
      <c r="J1695" s="50"/>
    </row>
    <row r="1696" outlineLevel="1" spans="1:10">
      <c r="A1696" s="50">
        <v>734</v>
      </c>
      <c r="B1696" s="51" t="str">
        <v>油烟机插座</v>
      </c>
      <c r="C1696" s="51" t="e">
        <v>#REF!</v>
      </c>
      <c r="D1696" s="51" t="str">
        <v/>
      </c>
      <c r="E1696" s="51" t="str">
        <v/>
      </c>
      <c r="F1696" s="52" t="e">
        <v>#REF!</v>
      </c>
      <c r="G1696" s="48" t="e">
        <v>#REF!</v>
      </c>
      <c r="H1696" s="49">
        <v>0</v>
      </c>
      <c r="I1696" s="49" t="e">
        <v>#REF!</v>
      </c>
      <c r="J1696" s="50"/>
    </row>
    <row r="1697" outlineLevel="1" spans="1:10">
      <c r="A1697" s="50">
        <v>735</v>
      </c>
      <c r="B1697" s="51" t="str">
        <v>厨房五孔插座</v>
      </c>
      <c r="C1697" s="51" t="e">
        <v>#REF!</v>
      </c>
      <c r="D1697" s="51" t="str">
        <v/>
      </c>
      <c r="E1697" s="51" t="str">
        <v/>
      </c>
      <c r="F1697" s="52" t="e">
        <v>#REF!</v>
      </c>
      <c r="G1697" s="48" t="e">
        <v>#REF!</v>
      </c>
      <c r="H1697" s="49">
        <v>0</v>
      </c>
      <c r="I1697" s="49" t="e">
        <v>#REF!</v>
      </c>
      <c r="J1697" s="50"/>
    </row>
    <row r="1698" outlineLevel="1" spans="1:10">
      <c r="A1698" s="50">
        <v>736</v>
      </c>
      <c r="B1698" s="51" t="str">
        <v>剃须刀插座</v>
      </c>
      <c r="C1698" s="51" t="e">
        <v>#REF!</v>
      </c>
      <c r="D1698" s="51" t="str">
        <v/>
      </c>
      <c r="E1698" s="51" t="str">
        <v/>
      </c>
      <c r="F1698" s="52" t="e">
        <v>#REF!</v>
      </c>
      <c r="G1698" s="48" t="e">
        <v>#REF!</v>
      </c>
      <c r="H1698" s="49">
        <v>3</v>
      </c>
      <c r="I1698" s="49" t="e">
        <v>#REF!</v>
      </c>
      <c r="J1698" s="50"/>
    </row>
    <row r="1699" outlineLevel="1" spans="1:10">
      <c r="A1699" s="50">
        <v>737</v>
      </c>
      <c r="B1699" s="51" t="str">
        <v>七孔插座</v>
      </c>
      <c r="C1699" s="51" t="e">
        <v>#REF!</v>
      </c>
      <c r="D1699" s="51" t="str">
        <v/>
      </c>
      <c r="E1699" s="51" t="str">
        <v/>
      </c>
      <c r="F1699" s="52" t="e">
        <v>#REF!</v>
      </c>
      <c r="G1699" s="48" t="e">
        <v>#REF!</v>
      </c>
      <c r="H1699" s="49">
        <v>0</v>
      </c>
      <c r="I1699" s="49" t="e">
        <v>#REF!</v>
      </c>
      <c r="J1699" s="50"/>
    </row>
    <row r="1700" outlineLevel="1" spans="1:10">
      <c r="A1700" s="50">
        <v>738</v>
      </c>
      <c r="B1700" s="51" t="str">
        <v>防溅盒</v>
      </c>
      <c r="C1700" s="51" t="e">
        <v>#REF!</v>
      </c>
      <c r="D1700" s="51" t="str">
        <v/>
      </c>
      <c r="E1700" s="51" t="str">
        <v/>
      </c>
      <c r="F1700" s="52" t="e">
        <v>#REF!</v>
      </c>
      <c r="G1700" s="48" t="e">
        <v>#REF!</v>
      </c>
      <c r="H1700" s="49">
        <v>0</v>
      </c>
      <c r="I1700" s="49" t="e">
        <v>#REF!</v>
      </c>
      <c r="J1700" s="50"/>
    </row>
    <row r="1701" outlineLevel="1" spans="1:10">
      <c r="A1701" s="50">
        <v>739</v>
      </c>
      <c r="B1701" s="51" t="str">
        <v>智能马桶插座</v>
      </c>
      <c r="C1701" s="51" t="e">
        <v>#REF!</v>
      </c>
      <c r="D1701" s="51" t="str">
        <v/>
      </c>
      <c r="E1701" s="51" t="str">
        <v/>
      </c>
      <c r="F1701" s="52" t="e">
        <v>#REF!</v>
      </c>
      <c r="G1701" s="48" t="e">
        <v>#REF!</v>
      </c>
      <c r="H1701" s="49">
        <v>0</v>
      </c>
      <c r="I1701" s="49" t="e">
        <v>#REF!</v>
      </c>
      <c r="J1701" s="50"/>
    </row>
    <row r="1702" outlineLevel="1" spans="1:10">
      <c r="A1702" s="50">
        <v>740</v>
      </c>
      <c r="B1702" s="51" t="str">
        <v>冰箱插座</v>
      </c>
      <c r="C1702" s="51" t="e">
        <v>#REF!</v>
      </c>
      <c r="D1702" s="51" t="str">
        <v/>
      </c>
      <c r="E1702" s="51" t="str">
        <v/>
      </c>
      <c r="F1702" s="52" t="e">
        <v>#REF!</v>
      </c>
      <c r="G1702" s="48" t="e">
        <v>#REF!</v>
      </c>
      <c r="H1702" s="49">
        <v>0</v>
      </c>
      <c r="I1702" s="49" t="e">
        <v>#REF!</v>
      </c>
      <c r="J1702" s="50"/>
    </row>
    <row r="1703" ht="28.8" outlineLevel="1" spans="1:10">
      <c r="A1703" s="50">
        <v>741</v>
      </c>
      <c r="B1703" s="51" t="str">
        <v>空调挂机、柜机三孔插座-（带开关）</v>
      </c>
      <c r="C1703" s="51" t="e">
        <v>#REF!</v>
      </c>
      <c r="D1703" s="51" t="str">
        <v/>
      </c>
      <c r="E1703" s="51" t="str">
        <v/>
      </c>
      <c r="F1703" s="52" t="e">
        <v>#REF!</v>
      </c>
      <c r="G1703" s="48" t="e">
        <v>#REF!</v>
      </c>
      <c r="H1703" s="49">
        <v>10</v>
      </c>
      <c r="I1703" s="49" t="e">
        <v>#REF!</v>
      </c>
      <c r="J1703" s="50"/>
    </row>
    <row r="1704" outlineLevel="1" spans="1:10">
      <c r="A1704" s="50">
        <v>742</v>
      </c>
      <c r="B1704" s="51" t="str">
        <v>热水器插座</v>
      </c>
      <c r="C1704" s="51" t="e">
        <v>#REF!</v>
      </c>
      <c r="D1704" s="51" t="str">
        <v/>
      </c>
      <c r="E1704" s="51" t="str">
        <v/>
      </c>
      <c r="F1704" s="52" t="e">
        <v>#REF!</v>
      </c>
      <c r="G1704" s="48" t="e">
        <v>#REF!</v>
      </c>
      <c r="H1704" s="49">
        <v>0</v>
      </c>
      <c r="I1704" s="49" t="e">
        <v>#REF!</v>
      </c>
      <c r="J1704" s="50"/>
    </row>
    <row r="1705" outlineLevel="1" spans="1:10">
      <c r="A1705" s="50">
        <v>743</v>
      </c>
      <c r="B1705" s="51" t="str">
        <v>单联双控开关</v>
      </c>
      <c r="C1705" s="51" t="e">
        <v>#REF!</v>
      </c>
      <c r="D1705" s="51" t="str">
        <v/>
      </c>
      <c r="E1705" s="51" t="str">
        <v/>
      </c>
      <c r="F1705" s="52" t="e">
        <v>#REF!</v>
      </c>
      <c r="G1705" s="48" t="e">
        <v>#REF!</v>
      </c>
      <c r="H1705" s="49">
        <v>1</v>
      </c>
      <c r="I1705" s="49" t="e">
        <v>#REF!</v>
      </c>
      <c r="J1705" s="50"/>
    </row>
    <row r="1706" outlineLevel="1" spans="1:10">
      <c r="A1706" s="50">
        <v>744</v>
      </c>
      <c r="B1706" s="51" t="str">
        <v>单联单控开关</v>
      </c>
      <c r="C1706" s="51" t="e">
        <v>#REF!</v>
      </c>
      <c r="D1706" s="51" t="str">
        <v/>
      </c>
      <c r="E1706" s="51" t="str">
        <v/>
      </c>
      <c r="F1706" s="52" t="e">
        <v>#REF!</v>
      </c>
      <c r="G1706" s="48" t="e">
        <v>#REF!</v>
      </c>
      <c r="H1706" s="49">
        <v>13</v>
      </c>
      <c r="I1706" s="49" t="e">
        <v>#REF!</v>
      </c>
      <c r="J1706" s="50"/>
    </row>
    <row r="1707" outlineLevel="1" spans="1:10">
      <c r="A1707" s="50">
        <v>745</v>
      </c>
      <c r="B1707" s="51" t="str">
        <v>双联单控开关</v>
      </c>
      <c r="C1707" s="51" t="e">
        <v>#REF!</v>
      </c>
      <c r="D1707" s="51" t="str">
        <v/>
      </c>
      <c r="E1707" s="51" t="str">
        <v/>
      </c>
      <c r="F1707" s="52" t="e">
        <v>#REF!</v>
      </c>
      <c r="G1707" s="48" t="e">
        <v>#REF!</v>
      </c>
      <c r="H1707" s="49">
        <v>18</v>
      </c>
      <c r="I1707" s="49" t="e">
        <v>#REF!</v>
      </c>
      <c r="J1707" s="50"/>
    </row>
    <row r="1708" outlineLevel="1" spans="1:10">
      <c r="A1708" s="50">
        <v>746</v>
      </c>
      <c r="B1708" s="51" t="str">
        <v>三联单控开关</v>
      </c>
      <c r="C1708" s="51" t="e">
        <v>#REF!</v>
      </c>
      <c r="D1708" s="51" t="str">
        <v/>
      </c>
      <c r="E1708" s="51" t="str">
        <v/>
      </c>
      <c r="F1708" s="52" t="e">
        <v>#REF!</v>
      </c>
      <c r="G1708" s="48" t="e">
        <v>#REF!</v>
      </c>
      <c r="H1708" s="49">
        <v>0</v>
      </c>
      <c r="I1708" s="49" t="e">
        <v>#REF!</v>
      </c>
      <c r="J1708" s="50"/>
    </row>
    <row r="1709" outlineLevel="1" spans="1:10">
      <c r="A1709" s="50">
        <v>747</v>
      </c>
      <c r="B1709" s="51" t="str">
        <v>热力温控开关</v>
      </c>
      <c r="C1709" s="51" t="e">
        <v>#REF!</v>
      </c>
      <c r="D1709" s="51" t="str">
        <v/>
      </c>
      <c r="E1709" s="51" t="str">
        <v/>
      </c>
      <c r="F1709" s="52" t="e">
        <v>#REF!</v>
      </c>
      <c r="G1709" s="48" t="e">
        <v>#REF!</v>
      </c>
      <c r="H1709" s="49">
        <v>0</v>
      </c>
      <c r="I1709" s="49" t="e">
        <v>#REF!</v>
      </c>
      <c r="J1709" s="50"/>
    </row>
    <row r="1710" ht="28.8" outlineLevel="1" spans="1:10">
      <c r="A1710" s="50">
        <v>748</v>
      </c>
      <c r="B1710" s="51" t="str">
        <v>暗装排气扇接线盒（含面板）</v>
      </c>
      <c r="C1710" s="51" t="e">
        <v>#REF!</v>
      </c>
      <c r="D1710" s="51" t="str">
        <v/>
      </c>
      <c r="E1710" s="51" t="str">
        <v/>
      </c>
      <c r="F1710" s="52" t="e">
        <v>#REF!</v>
      </c>
      <c r="G1710" s="48" t="e">
        <v>#REF!</v>
      </c>
      <c r="H1710" s="49">
        <v>0</v>
      </c>
      <c r="I1710" s="49" t="e">
        <v>#REF!</v>
      </c>
      <c r="J1710" s="50"/>
    </row>
    <row r="1711" outlineLevel="1" spans="1:10">
      <c r="A1711" s="50">
        <v>749</v>
      </c>
      <c r="B1711" s="51" t="str">
        <v>密闭接线盒</v>
      </c>
      <c r="C1711" s="51" t="e">
        <v>#REF!</v>
      </c>
      <c r="D1711" s="51" t="str">
        <v/>
      </c>
      <c r="E1711" s="51" t="str">
        <v/>
      </c>
      <c r="F1711" s="52" t="e">
        <v>#REF!</v>
      </c>
      <c r="G1711" s="48" t="e">
        <v>#REF!</v>
      </c>
      <c r="H1711" s="49">
        <v>0</v>
      </c>
      <c r="I1711" s="49" t="e">
        <v>#REF!</v>
      </c>
      <c r="J1711" s="50"/>
    </row>
    <row r="1712" outlineLevel="1" spans="1:10">
      <c r="A1712" s="50">
        <v>750</v>
      </c>
      <c r="B1712" s="51" t="str">
        <v>暗装塑料接线盒</v>
      </c>
      <c r="C1712" s="51" t="e">
        <v>#REF!</v>
      </c>
      <c r="D1712" s="51" t="str">
        <v/>
      </c>
      <c r="E1712" s="51" t="str">
        <v/>
      </c>
      <c r="F1712" s="52" t="e">
        <v>#REF!</v>
      </c>
      <c r="G1712" s="48" t="e">
        <v>#REF!</v>
      </c>
      <c r="H1712" s="49">
        <v>213</v>
      </c>
      <c r="I1712" s="49" t="e">
        <v>#REF!</v>
      </c>
      <c r="J1712" s="50"/>
    </row>
    <row r="1713" outlineLevel="1" spans="1:10">
      <c r="A1713" s="50">
        <v>751</v>
      </c>
      <c r="B1713" s="51" t="str">
        <v>暗装钢制接线盒</v>
      </c>
      <c r="C1713" s="51" t="e">
        <v>#REF!</v>
      </c>
      <c r="D1713" s="51" t="str">
        <v/>
      </c>
      <c r="E1713" s="51" t="str">
        <v/>
      </c>
      <c r="F1713" s="52" t="e">
        <v>#REF!</v>
      </c>
      <c r="G1713" s="48" t="e">
        <v>#REF!</v>
      </c>
      <c r="H1713" s="49">
        <v>88</v>
      </c>
      <c r="I1713" s="49" t="e">
        <v>#REF!</v>
      </c>
      <c r="J1713" s="50"/>
    </row>
    <row r="1714" outlineLevel="1" spans="1:10">
      <c r="A1714" s="50" t="str">
        <v/>
      </c>
      <c r="B1714" s="51" t="str">
        <v>B.21.6防雷接地</v>
      </c>
      <c r="C1714" s="51" t="str">
        <v/>
      </c>
      <c r="D1714" s="51" t="str">
        <v/>
      </c>
      <c r="E1714" s="51" t="str">
        <v/>
      </c>
      <c r="F1714" s="52" t="str">
        <v/>
      </c>
      <c r="G1714" s="48" t="str">
        <v/>
      </c>
      <c r="H1714" s="49">
        <v>0</v>
      </c>
      <c r="I1714" s="49" t="e">
        <v>#REF!</v>
      </c>
      <c r="J1714" s="50"/>
    </row>
    <row r="1715" outlineLevel="1" spans="1:10">
      <c r="A1715" s="50">
        <v>752</v>
      </c>
      <c r="B1715" s="51" t="str">
        <v>避雷引下线1</v>
      </c>
      <c r="C1715" s="51" t="e">
        <v>#REF!</v>
      </c>
      <c r="D1715" s="51" t="str">
        <v/>
      </c>
      <c r="E1715" s="51" t="str">
        <v/>
      </c>
      <c r="F1715" s="52" t="e">
        <v>#REF!</v>
      </c>
      <c r="G1715" s="48" t="e">
        <v>#REF!</v>
      </c>
      <c r="H1715" s="49">
        <v>243.13</v>
      </c>
      <c r="I1715" s="49" t="e">
        <v>#REF!</v>
      </c>
      <c r="J1715" s="50"/>
    </row>
    <row r="1716" outlineLevel="1" spans="1:10">
      <c r="A1716" s="50">
        <v>753</v>
      </c>
      <c r="B1716" s="51" t="str">
        <v>避雷引下线2</v>
      </c>
      <c r="C1716" s="51" t="e">
        <v>#REF!</v>
      </c>
      <c r="D1716" s="51" t="str">
        <v/>
      </c>
      <c r="E1716" s="51" t="str">
        <v/>
      </c>
      <c r="F1716" s="52" t="e">
        <v>#REF!</v>
      </c>
      <c r="G1716" s="48" t="e">
        <v>#REF!</v>
      </c>
      <c r="H1716" s="49">
        <v>0</v>
      </c>
      <c r="I1716" s="49" t="e">
        <v>#REF!</v>
      </c>
      <c r="J1716" s="50"/>
    </row>
    <row r="1717" outlineLevel="1" spans="1:10">
      <c r="A1717" s="50">
        <v>754</v>
      </c>
      <c r="B1717" s="51" t="str">
        <v>均压环</v>
      </c>
      <c r="C1717" s="51" t="e">
        <v>#REF!</v>
      </c>
      <c r="D1717" s="51" t="str">
        <v/>
      </c>
      <c r="E1717" s="51" t="str">
        <v/>
      </c>
      <c r="F1717" s="52" t="e">
        <v>#REF!</v>
      </c>
      <c r="G1717" s="48" t="e">
        <v>#REF!</v>
      </c>
      <c r="H1717" s="49">
        <v>0</v>
      </c>
      <c r="I1717" s="49" t="e">
        <v>#REF!</v>
      </c>
      <c r="J1717" s="50"/>
    </row>
    <row r="1718" outlineLevel="1" spans="1:10">
      <c r="A1718" s="50">
        <v>755</v>
      </c>
      <c r="B1718" s="51" t="str">
        <v>接地母线-25*4</v>
      </c>
      <c r="C1718" s="51" t="e">
        <v>#REF!</v>
      </c>
      <c r="D1718" s="51" t="str">
        <v/>
      </c>
      <c r="E1718" s="51" t="str">
        <v/>
      </c>
      <c r="F1718" s="52" t="e">
        <v>#REF!</v>
      </c>
      <c r="G1718" s="48" t="e">
        <v>#REF!</v>
      </c>
      <c r="H1718" s="49">
        <v>0</v>
      </c>
      <c r="I1718" s="49" t="e">
        <v>#REF!</v>
      </c>
      <c r="J1718" s="50"/>
    </row>
    <row r="1719" outlineLevel="1" spans="1:10">
      <c r="A1719" s="50">
        <v>756</v>
      </c>
      <c r="B1719" s="51" t="str">
        <v>接地母线-40*4</v>
      </c>
      <c r="C1719" s="51" t="e">
        <v>#REF!</v>
      </c>
      <c r="D1719" s="51" t="str">
        <v/>
      </c>
      <c r="E1719" s="51" t="str">
        <v/>
      </c>
      <c r="F1719" s="52" t="e">
        <v>#REF!</v>
      </c>
      <c r="G1719" s="48" t="e">
        <v>#REF!</v>
      </c>
      <c r="H1719" s="49">
        <v>175.96</v>
      </c>
      <c r="I1719" s="49" t="e">
        <v>#REF!</v>
      </c>
      <c r="J1719" s="50"/>
    </row>
    <row r="1720" outlineLevel="1" spans="1:10">
      <c r="A1720" s="50">
        <v>757</v>
      </c>
      <c r="B1720" s="51" t="str">
        <v>接地端子板</v>
      </c>
      <c r="C1720" s="51" t="e">
        <v>#REF!</v>
      </c>
      <c r="D1720" s="51" t="str">
        <v/>
      </c>
      <c r="E1720" s="51" t="str">
        <v/>
      </c>
      <c r="F1720" s="52" t="e">
        <v>#REF!</v>
      </c>
      <c r="G1720" s="48" t="e">
        <v>#REF!</v>
      </c>
      <c r="H1720" s="49">
        <v>1</v>
      </c>
      <c r="I1720" s="49" t="e">
        <v>#REF!</v>
      </c>
      <c r="J1720" s="50"/>
    </row>
    <row r="1721" outlineLevel="1" spans="1:10">
      <c r="A1721" s="50">
        <v>758</v>
      </c>
      <c r="B1721" s="51" t="str">
        <v>卫生间等电位接地</v>
      </c>
      <c r="C1721" s="51" t="e">
        <v>#REF!</v>
      </c>
      <c r="D1721" s="51" t="str">
        <v/>
      </c>
      <c r="E1721" s="51" t="str">
        <v/>
      </c>
      <c r="F1721" s="52" t="e">
        <v>#REF!</v>
      </c>
      <c r="G1721" s="48" t="e">
        <v>#REF!</v>
      </c>
      <c r="H1721" s="49">
        <v>2</v>
      </c>
      <c r="I1721" s="49" t="e">
        <v>#REF!</v>
      </c>
      <c r="J1721" s="50"/>
    </row>
    <row r="1722" outlineLevel="1" spans="1:10">
      <c r="A1722" s="50">
        <v>759</v>
      </c>
      <c r="B1722" s="51" t="str">
        <v>避雷网1</v>
      </c>
      <c r="C1722" s="51" t="e">
        <v>#REF!</v>
      </c>
      <c r="D1722" s="51" t="str">
        <v/>
      </c>
      <c r="E1722" s="51" t="str">
        <v/>
      </c>
      <c r="F1722" s="52" t="e">
        <v>#REF!</v>
      </c>
      <c r="G1722" s="48" t="e">
        <v>#REF!</v>
      </c>
      <c r="H1722" s="49">
        <v>278.67</v>
      </c>
      <c r="I1722" s="49" t="e">
        <v>#REF!</v>
      </c>
      <c r="J1722" s="50"/>
    </row>
    <row r="1723" outlineLevel="1" spans="1:10">
      <c r="A1723" s="50" t="str">
        <v/>
      </c>
      <c r="B1723" s="51" t="str">
        <v>B.22弱电工程</v>
      </c>
      <c r="C1723" s="51" t="str">
        <v/>
      </c>
      <c r="D1723" s="51" t="str">
        <v/>
      </c>
      <c r="E1723" s="51" t="str">
        <v/>
      </c>
      <c r="F1723" s="52" t="str">
        <v/>
      </c>
      <c r="G1723" s="48" t="str">
        <v/>
      </c>
      <c r="H1723" s="49">
        <v>0</v>
      </c>
      <c r="I1723" s="49" t="e">
        <v>#REF!</v>
      </c>
      <c r="J1723" s="50"/>
    </row>
    <row r="1724" outlineLevel="1" spans="1:10">
      <c r="A1724" s="50">
        <v>760</v>
      </c>
      <c r="B1724" s="51" t="str">
        <v>弱电箱</v>
      </c>
      <c r="C1724" s="51" t="e">
        <v>#REF!</v>
      </c>
      <c r="D1724" s="51" t="str">
        <v/>
      </c>
      <c r="E1724" s="51" t="str">
        <v/>
      </c>
      <c r="F1724" s="52" t="e">
        <v>#REF!</v>
      </c>
      <c r="G1724" s="48" t="e">
        <v>#REF!</v>
      </c>
      <c r="H1724" s="49">
        <v>0</v>
      </c>
      <c r="I1724" s="49" t="e">
        <v>#REF!</v>
      </c>
      <c r="J1724" s="50"/>
    </row>
    <row r="1725" outlineLevel="1" spans="1:10">
      <c r="A1725" s="50">
        <v>761</v>
      </c>
      <c r="B1725" s="51" t="str">
        <v>金属桥架-100*100</v>
      </c>
      <c r="C1725" s="51" t="e">
        <v>#REF!</v>
      </c>
      <c r="D1725" s="51" t="str">
        <v/>
      </c>
      <c r="E1725" s="51" t="str">
        <v/>
      </c>
      <c r="F1725" s="52" t="e">
        <v>#REF!</v>
      </c>
      <c r="G1725" s="48" t="e">
        <v>#REF!</v>
      </c>
      <c r="H1725" s="49">
        <v>1</v>
      </c>
      <c r="I1725" s="49" t="e">
        <v>#REF!</v>
      </c>
      <c r="J1725" s="50"/>
    </row>
    <row r="1726" outlineLevel="1" spans="1:10">
      <c r="A1726" s="50">
        <v>762</v>
      </c>
      <c r="B1726" s="51" t="str">
        <v>金属桥架-150*100</v>
      </c>
      <c r="C1726" s="51" t="e">
        <v>#REF!</v>
      </c>
      <c r="D1726" s="51" t="str">
        <v/>
      </c>
      <c r="E1726" s="51" t="str">
        <v/>
      </c>
      <c r="F1726" s="52" t="e">
        <v>#REF!</v>
      </c>
      <c r="G1726" s="48" t="e">
        <v>#REF!</v>
      </c>
      <c r="H1726" s="49">
        <v>1</v>
      </c>
      <c r="I1726" s="49" t="e">
        <v>#REF!</v>
      </c>
      <c r="J1726" s="50"/>
    </row>
    <row r="1727" outlineLevel="1" spans="1:10">
      <c r="A1727" s="50">
        <v>763</v>
      </c>
      <c r="B1727" s="51" t="str">
        <v>防火堵洞</v>
      </c>
      <c r="C1727" s="51" t="e">
        <v>#REF!</v>
      </c>
      <c r="D1727" s="51" t="str">
        <v/>
      </c>
      <c r="E1727" s="51" t="str">
        <v/>
      </c>
      <c r="F1727" s="52" t="e">
        <v>#REF!</v>
      </c>
      <c r="G1727" s="48" t="e">
        <v>#REF!</v>
      </c>
      <c r="H1727" s="49">
        <v>1</v>
      </c>
      <c r="I1727" s="49" t="e">
        <v>#REF!</v>
      </c>
      <c r="J1727" s="50"/>
    </row>
    <row r="1728" ht="28.8" outlineLevel="1" spans="1:10">
      <c r="A1728" s="50">
        <v>764</v>
      </c>
      <c r="B1728" s="51" t="str">
        <v>阻燃塑料管配管-PC20-暗配</v>
      </c>
      <c r="C1728" s="51" t="e">
        <v>#REF!</v>
      </c>
      <c r="D1728" s="51" t="str">
        <v/>
      </c>
      <c r="E1728" s="51" t="str">
        <v/>
      </c>
      <c r="F1728" s="52" t="e">
        <v>#REF!</v>
      </c>
      <c r="G1728" s="48" t="e">
        <v>#REF!</v>
      </c>
      <c r="H1728" s="49">
        <v>264.33</v>
      </c>
      <c r="I1728" s="49" t="e">
        <v>#REF!</v>
      </c>
      <c r="J1728" s="50"/>
    </row>
    <row r="1729" ht="28.8" outlineLevel="1" spans="1:10">
      <c r="A1729" s="50">
        <v>765</v>
      </c>
      <c r="B1729" s="51" t="str">
        <v>阻燃塑料管配管-PC25-暗配</v>
      </c>
      <c r="C1729" s="51" t="e">
        <v>#REF!</v>
      </c>
      <c r="D1729" s="51" t="str">
        <v/>
      </c>
      <c r="E1729" s="51" t="str">
        <v/>
      </c>
      <c r="F1729" s="52" t="e">
        <v>#REF!</v>
      </c>
      <c r="G1729" s="48" t="e">
        <v>#REF!</v>
      </c>
      <c r="H1729" s="49">
        <v>49</v>
      </c>
      <c r="I1729" s="49" t="e">
        <v>#REF!</v>
      </c>
      <c r="J1729" s="50"/>
    </row>
    <row r="1730" ht="28.8" outlineLevel="1" spans="1:10">
      <c r="A1730" s="50">
        <v>766</v>
      </c>
      <c r="B1730" s="51" t="str">
        <v>阻燃塑料管配管-PC32-暗配</v>
      </c>
      <c r="C1730" s="51" t="e">
        <v>#REF!</v>
      </c>
      <c r="D1730" s="51" t="str">
        <v/>
      </c>
      <c r="E1730" s="51" t="str">
        <v/>
      </c>
      <c r="F1730" s="52" t="e">
        <v>#REF!</v>
      </c>
      <c r="G1730" s="48" t="e">
        <v>#REF!</v>
      </c>
      <c r="H1730" s="49">
        <v>0</v>
      </c>
      <c r="I1730" s="49" t="e">
        <v>#REF!</v>
      </c>
      <c r="J1730" s="50"/>
    </row>
    <row r="1731" ht="28.8" outlineLevel="1" spans="1:10">
      <c r="A1731" s="50">
        <v>767</v>
      </c>
      <c r="B1731" s="51" t="str">
        <v>薄壁钢导管配管-JDG20-暗配</v>
      </c>
      <c r="C1731" s="51" t="e">
        <v>#REF!</v>
      </c>
      <c r="D1731" s="51" t="str">
        <v/>
      </c>
      <c r="E1731" s="51" t="str">
        <v/>
      </c>
      <c r="F1731" s="52" t="e">
        <v>#REF!</v>
      </c>
      <c r="G1731" s="48" t="e">
        <v>#REF!</v>
      </c>
      <c r="H1731" s="49">
        <v>0</v>
      </c>
      <c r="I1731" s="49" t="e">
        <v>#REF!</v>
      </c>
      <c r="J1731" s="50"/>
    </row>
    <row r="1732" ht="28.8" outlineLevel="1" spans="1:10">
      <c r="A1732" s="50">
        <v>768</v>
      </c>
      <c r="B1732" s="51" t="str">
        <v>薄壁钢导管配管-JDG25-暗配</v>
      </c>
      <c r="C1732" s="51" t="e">
        <v>#REF!</v>
      </c>
      <c r="D1732" s="51" t="str">
        <v/>
      </c>
      <c r="E1732" s="51" t="str">
        <v/>
      </c>
      <c r="F1732" s="52" t="e">
        <v>#REF!</v>
      </c>
      <c r="G1732" s="48" t="e">
        <v>#REF!</v>
      </c>
      <c r="H1732" s="49">
        <v>0</v>
      </c>
      <c r="I1732" s="49" t="e">
        <v>#REF!</v>
      </c>
      <c r="J1732" s="50"/>
    </row>
    <row r="1733" ht="28.8" outlineLevel="1" spans="1:10">
      <c r="A1733" s="50">
        <v>769</v>
      </c>
      <c r="B1733" s="51" t="str">
        <v>薄壁钢导管配管-JDG20-明配</v>
      </c>
      <c r="C1733" s="51" t="e">
        <v>#REF!</v>
      </c>
      <c r="D1733" s="51" t="str">
        <v/>
      </c>
      <c r="E1733" s="51" t="str">
        <v/>
      </c>
      <c r="F1733" s="52" t="e">
        <v>#REF!</v>
      </c>
      <c r="G1733" s="48" t="e">
        <v>#REF!</v>
      </c>
      <c r="H1733" s="49">
        <v>0</v>
      </c>
      <c r="I1733" s="49" t="e">
        <v>#REF!</v>
      </c>
      <c r="J1733" s="50"/>
    </row>
    <row r="1734" ht="28.8" outlineLevel="1" spans="1:10">
      <c r="A1734" s="50">
        <v>770</v>
      </c>
      <c r="B1734" s="51" t="str">
        <v>薄壁钢导管配管-JDG25-明配</v>
      </c>
      <c r="C1734" s="51" t="e">
        <v>#REF!</v>
      </c>
      <c r="D1734" s="51" t="str">
        <v/>
      </c>
      <c r="E1734" s="51" t="str">
        <v/>
      </c>
      <c r="F1734" s="52" t="e">
        <v>#REF!</v>
      </c>
      <c r="G1734" s="48" t="e">
        <v>#REF!</v>
      </c>
      <c r="H1734" s="49">
        <v>0</v>
      </c>
      <c r="I1734" s="49" t="e">
        <v>#REF!</v>
      </c>
      <c r="J1734" s="50"/>
    </row>
    <row r="1735" outlineLevel="1" spans="1:10">
      <c r="A1735" s="50">
        <v>771</v>
      </c>
      <c r="B1735" s="51" t="str">
        <v>SC20-暗配</v>
      </c>
      <c r="C1735" s="51" t="e">
        <v>#REF!</v>
      </c>
      <c r="D1735" s="51" t="str">
        <v/>
      </c>
      <c r="E1735" s="51" t="str">
        <v/>
      </c>
      <c r="F1735" s="52" t="e">
        <v>#REF!</v>
      </c>
      <c r="G1735" s="48" t="e">
        <v>#REF!</v>
      </c>
      <c r="H1735" s="49">
        <v>10.3</v>
      </c>
      <c r="I1735" s="49" t="e">
        <v>#REF!</v>
      </c>
      <c r="J1735" s="50"/>
    </row>
    <row r="1736" outlineLevel="1" spans="1:10">
      <c r="A1736" s="50">
        <v>772</v>
      </c>
      <c r="B1736" s="51" t="str">
        <v>金属软管配管-DN25</v>
      </c>
      <c r="C1736" s="51" t="e">
        <v>#REF!</v>
      </c>
      <c r="D1736" s="51" t="str">
        <v/>
      </c>
      <c r="E1736" s="51" t="str">
        <v/>
      </c>
      <c r="F1736" s="52" t="e">
        <v>#REF!</v>
      </c>
      <c r="G1736" s="48" t="e">
        <v>#REF!</v>
      </c>
      <c r="H1736" s="49">
        <v>0</v>
      </c>
      <c r="I1736" s="49" t="e">
        <v>#REF!</v>
      </c>
      <c r="J1736" s="50"/>
    </row>
    <row r="1737" outlineLevel="1" spans="1:10">
      <c r="A1737" s="50">
        <v>773</v>
      </c>
      <c r="B1737" s="51" t="str">
        <v>暗装塑料接线盒</v>
      </c>
      <c r="C1737" s="51" t="e">
        <v>#REF!</v>
      </c>
      <c r="D1737" s="51" t="str">
        <v/>
      </c>
      <c r="E1737" s="51" t="str">
        <v/>
      </c>
      <c r="F1737" s="52" t="e">
        <v>#REF!</v>
      </c>
      <c r="G1737" s="48" t="e">
        <v>#REF!</v>
      </c>
      <c r="H1737" s="49">
        <v>19</v>
      </c>
      <c r="I1737" s="49" t="e">
        <v>#REF!</v>
      </c>
      <c r="J1737" s="50"/>
    </row>
    <row r="1738" outlineLevel="1" spans="1:10">
      <c r="A1738" s="50">
        <v>774</v>
      </c>
      <c r="B1738" s="51" t="str">
        <v>暗装钢制接线盒</v>
      </c>
      <c r="C1738" s="51" t="e">
        <v>#REF!</v>
      </c>
      <c r="D1738" s="51" t="str">
        <v/>
      </c>
      <c r="E1738" s="51" t="str">
        <v/>
      </c>
      <c r="F1738" s="52" t="e">
        <v>#REF!</v>
      </c>
      <c r="G1738" s="48" t="e">
        <v>#REF!</v>
      </c>
      <c r="H1738" s="49">
        <v>1</v>
      </c>
      <c r="I1738" s="49" t="e">
        <v>#REF!</v>
      </c>
      <c r="J1738" s="50"/>
    </row>
    <row r="1739" outlineLevel="1" spans="1:10">
      <c r="A1739" s="50">
        <v>775</v>
      </c>
      <c r="B1739" s="51" t="str">
        <v>空白面板</v>
      </c>
      <c r="C1739" s="51" t="e">
        <v>#REF!</v>
      </c>
      <c r="D1739" s="51" t="str">
        <v/>
      </c>
      <c r="E1739" s="51" t="str">
        <v/>
      </c>
      <c r="F1739" s="52" t="e">
        <v>#REF!</v>
      </c>
      <c r="G1739" s="48" t="e">
        <v>#REF!</v>
      </c>
      <c r="H1739" s="49">
        <v>1</v>
      </c>
      <c r="I1739" s="49" t="e">
        <v>#REF!</v>
      </c>
      <c r="J1739" s="50"/>
    </row>
    <row r="1740" outlineLevel="1" spans="1:10">
      <c r="A1740" s="50">
        <v>776</v>
      </c>
      <c r="B1740" s="51" t="str">
        <v>管内穿铁丝</v>
      </c>
      <c r="C1740" s="51" t="e">
        <v>#REF!</v>
      </c>
      <c r="D1740" s="51" t="str">
        <v/>
      </c>
      <c r="E1740" s="51" t="str">
        <v/>
      </c>
      <c r="F1740" s="52" t="e">
        <v>#REF!</v>
      </c>
      <c r="G1740" s="48" t="e">
        <v>#REF!</v>
      </c>
      <c r="H1740" s="49">
        <v>335.49</v>
      </c>
      <c r="I1740" s="49" t="e">
        <v>#REF!</v>
      </c>
      <c r="J1740" s="50"/>
    </row>
    <row r="1741" outlineLevel="1" spans="1:10">
      <c r="A1741" s="50" t="str">
        <v/>
      </c>
      <c r="B1741" s="51" t="str">
        <v>B.23消防工程</v>
      </c>
      <c r="C1741" s="51" t="str">
        <v/>
      </c>
      <c r="D1741" s="51" t="str">
        <v/>
      </c>
      <c r="E1741" s="51" t="str">
        <v/>
      </c>
      <c r="F1741" s="52" t="str">
        <v/>
      </c>
      <c r="G1741" s="48" t="str">
        <v/>
      </c>
      <c r="H1741" s="49">
        <v>0</v>
      </c>
      <c r="I1741" s="49" t="e">
        <v>#REF!</v>
      </c>
      <c r="J1741" s="50"/>
    </row>
    <row r="1742" outlineLevel="1" spans="1:10">
      <c r="A1742" s="50">
        <v>777</v>
      </c>
      <c r="B1742" s="51" t="str">
        <v>防火桥架-100*100</v>
      </c>
      <c r="C1742" s="51" t="e">
        <v>#REF!</v>
      </c>
      <c r="D1742" s="51" t="str">
        <v/>
      </c>
      <c r="E1742" s="51" t="str">
        <v/>
      </c>
      <c r="F1742" s="52" t="e">
        <v>#REF!</v>
      </c>
      <c r="G1742" s="48" t="e">
        <v>#REF!</v>
      </c>
      <c r="H1742" s="49">
        <v>1</v>
      </c>
      <c r="I1742" s="49" t="e">
        <v>#REF!</v>
      </c>
      <c r="J1742" s="50"/>
    </row>
    <row r="1743" outlineLevel="1" spans="1:10">
      <c r="A1743" s="50">
        <v>778</v>
      </c>
      <c r="B1743" s="51" t="str">
        <v>防火桥架-150*100</v>
      </c>
      <c r="C1743" s="51" t="e">
        <v>#REF!</v>
      </c>
      <c r="D1743" s="51" t="str">
        <v/>
      </c>
      <c r="E1743" s="51" t="str">
        <v/>
      </c>
      <c r="F1743" s="52" t="e">
        <v>#REF!</v>
      </c>
      <c r="G1743" s="48" t="e">
        <v>#REF!</v>
      </c>
      <c r="H1743" s="49">
        <v>0</v>
      </c>
      <c r="I1743" s="49" t="e">
        <v>#REF!</v>
      </c>
      <c r="J1743" s="50"/>
    </row>
    <row r="1744" outlineLevel="1" spans="1:10">
      <c r="A1744" s="50">
        <v>779</v>
      </c>
      <c r="B1744" s="51" t="str">
        <v>防火堵洞</v>
      </c>
      <c r="C1744" s="51" t="e">
        <v>#REF!</v>
      </c>
      <c r="D1744" s="51" t="str">
        <v/>
      </c>
      <c r="E1744" s="51" t="str">
        <v/>
      </c>
      <c r="F1744" s="52" t="e">
        <v>#REF!</v>
      </c>
      <c r="G1744" s="48" t="e">
        <v>#REF!</v>
      </c>
      <c r="H1744" s="49">
        <v>1</v>
      </c>
      <c r="I1744" s="49" t="e">
        <v>#REF!</v>
      </c>
      <c r="J1744" s="50"/>
    </row>
    <row r="1745" outlineLevel="1" spans="1:10">
      <c r="A1745" s="50">
        <v>780</v>
      </c>
      <c r="B1745" s="51" t="str">
        <v>SC15-暗配</v>
      </c>
      <c r="C1745" s="51" t="e">
        <v>#REF!</v>
      </c>
      <c r="D1745" s="51" t="str">
        <v/>
      </c>
      <c r="E1745" s="51" t="str">
        <v/>
      </c>
      <c r="F1745" s="52" t="e">
        <v>#REF!</v>
      </c>
      <c r="G1745" s="48" t="e">
        <v>#REF!</v>
      </c>
      <c r="H1745" s="49">
        <v>1</v>
      </c>
      <c r="I1745" s="49" t="e">
        <v>#REF!</v>
      </c>
      <c r="J1745" s="50"/>
    </row>
    <row r="1746" outlineLevel="1" spans="1:10">
      <c r="A1746" s="50">
        <v>781</v>
      </c>
      <c r="B1746" s="51" t="str">
        <v>SC20-暗配</v>
      </c>
      <c r="C1746" s="51" t="e">
        <v>#REF!</v>
      </c>
      <c r="D1746" s="51" t="str">
        <v/>
      </c>
      <c r="E1746" s="51" t="str">
        <v/>
      </c>
      <c r="F1746" s="52" t="e">
        <v>#REF!</v>
      </c>
      <c r="G1746" s="48" t="e">
        <v>#REF!</v>
      </c>
      <c r="H1746" s="49">
        <v>1</v>
      </c>
      <c r="I1746" s="49" t="e">
        <v>#REF!</v>
      </c>
      <c r="J1746" s="50"/>
    </row>
    <row r="1747" outlineLevel="1" spans="1:10">
      <c r="A1747" s="50">
        <v>782</v>
      </c>
      <c r="B1747" s="51" t="str">
        <v>SC25-暗配</v>
      </c>
      <c r="C1747" s="51" t="e">
        <v>#REF!</v>
      </c>
      <c r="D1747" s="51" t="str">
        <v/>
      </c>
      <c r="E1747" s="51" t="str">
        <v/>
      </c>
      <c r="F1747" s="52" t="e">
        <v>#REF!</v>
      </c>
      <c r="G1747" s="48" t="e">
        <v>#REF!</v>
      </c>
      <c r="H1747" s="49">
        <v>1</v>
      </c>
      <c r="I1747" s="49" t="e">
        <v>#REF!</v>
      </c>
      <c r="J1747" s="50"/>
    </row>
    <row r="1748" ht="28.8" outlineLevel="1" spans="1:10">
      <c r="A1748" s="50">
        <v>783</v>
      </c>
      <c r="B1748" s="51" t="str">
        <v>薄壁钢导管配管-JDG20-明配</v>
      </c>
      <c r="C1748" s="51" t="e">
        <v>#REF!</v>
      </c>
      <c r="D1748" s="51" t="str">
        <v/>
      </c>
      <c r="E1748" s="51" t="str">
        <v/>
      </c>
      <c r="F1748" s="52" t="e">
        <v>#REF!</v>
      </c>
      <c r="G1748" s="48" t="e">
        <v>#REF!</v>
      </c>
      <c r="H1748" s="49">
        <v>0</v>
      </c>
      <c r="I1748" s="49" t="e">
        <v>#REF!</v>
      </c>
      <c r="J1748" s="50"/>
    </row>
    <row r="1749" ht="28.8" outlineLevel="1" spans="1:10">
      <c r="A1749" s="50">
        <v>784</v>
      </c>
      <c r="B1749" s="51" t="str">
        <v>薄壁钢导管配管-JDG25-暗配</v>
      </c>
      <c r="C1749" s="51" t="e">
        <v>#REF!</v>
      </c>
      <c r="D1749" s="51" t="str">
        <v/>
      </c>
      <c r="E1749" s="51" t="str">
        <v/>
      </c>
      <c r="F1749" s="52" t="e">
        <v>#REF!</v>
      </c>
      <c r="G1749" s="48" t="e">
        <v>#REF!</v>
      </c>
      <c r="H1749" s="49">
        <v>0</v>
      </c>
      <c r="I1749" s="49" t="e">
        <v>#REF!</v>
      </c>
      <c r="J1749" s="50"/>
    </row>
    <row r="1750" ht="28.8" outlineLevel="1" spans="1:10">
      <c r="A1750" s="50">
        <v>785</v>
      </c>
      <c r="B1750" s="51" t="str">
        <v>薄壁钢导管配管-JDG32-暗配</v>
      </c>
      <c r="C1750" s="51" t="e">
        <v>#REF!</v>
      </c>
      <c r="D1750" s="51" t="str">
        <v/>
      </c>
      <c r="E1750" s="51" t="str">
        <v/>
      </c>
      <c r="F1750" s="52" t="e">
        <v>#REF!</v>
      </c>
      <c r="G1750" s="48" t="e">
        <v>#REF!</v>
      </c>
      <c r="H1750" s="49">
        <v>0</v>
      </c>
      <c r="I1750" s="49" t="e">
        <v>#REF!</v>
      </c>
      <c r="J1750" s="50"/>
    </row>
    <row r="1751" outlineLevel="1" spans="1:10">
      <c r="A1751" s="50">
        <v>786</v>
      </c>
      <c r="B1751" s="51" t="str">
        <v>金属软管配管-DN20</v>
      </c>
      <c r="C1751" s="51" t="e">
        <v>#REF!</v>
      </c>
      <c r="D1751" s="51" t="str">
        <v/>
      </c>
      <c r="E1751" s="51" t="str">
        <v/>
      </c>
      <c r="F1751" s="52" t="e">
        <v>#REF!</v>
      </c>
      <c r="G1751" s="48" t="e">
        <v>#REF!</v>
      </c>
      <c r="H1751" s="49">
        <v>0</v>
      </c>
      <c r="I1751" s="49" t="e">
        <v>#REF!</v>
      </c>
      <c r="J1751" s="50"/>
    </row>
    <row r="1752" outlineLevel="1" spans="1:10">
      <c r="A1752" s="50">
        <v>787</v>
      </c>
      <c r="B1752" s="51" t="str">
        <v>管内穿铁丝</v>
      </c>
      <c r="C1752" s="51" t="e">
        <v>#REF!</v>
      </c>
      <c r="D1752" s="51" t="str">
        <v/>
      </c>
      <c r="E1752" s="51" t="str">
        <v/>
      </c>
      <c r="F1752" s="52" t="e">
        <v>#REF!</v>
      </c>
      <c r="G1752" s="48" t="e">
        <v>#REF!</v>
      </c>
      <c r="H1752" s="49">
        <v>1</v>
      </c>
      <c r="I1752" s="49" t="e">
        <v>#REF!</v>
      </c>
      <c r="J1752" s="50"/>
    </row>
    <row r="1753" outlineLevel="1" spans="1:10">
      <c r="A1753" s="50">
        <v>788</v>
      </c>
      <c r="B1753" s="51" t="str">
        <v>暗装钢制接线盒</v>
      </c>
      <c r="C1753" s="51" t="e">
        <v>#REF!</v>
      </c>
      <c r="D1753" s="51" t="str">
        <v/>
      </c>
      <c r="E1753" s="51" t="str">
        <v/>
      </c>
      <c r="F1753" s="52" t="e">
        <v>#REF!</v>
      </c>
      <c r="G1753" s="48" t="e">
        <v>#REF!</v>
      </c>
      <c r="H1753" s="49">
        <v>1</v>
      </c>
      <c r="I1753" s="49" t="e">
        <v>#REF!</v>
      </c>
      <c r="J1753" s="50"/>
    </row>
    <row r="1754" outlineLevel="1" spans="1:10">
      <c r="A1754" s="50" t="str">
        <v/>
      </c>
      <c r="B1754" s="51" t="str">
        <v/>
      </c>
      <c r="C1754" s="51" t="str">
        <v/>
      </c>
      <c r="D1754" s="51" t="str">
        <v/>
      </c>
      <c r="E1754" s="51" t="str">
        <v/>
      </c>
      <c r="F1754" s="52" t="str">
        <v/>
      </c>
      <c r="G1754" s="48" t="str">
        <v/>
      </c>
      <c r="H1754" s="49">
        <v>0</v>
      </c>
      <c r="I1754" s="49">
        <v>0</v>
      </c>
      <c r="J1754" s="50"/>
    </row>
    <row r="1755" outlineLevel="1" spans="1:10">
      <c r="A1755" s="50" t="str">
        <v/>
      </c>
      <c r="B1755" s="51" t="str">
        <v/>
      </c>
      <c r="C1755" s="51" t="str">
        <v/>
      </c>
      <c r="D1755" s="51" t="str">
        <v/>
      </c>
      <c r="E1755" s="51" t="str">
        <v/>
      </c>
      <c r="F1755" s="52" t="str">
        <v/>
      </c>
      <c r="G1755" s="48" t="str">
        <v/>
      </c>
      <c r="H1755" s="49">
        <v>0</v>
      </c>
      <c r="I1755" s="49">
        <v>0</v>
      </c>
      <c r="J1755" s="50"/>
    </row>
    <row r="1756" outlineLevel="1" spans="1:10">
      <c r="A1756" s="50" t="str">
        <v/>
      </c>
      <c r="B1756" s="51" t="str">
        <v/>
      </c>
      <c r="C1756" s="51" t="str">
        <v/>
      </c>
      <c r="D1756" s="51" t="str">
        <v/>
      </c>
      <c r="E1756" s="51" t="str">
        <v/>
      </c>
      <c r="F1756" s="52" t="str">
        <v/>
      </c>
      <c r="G1756" s="48" t="str">
        <v/>
      </c>
      <c r="H1756" s="49">
        <v>0</v>
      </c>
      <c r="I1756" s="49">
        <v>0</v>
      </c>
      <c r="J1756" s="50"/>
    </row>
    <row r="1757" outlineLevel="1" spans="1:10">
      <c r="A1757" s="50" t="str">
        <v/>
      </c>
      <c r="B1757" s="51" t="str">
        <v/>
      </c>
      <c r="C1757" s="51" t="str">
        <v/>
      </c>
      <c r="D1757" s="51" t="str">
        <v/>
      </c>
      <c r="E1757" s="51" t="str">
        <v/>
      </c>
      <c r="F1757" s="52" t="str">
        <v/>
      </c>
      <c r="G1757" s="48" t="str">
        <v/>
      </c>
      <c r="H1757" s="49">
        <v>0</v>
      </c>
      <c r="I1757" s="49">
        <v>0</v>
      </c>
      <c r="J1757" s="50"/>
    </row>
    <row r="1758" outlineLevel="1" spans="1:10">
      <c r="A1758" s="50" t="str">
        <v/>
      </c>
      <c r="B1758" s="51" t="str">
        <v/>
      </c>
      <c r="C1758" s="51" t="str">
        <v/>
      </c>
      <c r="D1758" s="51" t="str">
        <v/>
      </c>
      <c r="E1758" s="51" t="str">
        <v/>
      </c>
      <c r="F1758" s="52" t="str">
        <v/>
      </c>
      <c r="G1758" s="48" t="str">
        <v/>
      </c>
      <c r="H1758" s="49">
        <v>0</v>
      </c>
      <c r="I1758" s="49">
        <v>0</v>
      </c>
      <c r="J1758" s="50"/>
    </row>
    <row r="1759" outlineLevel="1" spans="1:10">
      <c r="A1759" s="50" t="str">
        <v/>
      </c>
      <c r="B1759" s="51" t="str">
        <v/>
      </c>
      <c r="C1759" s="51" t="str">
        <v/>
      </c>
      <c r="D1759" s="51" t="str">
        <v/>
      </c>
      <c r="E1759" s="51" t="str">
        <v/>
      </c>
      <c r="F1759" s="52" t="str">
        <v/>
      </c>
      <c r="G1759" s="48" t="str">
        <v/>
      </c>
      <c r="H1759" s="49">
        <v>0</v>
      </c>
      <c r="I1759" s="49">
        <v>0</v>
      </c>
      <c r="J1759" s="50"/>
    </row>
    <row r="1760" outlineLevel="1" spans="1:10">
      <c r="A1760" s="50" t="str">
        <v/>
      </c>
      <c r="B1760" s="51" t="str">
        <v/>
      </c>
      <c r="C1760" s="51" t="str">
        <v/>
      </c>
      <c r="D1760" s="51" t="str">
        <v/>
      </c>
      <c r="E1760" s="51" t="str">
        <v/>
      </c>
      <c r="F1760" s="52" t="str">
        <v/>
      </c>
      <c r="G1760" s="48" t="str">
        <v/>
      </c>
      <c r="H1760" s="49">
        <v>0</v>
      </c>
      <c r="I1760" s="49">
        <v>0</v>
      </c>
      <c r="J1760" s="50"/>
    </row>
    <row r="1761" outlineLevel="1" spans="1:10">
      <c r="A1761" s="50" t="str">
        <v/>
      </c>
      <c r="B1761" s="51" t="str">
        <v/>
      </c>
      <c r="C1761" s="51" t="str">
        <v/>
      </c>
      <c r="D1761" s="51" t="str">
        <v/>
      </c>
      <c r="E1761" s="51" t="str">
        <v/>
      </c>
      <c r="F1761" s="52" t="str">
        <v/>
      </c>
      <c r="G1761" s="48" t="str">
        <v/>
      </c>
      <c r="H1761" s="49">
        <v>0</v>
      </c>
      <c r="I1761" s="49">
        <v>0</v>
      </c>
      <c r="J1761" s="50"/>
    </row>
    <row r="1762" outlineLevel="1" spans="1:10">
      <c r="A1762" s="50" t="str">
        <v/>
      </c>
      <c r="B1762" s="51" t="str">
        <v/>
      </c>
      <c r="C1762" s="51" t="str">
        <v/>
      </c>
      <c r="D1762" s="51" t="str">
        <v/>
      </c>
      <c r="E1762" s="51" t="str">
        <v/>
      </c>
      <c r="F1762" s="52" t="str">
        <v/>
      </c>
      <c r="G1762" s="48" t="str">
        <v/>
      </c>
      <c r="H1762" s="49">
        <v>0</v>
      </c>
      <c r="I1762" s="49">
        <v>0</v>
      </c>
      <c r="J1762" s="50"/>
    </row>
    <row r="1763" outlineLevel="1" spans="1:10">
      <c r="A1763" s="50" t="str">
        <v/>
      </c>
      <c r="B1763" s="51" t="str">
        <v/>
      </c>
      <c r="C1763" s="51" t="str">
        <v/>
      </c>
      <c r="D1763" s="51" t="str">
        <v/>
      </c>
      <c r="E1763" s="51" t="str">
        <v/>
      </c>
      <c r="F1763" s="52" t="str">
        <v/>
      </c>
      <c r="G1763" s="48" t="str">
        <v/>
      </c>
      <c r="H1763" s="49">
        <v>0</v>
      </c>
      <c r="I1763" s="49">
        <v>0</v>
      </c>
      <c r="J1763" s="50"/>
    </row>
    <row r="1764" outlineLevel="1" spans="1:10">
      <c r="A1764" s="50" t="str">
        <v/>
      </c>
      <c r="B1764" s="51" t="str">
        <v/>
      </c>
      <c r="C1764" s="51" t="str">
        <v/>
      </c>
      <c r="D1764" s="51" t="str">
        <v/>
      </c>
      <c r="E1764" s="51" t="str">
        <v/>
      </c>
      <c r="F1764" s="52" t="str">
        <v/>
      </c>
      <c r="G1764" s="48" t="str">
        <v/>
      </c>
      <c r="H1764" s="49">
        <v>0</v>
      </c>
      <c r="I1764" s="49">
        <v>0</v>
      </c>
      <c r="J1764" s="50"/>
    </row>
    <row r="1765" outlineLevel="1" spans="1:10">
      <c r="A1765" s="50" t="str">
        <v/>
      </c>
      <c r="B1765" s="51" t="str">
        <v/>
      </c>
      <c r="C1765" s="51" t="str">
        <v/>
      </c>
      <c r="D1765" s="51" t="str">
        <v/>
      </c>
      <c r="E1765" s="51" t="str">
        <v/>
      </c>
      <c r="F1765" s="52" t="str">
        <v/>
      </c>
      <c r="G1765" s="48" t="str">
        <v/>
      </c>
      <c r="H1765" s="49">
        <v>0</v>
      </c>
      <c r="I1765" s="49">
        <v>0</v>
      </c>
      <c r="J1765" s="50"/>
    </row>
    <row r="1766" outlineLevel="1" spans="1:10">
      <c r="A1766" s="50" t="str">
        <v/>
      </c>
      <c r="B1766" s="51" t="str">
        <v/>
      </c>
      <c r="C1766" s="51" t="str">
        <v/>
      </c>
      <c r="D1766" s="51" t="str">
        <v/>
      </c>
      <c r="E1766" s="51" t="str">
        <v/>
      </c>
      <c r="F1766" s="52" t="str">
        <v/>
      </c>
      <c r="G1766" s="48" t="str">
        <v/>
      </c>
      <c r="H1766" s="49">
        <v>0</v>
      </c>
      <c r="I1766" s="49">
        <v>0</v>
      </c>
      <c r="J1766" s="50"/>
    </row>
    <row r="1767" outlineLevel="1" spans="1:10">
      <c r="A1767" s="50" t="str">
        <v/>
      </c>
      <c r="B1767" s="51" t="str">
        <v/>
      </c>
      <c r="C1767" s="51" t="str">
        <v/>
      </c>
      <c r="D1767" s="51" t="str">
        <v/>
      </c>
      <c r="E1767" s="51" t="str">
        <v/>
      </c>
      <c r="F1767" s="52" t="str">
        <v/>
      </c>
      <c r="G1767" s="48" t="str">
        <v/>
      </c>
      <c r="H1767" s="49">
        <v>0</v>
      </c>
      <c r="I1767" s="49">
        <v>0</v>
      </c>
      <c r="J1767" s="50"/>
    </row>
    <row r="1768" outlineLevel="1" spans="1:10">
      <c r="A1768" s="50" t="str">
        <v/>
      </c>
      <c r="B1768" s="51" t="str">
        <v/>
      </c>
      <c r="C1768" s="51" t="str">
        <v/>
      </c>
      <c r="D1768" s="51" t="str">
        <v/>
      </c>
      <c r="E1768" s="51" t="str">
        <v/>
      </c>
      <c r="F1768" s="52" t="str">
        <v/>
      </c>
      <c r="G1768" s="48" t="str">
        <v/>
      </c>
      <c r="H1768" s="49">
        <v>0</v>
      </c>
      <c r="I1768" s="49">
        <v>0</v>
      </c>
      <c r="J1768" s="50"/>
    </row>
    <row r="1769" outlineLevel="1" spans="1:10">
      <c r="A1769" s="50" t="str">
        <v/>
      </c>
      <c r="B1769" s="51" t="str">
        <v/>
      </c>
      <c r="C1769" s="51" t="str">
        <v/>
      </c>
      <c r="D1769" s="51" t="str">
        <v/>
      </c>
      <c r="E1769" s="51" t="str">
        <v/>
      </c>
      <c r="F1769" s="52" t="str">
        <v/>
      </c>
      <c r="G1769" s="48" t="str">
        <v/>
      </c>
      <c r="H1769" s="49">
        <v>0</v>
      </c>
      <c r="I1769" s="49">
        <v>0</v>
      </c>
      <c r="J1769" s="50"/>
    </row>
    <row r="1770" outlineLevel="1" spans="1:10">
      <c r="A1770" s="50" t="str">
        <v/>
      </c>
      <c r="B1770" s="51" t="str">
        <v/>
      </c>
      <c r="C1770" s="51" t="str">
        <v/>
      </c>
      <c r="D1770" s="51" t="str">
        <v/>
      </c>
      <c r="E1770" s="51" t="str">
        <v/>
      </c>
      <c r="F1770" s="52" t="str">
        <v/>
      </c>
      <c r="G1770" s="48" t="str">
        <v/>
      </c>
      <c r="H1770" s="49">
        <v>0</v>
      </c>
      <c r="I1770" s="49">
        <v>0</v>
      </c>
      <c r="J1770" s="50"/>
    </row>
    <row r="1771" outlineLevel="1" spans="1:10">
      <c r="A1771" s="50" t="str">
        <v/>
      </c>
      <c r="B1771" s="51" t="str">
        <v/>
      </c>
      <c r="C1771" s="51" t="str">
        <v/>
      </c>
      <c r="D1771" s="51" t="str">
        <v/>
      </c>
      <c r="E1771" s="51" t="str">
        <v/>
      </c>
      <c r="F1771" s="52" t="str">
        <v/>
      </c>
      <c r="G1771" s="48" t="str">
        <v/>
      </c>
      <c r="H1771" s="49">
        <v>0</v>
      </c>
      <c r="I1771" s="49">
        <v>0</v>
      </c>
      <c r="J1771" s="50"/>
    </row>
    <row r="1772" outlineLevel="1" spans="1:10">
      <c r="A1772" s="50" t="str">
        <v/>
      </c>
      <c r="B1772" s="51" t="str">
        <v/>
      </c>
      <c r="C1772" s="51" t="str">
        <v/>
      </c>
      <c r="D1772" s="51" t="str">
        <v/>
      </c>
      <c r="E1772" s="51" t="str">
        <v/>
      </c>
      <c r="F1772" s="52" t="str">
        <v/>
      </c>
      <c r="G1772" s="48" t="str">
        <v/>
      </c>
      <c r="H1772" s="49">
        <v>0</v>
      </c>
      <c r="I1772" s="49">
        <v>0</v>
      </c>
      <c r="J1772" s="50"/>
    </row>
    <row r="1773" outlineLevel="1" spans="1:10">
      <c r="A1773" s="50" t="str">
        <v/>
      </c>
      <c r="B1773" s="51" t="str">
        <v/>
      </c>
      <c r="C1773" s="51" t="str">
        <v/>
      </c>
      <c r="D1773" s="51" t="str">
        <v/>
      </c>
      <c r="E1773" s="51" t="str">
        <v/>
      </c>
      <c r="F1773" s="52" t="str">
        <v/>
      </c>
      <c r="G1773" s="48" t="str">
        <v/>
      </c>
      <c r="H1773" s="49">
        <v>0</v>
      </c>
      <c r="I1773" s="49">
        <v>0</v>
      </c>
      <c r="J1773" s="50"/>
    </row>
    <row r="1774" outlineLevel="1" spans="1:10">
      <c r="A1774" s="50" t="str">
        <v/>
      </c>
      <c r="B1774" s="51" t="str">
        <v/>
      </c>
      <c r="C1774" s="51" t="str">
        <v/>
      </c>
      <c r="D1774" s="51" t="str">
        <v/>
      </c>
      <c r="E1774" s="51" t="str">
        <v/>
      </c>
      <c r="F1774" s="52" t="str">
        <v/>
      </c>
      <c r="G1774" s="48" t="str">
        <v/>
      </c>
      <c r="H1774" s="49">
        <v>0</v>
      </c>
      <c r="I1774" s="49">
        <v>0</v>
      </c>
      <c r="J1774" s="50"/>
    </row>
    <row r="1775" outlineLevel="1" spans="1:10">
      <c r="A1775" s="50" t="str">
        <v/>
      </c>
      <c r="B1775" s="51" t="str">
        <v/>
      </c>
      <c r="C1775" s="51" t="str">
        <v/>
      </c>
      <c r="D1775" s="51" t="str">
        <v/>
      </c>
      <c r="E1775" s="51" t="str">
        <v/>
      </c>
      <c r="F1775" s="52" t="str">
        <v/>
      </c>
      <c r="G1775" s="48" t="str">
        <v/>
      </c>
      <c r="H1775" s="49">
        <v>0</v>
      </c>
      <c r="I1775" s="49">
        <v>0</v>
      </c>
      <c r="J1775" s="50"/>
    </row>
    <row r="1776" outlineLevel="1" spans="1:10">
      <c r="A1776" s="50" t="str">
        <v/>
      </c>
      <c r="B1776" s="51" t="str">
        <v/>
      </c>
      <c r="C1776" s="51" t="str">
        <v/>
      </c>
      <c r="D1776" s="51" t="str">
        <v/>
      </c>
      <c r="E1776" s="51" t="str">
        <v/>
      </c>
      <c r="F1776" s="52" t="str">
        <v/>
      </c>
      <c r="G1776" s="48" t="str">
        <v/>
      </c>
      <c r="H1776" s="49">
        <v>0</v>
      </c>
      <c r="I1776" s="49">
        <v>0</v>
      </c>
      <c r="J1776" s="50"/>
    </row>
    <row r="1777" outlineLevel="1" spans="1:10">
      <c r="A1777" s="50" t="str">
        <v/>
      </c>
      <c r="B1777" s="51" t="str">
        <v/>
      </c>
      <c r="C1777" s="51" t="str">
        <v/>
      </c>
      <c r="D1777" s="51" t="str">
        <v/>
      </c>
      <c r="E1777" s="51" t="str">
        <v/>
      </c>
      <c r="F1777" s="52" t="str">
        <v/>
      </c>
      <c r="G1777" s="48" t="str">
        <v/>
      </c>
      <c r="H1777" s="49">
        <v>0</v>
      </c>
      <c r="I1777" s="49">
        <v>0</v>
      </c>
      <c r="J1777" s="50"/>
    </row>
    <row r="1778" outlineLevel="1" spans="1:10">
      <c r="A1778" s="50" t="str">
        <v/>
      </c>
      <c r="B1778" s="51" t="str">
        <v/>
      </c>
      <c r="C1778" s="51" t="str">
        <v/>
      </c>
      <c r="D1778" s="51" t="str">
        <v/>
      </c>
      <c r="E1778" s="51" t="str">
        <v/>
      </c>
      <c r="F1778" s="52" t="str">
        <v/>
      </c>
      <c r="G1778" s="48" t="str">
        <v/>
      </c>
      <c r="H1778" s="49">
        <v>0</v>
      </c>
      <c r="I1778" s="49">
        <v>0</v>
      </c>
      <c r="J1778" s="50"/>
    </row>
    <row r="1779" outlineLevel="1" spans="1:10">
      <c r="A1779" s="50" t="str">
        <v/>
      </c>
      <c r="B1779" s="51" t="str">
        <v/>
      </c>
      <c r="C1779" s="51" t="str">
        <v/>
      </c>
      <c r="D1779" s="51" t="str">
        <v/>
      </c>
      <c r="E1779" s="51" t="str">
        <v/>
      </c>
      <c r="F1779" s="52" t="str">
        <v/>
      </c>
      <c r="G1779" s="48" t="str">
        <v/>
      </c>
      <c r="H1779" s="49">
        <v>0</v>
      </c>
      <c r="I1779" s="49">
        <v>0</v>
      </c>
      <c r="J1779" s="50"/>
    </row>
    <row r="1780" outlineLevel="1" spans="1:10">
      <c r="A1780" s="50" t="str">
        <v/>
      </c>
      <c r="B1780" s="51" t="str">
        <v/>
      </c>
      <c r="C1780" s="51" t="str">
        <v/>
      </c>
      <c r="D1780" s="51" t="str">
        <v/>
      </c>
      <c r="E1780" s="51" t="str">
        <v/>
      </c>
      <c r="F1780" s="52" t="str">
        <v/>
      </c>
      <c r="G1780" s="48" t="str">
        <v/>
      </c>
      <c r="H1780" s="49">
        <v>0</v>
      </c>
      <c r="I1780" s="49">
        <v>0</v>
      </c>
      <c r="J1780" s="50"/>
    </row>
    <row r="1781" outlineLevel="1" spans="1:10">
      <c r="A1781" s="50" t="str">
        <v/>
      </c>
      <c r="B1781" s="51" t="str">
        <v/>
      </c>
      <c r="C1781" s="51" t="str">
        <v/>
      </c>
      <c r="D1781" s="51" t="str">
        <v/>
      </c>
      <c r="E1781" s="51" t="str">
        <v/>
      </c>
      <c r="F1781" s="52" t="str">
        <v/>
      </c>
      <c r="G1781" s="48" t="str">
        <v/>
      </c>
      <c r="H1781" s="49">
        <v>0</v>
      </c>
      <c r="I1781" s="49">
        <v>0</v>
      </c>
      <c r="J1781" s="50"/>
    </row>
    <row r="1782" outlineLevel="1" spans="1:10">
      <c r="A1782" s="50" t="str">
        <v/>
      </c>
      <c r="B1782" s="51" t="str">
        <v/>
      </c>
      <c r="C1782" s="51" t="str">
        <v/>
      </c>
      <c r="D1782" s="51" t="str">
        <v/>
      </c>
      <c r="E1782" s="51" t="str">
        <v/>
      </c>
      <c r="F1782" s="52" t="str">
        <v/>
      </c>
      <c r="G1782" s="48" t="str">
        <v/>
      </c>
      <c r="H1782" s="49">
        <v>0</v>
      </c>
      <c r="I1782" s="49">
        <v>0</v>
      </c>
      <c r="J1782" s="50"/>
    </row>
    <row r="1783" outlineLevel="1" spans="1:10">
      <c r="A1783" s="50" t="str">
        <v/>
      </c>
      <c r="B1783" s="51" t="str">
        <v/>
      </c>
      <c r="C1783" s="51" t="str">
        <v/>
      </c>
      <c r="D1783" s="51" t="str">
        <v/>
      </c>
      <c r="E1783" s="51" t="str">
        <v/>
      </c>
      <c r="F1783" s="52" t="str">
        <v/>
      </c>
      <c r="G1783" s="48" t="str">
        <v/>
      </c>
      <c r="H1783" s="49">
        <v>0</v>
      </c>
      <c r="I1783" s="49">
        <v>0</v>
      </c>
      <c r="J1783" s="50"/>
    </row>
    <row r="1784" outlineLevel="1" spans="1:10">
      <c r="A1784" s="50" t="str">
        <v/>
      </c>
      <c r="B1784" s="51" t="str">
        <v/>
      </c>
      <c r="C1784" s="51" t="str">
        <v/>
      </c>
      <c r="D1784" s="51" t="str">
        <v/>
      </c>
      <c r="E1784" s="51" t="str">
        <v/>
      </c>
      <c r="F1784" s="52" t="str">
        <v/>
      </c>
      <c r="G1784" s="48" t="str">
        <v/>
      </c>
      <c r="H1784" s="49">
        <v>0</v>
      </c>
      <c r="I1784" s="49">
        <v>0</v>
      </c>
      <c r="J1784" s="50"/>
    </row>
    <row r="1785" outlineLevel="1" spans="1:10">
      <c r="A1785" s="50" t="str">
        <v/>
      </c>
      <c r="B1785" s="51" t="str">
        <v/>
      </c>
      <c r="C1785" s="51" t="str">
        <v/>
      </c>
      <c r="D1785" s="51" t="str">
        <v/>
      </c>
      <c r="E1785" s="51" t="str">
        <v/>
      </c>
      <c r="F1785" s="52" t="str">
        <v/>
      </c>
      <c r="G1785" s="48" t="str">
        <v/>
      </c>
      <c r="H1785" s="49">
        <v>0</v>
      </c>
      <c r="I1785" s="49">
        <v>0</v>
      </c>
      <c r="J1785" s="50"/>
    </row>
    <row r="1786" outlineLevel="1" spans="1:10">
      <c r="A1786" s="50" t="str">
        <v/>
      </c>
      <c r="B1786" s="51" t="str">
        <v/>
      </c>
      <c r="C1786" s="51" t="str">
        <v/>
      </c>
      <c r="D1786" s="51" t="str">
        <v/>
      </c>
      <c r="E1786" s="51" t="str">
        <v/>
      </c>
      <c r="F1786" s="52" t="str">
        <v/>
      </c>
      <c r="G1786" s="48" t="str">
        <v/>
      </c>
      <c r="H1786" s="49">
        <v>0</v>
      </c>
      <c r="I1786" s="49">
        <v>0</v>
      </c>
      <c r="J1786" s="50"/>
    </row>
    <row r="1787" outlineLevel="1" spans="1:10">
      <c r="A1787" s="50" t="str">
        <v/>
      </c>
      <c r="B1787" s="51" t="str">
        <v/>
      </c>
      <c r="C1787" s="51" t="str">
        <v/>
      </c>
      <c r="D1787" s="51" t="str">
        <v/>
      </c>
      <c r="E1787" s="51" t="str">
        <v/>
      </c>
      <c r="F1787" s="52" t="str">
        <v/>
      </c>
      <c r="G1787" s="48" t="str">
        <v/>
      </c>
      <c r="H1787" s="49">
        <v>0</v>
      </c>
      <c r="I1787" s="49">
        <v>0</v>
      </c>
      <c r="J1787" s="50"/>
    </row>
    <row r="1788" outlineLevel="1" spans="1:10">
      <c r="A1788" s="50" t="str">
        <v/>
      </c>
      <c r="B1788" s="51" t="str">
        <v/>
      </c>
      <c r="C1788" s="51" t="str">
        <v/>
      </c>
      <c r="D1788" s="51" t="str">
        <v/>
      </c>
      <c r="E1788" s="51" t="str">
        <v/>
      </c>
      <c r="F1788" s="52" t="str">
        <v/>
      </c>
      <c r="G1788" s="48" t="str">
        <v/>
      </c>
      <c r="H1788" s="49">
        <v>0</v>
      </c>
      <c r="I1788" s="49">
        <v>0</v>
      </c>
      <c r="J1788" s="50"/>
    </row>
    <row r="1789" outlineLevel="1" spans="1:10">
      <c r="A1789" s="50" t="str">
        <v/>
      </c>
      <c r="B1789" s="51" t="str">
        <v/>
      </c>
      <c r="C1789" s="51" t="str">
        <v/>
      </c>
      <c r="D1789" s="51" t="str">
        <v/>
      </c>
      <c r="E1789" s="51" t="str">
        <v/>
      </c>
      <c r="F1789" s="52" t="str">
        <v/>
      </c>
      <c r="G1789" s="48" t="str">
        <v/>
      </c>
      <c r="H1789" s="49">
        <v>0</v>
      </c>
      <c r="I1789" s="49">
        <v>0</v>
      </c>
      <c r="J1789" s="50"/>
    </row>
    <row r="1790" outlineLevel="1" spans="1:10">
      <c r="A1790" s="50" t="str">
        <v/>
      </c>
      <c r="B1790" s="51" t="str">
        <v/>
      </c>
      <c r="C1790" s="51" t="str">
        <v/>
      </c>
      <c r="D1790" s="51" t="str">
        <v/>
      </c>
      <c r="E1790" s="51" t="str">
        <v/>
      </c>
      <c r="F1790" s="52" t="str">
        <v/>
      </c>
      <c r="G1790" s="48" t="str">
        <v/>
      </c>
      <c r="H1790" s="49">
        <v>0</v>
      </c>
      <c r="I1790" s="49">
        <v>0</v>
      </c>
      <c r="J1790" s="50"/>
    </row>
    <row r="1791" outlineLevel="1" spans="1:10">
      <c r="A1791" s="50" t="str">
        <v/>
      </c>
      <c r="B1791" s="51" t="str">
        <v/>
      </c>
      <c r="C1791" s="51" t="str">
        <v/>
      </c>
      <c r="D1791" s="51" t="str">
        <v/>
      </c>
      <c r="E1791" s="51" t="str">
        <v/>
      </c>
      <c r="F1791" s="52" t="str">
        <v/>
      </c>
      <c r="G1791" s="48" t="str">
        <v/>
      </c>
      <c r="H1791" s="49">
        <v>0</v>
      </c>
      <c r="I1791" s="49">
        <v>0</v>
      </c>
      <c r="J1791" s="50"/>
    </row>
    <row r="1792" outlineLevel="1" spans="1:10">
      <c r="A1792" s="50" t="str">
        <v/>
      </c>
      <c r="B1792" s="51" t="str">
        <v/>
      </c>
      <c r="C1792" s="51" t="str">
        <v/>
      </c>
      <c r="D1792" s="51" t="str">
        <v/>
      </c>
      <c r="E1792" s="51" t="str">
        <v/>
      </c>
      <c r="F1792" s="52" t="str">
        <v/>
      </c>
      <c r="G1792" s="48" t="str">
        <v/>
      </c>
      <c r="H1792" s="49">
        <v>0</v>
      </c>
      <c r="I1792" s="49">
        <v>0</v>
      </c>
      <c r="J1792" s="50"/>
    </row>
    <row r="1793" outlineLevel="1" spans="1:10">
      <c r="A1793" s="50" t="str">
        <v/>
      </c>
      <c r="B1793" s="51" t="str">
        <v/>
      </c>
      <c r="C1793" s="51" t="str">
        <v/>
      </c>
      <c r="D1793" s="51" t="str">
        <v/>
      </c>
      <c r="E1793" s="51" t="str">
        <v/>
      </c>
      <c r="F1793" s="52" t="str">
        <v/>
      </c>
      <c r="G1793" s="48" t="str">
        <v/>
      </c>
      <c r="H1793" s="49">
        <v>0</v>
      </c>
      <c r="I1793" s="49">
        <v>0</v>
      </c>
      <c r="J1793" s="50"/>
    </row>
    <row r="1794" outlineLevel="1" spans="1:10">
      <c r="A1794" s="50" t="str">
        <v/>
      </c>
      <c r="B1794" s="51" t="str">
        <v/>
      </c>
      <c r="C1794" s="51" t="str">
        <v/>
      </c>
      <c r="D1794" s="51" t="str">
        <v/>
      </c>
      <c r="E1794" s="51" t="str">
        <v/>
      </c>
      <c r="F1794" s="52" t="str">
        <v/>
      </c>
      <c r="G1794" s="48" t="str">
        <v/>
      </c>
      <c r="H1794" s="49">
        <v>0</v>
      </c>
      <c r="I1794" s="49">
        <v>0</v>
      </c>
      <c r="J1794" s="50"/>
    </row>
    <row r="1795" outlineLevel="1" spans="1:10">
      <c r="A1795" s="50" t="str">
        <v/>
      </c>
      <c r="B1795" s="51" t="str">
        <v/>
      </c>
      <c r="C1795" s="51" t="str">
        <v/>
      </c>
      <c r="D1795" s="51" t="str">
        <v/>
      </c>
      <c r="E1795" s="51" t="str">
        <v/>
      </c>
      <c r="F1795" s="52" t="str">
        <v/>
      </c>
      <c r="G1795" s="48" t="str">
        <v/>
      </c>
      <c r="H1795" s="49">
        <v>0</v>
      </c>
      <c r="I1795" s="49">
        <v>0</v>
      </c>
      <c r="J1795" s="50"/>
    </row>
    <row r="1796" outlineLevel="1" spans="1:10">
      <c r="A1796" s="50" t="str">
        <v/>
      </c>
      <c r="B1796" s="51" t="str">
        <v/>
      </c>
      <c r="C1796" s="51" t="str">
        <v/>
      </c>
      <c r="D1796" s="51" t="str">
        <v/>
      </c>
      <c r="E1796" s="51" t="str">
        <v/>
      </c>
      <c r="F1796" s="52" t="str">
        <v/>
      </c>
      <c r="G1796" s="48" t="str">
        <v/>
      </c>
      <c r="H1796" s="49">
        <v>0</v>
      </c>
      <c r="I1796" s="49">
        <v>0</v>
      </c>
      <c r="J1796" s="50"/>
    </row>
    <row r="1797" outlineLevel="1" spans="1:10">
      <c r="A1797" s="50" t="str">
        <v/>
      </c>
      <c r="B1797" s="51" t="str">
        <v/>
      </c>
      <c r="C1797" s="51" t="str">
        <v/>
      </c>
      <c r="D1797" s="51" t="str">
        <v/>
      </c>
      <c r="E1797" s="51" t="str">
        <v/>
      </c>
      <c r="F1797" s="52" t="str">
        <v/>
      </c>
      <c r="G1797" s="48" t="str">
        <v/>
      </c>
      <c r="H1797" s="49">
        <v>0</v>
      </c>
      <c r="I1797" s="49">
        <v>0</v>
      </c>
      <c r="J1797" s="50"/>
    </row>
    <row r="1798" outlineLevel="1" spans="1:10">
      <c r="A1798" s="50" t="str">
        <v/>
      </c>
      <c r="B1798" s="51" t="str">
        <v/>
      </c>
      <c r="C1798" s="51" t="str">
        <v/>
      </c>
      <c r="D1798" s="51" t="str">
        <v/>
      </c>
      <c r="E1798" s="51" t="str">
        <v/>
      </c>
      <c r="F1798" s="52" t="str">
        <v/>
      </c>
      <c r="G1798" s="48" t="str">
        <v/>
      </c>
      <c r="H1798" s="49">
        <v>0</v>
      </c>
      <c r="I1798" s="49">
        <v>0</v>
      </c>
      <c r="J1798" s="50"/>
    </row>
    <row r="1799" s="29" customFormat="1" spans="1:11">
      <c r="A1799" s="40"/>
      <c r="B1799" s="41" t="s">
        <v>2357</v>
      </c>
      <c r="C1799" s="41"/>
      <c r="D1799" s="41"/>
      <c r="E1799" s="41"/>
      <c r="F1799" s="42"/>
      <c r="G1799" s="43"/>
      <c r="H1799" s="44"/>
      <c r="I1799" s="44"/>
      <c r="J1799" s="40"/>
      <c r="K1799" s="54"/>
    </row>
    <row r="1800" outlineLevel="1" spans="1:10">
      <c r="A1800" s="50" t="str">
        <f ca="1" t="array" ref="A1800:G1916">IF(INDIRECT(K3&amp;"!A4:G120")=0,"",INDIRECT(K3&amp;"!A4:G120"))</f>
        <v/>
      </c>
      <c r="B1800" s="51" t="str">
        <v>E.01单价措施费</v>
      </c>
      <c r="C1800" s="51" t="str">
        <v/>
      </c>
      <c r="D1800" s="51" t="str">
        <v/>
      </c>
      <c r="E1800" s="51" t="str">
        <v/>
      </c>
      <c r="F1800" s="52" t="str">
        <v/>
      </c>
      <c r="G1800" s="48" t="str">
        <v/>
      </c>
      <c r="H1800" s="49">
        <f ca="1" t="array" ref="H1800:H1916">INDIRECT(K3&amp;"!N4:N120")</f>
        <v>0</v>
      </c>
      <c r="I1800" s="49" t="e">
        <f ca="1" t="array" ref="I1800:I1916">INDIRECT(K3&amp;"!X4:X120")</f>
        <v>#REF!</v>
      </c>
      <c r="J1800" s="50"/>
    </row>
    <row r="1801" outlineLevel="1" spans="1:10">
      <c r="A1801" s="50" t="str">
        <v>地下</v>
      </c>
      <c r="B1801" s="51" t="str">
        <v>主体结构</v>
      </c>
      <c r="C1801" s="51" t="str">
        <v/>
      </c>
      <c r="D1801" s="51" t="str">
        <v/>
      </c>
      <c r="E1801" s="51" t="str">
        <v/>
      </c>
      <c r="F1801" s="52" t="str">
        <v/>
      </c>
      <c r="G1801" s="48" t="str">
        <v/>
      </c>
      <c r="H1801" s="49">
        <v>0</v>
      </c>
      <c r="I1801" s="49" t="e">
        <v>#REF!</v>
      </c>
      <c r="J1801" s="50"/>
    </row>
    <row r="1802" outlineLevel="1" spans="1:10">
      <c r="A1802" s="50" t="str">
        <v>一</v>
      </c>
      <c r="B1802" s="51" t="str">
        <v>E.01.01模板工程</v>
      </c>
      <c r="C1802" s="51" t="str">
        <v/>
      </c>
      <c r="D1802" s="51" t="str">
        <v/>
      </c>
      <c r="E1802" s="51" t="str">
        <v/>
      </c>
      <c r="F1802" s="52" t="str">
        <v/>
      </c>
      <c r="G1802" s="48" t="str">
        <v/>
      </c>
      <c r="H1802" s="49">
        <v>508.96</v>
      </c>
      <c r="I1802" s="49" t="e">
        <v>#REF!</v>
      </c>
      <c r="J1802" s="50"/>
    </row>
    <row r="1803" ht="28.8" outlineLevel="1" spans="1:10">
      <c r="A1803" s="50">
        <v>1</v>
      </c>
      <c r="B1803" s="51" t="str">
        <v>垫层模板</v>
      </c>
      <c r="C1803" s="51" t="e">
        <v>#REF!</v>
      </c>
      <c r="D1803" s="51" t="str">
        <v>地下模板</v>
      </c>
      <c r="E1803" s="51" t="str">
        <v>地下模板</v>
      </c>
      <c r="F1803" s="52" t="e">
        <v>#REF!</v>
      </c>
      <c r="G1803" s="48" t="e">
        <v>#REF!</v>
      </c>
      <c r="H1803" s="49">
        <v>48.15</v>
      </c>
      <c r="I1803" s="49" t="e">
        <v>#REF!</v>
      </c>
      <c r="J1803" s="50"/>
    </row>
    <row r="1804" ht="28.8" outlineLevel="1" spans="1:10">
      <c r="A1804" s="50">
        <v>2</v>
      </c>
      <c r="B1804" s="51" t="str">
        <v>满堂基础模板</v>
      </c>
      <c r="C1804" s="51" t="e">
        <v>#REF!</v>
      </c>
      <c r="D1804" s="51" t="str">
        <v>地下模板</v>
      </c>
      <c r="E1804" s="51" t="str">
        <v>地下模板</v>
      </c>
      <c r="F1804" s="52" t="e">
        <v>#REF!</v>
      </c>
      <c r="G1804" s="48" t="e">
        <v>#REF!</v>
      </c>
      <c r="H1804" s="49">
        <v>390.75</v>
      </c>
      <c r="I1804" s="49" t="e">
        <v>#REF!</v>
      </c>
      <c r="J1804" s="50"/>
    </row>
    <row r="1805" ht="28.8" outlineLevel="1" spans="1:10">
      <c r="A1805" s="50">
        <v>3</v>
      </c>
      <c r="B1805" s="51" t="str">
        <v>独立基础模板</v>
      </c>
      <c r="C1805" s="51" t="e">
        <v>#REF!</v>
      </c>
      <c r="D1805" s="51" t="str">
        <v>地下模板</v>
      </c>
      <c r="E1805" s="51" t="str">
        <v>地下模板</v>
      </c>
      <c r="F1805" s="52" t="e">
        <v>#REF!</v>
      </c>
      <c r="G1805" s="48" t="e">
        <v>#REF!</v>
      </c>
      <c r="H1805" s="49">
        <v>70.06</v>
      </c>
      <c r="I1805" s="49" t="e">
        <v>#REF!</v>
      </c>
      <c r="J1805" s="50"/>
    </row>
    <row r="1806" ht="28.8" outlineLevel="1" spans="1:10">
      <c r="A1806" s="50">
        <v>4</v>
      </c>
      <c r="B1806" s="51" t="str">
        <v>矩形柱模板</v>
      </c>
      <c r="C1806" s="51" t="e">
        <v>#REF!</v>
      </c>
      <c r="D1806" s="51" t="str">
        <v>地下模板</v>
      </c>
      <c r="E1806" s="51" t="str">
        <v>地下模板</v>
      </c>
      <c r="F1806" s="52" t="e">
        <v>#REF!</v>
      </c>
      <c r="G1806" s="48" t="e">
        <v>#REF!</v>
      </c>
      <c r="H1806" s="49">
        <v>0</v>
      </c>
      <c r="I1806" s="49" t="e">
        <v>#REF!</v>
      </c>
      <c r="J1806" s="50"/>
    </row>
    <row r="1807" ht="28.8" outlineLevel="1" spans="1:10">
      <c r="A1807" s="50">
        <v>5</v>
      </c>
      <c r="B1807" s="51" t="str">
        <v>矩形梁模板</v>
      </c>
      <c r="C1807" s="51" t="e">
        <v>#REF!</v>
      </c>
      <c r="D1807" s="51" t="str">
        <v>地下模板</v>
      </c>
      <c r="E1807" s="51" t="str">
        <v>地下模板</v>
      </c>
      <c r="F1807" s="52" t="e">
        <v>#REF!</v>
      </c>
      <c r="G1807" s="48" t="e">
        <v>#REF!</v>
      </c>
      <c r="H1807" s="49">
        <v>0</v>
      </c>
      <c r="I1807" s="49" t="e">
        <v>#REF!</v>
      </c>
      <c r="J1807" s="50"/>
    </row>
    <row r="1808" ht="28.8" outlineLevel="1" spans="1:10">
      <c r="A1808" s="50">
        <v>6</v>
      </c>
      <c r="B1808" s="51" t="str">
        <v>预制梁模板</v>
      </c>
      <c r="C1808" s="51" t="e">
        <v>#REF!</v>
      </c>
      <c r="D1808" s="51" t="str">
        <v>地下模板</v>
      </c>
      <c r="E1808" s="51" t="str">
        <v>地下模板</v>
      </c>
      <c r="F1808" s="52" t="e">
        <v>#REF!</v>
      </c>
      <c r="G1808" s="48" t="e">
        <v>#REF!</v>
      </c>
      <c r="H1808" s="49">
        <v>0</v>
      </c>
      <c r="I1808" s="49" t="e">
        <v>#REF!</v>
      </c>
      <c r="J1808" s="50"/>
    </row>
    <row r="1809" ht="28.8" outlineLevel="1" spans="1:10">
      <c r="A1809" s="50">
        <v>7</v>
      </c>
      <c r="B1809" s="51" t="str">
        <v>斜梁模板</v>
      </c>
      <c r="C1809" s="51" t="e">
        <v>#REF!</v>
      </c>
      <c r="D1809" s="51" t="str">
        <v>地下模板</v>
      </c>
      <c r="E1809" s="51" t="str">
        <v>地下模板</v>
      </c>
      <c r="F1809" s="52" t="e">
        <v>#REF!</v>
      </c>
      <c r="G1809" s="48" t="e">
        <v>#REF!</v>
      </c>
      <c r="H1809" s="49">
        <v>0</v>
      </c>
      <c r="I1809" s="49" t="e">
        <v>#REF!</v>
      </c>
      <c r="J1809" s="50"/>
    </row>
    <row r="1810" ht="28.8" outlineLevel="1" spans="1:10">
      <c r="A1810" s="50">
        <v>8</v>
      </c>
      <c r="B1810" s="51" t="str">
        <v>剪力墙内墙模板</v>
      </c>
      <c r="C1810" s="51" t="e">
        <v>#REF!</v>
      </c>
      <c r="D1810" s="51" t="str">
        <v>地下模板</v>
      </c>
      <c r="E1810" s="51" t="str">
        <v>地下模板</v>
      </c>
      <c r="F1810" s="52" t="e">
        <v>#REF!</v>
      </c>
      <c r="G1810" s="48" t="e">
        <v>#REF!</v>
      </c>
      <c r="H1810" s="49">
        <v>0</v>
      </c>
      <c r="I1810" s="49" t="e">
        <v>#REF!</v>
      </c>
      <c r="J1810" s="50"/>
    </row>
    <row r="1811" ht="28.8" outlineLevel="1" spans="1:10">
      <c r="A1811" s="50">
        <v>9</v>
      </c>
      <c r="B1811" s="51" t="str">
        <v>地下剪力墙外墙模.板</v>
      </c>
      <c r="C1811" s="51" t="e">
        <v>#REF!</v>
      </c>
      <c r="D1811" s="51" t="str">
        <v>地下模板</v>
      </c>
      <c r="E1811" s="51" t="str">
        <v>地下模板</v>
      </c>
      <c r="F1811" s="52" t="e">
        <v>#REF!</v>
      </c>
      <c r="G1811" s="48" t="e">
        <v>#REF!</v>
      </c>
      <c r="H1811" s="49">
        <v>0</v>
      </c>
      <c r="I1811" s="49" t="e">
        <v>#REF!</v>
      </c>
      <c r="J1811" s="50"/>
    </row>
    <row r="1812" ht="28.8" outlineLevel="1" spans="1:10">
      <c r="A1812" s="50">
        <v>10</v>
      </c>
      <c r="B1812" s="51" t="str">
        <v>电梯井壁模板</v>
      </c>
      <c r="C1812" s="51" t="e">
        <v>#REF!</v>
      </c>
      <c r="D1812" s="51" t="str">
        <v>地下模板</v>
      </c>
      <c r="E1812" s="51" t="str">
        <v>地下模板</v>
      </c>
      <c r="F1812" s="52" t="e">
        <v>#REF!</v>
      </c>
      <c r="G1812" s="48" t="e">
        <v>#REF!</v>
      </c>
      <c r="H1812" s="49">
        <v>0</v>
      </c>
      <c r="I1812" s="49" t="e">
        <v>#REF!</v>
      </c>
      <c r="J1812" s="50"/>
    </row>
    <row r="1813" ht="28.8" outlineLevel="1" spans="1:10">
      <c r="A1813" s="50">
        <v>11</v>
      </c>
      <c r="B1813" s="51" t="str">
        <v>平板模板</v>
      </c>
      <c r="C1813" s="51" t="e">
        <v>#REF!</v>
      </c>
      <c r="D1813" s="51" t="str">
        <v>地下模板</v>
      </c>
      <c r="E1813" s="51" t="str">
        <v>地下模板</v>
      </c>
      <c r="F1813" s="52" t="e">
        <v>#REF!</v>
      </c>
      <c r="G1813" s="48" t="e">
        <v>#REF!</v>
      </c>
      <c r="H1813" s="49">
        <v>0</v>
      </c>
      <c r="I1813" s="49" t="e">
        <v>#REF!</v>
      </c>
      <c r="J1813" s="50"/>
    </row>
    <row r="1814" ht="28.8" outlineLevel="1" spans="1:10">
      <c r="A1814" s="50">
        <v>12</v>
      </c>
      <c r="B1814" s="51" t="str">
        <v>无梁板模板</v>
      </c>
      <c r="C1814" s="51" t="e">
        <v>#REF!</v>
      </c>
      <c r="D1814" s="51" t="str">
        <v>地下模板</v>
      </c>
      <c r="E1814" s="51" t="str">
        <v>地下模板</v>
      </c>
      <c r="F1814" s="52" t="e">
        <v>#REF!</v>
      </c>
      <c r="G1814" s="48" t="e">
        <v>#REF!</v>
      </c>
      <c r="H1814" s="49">
        <v>0</v>
      </c>
      <c r="I1814" s="49" t="e">
        <v>#REF!</v>
      </c>
      <c r="J1814" s="50"/>
    </row>
    <row r="1815" ht="28.8" outlineLevel="1" spans="1:10">
      <c r="A1815" s="50">
        <v>13</v>
      </c>
      <c r="B1815" s="51" t="str">
        <v>斜板模板</v>
      </c>
      <c r="C1815" s="51" t="e">
        <v>#REF!</v>
      </c>
      <c r="D1815" s="51" t="str">
        <v>地下模板</v>
      </c>
      <c r="E1815" s="51" t="str">
        <v>地下模板</v>
      </c>
      <c r="F1815" s="52" t="e">
        <v>#REF!</v>
      </c>
      <c r="G1815" s="48" t="e">
        <v>#REF!</v>
      </c>
      <c r="H1815" s="49">
        <v>0</v>
      </c>
      <c r="I1815" s="49" t="e">
        <v>#REF!</v>
      </c>
      <c r="J1815" s="50"/>
    </row>
    <row r="1816" ht="28.8" outlineLevel="1" spans="1:10">
      <c r="A1816" s="50">
        <v>14</v>
      </c>
      <c r="B1816" s="51" t="str">
        <v>天沟、檐沟模板</v>
      </c>
      <c r="C1816" s="51" t="e">
        <v>#REF!</v>
      </c>
      <c r="D1816" s="51" t="str">
        <v>地下模板</v>
      </c>
      <c r="E1816" s="51" t="str">
        <v>地下模板</v>
      </c>
      <c r="F1816" s="52" t="e">
        <v>#REF!</v>
      </c>
      <c r="G1816" s="48" t="e">
        <v>#REF!</v>
      </c>
      <c r="H1816" s="49">
        <v>0</v>
      </c>
      <c r="I1816" s="49" t="e">
        <v>#REF!</v>
      </c>
      <c r="J1816" s="50"/>
    </row>
    <row r="1817" ht="28.8" outlineLevel="1" spans="1:10">
      <c r="A1817" s="50">
        <v>15</v>
      </c>
      <c r="B1817" s="51" t="str">
        <v>楼梯模.板</v>
      </c>
      <c r="C1817" s="51" t="e">
        <v>#REF!</v>
      </c>
      <c r="D1817" s="51" t="str">
        <v>地下模板</v>
      </c>
      <c r="E1817" s="51" t="str">
        <v>地下模板</v>
      </c>
      <c r="F1817" s="52" t="e">
        <v>#REF!</v>
      </c>
      <c r="G1817" s="48" t="e">
        <v>#REF!</v>
      </c>
      <c r="H1817" s="49">
        <v>0</v>
      </c>
      <c r="I1817" s="49" t="e">
        <v>#REF!</v>
      </c>
      <c r="J1817" s="50"/>
    </row>
    <row r="1818" ht="28.8" outlineLevel="1" spans="1:10">
      <c r="A1818" s="50">
        <v>16</v>
      </c>
      <c r="B1818" s="51" t="str">
        <v>预制板模板</v>
      </c>
      <c r="C1818" s="51" t="e">
        <v>#REF!</v>
      </c>
      <c r="D1818" s="51" t="str">
        <v>地下模板</v>
      </c>
      <c r="E1818" s="51" t="str">
        <v>地下模板</v>
      </c>
      <c r="F1818" s="52" t="e">
        <v>#REF!</v>
      </c>
      <c r="G1818" s="48" t="e">
        <v>#REF!</v>
      </c>
      <c r="H1818" s="49">
        <v>0</v>
      </c>
      <c r="I1818" s="49" t="e">
        <v>#REF!</v>
      </c>
      <c r="J1818" s="50"/>
    </row>
    <row r="1819" ht="28.8" outlineLevel="1" spans="1:10">
      <c r="A1819" s="50">
        <v>17</v>
      </c>
      <c r="B1819" s="51" t="str">
        <v>梁后浇带模板</v>
      </c>
      <c r="C1819" s="51" t="e">
        <v>#REF!</v>
      </c>
      <c r="D1819" s="51" t="str">
        <v>地下模板</v>
      </c>
      <c r="E1819" s="51" t="str">
        <v>地下模板</v>
      </c>
      <c r="F1819" s="52" t="e">
        <v>#REF!</v>
      </c>
      <c r="G1819" s="48" t="e">
        <v>#REF!</v>
      </c>
      <c r="H1819" s="49">
        <v>0</v>
      </c>
      <c r="I1819" s="49" t="e">
        <v>#REF!</v>
      </c>
      <c r="J1819" s="50"/>
    </row>
    <row r="1820" ht="28.8" outlineLevel="1" spans="1:10">
      <c r="A1820" s="50">
        <v>18</v>
      </c>
      <c r="B1820" s="51" t="str">
        <v>板后浇带模板</v>
      </c>
      <c r="C1820" s="51" t="e">
        <v>#REF!</v>
      </c>
      <c r="D1820" s="51" t="str">
        <v>地下模板</v>
      </c>
      <c r="E1820" s="51" t="str">
        <v>地下模板</v>
      </c>
      <c r="F1820" s="52" t="e">
        <v>#REF!</v>
      </c>
      <c r="G1820" s="48" t="e">
        <v>#REF!</v>
      </c>
      <c r="H1820" s="49">
        <v>0</v>
      </c>
      <c r="I1820" s="49" t="e">
        <v>#REF!</v>
      </c>
      <c r="J1820" s="50"/>
    </row>
    <row r="1821" ht="28.8" outlineLevel="1" spans="1:10">
      <c r="A1821" s="50">
        <v>19</v>
      </c>
      <c r="B1821" s="51" t="str">
        <v>墙后浇带模板</v>
      </c>
      <c r="C1821" s="51" t="e">
        <v>#REF!</v>
      </c>
      <c r="D1821" s="51" t="str">
        <v>地下模板</v>
      </c>
      <c r="E1821" s="51" t="str">
        <v>地下模板</v>
      </c>
      <c r="F1821" s="52" t="e">
        <v>#REF!</v>
      </c>
      <c r="G1821" s="48" t="e">
        <v>#REF!</v>
      </c>
      <c r="H1821" s="49">
        <v>0</v>
      </c>
      <c r="I1821" s="49" t="e">
        <v>#REF!</v>
      </c>
      <c r="J1821" s="50"/>
    </row>
    <row r="1822" ht="28.8" outlineLevel="1" spans="1:10">
      <c r="A1822" s="50">
        <v>20</v>
      </c>
      <c r="B1822" s="51" t="str">
        <v>基础后浇带模板</v>
      </c>
      <c r="C1822" s="51" t="e">
        <v>#REF!</v>
      </c>
      <c r="D1822" s="51" t="str">
        <v>地下模板</v>
      </c>
      <c r="E1822" s="51" t="str">
        <v>地下模板</v>
      </c>
      <c r="F1822" s="52" t="e">
        <v>#REF!</v>
      </c>
      <c r="G1822" s="48" t="e">
        <v>#REF!</v>
      </c>
      <c r="H1822" s="49">
        <v>0</v>
      </c>
      <c r="I1822" s="49" t="e">
        <v>#REF!</v>
      </c>
      <c r="J1822" s="50"/>
    </row>
    <row r="1823" ht="28.8" outlineLevel="1" spans="1:10">
      <c r="A1823" s="50">
        <v>21</v>
      </c>
      <c r="B1823" s="51" t="str">
        <v>后浇带收口网</v>
      </c>
      <c r="C1823" s="51" t="e">
        <v>#REF!</v>
      </c>
      <c r="D1823" s="51" t="str">
        <v>地下模板</v>
      </c>
      <c r="E1823" s="51" t="str">
        <v>地下模板</v>
      </c>
      <c r="F1823" s="52" t="e">
        <v>#REF!</v>
      </c>
      <c r="G1823" s="48" t="e">
        <v>#REF!</v>
      </c>
      <c r="H1823" s="49">
        <v>0</v>
      </c>
      <c r="I1823" s="49" t="e">
        <v>#REF!</v>
      </c>
      <c r="J1823" s="50"/>
    </row>
    <row r="1824" ht="28.8" outlineLevel="1" spans="1:10">
      <c r="A1824" s="50">
        <v>22</v>
      </c>
      <c r="B1824" s="51" t="str">
        <v>排水沟模板</v>
      </c>
      <c r="C1824" s="51" t="e">
        <v>#REF!</v>
      </c>
      <c r="D1824" s="51" t="str">
        <v>地下模板</v>
      </c>
      <c r="E1824" s="51" t="str">
        <v>地下模板</v>
      </c>
      <c r="F1824" s="52" t="e">
        <v>#REF!</v>
      </c>
      <c r="G1824" s="48" t="e">
        <v>#REF!</v>
      </c>
      <c r="H1824" s="49">
        <v>0</v>
      </c>
      <c r="I1824" s="49" t="e">
        <v>#REF!</v>
      </c>
      <c r="J1824" s="50"/>
    </row>
    <row r="1825" ht="28.8" outlineLevel="1" spans="1:10">
      <c r="A1825" s="50">
        <v>23</v>
      </c>
      <c r="B1825" s="51" t="str">
        <v>消防水池池底模板</v>
      </c>
      <c r="C1825" s="51" t="e">
        <v>#REF!</v>
      </c>
      <c r="D1825" s="51" t="str">
        <v>地下模板</v>
      </c>
      <c r="E1825" s="51" t="str">
        <v>地下模板</v>
      </c>
      <c r="F1825" s="52" t="e">
        <v>#REF!</v>
      </c>
      <c r="G1825" s="48" t="e">
        <v>#REF!</v>
      </c>
      <c r="H1825" s="49">
        <v>0</v>
      </c>
      <c r="I1825" s="49" t="e">
        <v>#REF!</v>
      </c>
      <c r="J1825" s="50"/>
    </row>
    <row r="1826" ht="28.8" outlineLevel="1" spans="1:10">
      <c r="A1826" s="50">
        <v>24</v>
      </c>
      <c r="B1826" s="51" t="str">
        <v>消防水池池壁模板</v>
      </c>
      <c r="C1826" s="51" t="e">
        <v>#REF!</v>
      </c>
      <c r="D1826" s="51" t="str">
        <v>地下模板</v>
      </c>
      <c r="E1826" s="51" t="str">
        <v>地下模板</v>
      </c>
      <c r="F1826" s="52" t="e">
        <v>#REF!</v>
      </c>
      <c r="G1826" s="48" t="e">
        <v>#REF!</v>
      </c>
      <c r="H1826" s="49">
        <v>0</v>
      </c>
      <c r="I1826" s="49" t="e">
        <v>#REF!</v>
      </c>
      <c r="J1826" s="50"/>
    </row>
    <row r="1827" ht="28.8" outlineLevel="1" spans="1:10">
      <c r="A1827" s="50">
        <v>25</v>
      </c>
      <c r="B1827" s="51" t="str">
        <v>设备基础模板</v>
      </c>
      <c r="C1827" s="51" t="e">
        <v>#REF!</v>
      </c>
      <c r="D1827" s="51" t="str">
        <v>地下模板</v>
      </c>
      <c r="E1827" s="51" t="str">
        <v>地下模板</v>
      </c>
      <c r="F1827" s="52" t="e">
        <v>#REF!</v>
      </c>
      <c r="G1827" s="48" t="e">
        <v>#REF!</v>
      </c>
      <c r="H1827" s="49">
        <v>0</v>
      </c>
      <c r="I1827" s="49" t="e">
        <v>#REF!</v>
      </c>
      <c r="J1827" s="50"/>
    </row>
    <row r="1828" ht="28.8" outlineLevel="1" spans="1:10">
      <c r="A1828" s="50">
        <v>26</v>
      </c>
      <c r="B1828" s="51" t="str">
        <v>地下室顶板找坡模板</v>
      </c>
      <c r="C1828" s="51" t="e">
        <v>#REF!</v>
      </c>
      <c r="D1828" s="51" t="str">
        <v>地下模板</v>
      </c>
      <c r="E1828" s="51" t="str">
        <v>地下模板</v>
      </c>
      <c r="F1828" s="52" t="e">
        <v>#REF!</v>
      </c>
      <c r="G1828" s="48" t="e">
        <v>#REF!</v>
      </c>
      <c r="H1828" s="49">
        <v>0</v>
      </c>
      <c r="I1828" s="49" t="e">
        <v>#REF!</v>
      </c>
      <c r="J1828" s="50"/>
    </row>
    <row r="1829" ht="28.8" outlineLevel="1" spans="1:10">
      <c r="A1829" s="50">
        <v>27</v>
      </c>
      <c r="B1829" s="51" t="str">
        <v>散水及坡道模板</v>
      </c>
      <c r="C1829" s="51" t="e">
        <v>#REF!</v>
      </c>
      <c r="D1829" s="51" t="str">
        <v>地下模板</v>
      </c>
      <c r="E1829" s="51" t="str">
        <v>地下模板</v>
      </c>
      <c r="F1829" s="52" t="e">
        <v>#REF!</v>
      </c>
      <c r="G1829" s="48" t="e">
        <v>#REF!</v>
      </c>
      <c r="H1829" s="49">
        <v>0</v>
      </c>
      <c r="I1829" s="49" t="e">
        <v>#REF!</v>
      </c>
      <c r="J1829" s="50"/>
    </row>
    <row r="1830" ht="28.8" outlineLevel="1" spans="1:10">
      <c r="A1830" s="50">
        <v>28</v>
      </c>
      <c r="B1830" s="51" t="str">
        <v>栏板模板</v>
      </c>
      <c r="C1830" s="51" t="e">
        <v>#REF!</v>
      </c>
      <c r="D1830" s="51" t="str">
        <v>地下模板</v>
      </c>
      <c r="E1830" s="51" t="str">
        <v>地下模板</v>
      </c>
      <c r="F1830" s="52" t="e">
        <v>#REF!</v>
      </c>
      <c r="G1830" s="48" t="e">
        <v>#REF!</v>
      </c>
      <c r="H1830" s="49">
        <v>0</v>
      </c>
      <c r="I1830" s="49" t="e">
        <v>#REF!</v>
      </c>
      <c r="J1830" s="50"/>
    </row>
    <row r="1831" outlineLevel="1" spans="1:10">
      <c r="A1831" s="50" t="str">
        <v>二</v>
      </c>
      <c r="B1831" s="51" t="str">
        <v>E.01.02脚手架工程</v>
      </c>
      <c r="C1831" s="51" t="str">
        <v/>
      </c>
      <c r="D1831" s="51" t="str">
        <v/>
      </c>
      <c r="E1831" s="51" t="str">
        <v/>
      </c>
      <c r="F1831" s="52" t="str">
        <v/>
      </c>
      <c r="G1831" s="48" t="str">
        <v/>
      </c>
      <c r="H1831" s="49">
        <v>247.86</v>
      </c>
      <c r="I1831" s="49" t="e">
        <v>#REF!</v>
      </c>
      <c r="J1831" s="50"/>
    </row>
    <row r="1832" ht="43.2" outlineLevel="1" spans="1:10">
      <c r="A1832" s="50">
        <v>1</v>
      </c>
      <c r="B1832" s="51" t="str">
        <v>地下外墙双排脚手架</v>
      </c>
      <c r="C1832" s="51" t="e">
        <v>#REF!</v>
      </c>
      <c r="D1832" s="51" t="str">
        <v>地下综合脚手架</v>
      </c>
      <c r="E1832" s="51" t="str">
        <v>地下综合脚手架</v>
      </c>
      <c r="F1832" s="52" t="e">
        <v>#REF!</v>
      </c>
      <c r="G1832" s="48" t="e">
        <v>#REF!</v>
      </c>
      <c r="H1832" s="49">
        <v>0</v>
      </c>
      <c r="I1832" s="49" t="e">
        <v>#REF!</v>
      </c>
      <c r="J1832" s="50"/>
    </row>
    <row r="1833" ht="43.2" outlineLevel="1" spans="1:10">
      <c r="A1833" s="50">
        <v>2</v>
      </c>
      <c r="B1833" s="51" t="str">
        <v>主楼基础满堂脚手架</v>
      </c>
      <c r="C1833" s="51" t="e">
        <v>#REF!</v>
      </c>
      <c r="D1833" s="51" t="str">
        <v>地下综合脚手架</v>
      </c>
      <c r="E1833" s="51" t="str">
        <v>地下综合脚手架</v>
      </c>
      <c r="F1833" s="52" t="e">
        <v>#REF!</v>
      </c>
      <c r="G1833" s="48" t="e">
        <v>#REF!</v>
      </c>
      <c r="H1833" s="49">
        <v>247.86</v>
      </c>
      <c r="I1833" s="49" t="e">
        <v>#REF!</v>
      </c>
      <c r="J1833" s="50"/>
    </row>
    <row r="1834" ht="43.2" outlineLevel="1" spans="1:10">
      <c r="A1834" s="50" t="str">
        <v/>
      </c>
      <c r="B1834" s="51" t="str">
        <v>地库基础满堂脚手架</v>
      </c>
      <c r="C1834" s="51" t="e">
        <v>#REF!</v>
      </c>
      <c r="D1834" s="51" t="str">
        <v>地下综合脚手架</v>
      </c>
      <c r="E1834" s="51" t="str">
        <v>地下综合脚手架</v>
      </c>
      <c r="F1834" s="52" t="e">
        <v>#REF!</v>
      </c>
      <c r="G1834" s="48" t="e">
        <v>#REF!</v>
      </c>
      <c r="H1834" s="49">
        <v>0</v>
      </c>
      <c r="I1834" s="49" t="e">
        <v>#REF!</v>
      </c>
      <c r="J1834" s="50"/>
    </row>
    <row r="1835" outlineLevel="1" spans="1:10">
      <c r="A1835" s="50" t="str">
        <v>地下</v>
      </c>
      <c r="B1835" s="51" t="str">
        <v>二次结构</v>
      </c>
      <c r="C1835" s="51" t="str">
        <v/>
      </c>
      <c r="D1835" s="51" t="str">
        <v/>
      </c>
      <c r="E1835" s="51" t="str">
        <v/>
      </c>
      <c r="F1835" s="52" t="str">
        <v/>
      </c>
      <c r="G1835" s="48" t="str">
        <v/>
      </c>
      <c r="H1835" s="49">
        <v>0</v>
      </c>
      <c r="I1835" s="49" t="e">
        <v>#REF!</v>
      </c>
      <c r="J1835" s="50"/>
    </row>
    <row r="1836" outlineLevel="1" spans="1:10">
      <c r="A1836" s="50" t="str">
        <v>一</v>
      </c>
      <c r="B1836" s="51" t="str">
        <v>E.01.01模板工程</v>
      </c>
      <c r="C1836" s="51" t="str">
        <v/>
      </c>
      <c r="D1836" s="51" t="str">
        <v/>
      </c>
      <c r="E1836" s="51" t="str">
        <v/>
      </c>
      <c r="F1836" s="52" t="str">
        <v/>
      </c>
      <c r="G1836" s="48" t="str">
        <v/>
      </c>
      <c r="H1836" s="49">
        <v>0</v>
      </c>
      <c r="I1836" s="49" t="e">
        <v>#REF!</v>
      </c>
      <c r="J1836" s="50"/>
    </row>
    <row r="1837" ht="28.8" outlineLevel="1" spans="1:10">
      <c r="A1837" s="50">
        <v>1</v>
      </c>
      <c r="B1837" s="51" t="str">
        <v>圈梁模板</v>
      </c>
      <c r="C1837" s="51" t="e">
        <v>#REF!</v>
      </c>
      <c r="D1837" s="51" t="str">
        <v>地下模板</v>
      </c>
      <c r="E1837" s="51" t="str">
        <v>地下模板</v>
      </c>
      <c r="F1837" s="52" t="e">
        <v>#REF!</v>
      </c>
      <c r="G1837" s="48" t="e">
        <v>#REF!</v>
      </c>
      <c r="H1837" s="49">
        <v>0</v>
      </c>
      <c r="I1837" s="49" t="e">
        <v>#REF!</v>
      </c>
      <c r="J1837" s="50"/>
    </row>
    <row r="1838" ht="28.8" outlineLevel="1" spans="1:10">
      <c r="A1838" s="50">
        <v>2</v>
      </c>
      <c r="B1838" s="51" t="str">
        <v>构造柱模板</v>
      </c>
      <c r="C1838" s="51" t="e">
        <v>#REF!</v>
      </c>
      <c r="D1838" s="51" t="str">
        <v>地下模板</v>
      </c>
      <c r="E1838" s="51" t="str">
        <v>地下模板</v>
      </c>
      <c r="F1838" s="52" t="e">
        <v>#REF!</v>
      </c>
      <c r="G1838" s="48" t="e">
        <v>#REF!</v>
      </c>
      <c r="H1838" s="49">
        <v>0</v>
      </c>
      <c r="I1838" s="49" t="e">
        <v>#REF!</v>
      </c>
      <c r="J1838" s="50"/>
    </row>
    <row r="1839" ht="28.8" outlineLevel="1" spans="1:10">
      <c r="A1839" s="50">
        <v>3</v>
      </c>
      <c r="B1839" s="51" t="str">
        <v>过梁模板</v>
      </c>
      <c r="C1839" s="51" t="e">
        <v>#REF!</v>
      </c>
      <c r="D1839" s="51" t="str">
        <v>地下模板</v>
      </c>
      <c r="E1839" s="51" t="str">
        <v>地下模板</v>
      </c>
      <c r="F1839" s="52" t="e">
        <v>#REF!</v>
      </c>
      <c r="G1839" s="48" t="e">
        <v>#REF!</v>
      </c>
      <c r="H1839" s="49">
        <v>0</v>
      </c>
      <c r="I1839" s="49" t="e">
        <v>#REF!</v>
      </c>
      <c r="J1839" s="50"/>
    </row>
    <row r="1840" ht="28.8" outlineLevel="1" spans="1:10">
      <c r="A1840" s="50">
        <v>4</v>
      </c>
      <c r="B1840" s="51" t="str">
        <v>压顶模板</v>
      </c>
      <c r="C1840" s="51" t="e">
        <v>#REF!</v>
      </c>
      <c r="D1840" s="51" t="str">
        <v>地下模板</v>
      </c>
      <c r="E1840" s="51" t="str">
        <v>地下模板</v>
      </c>
      <c r="F1840" s="52" t="e">
        <v>#REF!</v>
      </c>
      <c r="G1840" s="48" t="e">
        <v>#REF!</v>
      </c>
      <c r="H1840" s="49">
        <v>0</v>
      </c>
      <c r="I1840" s="49" t="e">
        <v>#REF!</v>
      </c>
      <c r="J1840" s="50"/>
    </row>
    <row r="1841" outlineLevel="1" spans="1:10">
      <c r="A1841" s="50" t="str">
        <v>二</v>
      </c>
      <c r="B1841" s="51" t="str">
        <v>E.01.02脚手架工程</v>
      </c>
      <c r="C1841" s="51" t="str">
        <v/>
      </c>
      <c r="D1841" s="51" t="str">
        <v/>
      </c>
      <c r="E1841" s="51" t="str">
        <v/>
      </c>
      <c r="F1841" s="52" t="str">
        <v/>
      </c>
      <c r="G1841" s="48" t="str">
        <v/>
      </c>
      <c r="H1841" s="49">
        <v>0</v>
      </c>
      <c r="I1841" s="49" t="e">
        <v>#REF!</v>
      </c>
      <c r="J1841" s="50"/>
    </row>
    <row r="1842" ht="43.2" outlineLevel="1" spans="1:10">
      <c r="A1842" s="50">
        <v>1</v>
      </c>
      <c r="B1842" s="51" t="str">
        <v>内墙砌筑脚手架</v>
      </c>
      <c r="C1842" s="51" t="e">
        <v>#REF!</v>
      </c>
      <c r="D1842" s="51" t="str">
        <v>地下综合脚手架</v>
      </c>
      <c r="E1842" s="51" t="str">
        <v>地下综合脚手架</v>
      </c>
      <c r="F1842" s="52" t="e">
        <v>#REF!</v>
      </c>
      <c r="G1842" s="48" t="e">
        <v>#REF!</v>
      </c>
      <c r="H1842" s="49">
        <v>0</v>
      </c>
      <c r="I1842" s="49" t="e">
        <v>#REF!</v>
      </c>
      <c r="J1842" s="50"/>
    </row>
    <row r="1843" ht="43.2" outlineLevel="1" spans="1:10">
      <c r="A1843" s="50">
        <v>2</v>
      </c>
      <c r="B1843" s="51" t="str">
        <v>装饰满堂脚手架</v>
      </c>
      <c r="C1843" s="51" t="e">
        <v>#REF!</v>
      </c>
      <c r="D1843" s="51" t="str">
        <v>地下综合脚手架</v>
      </c>
      <c r="E1843" s="51" t="str">
        <v>地下综合脚手架</v>
      </c>
      <c r="F1843" s="52" t="e">
        <v>#REF!</v>
      </c>
      <c r="G1843" s="48" t="e">
        <v>#REF!</v>
      </c>
      <c r="H1843" s="49">
        <v>0</v>
      </c>
      <c r="I1843" s="49" t="e">
        <v>#REF!</v>
      </c>
      <c r="J1843" s="50"/>
    </row>
    <row r="1844" ht="43.2" outlineLevel="1" spans="1:10">
      <c r="A1844" s="50">
        <v>3</v>
      </c>
      <c r="B1844" s="51" t="str">
        <v>简易墙面脚手架</v>
      </c>
      <c r="C1844" s="51" t="e">
        <v>#REF!</v>
      </c>
      <c r="D1844" s="51" t="str">
        <v>地下综合脚手架</v>
      </c>
      <c r="E1844" s="51" t="str">
        <v>地下综合脚手架</v>
      </c>
      <c r="F1844" s="52" t="e">
        <v>#REF!</v>
      </c>
      <c r="G1844" s="48" t="e">
        <v>#REF!</v>
      </c>
      <c r="H1844" s="49">
        <v>0</v>
      </c>
      <c r="I1844" s="49" t="e">
        <v>#REF!</v>
      </c>
      <c r="J1844" s="50"/>
    </row>
    <row r="1845" ht="43.2" outlineLevel="1" spans="1:10">
      <c r="A1845" s="50">
        <v>4</v>
      </c>
      <c r="B1845" s="51" t="str">
        <v>简易天棚脚手架</v>
      </c>
      <c r="C1845" s="51" t="e">
        <v>#REF!</v>
      </c>
      <c r="D1845" s="51" t="str">
        <v>地下综合脚手架</v>
      </c>
      <c r="E1845" s="51" t="str">
        <v>地下综合脚手架</v>
      </c>
      <c r="F1845" s="52" t="e">
        <v>#REF!</v>
      </c>
      <c r="G1845" s="48" t="e">
        <v>#REF!</v>
      </c>
      <c r="H1845" s="49">
        <v>0</v>
      </c>
      <c r="I1845" s="49" t="e">
        <v>#REF!</v>
      </c>
      <c r="J1845" s="50"/>
    </row>
    <row r="1846" outlineLevel="1" spans="1:10">
      <c r="A1846" s="50" t="str">
        <v>地上</v>
      </c>
      <c r="B1846" s="51" t="str">
        <v>主体结构</v>
      </c>
      <c r="C1846" s="51" t="str">
        <v/>
      </c>
      <c r="D1846" s="51" t="str">
        <v/>
      </c>
      <c r="E1846" s="51" t="str">
        <v/>
      </c>
      <c r="F1846" s="52" t="str">
        <v/>
      </c>
      <c r="G1846" s="48" t="str">
        <v/>
      </c>
      <c r="H1846" s="49">
        <v>0</v>
      </c>
      <c r="I1846" s="49" t="e">
        <v>#REF!</v>
      </c>
      <c r="J1846" s="50"/>
    </row>
    <row r="1847" outlineLevel="1" spans="1:10">
      <c r="A1847" s="50" t="str">
        <v>一</v>
      </c>
      <c r="B1847" s="51" t="str">
        <v>E.01.01模板工程</v>
      </c>
      <c r="C1847" s="51" t="str">
        <v/>
      </c>
      <c r="D1847" s="51" t="str">
        <v/>
      </c>
      <c r="E1847" s="51" t="str">
        <v/>
      </c>
      <c r="F1847" s="52" t="str">
        <v/>
      </c>
      <c r="G1847" s="48" t="str">
        <v/>
      </c>
      <c r="H1847" s="49">
        <v>2573.77</v>
      </c>
      <c r="I1847" s="49" t="e">
        <v>#REF!</v>
      </c>
      <c r="J1847" s="50"/>
    </row>
    <row r="1848" ht="28.8" outlineLevel="1" spans="1:10">
      <c r="A1848" s="50">
        <v>1</v>
      </c>
      <c r="B1848" s="51" t="str">
        <v>设备基础模板</v>
      </c>
      <c r="C1848" s="51" t="e">
        <v>#REF!</v>
      </c>
      <c r="D1848" s="51" t="str">
        <v>地上模板</v>
      </c>
      <c r="E1848" s="51" t="str">
        <v>地上模板</v>
      </c>
      <c r="F1848" s="52" t="e">
        <v>#REF!</v>
      </c>
      <c r="G1848" s="48" t="e">
        <v>#REF!</v>
      </c>
      <c r="H1848" s="49">
        <v>0</v>
      </c>
      <c r="I1848" s="49" t="e">
        <v>#REF!</v>
      </c>
      <c r="J1848" s="50"/>
    </row>
    <row r="1849" ht="28.8" outlineLevel="1" spans="1:10">
      <c r="A1849" s="50">
        <v>2</v>
      </c>
      <c r="B1849" s="51" t="str">
        <v>矩形柱模板</v>
      </c>
      <c r="C1849" s="51" t="e">
        <v>#REF!</v>
      </c>
      <c r="D1849" s="51" t="str">
        <v>地上模板</v>
      </c>
      <c r="E1849" s="51" t="str">
        <v>地上模板</v>
      </c>
      <c r="F1849" s="52" t="e">
        <v>#REF!</v>
      </c>
      <c r="G1849" s="48" t="e">
        <v>#REF!</v>
      </c>
      <c r="H1849" s="49">
        <v>698.74</v>
      </c>
      <c r="I1849" s="49" t="e">
        <v>#REF!</v>
      </c>
      <c r="J1849" s="50"/>
    </row>
    <row r="1850" ht="28.8" outlineLevel="1" spans="1:10">
      <c r="A1850" s="50">
        <v>3</v>
      </c>
      <c r="B1850" s="51" t="str">
        <v>矩形梁模板</v>
      </c>
      <c r="C1850" s="51" t="e">
        <v>#REF!</v>
      </c>
      <c r="D1850" s="51" t="str">
        <v>地上模板</v>
      </c>
      <c r="E1850" s="51" t="str">
        <v>地上模板</v>
      </c>
      <c r="F1850" s="52" t="e">
        <v>#REF!</v>
      </c>
      <c r="G1850" s="48" t="e">
        <v>#REF!</v>
      </c>
      <c r="H1850" s="49">
        <v>785.3</v>
      </c>
      <c r="I1850" s="49" t="e">
        <v>#REF!</v>
      </c>
      <c r="J1850" s="50"/>
    </row>
    <row r="1851" ht="28.8" outlineLevel="1" spans="1:10">
      <c r="A1851" s="50">
        <v>4</v>
      </c>
      <c r="B1851" s="51" t="str">
        <v>弧形、拱形梁模板</v>
      </c>
      <c r="C1851" s="51" t="e">
        <v>#REF!</v>
      </c>
      <c r="D1851" s="51" t="str">
        <v>地上模板</v>
      </c>
      <c r="E1851" s="51" t="str">
        <v>地上模板</v>
      </c>
      <c r="F1851" s="52" t="e">
        <v>#REF!</v>
      </c>
      <c r="G1851" s="48" t="e">
        <v>#REF!</v>
      </c>
      <c r="H1851" s="49">
        <v>0</v>
      </c>
      <c r="I1851" s="49" t="e">
        <v>#REF!</v>
      </c>
      <c r="J1851" s="50"/>
    </row>
    <row r="1852" ht="28.8" outlineLevel="1" spans="1:10">
      <c r="A1852" s="50">
        <v>5</v>
      </c>
      <c r="B1852" s="51" t="str">
        <v>剪力墙内墙模板</v>
      </c>
      <c r="C1852" s="51" t="e">
        <v>#REF!</v>
      </c>
      <c r="D1852" s="51" t="str">
        <v>地上模板</v>
      </c>
      <c r="E1852" s="51" t="str">
        <v>地上模板</v>
      </c>
      <c r="F1852" s="52" t="e">
        <v>#REF!</v>
      </c>
      <c r="G1852" s="48" t="e">
        <v>#REF!</v>
      </c>
      <c r="H1852" s="49">
        <v>0</v>
      </c>
      <c r="I1852" s="49" t="e">
        <v>#REF!</v>
      </c>
      <c r="J1852" s="50"/>
    </row>
    <row r="1853" ht="28.8" outlineLevel="1" spans="1:10">
      <c r="A1853" s="50" t="str">
        <v/>
      </c>
      <c r="B1853" s="51" t="str">
        <v>地上剪力墙外墙模.板</v>
      </c>
      <c r="C1853" s="51" t="e">
        <v>#REF!</v>
      </c>
      <c r="D1853" s="51" t="str">
        <v>地上模板</v>
      </c>
      <c r="E1853" s="51" t="str">
        <v>地上模板</v>
      </c>
      <c r="F1853" s="52" t="e">
        <v>#REF!</v>
      </c>
      <c r="G1853" s="48" t="e">
        <v>#REF!</v>
      </c>
      <c r="H1853" s="49">
        <v>0</v>
      </c>
      <c r="I1853" s="49" t="e">
        <v>#REF!</v>
      </c>
      <c r="J1853" s="50"/>
    </row>
    <row r="1854" ht="28.8" outlineLevel="1" spans="1:10">
      <c r="A1854" s="50">
        <v>6</v>
      </c>
      <c r="B1854" s="51" t="str">
        <v>电梯井壁模板</v>
      </c>
      <c r="C1854" s="51" t="e">
        <v>#REF!</v>
      </c>
      <c r="D1854" s="51" t="str">
        <v>地上模板</v>
      </c>
      <c r="E1854" s="51" t="str">
        <v>地上模板</v>
      </c>
      <c r="F1854" s="52" t="e">
        <v>#REF!</v>
      </c>
      <c r="G1854" s="48" t="e">
        <v>#REF!</v>
      </c>
      <c r="H1854" s="49">
        <v>0</v>
      </c>
      <c r="I1854" s="49" t="e">
        <v>#REF!</v>
      </c>
      <c r="J1854" s="50"/>
    </row>
    <row r="1855" ht="28.8" outlineLevel="1" spans="1:10">
      <c r="A1855" s="50">
        <v>7</v>
      </c>
      <c r="B1855" s="51" t="str">
        <v>平板模板</v>
      </c>
      <c r="C1855" s="51" t="e">
        <v>#REF!</v>
      </c>
      <c r="D1855" s="51" t="str">
        <v>地上模板</v>
      </c>
      <c r="E1855" s="51" t="str">
        <v>地上模板</v>
      </c>
      <c r="F1855" s="52" t="e">
        <v>#REF!</v>
      </c>
      <c r="G1855" s="48" t="e">
        <v>#REF!</v>
      </c>
      <c r="H1855" s="49">
        <v>789.7</v>
      </c>
      <c r="I1855" s="49" t="e">
        <v>#REF!</v>
      </c>
      <c r="J1855" s="50"/>
    </row>
    <row r="1856" ht="28.8" outlineLevel="1" spans="1:10">
      <c r="A1856" s="50">
        <v>8</v>
      </c>
      <c r="B1856" s="51" t="str">
        <v>斜板模板</v>
      </c>
      <c r="C1856" s="51" t="e">
        <v>#REF!</v>
      </c>
      <c r="D1856" s="51" t="str">
        <v>地上模板</v>
      </c>
      <c r="E1856" s="51" t="str">
        <v>地上模板</v>
      </c>
      <c r="F1856" s="52" t="e">
        <v>#REF!</v>
      </c>
      <c r="G1856" s="48" t="e">
        <v>#REF!</v>
      </c>
      <c r="H1856" s="49">
        <v>0</v>
      </c>
      <c r="I1856" s="49" t="e">
        <v>#REF!</v>
      </c>
      <c r="J1856" s="50"/>
    </row>
    <row r="1857" ht="28.8" outlineLevel="1" spans="1:10">
      <c r="A1857" s="50">
        <v>9</v>
      </c>
      <c r="B1857" s="51" t="str">
        <v>拱板模板</v>
      </c>
      <c r="C1857" s="51" t="e">
        <v>#REF!</v>
      </c>
      <c r="D1857" s="51" t="str">
        <v>地上模板</v>
      </c>
      <c r="E1857" s="51" t="str">
        <v>地上模板</v>
      </c>
      <c r="F1857" s="52" t="e">
        <v>#REF!</v>
      </c>
      <c r="G1857" s="48" t="e">
        <v>#REF!</v>
      </c>
      <c r="H1857" s="49">
        <v>0</v>
      </c>
      <c r="I1857" s="49" t="e">
        <v>#REF!</v>
      </c>
      <c r="J1857" s="50"/>
    </row>
    <row r="1858" ht="28.8" outlineLevel="1" spans="1:10">
      <c r="A1858" s="50">
        <v>10</v>
      </c>
      <c r="B1858" s="51" t="str">
        <v>PC板补板缝模板</v>
      </c>
      <c r="C1858" s="51" t="e">
        <v>#REF!</v>
      </c>
      <c r="D1858" s="51" t="str">
        <v>地上模板</v>
      </c>
      <c r="E1858" s="51" t="str">
        <v>地上模板</v>
      </c>
      <c r="F1858" s="52" t="e">
        <v>#REF!</v>
      </c>
      <c r="G1858" s="48" t="e">
        <v>#REF!</v>
      </c>
      <c r="H1858" s="49">
        <v>0</v>
      </c>
      <c r="I1858" s="49" t="e">
        <v>#REF!</v>
      </c>
      <c r="J1858" s="50"/>
    </row>
    <row r="1859" ht="28.8" outlineLevel="1" spans="1:10">
      <c r="A1859" s="50">
        <v>11</v>
      </c>
      <c r="B1859" s="51" t="str">
        <v>天沟、檐沟模板</v>
      </c>
      <c r="C1859" s="51" t="e">
        <v>#REF!</v>
      </c>
      <c r="D1859" s="51" t="str">
        <v>地上模板</v>
      </c>
      <c r="E1859" s="51" t="str">
        <v>地上模板</v>
      </c>
      <c r="F1859" s="52" t="e">
        <v>#REF!</v>
      </c>
      <c r="G1859" s="48" t="e">
        <v>#REF!</v>
      </c>
      <c r="H1859" s="49">
        <v>104.32</v>
      </c>
      <c r="I1859" s="49" t="e">
        <v>#REF!</v>
      </c>
      <c r="J1859" s="50"/>
    </row>
    <row r="1860" ht="28.8" outlineLevel="1" spans="1:10">
      <c r="A1860" s="50">
        <v>12</v>
      </c>
      <c r="B1860" s="51" t="str">
        <v>栏板模板</v>
      </c>
      <c r="C1860" s="51" t="e">
        <v>#REF!</v>
      </c>
      <c r="D1860" s="51" t="str">
        <v>地上模板</v>
      </c>
      <c r="E1860" s="51" t="str">
        <v>地上模板</v>
      </c>
      <c r="F1860" s="52" t="e">
        <v>#REF!</v>
      </c>
      <c r="G1860" s="48" t="e">
        <v>#REF!</v>
      </c>
      <c r="H1860" s="49">
        <v>137.62</v>
      </c>
      <c r="I1860" s="49" t="e">
        <v>#REF!</v>
      </c>
      <c r="J1860" s="50"/>
    </row>
    <row r="1861" ht="28.8" outlineLevel="1" spans="1:10">
      <c r="A1861" s="50">
        <v>13</v>
      </c>
      <c r="B1861" s="51" t="str">
        <v>雨篷模板</v>
      </c>
      <c r="C1861" s="51" t="e">
        <v>#REF!</v>
      </c>
      <c r="D1861" s="51" t="str">
        <v>地上模板</v>
      </c>
      <c r="E1861" s="51" t="str">
        <v>地上模板</v>
      </c>
      <c r="F1861" s="52" t="e">
        <v>#REF!</v>
      </c>
      <c r="G1861" s="48" t="e">
        <v>#REF!</v>
      </c>
      <c r="H1861" s="49">
        <v>0</v>
      </c>
      <c r="I1861" s="49" t="e">
        <v>#REF!</v>
      </c>
      <c r="J1861" s="50"/>
    </row>
    <row r="1862" ht="28.8" outlineLevel="1" spans="1:10">
      <c r="A1862" s="50">
        <v>14</v>
      </c>
      <c r="B1862" s="51" t="str">
        <v>楼梯模.板</v>
      </c>
      <c r="C1862" s="51" t="e">
        <v>#REF!</v>
      </c>
      <c r="D1862" s="51" t="str">
        <v>地上模板</v>
      </c>
      <c r="E1862" s="51" t="str">
        <v>地上模板</v>
      </c>
      <c r="F1862" s="52" t="e">
        <v>#REF!</v>
      </c>
      <c r="G1862" s="48" t="e">
        <v>#REF!</v>
      </c>
      <c r="H1862" s="49">
        <v>58.09</v>
      </c>
      <c r="I1862" s="49" t="e">
        <v>#REF!</v>
      </c>
      <c r="J1862" s="50"/>
    </row>
    <row r="1863" outlineLevel="1" spans="1:10">
      <c r="A1863" s="50" t="str">
        <v>二</v>
      </c>
      <c r="B1863" s="51" t="str">
        <v>E.01.02脚手架工程</v>
      </c>
      <c r="C1863" s="51" t="str">
        <v/>
      </c>
      <c r="D1863" s="51" t="str">
        <v/>
      </c>
      <c r="E1863" s="51" t="str">
        <v/>
      </c>
      <c r="F1863" s="52" t="str">
        <v/>
      </c>
      <c r="G1863" s="48" t="str">
        <v/>
      </c>
      <c r="H1863" s="49">
        <v>1015.6</v>
      </c>
      <c r="I1863" s="49" t="e">
        <v>#REF!</v>
      </c>
      <c r="J1863" s="50"/>
    </row>
    <row r="1864" ht="43.2" outlineLevel="1" spans="1:10">
      <c r="A1864" s="50">
        <v>1</v>
      </c>
      <c r="B1864" s="51" t="str">
        <v>外墙双排脚手架</v>
      </c>
      <c r="C1864" s="51" t="e">
        <v>#REF!</v>
      </c>
      <c r="D1864" s="51" t="str">
        <v>地上综合脚手架</v>
      </c>
      <c r="E1864" s="51" t="str">
        <v>地上综合脚手架</v>
      </c>
      <c r="F1864" s="52" t="e">
        <v>#REF!</v>
      </c>
      <c r="G1864" s="48" t="e">
        <v>#REF!</v>
      </c>
      <c r="H1864" s="49">
        <v>1015.6</v>
      </c>
      <c r="I1864" s="49" t="e">
        <v>#REF!</v>
      </c>
      <c r="J1864" s="50"/>
    </row>
    <row r="1865" ht="43.2" outlineLevel="1" spans="1:10">
      <c r="A1865" s="50">
        <v>2</v>
      </c>
      <c r="B1865" s="51" t="str">
        <v>外墙悬挑脚手架</v>
      </c>
      <c r="C1865" s="51" t="e">
        <v>#REF!</v>
      </c>
      <c r="D1865" s="51" t="str">
        <v>地上综合脚手架</v>
      </c>
      <c r="E1865" s="51" t="str">
        <v>地上综合脚手架</v>
      </c>
      <c r="F1865" s="52" t="e">
        <v>#REF!</v>
      </c>
      <c r="G1865" s="48" t="e">
        <v>#REF!</v>
      </c>
      <c r="H1865" s="49">
        <v>0</v>
      </c>
      <c r="I1865" s="49" t="e">
        <v>#REF!</v>
      </c>
      <c r="J1865" s="50"/>
    </row>
    <row r="1866" ht="43.2" outlineLevel="1" spans="1:10">
      <c r="A1866" s="50">
        <v>3</v>
      </c>
      <c r="B1866" s="51" t="str">
        <v>电梯井字脚手架-70m以内</v>
      </c>
      <c r="C1866" s="51" t="e">
        <v>#REF!</v>
      </c>
      <c r="D1866" s="51" t="str">
        <v>地上综合脚手架</v>
      </c>
      <c r="E1866" s="51" t="str">
        <v>地上综合脚手架</v>
      </c>
      <c r="F1866" s="52" t="e">
        <v>#REF!</v>
      </c>
      <c r="G1866" s="48" t="e">
        <v>#REF!</v>
      </c>
      <c r="H1866" s="49">
        <v>0</v>
      </c>
      <c r="I1866" s="49" t="e">
        <v>#REF!</v>
      </c>
      <c r="J1866" s="50"/>
    </row>
    <row r="1867" ht="28.8" outlineLevel="1" spans="1:10">
      <c r="A1867" s="50">
        <v>4</v>
      </c>
      <c r="B1867" s="51" t="str">
        <v>电梯井字脚手架-50m以内</v>
      </c>
      <c r="C1867" s="51" t="e">
        <v>#REF!</v>
      </c>
      <c r="D1867" s="51" t="str">
        <v/>
      </c>
      <c r="E1867" s="51" t="str">
        <v/>
      </c>
      <c r="F1867" s="52" t="e">
        <v>#REF!</v>
      </c>
      <c r="G1867" s="48" t="e">
        <v>#REF!</v>
      </c>
      <c r="H1867" s="49">
        <v>0</v>
      </c>
      <c r="I1867" s="49" t="e">
        <v>#REF!</v>
      </c>
      <c r="J1867" s="50"/>
    </row>
    <row r="1868" outlineLevel="1" spans="1:10">
      <c r="A1868" s="50" t="str">
        <v>地上</v>
      </c>
      <c r="B1868" s="51" t="str">
        <v>二次结构</v>
      </c>
      <c r="C1868" s="51" t="str">
        <v/>
      </c>
      <c r="D1868" s="51" t="str">
        <v/>
      </c>
      <c r="E1868" s="51" t="str">
        <v/>
      </c>
      <c r="F1868" s="52" t="str">
        <v/>
      </c>
      <c r="G1868" s="48" t="str">
        <v/>
      </c>
      <c r="H1868" s="49">
        <v>0</v>
      </c>
      <c r="I1868" s="49" t="e">
        <v>#REF!</v>
      </c>
      <c r="J1868" s="50"/>
    </row>
    <row r="1869" outlineLevel="1" spans="1:10">
      <c r="A1869" s="50" t="str">
        <v>一</v>
      </c>
      <c r="B1869" s="51" t="str">
        <v>E.01.01模板工程</v>
      </c>
      <c r="C1869" s="51" t="str">
        <v/>
      </c>
      <c r="D1869" s="51" t="str">
        <v/>
      </c>
      <c r="E1869" s="51" t="str">
        <v/>
      </c>
      <c r="F1869" s="52" t="str">
        <v/>
      </c>
      <c r="G1869" s="48" t="str">
        <v/>
      </c>
      <c r="H1869" s="49">
        <v>159.7</v>
      </c>
      <c r="I1869" s="49" t="e">
        <v>#REF!</v>
      </c>
      <c r="J1869" s="50"/>
    </row>
    <row r="1870" ht="28.8" outlineLevel="1" spans="1:10">
      <c r="A1870" s="50">
        <v>1</v>
      </c>
      <c r="B1870" s="51" t="str">
        <v>构造柱模板</v>
      </c>
      <c r="C1870" s="51" t="e">
        <v>#REF!</v>
      </c>
      <c r="D1870" s="51" t="str">
        <v>地上模板</v>
      </c>
      <c r="E1870" s="51" t="str">
        <v>地上模板</v>
      </c>
      <c r="F1870" s="52" t="e">
        <v>#REF!</v>
      </c>
      <c r="G1870" s="48" t="e">
        <v>#REF!</v>
      </c>
      <c r="H1870" s="49">
        <v>111.07</v>
      </c>
      <c r="I1870" s="49" t="e">
        <v>#REF!</v>
      </c>
      <c r="J1870" s="50"/>
    </row>
    <row r="1871" ht="28.8" outlineLevel="1" spans="1:10">
      <c r="A1871" s="50">
        <v>2</v>
      </c>
      <c r="B1871" s="51" t="str">
        <v>圈梁模板</v>
      </c>
      <c r="C1871" s="51" t="e">
        <v>#REF!</v>
      </c>
      <c r="D1871" s="51" t="str">
        <v>地上模板</v>
      </c>
      <c r="E1871" s="51" t="str">
        <v>地上模板</v>
      </c>
      <c r="F1871" s="52" t="e">
        <v>#REF!</v>
      </c>
      <c r="G1871" s="48" t="e">
        <v>#REF!</v>
      </c>
      <c r="H1871" s="49">
        <v>2.91</v>
      </c>
      <c r="I1871" s="49" t="e">
        <v>#REF!</v>
      </c>
      <c r="J1871" s="50"/>
    </row>
    <row r="1872" ht="28.8" outlineLevel="1" spans="1:10">
      <c r="A1872" s="50">
        <v>3</v>
      </c>
      <c r="B1872" s="51" t="str">
        <v>门槛模板</v>
      </c>
      <c r="C1872" s="51" t="e">
        <v>#REF!</v>
      </c>
      <c r="D1872" s="51" t="str">
        <v>地上模板</v>
      </c>
      <c r="E1872" s="51" t="str">
        <v>地上模板</v>
      </c>
      <c r="F1872" s="52" t="e">
        <v>#REF!</v>
      </c>
      <c r="G1872" s="48" t="e">
        <v>#REF!</v>
      </c>
      <c r="H1872" s="49">
        <v>1</v>
      </c>
      <c r="I1872" s="49" t="e">
        <v>#REF!</v>
      </c>
      <c r="J1872" s="50"/>
    </row>
    <row r="1873" ht="28.8" outlineLevel="1" spans="1:10">
      <c r="A1873" s="50">
        <v>4</v>
      </c>
      <c r="B1873" s="51" t="str">
        <v>卫生间、厨房、分户墙、电井翻沿模板</v>
      </c>
      <c r="C1873" s="51" t="e">
        <v>#REF!</v>
      </c>
      <c r="D1873" s="51" t="str">
        <v>地上模板</v>
      </c>
      <c r="E1873" s="51" t="str">
        <v>地上模板</v>
      </c>
      <c r="F1873" s="52" t="e">
        <v>#REF!</v>
      </c>
      <c r="G1873" s="48" t="e">
        <v>#REF!</v>
      </c>
      <c r="H1873" s="49">
        <v>0</v>
      </c>
      <c r="I1873" s="49" t="e">
        <v>#REF!</v>
      </c>
      <c r="J1873" s="50"/>
    </row>
    <row r="1874" ht="28.8" outlineLevel="1" spans="1:10">
      <c r="A1874" s="50">
        <v>5</v>
      </c>
      <c r="B1874" s="51" t="str">
        <v>过梁模板</v>
      </c>
      <c r="C1874" s="51" t="e">
        <v>#REF!</v>
      </c>
      <c r="D1874" s="51" t="str">
        <v>地上模板</v>
      </c>
      <c r="E1874" s="51" t="str">
        <v>地上模板</v>
      </c>
      <c r="F1874" s="52" t="e">
        <v>#REF!</v>
      </c>
      <c r="G1874" s="48" t="e">
        <v>#REF!</v>
      </c>
      <c r="H1874" s="49">
        <v>19.02</v>
      </c>
      <c r="I1874" s="49" t="e">
        <v>#REF!</v>
      </c>
      <c r="J1874" s="50"/>
    </row>
    <row r="1875" ht="28.8" outlineLevel="1" spans="1:10">
      <c r="A1875" s="50">
        <v>6</v>
      </c>
      <c r="B1875" s="51" t="str">
        <v>压顶模板</v>
      </c>
      <c r="C1875" s="51" t="e">
        <v>#REF!</v>
      </c>
      <c r="D1875" s="51" t="str">
        <v>地上模板</v>
      </c>
      <c r="E1875" s="51" t="str">
        <v>地上模板</v>
      </c>
      <c r="F1875" s="52" t="e">
        <v>#REF!</v>
      </c>
      <c r="G1875" s="48" t="e">
        <v>#REF!</v>
      </c>
      <c r="H1875" s="49">
        <v>10.7</v>
      </c>
      <c r="I1875" s="49" t="e">
        <v>#REF!</v>
      </c>
      <c r="J1875" s="50"/>
    </row>
    <row r="1876" ht="28.8" outlineLevel="1" spans="1:10">
      <c r="A1876" s="50">
        <v>7</v>
      </c>
      <c r="B1876" s="51" t="str">
        <v>散水模板</v>
      </c>
      <c r="C1876" s="51" t="e">
        <v>#REF!</v>
      </c>
      <c r="D1876" s="51" t="str">
        <v>地上模板</v>
      </c>
      <c r="E1876" s="51" t="str">
        <v>地上模板</v>
      </c>
      <c r="F1876" s="52" t="e">
        <v>#REF!</v>
      </c>
      <c r="G1876" s="48" t="e">
        <v>#REF!</v>
      </c>
      <c r="H1876" s="49">
        <v>6</v>
      </c>
      <c r="I1876" s="49" t="e">
        <v>#REF!</v>
      </c>
      <c r="J1876" s="50"/>
    </row>
    <row r="1877" ht="28.8" outlineLevel="1" spans="1:10">
      <c r="A1877" s="50">
        <v>8</v>
      </c>
      <c r="B1877" s="51" t="str">
        <v>坡道模板</v>
      </c>
      <c r="C1877" s="51" t="e">
        <v>#REF!</v>
      </c>
      <c r="D1877" s="51" t="str">
        <v>地上模板</v>
      </c>
      <c r="E1877" s="51" t="str">
        <v>地上模板</v>
      </c>
      <c r="F1877" s="52" t="e">
        <v>#REF!</v>
      </c>
      <c r="G1877" s="48" t="e">
        <v>#REF!</v>
      </c>
      <c r="H1877" s="49">
        <v>5.1</v>
      </c>
      <c r="I1877" s="49" t="e">
        <v>#REF!</v>
      </c>
      <c r="J1877" s="50"/>
    </row>
    <row r="1878" ht="28.8" outlineLevel="1" spans="1:10">
      <c r="A1878" s="50">
        <v>9</v>
      </c>
      <c r="B1878" s="51" t="str">
        <v>台阶模板</v>
      </c>
      <c r="C1878" s="51" t="e">
        <v>#REF!</v>
      </c>
      <c r="D1878" s="51" t="str">
        <v>地上模板</v>
      </c>
      <c r="E1878" s="51" t="str">
        <v>地上模板</v>
      </c>
      <c r="F1878" s="52" t="e">
        <v>#REF!</v>
      </c>
      <c r="G1878" s="48" t="e">
        <v>#REF!</v>
      </c>
      <c r="H1878" s="49">
        <v>2.9</v>
      </c>
      <c r="I1878" s="49" t="e">
        <v>#REF!</v>
      </c>
      <c r="J1878" s="50"/>
    </row>
    <row r="1879" ht="28.8" outlineLevel="1" spans="1:10">
      <c r="A1879" s="50">
        <v>10</v>
      </c>
      <c r="B1879" s="51" t="str">
        <v>水簸箕模板</v>
      </c>
      <c r="C1879" s="51" t="e">
        <v>#REF!</v>
      </c>
      <c r="D1879" s="51" t="str">
        <v>地上模板</v>
      </c>
      <c r="E1879" s="51" t="str">
        <v>地上模板</v>
      </c>
      <c r="F1879" s="52" t="e">
        <v>#REF!</v>
      </c>
      <c r="G1879" s="48" t="e">
        <v>#REF!</v>
      </c>
      <c r="H1879" s="49">
        <v>1</v>
      </c>
      <c r="I1879" s="49" t="e">
        <v>#REF!</v>
      </c>
      <c r="J1879" s="50"/>
    </row>
    <row r="1880" outlineLevel="1" spans="1:10">
      <c r="A1880" s="50" t="str">
        <v>二</v>
      </c>
      <c r="B1880" s="51" t="str">
        <v>E.01.02脚手架工程</v>
      </c>
      <c r="C1880" s="51" t="str">
        <v/>
      </c>
      <c r="D1880" s="51" t="str">
        <v/>
      </c>
      <c r="E1880" s="51" t="str">
        <v/>
      </c>
      <c r="F1880" s="52" t="str">
        <v/>
      </c>
      <c r="G1880" s="48" t="str">
        <v/>
      </c>
      <c r="H1880" s="49">
        <v>218.73</v>
      </c>
      <c r="I1880" s="49" t="e">
        <v>#REF!</v>
      </c>
      <c r="J1880" s="50"/>
    </row>
    <row r="1881" ht="43.2" outlineLevel="1" spans="1:10">
      <c r="A1881" s="50">
        <v>1</v>
      </c>
      <c r="B1881" s="51" t="str">
        <v>内墙砌筑脚手架</v>
      </c>
      <c r="C1881" s="51" t="e">
        <v>#REF!</v>
      </c>
      <c r="D1881" s="51" t="str">
        <v>地上综合脚手架</v>
      </c>
      <c r="E1881" s="51" t="str">
        <v>地上综合脚手架</v>
      </c>
      <c r="F1881" s="52" t="e">
        <v>#REF!</v>
      </c>
      <c r="G1881" s="48" t="e">
        <v>#REF!</v>
      </c>
      <c r="H1881" s="49">
        <v>218.73</v>
      </c>
      <c r="I1881" s="49" t="e">
        <v>#REF!</v>
      </c>
      <c r="J1881" s="50"/>
    </row>
    <row r="1882" ht="43.2" outlineLevel="1" spans="1:10">
      <c r="A1882" s="50">
        <v>2</v>
      </c>
      <c r="B1882" s="51" t="str">
        <v>简易墙面脚手架</v>
      </c>
      <c r="C1882" s="51" t="e">
        <v>#REF!</v>
      </c>
      <c r="D1882" s="51" t="str">
        <v>地上综合脚手架</v>
      </c>
      <c r="E1882" s="51" t="str">
        <v>地上综合脚手架</v>
      </c>
      <c r="F1882" s="52" t="e">
        <v>#REF!</v>
      </c>
      <c r="G1882" s="48" t="e">
        <v>#REF!</v>
      </c>
      <c r="H1882" s="49">
        <v>0</v>
      </c>
      <c r="I1882" s="49" t="e">
        <v>#REF!</v>
      </c>
      <c r="J1882" s="50"/>
    </row>
    <row r="1883" ht="43.2" outlineLevel="1" spans="1:10">
      <c r="A1883" s="50">
        <v>3</v>
      </c>
      <c r="B1883" s="51" t="str">
        <v>简易天棚脚手架</v>
      </c>
      <c r="C1883" s="51" t="e">
        <v>#REF!</v>
      </c>
      <c r="D1883" s="51" t="str">
        <v>地上综合脚手架</v>
      </c>
      <c r="E1883" s="51" t="str">
        <v>地上综合脚手架</v>
      </c>
      <c r="F1883" s="52" t="e">
        <v>#REF!</v>
      </c>
      <c r="G1883" s="48" t="e">
        <v>#REF!</v>
      </c>
      <c r="H1883" s="49">
        <v>0</v>
      </c>
      <c r="I1883" s="49" t="e">
        <v>#REF!</v>
      </c>
      <c r="J1883" s="50"/>
    </row>
    <row r="1884" ht="28.8" outlineLevel="1" spans="1:10">
      <c r="A1884" s="50" t="str">
        <v/>
      </c>
      <c r="B1884" s="51" t="str">
        <v>E.02总价措施费（整体措施费）</v>
      </c>
      <c r="C1884" s="51" t="e">
        <v>#REF!</v>
      </c>
      <c r="D1884" s="51" t="str">
        <v/>
      </c>
      <c r="E1884" s="51" t="str">
        <v/>
      </c>
      <c r="F1884" s="52" t="e">
        <v>#REF!</v>
      </c>
      <c r="G1884" s="48" t="e">
        <v>#REF!</v>
      </c>
      <c r="H1884" s="49" t="e">
        <v>#REF!</v>
      </c>
      <c r="I1884" s="49" t="e">
        <v>#REF!</v>
      </c>
      <c r="J1884" s="50"/>
    </row>
    <row r="1885" ht="43.2" outlineLevel="1" spans="1:10">
      <c r="A1885" s="50" t="str">
        <v>地上</v>
      </c>
      <c r="B1885" s="51" t="str">
        <v>E.02总价措施费（整体措施费）</v>
      </c>
      <c r="C1885" s="51" t="e">
        <v>#REF!</v>
      </c>
      <c r="D1885" s="51" t="str">
        <v>地上总价措施费</v>
      </c>
      <c r="E1885" s="51" t="str">
        <v>地上总价措施费</v>
      </c>
      <c r="F1885" s="52" t="e">
        <v>#REF!</v>
      </c>
      <c r="G1885" s="48" t="e">
        <v>#REF!</v>
      </c>
      <c r="H1885" s="49" t="e">
        <v>#REF!</v>
      </c>
      <c r="I1885" s="49" t="e">
        <v>#REF!</v>
      </c>
      <c r="J1885" s="50"/>
    </row>
    <row r="1886" ht="43.2" outlineLevel="1" spans="1:10">
      <c r="A1886" s="50" t="str">
        <v>地下</v>
      </c>
      <c r="B1886" s="51" t="str">
        <v>E.02总价措施费（整体措施费）</v>
      </c>
      <c r="C1886" s="51" t="e">
        <v>#REF!</v>
      </c>
      <c r="D1886" s="51" t="str">
        <v>地下总价措施费</v>
      </c>
      <c r="E1886" s="51" t="str">
        <v>地下总价措施费</v>
      </c>
      <c r="F1886" s="52" t="e">
        <v>#REF!</v>
      </c>
      <c r="G1886" s="48" t="e">
        <v>#REF!</v>
      </c>
      <c r="H1886" s="49" t="e">
        <v>#REF!</v>
      </c>
      <c r="I1886" s="49" t="e">
        <v>#REF!</v>
      </c>
      <c r="J1886" s="50"/>
    </row>
    <row r="1887" outlineLevel="1" spans="1:10">
      <c r="A1887" s="50" t="str">
        <v/>
      </c>
      <c r="B1887" s="51" t="str">
        <v>E.03垂直运输</v>
      </c>
      <c r="C1887" s="51" t="str">
        <v/>
      </c>
      <c r="D1887" s="51" t="str">
        <v/>
      </c>
      <c r="E1887" s="51" t="str">
        <v/>
      </c>
      <c r="F1887" s="52" t="str">
        <v/>
      </c>
      <c r="G1887" s="48" t="str">
        <v/>
      </c>
      <c r="H1887" s="49">
        <v>0</v>
      </c>
      <c r="I1887" s="49" t="e">
        <v>#REF!</v>
      </c>
      <c r="J1887" s="50"/>
    </row>
    <row r="1888" outlineLevel="1" spans="1:10">
      <c r="A1888" s="50" t="str">
        <v>地上</v>
      </c>
      <c r="B1888" s="51" t="str">
        <v>E.03垂直运输</v>
      </c>
      <c r="C1888" s="51" t="e">
        <v>#REF!</v>
      </c>
      <c r="D1888" s="51" t="str">
        <v/>
      </c>
      <c r="E1888" s="51" t="str">
        <v/>
      </c>
      <c r="F1888" s="52" t="str">
        <v/>
      </c>
      <c r="G1888" s="48" t="str">
        <v/>
      </c>
      <c r="H1888" s="49" t="e">
        <v>#REF!</v>
      </c>
      <c r="I1888" s="49" t="e">
        <v>#REF!</v>
      </c>
      <c r="J1888" s="50"/>
    </row>
    <row r="1889" ht="43.2" outlineLevel="1" spans="1:10">
      <c r="A1889" s="50" t="str">
        <v/>
      </c>
      <c r="B1889" s="51" t="str">
        <v>垂运-装配式</v>
      </c>
      <c r="C1889" s="51" t="e">
        <v>#REF!</v>
      </c>
      <c r="D1889" s="51" t="str">
        <v>地上总价措施费</v>
      </c>
      <c r="E1889" s="51" t="str">
        <v>地上总价措施费</v>
      </c>
      <c r="F1889" s="52" t="e">
        <v>#REF!</v>
      </c>
      <c r="G1889" s="48" t="e">
        <v>#REF!</v>
      </c>
      <c r="H1889" s="49">
        <v>0</v>
      </c>
      <c r="I1889" s="49" t="e">
        <v>#REF!</v>
      </c>
      <c r="J1889" s="50"/>
    </row>
    <row r="1890" ht="43.2" outlineLevel="1" spans="1:10">
      <c r="A1890" s="50" t="str">
        <v/>
      </c>
      <c r="B1890" s="51" t="str">
        <v>垂运-非装配式</v>
      </c>
      <c r="C1890" s="51" t="e">
        <v>#REF!</v>
      </c>
      <c r="D1890" s="51" t="str">
        <v>地上总价措施费</v>
      </c>
      <c r="E1890" s="51" t="str">
        <v>地上总价措施费</v>
      </c>
      <c r="F1890" s="52" t="e">
        <v>#REF!</v>
      </c>
      <c r="G1890" s="48" t="e">
        <v>#REF!</v>
      </c>
      <c r="H1890" s="49">
        <v>0</v>
      </c>
      <c r="I1890" s="49" t="e">
        <v>#REF!</v>
      </c>
      <c r="J1890" s="50"/>
    </row>
    <row r="1891" ht="43.2" outlineLevel="1" spans="1:10">
      <c r="A1891" s="50" t="str">
        <v/>
      </c>
      <c r="B1891" s="51" t="str">
        <v>垂运-配套</v>
      </c>
      <c r="C1891" s="51" t="e">
        <v>#REF!</v>
      </c>
      <c r="D1891" s="51" t="str">
        <v>地上总价措施费</v>
      </c>
      <c r="E1891" s="51" t="str">
        <v>地上总价措施费</v>
      </c>
      <c r="F1891" s="52" t="e">
        <v>#REF!</v>
      </c>
      <c r="G1891" s="48" t="e">
        <v>#REF!</v>
      </c>
      <c r="H1891" s="49" t="e">
        <v>#REF!</v>
      </c>
      <c r="I1891" s="49" t="e">
        <v>#REF!</v>
      </c>
      <c r="J1891" s="50"/>
    </row>
    <row r="1892" ht="43.2" outlineLevel="1" spans="1:10">
      <c r="A1892" s="50" t="str">
        <v/>
      </c>
      <c r="B1892" s="51" t="str">
        <v>垂运-地下车库</v>
      </c>
      <c r="C1892" s="51" t="e">
        <v>#REF!</v>
      </c>
      <c r="D1892" s="51" t="str">
        <v>地上总价措施费</v>
      </c>
      <c r="E1892" s="51" t="str">
        <v>地上总价措施费</v>
      </c>
      <c r="F1892" s="52" t="e">
        <v>#REF!</v>
      </c>
      <c r="G1892" s="48" t="e">
        <v>#REF!</v>
      </c>
      <c r="H1892" s="49">
        <v>0</v>
      </c>
      <c r="I1892" s="49" t="e">
        <v>#REF!</v>
      </c>
      <c r="J1892" s="50"/>
    </row>
    <row r="1893" outlineLevel="1" spans="1:10">
      <c r="A1893" s="50" t="str">
        <v>地下</v>
      </c>
      <c r="B1893" s="51" t="str">
        <v>E.03垂直运输</v>
      </c>
      <c r="C1893" s="51" t="e">
        <v>#REF!</v>
      </c>
      <c r="D1893" s="51" t="str">
        <v/>
      </c>
      <c r="E1893" s="51" t="str">
        <v/>
      </c>
      <c r="F1893" s="52" t="str">
        <v/>
      </c>
      <c r="G1893" s="48" t="str">
        <v/>
      </c>
      <c r="H1893" s="49" t="e">
        <v>#REF!</v>
      </c>
      <c r="I1893" s="49" t="e">
        <v>#REF!</v>
      </c>
      <c r="J1893" s="50"/>
    </row>
    <row r="1894" ht="43.2" outlineLevel="1" spans="1:10">
      <c r="A1894" s="50" t="str">
        <v/>
      </c>
      <c r="B1894" s="51" t="str">
        <v>垂运-装配式</v>
      </c>
      <c r="C1894" s="51" t="e">
        <v>#REF!</v>
      </c>
      <c r="D1894" s="51" t="str">
        <v>地下总价措施费</v>
      </c>
      <c r="E1894" s="51" t="str">
        <v>地下总价措施费</v>
      </c>
      <c r="F1894" s="52" t="e">
        <v>#REF!</v>
      </c>
      <c r="G1894" s="48" t="e">
        <v>#REF!</v>
      </c>
      <c r="H1894" s="49">
        <v>0</v>
      </c>
      <c r="I1894" s="49" t="e">
        <v>#REF!</v>
      </c>
      <c r="J1894" s="50"/>
    </row>
    <row r="1895" ht="43.2" outlineLevel="1" spans="1:10">
      <c r="A1895" s="50" t="str">
        <v/>
      </c>
      <c r="B1895" s="51" t="str">
        <v>垂运-非装配式</v>
      </c>
      <c r="C1895" s="51" t="e">
        <v>#REF!</v>
      </c>
      <c r="D1895" s="51" t="str">
        <v>地下总价措施费</v>
      </c>
      <c r="E1895" s="51" t="str">
        <v>地下总价措施费</v>
      </c>
      <c r="F1895" s="52" t="e">
        <v>#REF!</v>
      </c>
      <c r="G1895" s="48" t="e">
        <v>#REF!</v>
      </c>
      <c r="H1895" s="49">
        <v>0</v>
      </c>
      <c r="I1895" s="49" t="e">
        <v>#REF!</v>
      </c>
      <c r="J1895" s="50"/>
    </row>
    <row r="1896" ht="43.2" outlineLevel="1" spans="1:10">
      <c r="A1896" s="50" t="str">
        <v/>
      </c>
      <c r="B1896" s="51" t="str">
        <v>垂运-配套</v>
      </c>
      <c r="C1896" s="51" t="e">
        <v>#REF!</v>
      </c>
      <c r="D1896" s="51" t="str">
        <v>地下总价措施费</v>
      </c>
      <c r="E1896" s="51" t="str">
        <v>地下总价措施费</v>
      </c>
      <c r="F1896" s="52" t="e">
        <v>#REF!</v>
      </c>
      <c r="G1896" s="48" t="e">
        <v>#REF!</v>
      </c>
      <c r="H1896" s="49" t="e">
        <v>#REF!</v>
      </c>
      <c r="I1896" s="49" t="e">
        <v>#REF!</v>
      </c>
      <c r="J1896" s="50"/>
    </row>
    <row r="1897" ht="43.2" outlineLevel="1" spans="1:10">
      <c r="A1897" s="50" t="str">
        <v/>
      </c>
      <c r="B1897" s="51" t="str">
        <v>垂运-地下车库</v>
      </c>
      <c r="C1897" s="51" t="e">
        <v>#REF!</v>
      </c>
      <c r="D1897" s="51" t="str">
        <v>地下总价措施费</v>
      </c>
      <c r="E1897" s="51" t="str">
        <v>地下总价措施费</v>
      </c>
      <c r="F1897" s="52" t="e">
        <v>#REF!</v>
      </c>
      <c r="G1897" s="48" t="e">
        <v>#REF!</v>
      </c>
      <c r="H1897" s="49">
        <v>0</v>
      </c>
      <c r="I1897" s="49" t="e">
        <v>#REF!</v>
      </c>
      <c r="J1897" s="50"/>
    </row>
    <row r="1898" outlineLevel="1" spans="1:10">
      <c r="A1898" s="50" t="str">
        <v/>
      </c>
      <c r="B1898" s="51" t="str">
        <v>合计</v>
      </c>
      <c r="C1898" s="51" t="str">
        <v/>
      </c>
      <c r="D1898" s="51" t="str">
        <v/>
      </c>
      <c r="E1898" s="51" t="str">
        <v/>
      </c>
      <c r="F1898" s="52" t="str">
        <v/>
      </c>
      <c r="G1898" s="48" t="str">
        <v/>
      </c>
      <c r="H1898" s="49">
        <v>0</v>
      </c>
      <c r="I1898" s="49" t="e">
        <v>#REF!</v>
      </c>
      <c r="J1898" s="50"/>
    </row>
    <row r="1899" outlineLevel="1" spans="1:10">
      <c r="A1899" s="50" t="str">
        <v/>
      </c>
      <c r="B1899" s="51" t="str">
        <v/>
      </c>
      <c r="C1899" s="51" t="str">
        <v/>
      </c>
      <c r="D1899" s="51" t="str">
        <v/>
      </c>
      <c r="E1899" s="51" t="str">
        <v/>
      </c>
      <c r="F1899" s="52" t="str">
        <v/>
      </c>
      <c r="G1899" s="48" t="str">
        <v/>
      </c>
      <c r="H1899" s="49">
        <v>0</v>
      </c>
      <c r="I1899" s="49">
        <v>0</v>
      </c>
      <c r="J1899" s="50"/>
    </row>
    <row r="1900" outlineLevel="1" spans="1:10">
      <c r="A1900" s="50" t="str">
        <v/>
      </c>
      <c r="B1900" s="51" t="str">
        <v/>
      </c>
      <c r="C1900" s="51" t="str">
        <v/>
      </c>
      <c r="D1900" s="51" t="str">
        <v/>
      </c>
      <c r="E1900" s="51" t="str">
        <v/>
      </c>
      <c r="F1900" s="52" t="str">
        <v/>
      </c>
      <c r="G1900" s="48" t="str">
        <v/>
      </c>
      <c r="H1900" s="49">
        <v>0</v>
      </c>
      <c r="I1900" s="49">
        <v>0</v>
      </c>
      <c r="J1900" s="50"/>
    </row>
    <row r="1901" outlineLevel="1" spans="1:10">
      <c r="A1901" s="50" t="str">
        <v/>
      </c>
      <c r="B1901" s="51" t="str">
        <v/>
      </c>
      <c r="C1901" s="51" t="str">
        <v/>
      </c>
      <c r="D1901" s="51" t="str">
        <v/>
      </c>
      <c r="E1901" s="51" t="str">
        <v/>
      </c>
      <c r="F1901" s="52" t="str">
        <v/>
      </c>
      <c r="G1901" s="48" t="str">
        <v/>
      </c>
      <c r="H1901" s="49">
        <v>0</v>
      </c>
      <c r="I1901" s="49">
        <v>0</v>
      </c>
      <c r="J1901" s="50"/>
    </row>
    <row r="1902" outlineLevel="1" spans="1:10">
      <c r="A1902" s="50" t="str">
        <v/>
      </c>
      <c r="B1902" s="51" t="str">
        <v/>
      </c>
      <c r="C1902" s="51" t="str">
        <v/>
      </c>
      <c r="D1902" s="51" t="str">
        <v/>
      </c>
      <c r="E1902" s="51" t="str">
        <v/>
      </c>
      <c r="F1902" s="52" t="str">
        <v/>
      </c>
      <c r="G1902" s="48" t="str">
        <v/>
      </c>
      <c r="H1902" s="49">
        <v>0</v>
      </c>
      <c r="I1902" s="49">
        <v>0</v>
      </c>
      <c r="J1902" s="50"/>
    </row>
    <row r="1903" outlineLevel="1" spans="1:10">
      <c r="A1903" s="50" t="str">
        <v/>
      </c>
      <c r="B1903" s="51" t="str">
        <v/>
      </c>
      <c r="C1903" s="51" t="str">
        <v/>
      </c>
      <c r="D1903" s="51" t="str">
        <v/>
      </c>
      <c r="E1903" s="51" t="str">
        <v/>
      </c>
      <c r="F1903" s="52" t="str">
        <v/>
      </c>
      <c r="G1903" s="48" t="str">
        <v/>
      </c>
      <c r="H1903" s="49">
        <v>0</v>
      </c>
      <c r="I1903" s="49">
        <v>0</v>
      </c>
      <c r="J1903" s="50"/>
    </row>
    <row r="1904" outlineLevel="1" spans="1:10">
      <c r="A1904" s="50" t="str">
        <v/>
      </c>
      <c r="B1904" s="51" t="str">
        <v/>
      </c>
      <c r="C1904" s="51" t="str">
        <v/>
      </c>
      <c r="D1904" s="51" t="str">
        <v/>
      </c>
      <c r="E1904" s="51" t="str">
        <v/>
      </c>
      <c r="F1904" s="52" t="str">
        <v/>
      </c>
      <c r="G1904" s="48" t="str">
        <v/>
      </c>
      <c r="H1904" s="49">
        <v>0</v>
      </c>
      <c r="I1904" s="49">
        <v>0</v>
      </c>
      <c r="J1904" s="50"/>
    </row>
    <row r="1905" outlineLevel="1" spans="1:10">
      <c r="A1905" s="50" t="str">
        <v/>
      </c>
      <c r="B1905" s="51" t="str">
        <v/>
      </c>
      <c r="C1905" s="51" t="str">
        <v/>
      </c>
      <c r="D1905" s="51" t="str">
        <v/>
      </c>
      <c r="E1905" s="51" t="str">
        <v/>
      </c>
      <c r="F1905" s="52" t="str">
        <v/>
      </c>
      <c r="G1905" s="48" t="str">
        <v/>
      </c>
      <c r="H1905" s="49">
        <v>0</v>
      </c>
      <c r="I1905" s="49">
        <v>0</v>
      </c>
      <c r="J1905" s="50"/>
    </row>
    <row r="1906" outlineLevel="1" spans="1:10">
      <c r="A1906" s="50" t="str">
        <v/>
      </c>
      <c r="B1906" s="51" t="str">
        <v/>
      </c>
      <c r="C1906" s="51" t="str">
        <v/>
      </c>
      <c r="D1906" s="51" t="str">
        <v/>
      </c>
      <c r="E1906" s="51" t="str">
        <v/>
      </c>
      <c r="F1906" s="52" t="str">
        <v/>
      </c>
      <c r="G1906" s="48" t="str">
        <v/>
      </c>
      <c r="H1906" s="49">
        <v>0</v>
      </c>
      <c r="I1906" s="49">
        <v>0</v>
      </c>
      <c r="J1906" s="50"/>
    </row>
    <row r="1907" outlineLevel="1" spans="1:10">
      <c r="A1907" s="50" t="str">
        <v/>
      </c>
      <c r="B1907" s="51" t="str">
        <v/>
      </c>
      <c r="C1907" s="51" t="str">
        <v/>
      </c>
      <c r="D1907" s="51" t="str">
        <v/>
      </c>
      <c r="E1907" s="51" t="str">
        <v/>
      </c>
      <c r="F1907" s="52" t="str">
        <v/>
      </c>
      <c r="G1907" s="48" t="str">
        <v/>
      </c>
      <c r="H1907" s="49">
        <v>0</v>
      </c>
      <c r="I1907" s="49">
        <v>0</v>
      </c>
      <c r="J1907" s="50"/>
    </row>
    <row r="1908" outlineLevel="1" spans="1:10">
      <c r="A1908" s="50" t="str">
        <v/>
      </c>
      <c r="B1908" s="51" t="str">
        <v/>
      </c>
      <c r="C1908" s="51" t="str">
        <v/>
      </c>
      <c r="D1908" s="51" t="str">
        <v/>
      </c>
      <c r="E1908" s="51" t="str">
        <v/>
      </c>
      <c r="F1908" s="52" t="str">
        <v/>
      </c>
      <c r="G1908" s="48" t="str">
        <v/>
      </c>
      <c r="H1908" s="49">
        <v>0</v>
      </c>
      <c r="I1908" s="49">
        <v>0</v>
      </c>
      <c r="J1908" s="50"/>
    </row>
    <row r="1909" outlineLevel="1" spans="1:10">
      <c r="A1909" s="50" t="str">
        <v/>
      </c>
      <c r="B1909" s="51" t="str">
        <v/>
      </c>
      <c r="C1909" s="51" t="str">
        <v/>
      </c>
      <c r="D1909" s="51" t="str">
        <v/>
      </c>
      <c r="E1909" s="51" t="str">
        <v/>
      </c>
      <c r="F1909" s="52" t="str">
        <v/>
      </c>
      <c r="G1909" s="48" t="str">
        <v/>
      </c>
      <c r="H1909" s="49">
        <v>0</v>
      </c>
      <c r="I1909" s="49">
        <v>0</v>
      </c>
      <c r="J1909" s="50"/>
    </row>
    <row r="1910" outlineLevel="1" spans="1:10">
      <c r="A1910" s="50" t="str">
        <v/>
      </c>
      <c r="B1910" s="51" t="str">
        <v/>
      </c>
      <c r="C1910" s="51" t="str">
        <v/>
      </c>
      <c r="D1910" s="51" t="str">
        <v/>
      </c>
      <c r="E1910" s="51" t="str">
        <v/>
      </c>
      <c r="F1910" s="52" t="str">
        <v/>
      </c>
      <c r="G1910" s="48" t="str">
        <v/>
      </c>
      <c r="H1910" s="49">
        <v>0</v>
      </c>
      <c r="I1910" s="49">
        <v>0</v>
      </c>
      <c r="J1910" s="50"/>
    </row>
    <row r="1911" outlineLevel="1" spans="1:10">
      <c r="A1911" s="50" t="str">
        <v/>
      </c>
      <c r="B1911" s="51" t="str">
        <v/>
      </c>
      <c r="C1911" s="51" t="str">
        <v/>
      </c>
      <c r="D1911" s="51" t="str">
        <v/>
      </c>
      <c r="E1911" s="51" t="str">
        <v/>
      </c>
      <c r="F1911" s="52" t="str">
        <v/>
      </c>
      <c r="G1911" s="48" t="str">
        <v/>
      </c>
      <c r="H1911" s="49">
        <v>0</v>
      </c>
      <c r="I1911" s="49">
        <v>0</v>
      </c>
      <c r="J1911" s="50"/>
    </row>
    <row r="1912" outlineLevel="1" spans="1:10">
      <c r="A1912" s="50" t="str">
        <v/>
      </c>
      <c r="B1912" s="51" t="str">
        <v/>
      </c>
      <c r="C1912" s="51" t="str">
        <v/>
      </c>
      <c r="D1912" s="51" t="str">
        <v/>
      </c>
      <c r="E1912" s="51" t="str">
        <v/>
      </c>
      <c r="F1912" s="52" t="str">
        <v/>
      </c>
      <c r="G1912" s="48" t="str">
        <v/>
      </c>
      <c r="H1912" s="49">
        <v>0</v>
      </c>
      <c r="I1912" s="49">
        <v>0</v>
      </c>
      <c r="J1912" s="50"/>
    </row>
    <row r="1913" outlineLevel="1" spans="1:10">
      <c r="A1913" s="50" t="str">
        <v/>
      </c>
      <c r="B1913" s="51" t="str">
        <v/>
      </c>
      <c r="C1913" s="51" t="str">
        <v/>
      </c>
      <c r="D1913" s="51" t="str">
        <v/>
      </c>
      <c r="E1913" s="51" t="str">
        <v/>
      </c>
      <c r="F1913" s="52" t="str">
        <v/>
      </c>
      <c r="G1913" s="48" t="str">
        <v/>
      </c>
      <c r="H1913" s="49">
        <v>0</v>
      </c>
      <c r="I1913" s="49">
        <v>0</v>
      </c>
      <c r="J1913" s="50"/>
    </row>
    <row r="1914" outlineLevel="1" spans="1:10">
      <c r="A1914" s="50" t="str">
        <v/>
      </c>
      <c r="B1914" s="51" t="str">
        <v/>
      </c>
      <c r="C1914" s="51" t="str">
        <v/>
      </c>
      <c r="D1914" s="51" t="str">
        <v/>
      </c>
      <c r="E1914" s="51" t="str">
        <v/>
      </c>
      <c r="F1914" s="52" t="str">
        <v/>
      </c>
      <c r="G1914" s="48" t="str">
        <v/>
      </c>
      <c r="H1914" s="49">
        <v>0</v>
      </c>
      <c r="I1914" s="49">
        <v>0</v>
      </c>
      <c r="J1914" s="50"/>
    </row>
    <row r="1915" outlineLevel="1" spans="1:10">
      <c r="A1915" s="50" t="str">
        <v/>
      </c>
      <c r="B1915" s="51" t="str">
        <v/>
      </c>
      <c r="C1915" s="51" t="str">
        <v/>
      </c>
      <c r="D1915" s="51" t="str">
        <v/>
      </c>
      <c r="E1915" s="51" t="str">
        <v/>
      </c>
      <c r="F1915" s="52" t="str">
        <v/>
      </c>
      <c r="G1915" s="48" t="str">
        <v/>
      </c>
      <c r="H1915" s="49">
        <v>0</v>
      </c>
      <c r="I1915" s="49">
        <v>0</v>
      </c>
      <c r="J1915" s="50"/>
    </row>
    <row r="1916" outlineLevel="1" spans="1:10">
      <c r="A1916" s="50" t="str">
        <v/>
      </c>
      <c r="B1916" s="51" t="str">
        <v/>
      </c>
      <c r="C1916" s="51" t="str">
        <v/>
      </c>
      <c r="D1916" s="51" t="str">
        <v/>
      </c>
      <c r="E1916" s="51" t="str">
        <v/>
      </c>
      <c r="F1916" s="52" t="str">
        <v/>
      </c>
      <c r="G1916" s="48" t="str">
        <v/>
      </c>
      <c r="H1916" s="49">
        <v>0</v>
      </c>
      <c r="I1916" s="49">
        <v>0</v>
      </c>
      <c r="J1916" s="50"/>
    </row>
  </sheetData>
  <mergeCells count="10">
    <mergeCell ref="A1:J1"/>
    <mergeCell ref="D2:E2"/>
    <mergeCell ref="A2:A3"/>
    <mergeCell ref="B2:B3"/>
    <mergeCell ref="C2:C3"/>
    <mergeCell ref="F2:F3"/>
    <mergeCell ref="G2:G3"/>
    <mergeCell ref="H2:H3"/>
    <mergeCell ref="I2:I3"/>
    <mergeCell ref="J2:J3"/>
  </mergeCells>
  <pageMargins left="0.75" right="0.75" top="1" bottom="1" header="0.5" footer="0.5"/>
  <pageSetup paperSize="9" scale="70"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outlinePr summaryBelow="0" summaryRight="0"/>
  </sheetPr>
  <dimension ref="A1:K1916"/>
  <sheetViews>
    <sheetView view="pageBreakPreview" zoomScaleNormal="100" workbookViewId="0">
      <pane ySplit="3" topLeftCell="A1893" activePane="bottomLeft" state="frozen"/>
      <selection/>
      <selection pane="bottomLeft" activeCell="I1893" sqref="I1893"/>
    </sheetView>
  </sheetViews>
  <sheetFormatPr defaultColWidth="19.6296296296296" defaultRowHeight="14.4"/>
  <cols>
    <col min="1" max="1" width="4.12962962962963" style="28" customWidth="1"/>
    <col min="2" max="2" width="26.25" style="30" customWidth="1"/>
    <col min="3" max="3" width="36.5" style="30" customWidth="1"/>
    <col min="4" max="5" width="7.5" style="30" customWidth="1" outlineLevel="1"/>
    <col min="6" max="6" width="9.12962962962963" style="31" customWidth="1"/>
    <col min="7" max="7" width="13.1296296296296" style="32" customWidth="1"/>
    <col min="8" max="8" width="10.3796296296296" style="33" customWidth="1"/>
    <col min="9" max="9" width="16" style="33" customWidth="1"/>
    <col min="10" max="10" width="8.62962962962963" style="28" customWidth="1"/>
    <col min="11" max="11" width="19.6296296296296" style="34" customWidth="1"/>
    <col min="12" max="16384" width="19.6296296296296" style="28" customWidth="1"/>
  </cols>
  <sheetData>
    <row r="1" s="28" customFormat="1" ht="28.2" spans="1:11">
      <c r="A1" s="35" t="s">
        <v>2361</v>
      </c>
      <c r="B1" s="36"/>
      <c r="C1" s="36"/>
      <c r="D1" s="36"/>
      <c r="E1" s="36"/>
      <c r="F1" s="35"/>
      <c r="G1" s="37"/>
      <c r="H1" s="38"/>
      <c r="I1" s="38"/>
      <c r="J1" s="35"/>
      <c r="K1" s="53" t="s">
        <v>2351</v>
      </c>
    </row>
    <row r="2" s="28" customFormat="1" ht="15.6" spans="1:11">
      <c r="A2" s="9" t="s">
        <v>2</v>
      </c>
      <c r="B2" s="9" t="s">
        <v>227</v>
      </c>
      <c r="C2" s="10" t="s">
        <v>228</v>
      </c>
      <c r="D2" s="9" t="s">
        <v>229</v>
      </c>
      <c r="E2" s="9"/>
      <c r="F2" s="10" t="s">
        <v>230</v>
      </c>
      <c r="G2" s="11" t="s">
        <v>231</v>
      </c>
      <c r="H2" s="39" t="s">
        <v>225</v>
      </c>
      <c r="I2" s="39" t="s">
        <v>2352</v>
      </c>
      <c r="J2" s="23" t="s">
        <v>235</v>
      </c>
      <c r="K2" s="53" t="s">
        <v>2353</v>
      </c>
    </row>
    <row r="3" s="28" customFormat="1" ht="15.6" spans="1:11">
      <c r="A3" s="9"/>
      <c r="B3" s="9"/>
      <c r="C3" s="10"/>
      <c r="D3" s="9" t="s">
        <v>236</v>
      </c>
      <c r="E3" s="9" t="s">
        <v>237</v>
      </c>
      <c r="F3" s="10"/>
      <c r="G3" s="11"/>
      <c r="H3" s="39"/>
      <c r="I3" s="39"/>
      <c r="J3" s="23"/>
      <c r="K3" s="53" t="s">
        <v>2354</v>
      </c>
    </row>
    <row r="4" s="29" customFormat="1" spans="1:11">
      <c r="A4" s="40"/>
      <c r="B4" s="41" t="s">
        <v>2355</v>
      </c>
      <c r="C4" s="41"/>
      <c r="D4" s="41"/>
      <c r="E4" s="41"/>
      <c r="F4" s="42"/>
      <c r="G4" s="43"/>
      <c r="H4" s="44"/>
      <c r="I4" s="44"/>
      <c r="J4" s="40"/>
      <c r="K4" s="54"/>
    </row>
    <row r="5" outlineLevel="1" spans="1:10">
      <c r="A5" s="45" t="str">
        <f ca="1" t="array" ref="A5:G900">IF(INDIRECT(K1&amp;"!A4：G900")=0,"",INDIRECT(K1&amp;"!A4：G900"))</f>
        <v/>
      </c>
      <c r="B5" s="46" t="str">
        <v>地下工程</v>
      </c>
      <c r="C5" s="46" t="str">
        <v/>
      </c>
      <c r="D5" s="46" t="str">
        <v/>
      </c>
      <c r="E5" s="46" t="str">
        <v/>
      </c>
      <c r="F5" s="47" t="str">
        <v/>
      </c>
      <c r="G5" s="48" t="str">
        <v/>
      </c>
      <c r="H5" s="49">
        <f ca="1" t="array" ref="H5:H900">INDIRECT(K1&amp;"!O4:O900")</f>
        <v>0</v>
      </c>
      <c r="I5" s="49" t="e">
        <f ca="1" t="array" ref="I5:I900">INDIRECT(K1&amp;"!Y4:Y900")</f>
        <v>#REF!</v>
      </c>
      <c r="J5" s="50"/>
    </row>
    <row r="6" outlineLevel="1" spans="1:10">
      <c r="A6" s="50" t="str">
        <v/>
      </c>
      <c r="B6" s="51" t="str">
        <v>A.01地下基础工程</v>
      </c>
      <c r="C6" s="51" t="str">
        <v/>
      </c>
      <c r="D6" s="51" t="str">
        <v/>
      </c>
      <c r="E6" s="51" t="str">
        <v/>
      </c>
      <c r="F6" s="52" t="str">
        <v/>
      </c>
      <c r="G6" s="48" t="str">
        <v/>
      </c>
      <c r="H6" s="49">
        <v>0</v>
      </c>
      <c r="I6" s="49" t="e">
        <v>#REF!</v>
      </c>
      <c r="J6" s="50"/>
    </row>
    <row r="7" outlineLevel="1" spans="1:10">
      <c r="A7" s="50" t="str">
        <v/>
      </c>
      <c r="B7" s="51" t="str">
        <v>A.01.01土石方工程</v>
      </c>
      <c r="C7" s="51" t="str">
        <v/>
      </c>
      <c r="D7" s="51" t="str">
        <v/>
      </c>
      <c r="E7" s="51" t="str">
        <v/>
      </c>
      <c r="F7" s="52" t="str">
        <v/>
      </c>
      <c r="G7" s="48" t="str">
        <v/>
      </c>
      <c r="H7" s="49">
        <v>0</v>
      </c>
      <c r="I7" s="49" t="e">
        <v>#REF!</v>
      </c>
      <c r="J7" s="50"/>
    </row>
    <row r="8" outlineLevel="1" spans="1:10">
      <c r="A8" s="50">
        <v>1</v>
      </c>
      <c r="B8" s="51" t="str">
        <v>人工清理基底</v>
      </c>
      <c r="C8" s="51" t="e">
        <v>#REF!</v>
      </c>
      <c r="D8" s="51" t="str">
        <v/>
      </c>
      <c r="E8" s="51" t="str">
        <v/>
      </c>
      <c r="F8" s="52" t="e">
        <v>#REF!</v>
      </c>
      <c r="G8" s="48" t="e">
        <v>#REF!</v>
      </c>
      <c r="H8" s="49">
        <v>0</v>
      </c>
      <c r="I8" s="49" t="e">
        <v>#REF!</v>
      </c>
      <c r="J8" s="50"/>
    </row>
    <row r="9" outlineLevel="1" spans="1:10">
      <c r="A9" s="50">
        <v>2</v>
      </c>
      <c r="B9" s="51" t="str">
        <v>挖基坑（电梯井.集水坑）</v>
      </c>
      <c r="C9" s="51" t="e">
        <v>#REF!</v>
      </c>
      <c r="D9" s="51" t="str">
        <v/>
      </c>
      <c r="E9" s="51" t="str">
        <v/>
      </c>
      <c r="F9" s="52" t="e">
        <v>#REF!</v>
      </c>
      <c r="G9" s="48" t="e">
        <v>#REF!</v>
      </c>
      <c r="H9" s="49">
        <v>0</v>
      </c>
      <c r="I9" s="49" t="e">
        <v>#REF!</v>
      </c>
      <c r="J9" s="50"/>
    </row>
    <row r="10" outlineLevel="1" spans="1:10">
      <c r="A10" s="50">
        <v>3</v>
      </c>
      <c r="B10" s="51" t="str">
        <v>房心素土回填</v>
      </c>
      <c r="C10" s="51" t="e">
        <v>#REF!</v>
      </c>
      <c r="D10" s="51" t="str">
        <v/>
      </c>
      <c r="E10" s="51" t="str">
        <v/>
      </c>
      <c r="F10" s="52" t="e">
        <v>#REF!</v>
      </c>
      <c r="G10" s="48" t="e">
        <v>#REF!</v>
      </c>
      <c r="H10" s="49">
        <v>0</v>
      </c>
      <c r="I10" s="49" t="e">
        <v>#REF!</v>
      </c>
      <c r="J10" s="50"/>
    </row>
    <row r="11" outlineLevel="1" spans="1:10">
      <c r="A11" s="50">
        <v>4</v>
      </c>
      <c r="B11" s="51" t="str">
        <v>其他素土回填</v>
      </c>
      <c r="C11" s="51" t="e">
        <v>#REF!</v>
      </c>
      <c r="D11" s="51" t="str">
        <v/>
      </c>
      <c r="E11" s="51" t="str">
        <v/>
      </c>
      <c r="F11" s="52" t="e">
        <v>#REF!</v>
      </c>
      <c r="G11" s="48" t="e">
        <v>#REF!</v>
      </c>
      <c r="H11" s="49">
        <v>0</v>
      </c>
      <c r="I11" s="49" t="e">
        <v>#REF!</v>
      </c>
      <c r="J11" s="50"/>
    </row>
    <row r="12" outlineLevel="1" spans="1:10">
      <c r="A12" s="50">
        <v>5</v>
      </c>
      <c r="B12" s="51" t="str">
        <v>3:7灰土回填灰土</v>
      </c>
      <c r="C12" s="51" t="e">
        <v>#REF!</v>
      </c>
      <c r="D12" s="51" t="str">
        <v/>
      </c>
      <c r="E12" s="51" t="str">
        <v/>
      </c>
      <c r="F12" s="52" t="e">
        <v>#REF!</v>
      </c>
      <c r="G12" s="48" t="e">
        <v>#REF!</v>
      </c>
      <c r="H12" s="49">
        <v>0</v>
      </c>
      <c r="I12" s="49" t="e">
        <v>#REF!</v>
      </c>
      <c r="J12" s="50"/>
    </row>
    <row r="13" outlineLevel="1" spans="1:10">
      <c r="A13" s="50">
        <v>6</v>
      </c>
      <c r="B13" s="51" t="str">
        <v>2:8灰土回填灰土</v>
      </c>
      <c r="C13" s="51" t="e">
        <v>#REF!</v>
      </c>
      <c r="D13" s="51" t="str">
        <v/>
      </c>
      <c r="E13" s="51" t="str">
        <v/>
      </c>
      <c r="F13" s="52" t="e">
        <v>#REF!</v>
      </c>
      <c r="G13" s="48" t="e">
        <v>#REF!</v>
      </c>
      <c r="H13" s="49">
        <v>0</v>
      </c>
      <c r="I13" s="49" t="e">
        <v>#REF!</v>
      </c>
      <c r="J13" s="50"/>
    </row>
    <row r="14" outlineLevel="1" spans="1:10">
      <c r="A14" s="50" t="str">
        <v/>
      </c>
      <c r="B14" s="51" t="str">
        <v>A.01.02地基处理工程</v>
      </c>
      <c r="C14" s="51" t="str">
        <v/>
      </c>
      <c r="D14" s="51" t="str">
        <v/>
      </c>
      <c r="E14" s="51" t="str">
        <v/>
      </c>
      <c r="F14" s="52" t="str">
        <v/>
      </c>
      <c r="G14" s="48" t="str">
        <v/>
      </c>
      <c r="H14" s="49">
        <v>0</v>
      </c>
      <c r="I14" s="49" t="e">
        <v>#REF!</v>
      </c>
      <c r="J14" s="50"/>
    </row>
    <row r="15" outlineLevel="1" spans="1:10">
      <c r="A15" s="50">
        <v>7</v>
      </c>
      <c r="B15" s="51" t="str">
        <v>砖胎膜</v>
      </c>
      <c r="C15" s="51" t="e">
        <v>#REF!</v>
      </c>
      <c r="D15" s="51" t="str">
        <v/>
      </c>
      <c r="E15" s="51" t="str">
        <v/>
      </c>
      <c r="F15" s="52" t="e">
        <v>#REF!</v>
      </c>
      <c r="G15" s="48" t="e">
        <v>#REF!</v>
      </c>
      <c r="H15" s="49">
        <v>0</v>
      </c>
      <c r="I15" s="49" t="e">
        <v>#REF!</v>
      </c>
      <c r="J15" s="50"/>
    </row>
    <row r="16" outlineLevel="1" spans="1:10">
      <c r="A16" s="50">
        <v>8</v>
      </c>
      <c r="B16" s="51" t="str">
        <v>砖胎膜抹灰</v>
      </c>
      <c r="C16" s="51" t="e">
        <v>#REF!</v>
      </c>
      <c r="D16" s="51" t="str">
        <v/>
      </c>
      <c r="E16" s="51" t="str">
        <v/>
      </c>
      <c r="F16" s="52" t="e">
        <v>#REF!</v>
      </c>
      <c r="G16" s="48" t="e">
        <v>#REF!</v>
      </c>
      <c r="H16" s="49">
        <v>0</v>
      </c>
      <c r="I16" s="49" t="e">
        <v>#REF!</v>
      </c>
      <c r="J16" s="50"/>
    </row>
    <row r="17" outlineLevel="1" spans="1:10">
      <c r="A17" s="50">
        <v>9</v>
      </c>
      <c r="B17" s="51" t="str">
        <v>实心砖墙</v>
      </c>
      <c r="C17" s="51" t="e">
        <v>#REF!</v>
      </c>
      <c r="D17" s="51" t="str">
        <v/>
      </c>
      <c r="E17" s="51" t="str">
        <v/>
      </c>
      <c r="F17" s="52" t="e">
        <v>#REF!</v>
      </c>
      <c r="G17" s="48" t="e">
        <v>#REF!</v>
      </c>
      <c r="H17" s="49">
        <v>0</v>
      </c>
      <c r="I17" s="49" t="e">
        <v>#REF!</v>
      </c>
      <c r="J17" s="50"/>
    </row>
    <row r="18" outlineLevel="1" spans="1:10">
      <c r="A18" s="50">
        <v>10</v>
      </c>
      <c r="B18" s="51" t="str">
        <v>褥垫层</v>
      </c>
      <c r="C18" s="51" t="e">
        <v>#REF!</v>
      </c>
      <c r="D18" s="51" t="str">
        <v/>
      </c>
      <c r="E18" s="51" t="str">
        <v/>
      </c>
      <c r="F18" s="52" t="e">
        <v>#REF!</v>
      </c>
      <c r="G18" s="48" t="e">
        <v>#REF!</v>
      </c>
      <c r="H18" s="49">
        <v>0</v>
      </c>
      <c r="I18" s="49" t="e">
        <v>#REF!</v>
      </c>
      <c r="J18" s="50"/>
    </row>
    <row r="19" outlineLevel="1" spans="1:10">
      <c r="A19" s="50">
        <v>11</v>
      </c>
      <c r="B19" s="51" t="str">
        <v>非级配砂石回填</v>
      </c>
      <c r="C19" s="51" t="e">
        <v>#REF!</v>
      </c>
      <c r="D19" s="51" t="str">
        <v/>
      </c>
      <c r="E19" s="51" t="str">
        <v/>
      </c>
      <c r="F19" s="52" t="e">
        <v>#REF!</v>
      </c>
      <c r="G19" s="48" t="e">
        <v>#REF!</v>
      </c>
      <c r="H19" s="49">
        <v>0</v>
      </c>
      <c r="I19" s="49" t="e">
        <v>#REF!</v>
      </c>
      <c r="J19" s="50"/>
    </row>
    <row r="20" outlineLevel="1" spans="1:10">
      <c r="A20" s="50">
        <v>12</v>
      </c>
      <c r="B20" s="51" t="str">
        <v>级配砂石回填</v>
      </c>
      <c r="C20" s="51" t="e">
        <v>#REF!</v>
      </c>
      <c r="D20" s="51" t="str">
        <v/>
      </c>
      <c r="E20" s="51" t="str">
        <v/>
      </c>
      <c r="F20" s="52" t="e">
        <v>#REF!</v>
      </c>
      <c r="G20" s="48" t="e">
        <v>#REF!</v>
      </c>
      <c r="H20" s="49">
        <v>0</v>
      </c>
      <c r="I20" s="49" t="e">
        <v>#REF!</v>
      </c>
      <c r="J20" s="50"/>
    </row>
    <row r="21" outlineLevel="1" spans="1:10">
      <c r="A21" s="50">
        <v>13</v>
      </c>
      <c r="B21" s="51" t="str">
        <v>地基钎探</v>
      </c>
      <c r="C21" s="51" t="e">
        <v>#REF!</v>
      </c>
      <c r="D21" s="51" t="str">
        <v/>
      </c>
      <c r="E21" s="51" t="str">
        <v/>
      </c>
      <c r="F21" s="52" t="e">
        <v>#REF!</v>
      </c>
      <c r="G21" s="48" t="e">
        <v>#REF!</v>
      </c>
      <c r="H21" s="49">
        <v>0</v>
      </c>
      <c r="I21" s="49" t="e">
        <v>#REF!</v>
      </c>
      <c r="J21" s="50"/>
    </row>
    <row r="22" outlineLevel="1" spans="1:10">
      <c r="A22" s="50" t="str">
        <v/>
      </c>
      <c r="B22" s="51" t="str">
        <v>A.02主体结构工程</v>
      </c>
      <c r="C22" s="51" t="str">
        <v/>
      </c>
      <c r="D22" s="51" t="str">
        <v/>
      </c>
      <c r="E22" s="51" t="str">
        <v/>
      </c>
      <c r="F22" s="52" t="str">
        <v/>
      </c>
      <c r="G22" s="48" t="str">
        <v/>
      </c>
      <c r="H22" s="49">
        <v>0</v>
      </c>
      <c r="I22" s="49" t="e">
        <v>#REF!</v>
      </c>
      <c r="J22" s="50"/>
    </row>
    <row r="23" outlineLevel="1" spans="1:10">
      <c r="A23" s="50" t="str">
        <v/>
      </c>
      <c r="B23" s="51" t="str">
        <v>A.02.01混凝土工程</v>
      </c>
      <c r="C23" s="51" t="str">
        <v/>
      </c>
      <c r="D23" s="51" t="str">
        <v/>
      </c>
      <c r="E23" s="51" t="str">
        <v/>
      </c>
      <c r="F23" s="52" t="str">
        <v/>
      </c>
      <c r="G23" s="48" t="str">
        <v/>
      </c>
      <c r="H23" s="49">
        <v>0</v>
      </c>
      <c r="I23" s="49" t="e">
        <v>#REF!</v>
      </c>
      <c r="J23" s="50"/>
    </row>
    <row r="24" outlineLevel="1" spans="1:10">
      <c r="A24" s="50">
        <v>14</v>
      </c>
      <c r="B24" s="51" t="str">
        <v>垫层C15</v>
      </c>
      <c r="C24" s="51" t="e">
        <v>#REF!</v>
      </c>
      <c r="D24" s="51" t="str">
        <v/>
      </c>
      <c r="E24" s="51" t="str">
        <v/>
      </c>
      <c r="F24" s="52" t="e">
        <v>#REF!</v>
      </c>
      <c r="G24" s="48" t="e">
        <v>#REF!</v>
      </c>
      <c r="H24" s="49">
        <v>1</v>
      </c>
      <c r="I24" s="49" t="e">
        <v>#REF!</v>
      </c>
      <c r="J24" s="50"/>
    </row>
    <row r="25" outlineLevel="1" spans="1:10">
      <c r="A25" s="50">
        <v>15</v>
      </c>
      <c r="B25" s="51" t="str">
        <v>垫层C20</v>
      </c>
      <c r="C25" s="51" t="e">
        <v>#REF!</v>
      </c>
      <c r="D25" s="51" t="str">
        <v/>
      </c>
      <c r="E25" s="51" t="str">
        <v/>
      </c>
      <c r="F25" s="52" t="e">
        <v>#REF!</v>
      </c>
      <c r="G25" s="48" t="e">
        <v>#REF!</v>
      </c>
      <c r="H25" s="49">
        <v>31.07</v>
      </c>
      <c r="I25" s="49" t="e">
        <v>#REF!</v>
      </c>
      <c r="J25" s="50"/>
    </row>
    <row r="26" outlineLevel="1" spans="1:10">
      <c r="A26" s="50">
        <v>16</v>
      </c>
      <c r="B26" s="51" t="str">
        <v>砼保护层-50厚C20细石砼</v>
      </c>
      <c r="C26" s="51" t="e">
        <v>#REF!</v>
      </c>
      <c r="D26" s="51" t="str">
        <v/>
      </c>
      <c r="E26" s="51" t="str">
        <v/>
      </c>
      <c r="F26" s="52" t="e">
        <v>#REF!</v>
      </c>
      <c r="G26" s="48" t="e">
        <v>#REF!</v>
      </c>
      <c r="H26" s="49">
        <v>0</v>
      </c>
      <c r="I26" s="49" t="e">
        <v>#REF!</v>
      </c>
      <c r="J26" s="50"/>
    </row>
    <row r="27" outlineLevel="1" spans="1:10">
      <c r="A27" s="50">
        <v>17</v>
      </c>
      <c r="B27" s="51" t="str">
        <v>基础梁C35</v>
      </c>
      <c r="C27" s="51" t="e">
        <v>#REF!</v>
      </c>
      <c r="D27" s="51" t="str">
        <v/>
      </c>
      <c r="E27" s="51" t="str">
        <v/>
      </c>
      <c r="F27" s="52" t="e">
        <v>#REF!</v>
      </c>
      <c r="G27" s="48" t="e">
        <v>#REF!</v>
      </c>
      <c r="H27" s="49">
        <v>44.79</v>
      </c>
      <c r="I27" s="49" t="e">
        <v>#REF!</v>
      </c>
      <c r="J27" s="50"/>
    </row>
    <row r="28" outlineLevel="1" spans="1:10">
      <c r="A28" s="50">
        <v>18</v>
      </c>
      <c r="B28" s="51" t="str">
        <v>独立基础C35</v>
      </c>
      <c r="C28" s="51" t="e">
        <v>#REF!</v>
      </c>
      <c r="D28" s="51" t="str">
        <v/>
      </c>
      <c r="E28" s="51" t="str">
        <v/>
      </c>
      <c r="F28" s="52" t="e">
        <v>#REF!</v>
      </c>
      <c r="G28" s="48" t="e">
        <v>#REF!</v>
      </c>
      <c r="H28" s="49">
        <v>103.91</v>
      </c>
      <c r="I28" s="49" t="e">
        <v>#REF!</v>
      </c>
      <c r="J28" s="50"/>
    </row>
    <row r="29" outlineLevel="1" spans="1:10">
      <c r="A29" s="50">
        <v>19</v>
      </c>
      <c r="B29" s="51" t="str">
        <v>满堂基础C30抗渗P6/P8</v>
      </c>
      <c r="C29" s="51" t="e">
        <v>#REF!</v>
      </c>
      <c r="D29" s="51" t="str">
        <v/>
      </c>
      <c r="E29" s="51" t="str">
        <v/>
      </c>
      <c r="F29" s="52" t="e">
        <v>#REF!</v>
      </c>
      <c r="G29" s="48" t="e">
        <v>#REF!</v>
      </c>
      <c r="H29" s="49">
        <v>0</v>
      </c>
      <c r="I29" s="49" t="e">
        <v>#REF!</v>
      </c>
      <c r="J29" s="50"/>
    </row>
    <row r="30" outlineLevel="1" spans="1:10">
      <c r="A30" s="50">
        <v>20</v>
      </c>
      <c r="B30" s="51" t="str">
        <v>满堂基础C30</v>
      </c>
      <c r="C30" s="51" t="e">
        <v>#REF!</v>
      </c>
      <c r="D30" s="51" t="str">
        <v/>
      </c>
      <c r="E30" s="51" t="str">
        <v/>
      </c>
      <c r="F30" s="52" t="e">
        <v>#REF!</v>
      </c>
      <c r="G30" s="48" t="e">
        <v>#REF!</v>
      </c>
      <c r="H30" s="49">
        <v>0</v>
      </c>
      <c r="I30" s="49" t="e">
        <v>#REF!</v>
      </c>
      <c r="J30" s="50"/>
    </row>
    <row r="31" outlineLevel="1" spans="1:10">
      <c r="A31" s="50">
        <v>21</v>
      </c>
      <c r="B31" s="51" t="str">
        <v>矩形柱C30</v>
      </c>
      <c r="C31" s="51" t="e">
        <v>#REF!</v>
      </c>
      <c r="D31" s="51" t="str">
        <v/>
      </c>
      <c r="E31" s="51" t="str">
        <v/>
      </c>
      <c r="F31" s="52" t="e">
        <v>#REF!</v>
      </c>
      <c r="G31" s="48" t="e">
        <v>#REF!</v>
      </c>
      <c r="H31" s="49">
        <v>0</v>
      </c>
      <c r="I31" s="49" t="e">
        <v>#REF!</v>
      </c>
      <c r="J31" s="50"/>
    </row>
    <row r="32" outlineLevel="1" spans="1:10">
      <c r="A32" s="50">
        <v>22</v>
      </c>
      <c r="B32" s="51" t="str">
        <v>矩形柱C35</v>
      </c>
      <c r="C32" s="51" t="e">
        <v>#REF!</v>
      </c>
      <c r="D32" s="51" t="str">
        <v/>
      </c>
      <c r="E32" s="51" t="str">
        <v/>
      </c>
      <c r="F32" s="52" t="e">
        <v>#REF!</v>
      </c>
      <c r="G32" s="48" t="e">
        <v>#REF!</v>
      </c>
      <c r="H32" s="49">
        <v>0</v>
      </c>
      <c r="I32" s="49" t="e">
        <v>#REF!</v>
      </c>
      <c r="J32" s="50"/>
    </row>
    <row r="33" outlineLevel="1" spans="1:10">
      <c r="A33" s="50">
        <v>23</v>
      </c>
      <c r="B33" s="51" t="str">
        <v>矩形柱C40</v>
      </c>
      <c r="C33" s="51" t="e">
        <v>#REF!</v>
      </c>
      <c r="D33" s="51" t="str">
        <v/>
      </c>
      <c r="E33" s="51" t="str">
        <v/>
      </c>
      <c r="F33" s="52" t="e">
        <v>#REF!</v>
      </c>
      <c r="G33" s="48" t="e">
        <v>#REF!</v>
      </c>
      <c r="H33" s="49">
        <v>0</v>
      </c>
      <c r="I33" s="49" t="e">
        <v>#REF!</v>
      </c>
      <c r="J33" s="50"/>
    </row>
    <row r="34" outlineLevel="1" spans="1:10">
      <c r="A34" s="50">
        <v>24</v>
      </c>
      <c r="B34" s="51" t="str">
        <v>矩形柱C30P6/P8</v>
      </c>
      <c r="C34" s="51" t="e">
        <v>#REF!</v>
      </c>
      <c r="D34" s="51" t="str">
        <v/>
      </c>
      <c r="E34" s="51" t="str">
        <v/>
      </c>
      <c r="F34" s="52" t="e">
        <v>#REF!</v>
      </c>
      <c r="G34" s="48" t="e">
        <v>#REF!</v>
      </c>
      <c r="H34" s="49">
        <v>0</v>
      </c>
      <c r="I34" s="49" t="e">
        <v>#REF!</v>
      </c>
      <c r="J34" s="50"/>
    </row>
    <row r="35" outlineLevel="1" spans="1:10">
      <c r="A35" s="50">
        <v>25</v>
      </c>
      <c r="B35" s="51" t="str">
        <v>矩形柱C40P6/P8</v>
      </c>
      <c r="C35" s="51" t="e">
        <v>#REF!</v>
      </c>
      <c r="D35" s="51" t="str">
        <v/>
      </c>
      <c r="E35" s="51" t="str">
        <v/>
      </c>
      <c r="F35" s="52" t="e">
        <v>#REF!</v>
      </c>
      <c r="G35" s="48" t="e">
        <v>#REF!</v>
      </c>
      <c r="H35" s="49">
        <v>0</v>
      </c>
      <c r="I35" s="49" t="e">
        <v>#REF!</v>
      </c>
      <c r="J35" s="50"/>
    </row>
    <row r="36" outlineLevel="1" spans="1:10">
      <c r="A36" s="50">
        <v>26</v>
      </c>
      <c r="B36" s="51" t="str">
        <v>矩形梁C30</v>
      </c>
      <c r="C36" s="51" t="e">
        <v>#REF!</v>
      </c>
      <c r="D36" s="51" t="str">
        <v/>
      </c>
      <c r="E36" s="51" t="str">
        <v/>
      </c>
      <c r="F36" s="52" t="e">
        <v>#REF!</v>
      </c>
      <c r="G36" s="48" t="e">
        <v>#REF!</v>
      </c>
      <c r="H36" s="49">
        <v>0</v>
      </c>
      <c r="I36" s="49" t="e">
        <v>#REF!</v>
      </c>
      <c r="J36" s="50"/>
    </row>
    <row r="37" outlineLevel="1" spans="1:10">
      <c r="A37" s="50">
        <v>27</v>
      </c>
      <c r="B37" s="51" t="str">
        <v>矩形梁C35</v>
      </c>
      <c r="C37" s="51" t="e">
        <v>#REF!</v>
      </c>
      <c r="D37" s="51" t="str">
        <v/>
      </c>
      <c r="E37" s="51" t="str">
        <v/>
      </c>
      <c r="F37" s="52" t="e">
        <v>#REF!</v>
      </c>
      <c r="G37" s="48" t="e">
        <v>#REF!</v>
      </c>
      <c r="H37" s="49">
        <v>0</v>
      </c>
      <c r="I37" s="49" t="e">
        <v>#REF!</v>
      </c>
      <c r="J37" s="50"/>
    </row>
    <row r="38" outlineLevel="1" spans="1:10">
      <c r="A38" s="50">
        <v>28</v>
      </c>
      <c r="B38" s="51" t="str">
        <v>矩形梁C30P6/P8</v>
      </c>
      <c r="C38" s="51" t="e">
        <v>#REF!</v>
      </c>
      <c r="D38" s="51" t="str">
        <v/>
      </c>
      <c r="E38" s="51" t="str">
        <v/>
      </c>
      <c r="F38" s="52" t="e">
        <v>#REF!</v>
      </c>
      <c r="G38" s="48" t="e">
        <v>#REF!</v>
      </c>
      <c r="H38" s="49">
        <v>0</v>
      </c>
      <c r="I38" s="49" t="e">
        <v>#REF!</v>
      </c>
      <c r="J38" s="50"/>
    </row>
    <row r="39" outlineLevel="1" spans="1:10">
      <c r="A39" s="50">
        <v>29</v>
      </c>
      <c r="B39" s="51" t="str">
        <v>矩形梁C40P6/P8</v>
      </c>
      <c r="C39" s="51" t="e">
        <v>#REF!</v>
      </c>
      <c r="D39" s="51" t="str">
        <v/>
      </c>
      <c r="E39" s="51" t="str">
        <v/>
      </c>
      <c r="F39" s="52" t="e">
        <v>#REF!</v>
      </c>
      <c r="G39" s="48" t="e">
        <v>#REF!</v>
      </c>
      <c r="H39" s="49">
        <v>0</v>
      </c>
      <c r="I39" s="49" t="e">
        <v>#REF!</v>
      </c>
      <c r="J39" s="50"/>
    </row>
    <row r="40" outlineLevel="1" spans="1:10">
      <c r="A40" s="50">
        <v>30</v>
      </c>
      <c r="B40" s="51" t="str">
        <v>直形墙C30抗渗P6/P8</v>
      </c>
      <c r="C40" s="51" t="e">
        <v>#REF!</v>
      </c>
      <c r="D40" s="51" t="str">
        <v/>
      </c>
      <c r="E40" s="51" t="str">
        <v/>
      </c>
      <c r="F40" s="52" t="e">
        <v>#REF!</v>
      </c>
      <c r="G40" s="48" t="e">
        <v>#REF!</v>
      </c>
      <c r="H40" s="49">
        <v>0</v>
      </c>
      <c r="I40" s="49" t="e">
        <v>#REF!</v>
      </c>
      <c r="J40" s="50"/>
    </row>
    <row r="41" outlineLevel="1" spans="1:10">
      <c r="A41" s="50">
        <v>31</v>
      </c>
      <c r="B41" s="51" t="str">
        <v>直形墙C30</v>
      </c>
      <c r="C41" s="51" t="e">
        <v>#REF!</v>
      </c>
      <c r="D41" s="51" t="str">
        <v/>
      </c>
      <c r="E41" s="51" t="str">
        <v/>
      </c>
      <c r="F41" s="52" t="e">
        <v>#REF!</v>
      </c>
      <c r="G41" s="48" t="e">
        <v>#REF!</v>
      </c>
      <c r="H41" s="49">
        <v>0</v>
      </c>
      <c r="I41" s="49" t="e">
        <v>#REF!</v>
      </c>
      <c r="J41" s="50"/>
    </row>
    <row r="42" outlineLevel="1" spans="1:10">
      <c r="A42" s="50">
        <v>32</v>
      </c>
      <c r="B42" s="51" t="str">
        <v>电梯井壁C30</v>
      </c>
      <c r="C42" s="51" t="e">
        <v>#REF!</v>
      </c>
      <c r="D42" s="51" t="str">
        <v/>
      </c>
      <c r="E42" s="51" t="str">
        <v/>
      </c>
      <c r="F42" s="52" t="e">
        <v>#REF!</v>
      </c>
      <c r="G42" s="48" t="e">
        <v>#REF!</v>
      </c>
      <c r="H42" s="49">
        <v>0</v>
      </c>
      <c r="I42" s="49" t="e">
        <v>#REF!</v>
      </c>
      <c r="J42" s="50"/>
    </row>
    <row r="43" outlineLevel="1" spans="1:10">
      <c r="A43" s="50">
        <v>33</v>
      </c>
      <c r="B43" s="51" t="str">
        <v>人防预制梁C40抗渗P6/P8</v>
      </c>
      <c r="C43" s="51" t="e">
        <v>#REF!</v>
      </c>
      <c r="D43" s="51" t="str">
        <v/>
      </c>
      <c r="E43" s="51" t="str">
        <v/>
      </c>
      <c r="F43" s="52" t="e">
        <v>#REF!</v>
      </c>
      <c r="G43" s="48" t="e">
        <v>#REF!</v>
      </c>
      <c r="H43" s="49">
        <v>0</v>
      </c>
      <c r="I43" s="49" t="e">
        <v>#REF!</v>
      </c>
      <c r="J43" s="50"/>
    </row>
    <row r="44" outlineLevel="1" spans="1:10">
      <c r="A44" s="50">
        <v>34</v>
      </c>
      <c r="B44" s="51" t="str">
        <v>斜梁C40抗渗P6/P8</v>
      </c>
      <c r="C44" s="51" t="e">
        <v>#REF!</v>
      </c>
      <c r="D44" s="51" t="str">
        <v/>
      </c>
      <c r="E44" s="51" t="str">
        <v/>
      </c>
      <c r="F44" s="52" t="e">
        <v>#REF!</v>
      </c>
      <c r="G44" s="48" t="e">
        <v>#REF!</v>
      </c>
      <c r="H44" s="49">
        <v>0</v>
      </c>
      <c r="I44" s="49" t="e">
        <v>#REF!</v>
      </c>
      <c r="J44" s="50"/>
    </row>
    <row r="45" outlineLevel="1" spans="1:10">
      <c r="A45" s="50">
        <v>35</v>
      </c>
      <c r="B45" s="51" t="str">
        <v>电梯井壁C30P6/P8</v>
      </c>
      <c r="C45" s="51" t="e">
        <v>#REF!</v>
      </c>
      <c r="D45" s="51" t="str">
        <v/>
      </c>
      <c r="E45" s="51" t="str">
        <v/>
      </c>
      <c r="F45" s="52" t="e">
        <v>#REF!</v>
      </c>
      <c r="G45" s="48" t="e">
        <v>#REF!</v>
      </c>
      <c r="H45" s="49">
        <v>0</v>
      </c>
      <c r="I45" s="49" t="e">
        <v>#REF!</v>
      </c>
      <c r="J45" s="50"/>
    </row>
    <row r="46" outlineLevel="1" spans="1:10">
      <c r="A46" s="50">
        <v>36</v>
      </c>
      <c r="B46" s="51" t="str">
        <v>平板C30</v>
      </c>
      <c r="C46" s="51" t="e">
        <v>#REF!</v>
      </c>
      <c r="D46" s="51" t="str">
        <v/>
      </c>
      <c r="E46" s="51" t="str">
        <v/>
      </c>
      <c r="F46" s="52" t="e">
        <v>#REF!</v>
      </c>
      <c r="G46" s="48" t="e">
        <v>#REF!</v>
      </c>
      <c r="H46" s="49">
        <v>0</v>
      </c>
      <c r="I46" s="49" t="e">
        <v>#REF!</v>
      </c>
      <c r="J46" s="50"/>
    </row>
    <row r="47" outlineLevel="1" spans="1:10">
      <c r="A47" s="50">
        <v>37</v>
      </c>
      <c r="B47" s="51" t="str">
        <v>天沟(檐沟）挑檐板C30</v>
      </c>
      <c r="C47" s="51" t="e">
        <v>#REF!</v>
      </c>
      <c r="D47" s="51" t="str">
        <v/>
      </c>
      <c r="E47" s="51" t="str">
        <v/>
      </c>
      <c r="F47" s="52" t="e">
        <v>#REF!</v>
      </c>
      <c r="G47" s="48" t="e">
        <v>#REF!</v>
      </c>
      <c r="H47" s="49">
        <v>0</v>
      </c>
      <c r="I47" s="49" t="e">
        <v>#REF!</v>
      </c>
      <c r="J47" s="50"/>
    </row>
    <row r="48" outlineLevel="1" spans="1:10">
      <c r="A48" s="50">
        <v>38</v>
      </c>
      <c r="B48" s="51" t="str">
        <v>直形墙C40</v>
      </c>
      <c r="C48" s="51" t="e">
        <v>#REF!</v>
      </c>
      <c r="D48" s="51" t="str">
        <v/>
      </c>
      <c r="E48" s="51" t="str">
        <v/>
      </c>
      <c r="F48" s="52" t="e">
        <v>#REF!</v>
      </c>
      <c r="G48" s="48" t="e">
        <v>#REF!</v>
      </c>
      <c r="H48" s="49">
        <v>0</v>
      </c>
      <c r="I48" s="49" t="e">
        <v>#REF!</v>
      </c>
      <c r="J48" s="50"/>
    </row>
    <row r="49" outlineLevel="1" spans="1:10">
      <c r="A49" s="50">
        <v>39</v>
      </c>
      <c r="B49" s="51" t="str">
        <v>直形墙C40抗渗P6/P8</v>
      </c>
      <c r="C49" s="51" t="e">
        <v>#REF!</v>
      </c>
      <c r="D49" s="51" t="str">
        <v/>
      </c>
      <c r="E49" s="51" t="str">
        <v/>
      </c>
      <c r="F49" s="52" t="e">
        <v>#REF!</v>
      </c>
      <c r="G49" s="48" t="e">
        <v>#REF!</v>
      </c>
      <c r="H49" s="49">
        <v>0</v>
      </c>
      <c r="I49" s="49" t="e">
        <v>#REF!</v>
      </c>
      <c r="J49" s="50"/>
    </row>
    <row r="50" outlineLevel="1" spans="1:10">
      <c r="A50" s="50">
        <v>40</v>
      </c>
      <c r="B50" s="51" t="str">
        <v>弧形墙C40抗渗P6/P8</v>
      </c>
      <c r="C50" s="51" t="e">
        <v>#REF!</v>
      </c>
      <c r="D50" s="51" t="str">
        <v/>
      </c>
      <c r="E50" s="51" t="str">
        <v/>
      </c>
      <c r="F50" s="52" t="e">
        <v>#REF!</v>
      </c>
      <c r="G50" s="48" t="e">
        <v>#REF!</v>
      </c>
      <c r="H50" s="49">
        <v>0</v>
      </c>
      <c r="I50" s="49" t="e">
        <v>#REF!</v>
      </c>
      <c r="J50" s="50"/>
    </row>
    <row r="51" outlineLevel="1" spans="1:10">
      <c r="A51" s="50">
        <v>41</v>
      </c>
      <c r="B51" s="51" t="str">
        <v>直形楼梯C30</v>
      </c>
      <c r="C51" s="51" t="e">
        <v>#REF!</v>
      </c>
      <c r="D51" s="51" t="str">
        <v/>
      </c>
      <c r="E51" s="51" t="str">
        <v/>
      </c>
      <c r="F51" s="52" t="e">
        <v>#REF!</v>
      </c>
      <c r="G51" s="48" t="e">
        <v>#REF!</v>
      </c>
      <c r="H51" s="49">
        <v>0</v>
      </c>
      <c r="I51" s="49" t="e">
        <v>#REF!</v>
      </c>
      <c r="J51" s="50"/>
    </row>
    <row r="52" outlineLevel="1" spans="1:10">
      <c r="A52" s="50">
        <v>42</v>
      </c>
      <c r="B52" s="51" t="str">
        <v>梁后浇带C35</v>
      </c>
      <c r="C52" s="51" t="e">
        <v>#REF!</v>
      </c>
      <c r="D52" s="51" t="str">
        <v/>
      </c>
      <c r="E52" s="51" t="str">
        <v/>
      </c>
      <c r="F52" s="52" t="e">
        <v>#REF!</v>
      </c>
      <c r="G52" s="48" t="e">
        <v>#REF!</v>
      </c>
      <c r="H52" s="49">
        <v>0</v>
      </c>
      <c r="I52" s="49" t="e">
        <v>#REF!</v>
      </c>
      <c r="J52" s="50"/>
    </row>
    <row r="53" outlineLevel="1" spans="1:10">
      <c r="A53" s="50">
        <v>43</v>
      </c>
      <c r="B53" s="51" t="str">
        <v>板后浇带C35</v>
      </c>
      <c r="C53" s="51" t="e">
        <v>#REF!</v>
      </c>
      <c r="D53" s="51" t="str">
        <v/>
      </c>
      <c r="E53" s="51" t="str">
        <v/>
      </c>
      <c r="F53" s="52" t="e">
        <v>#REF!</v>
      </c>
      <c r="G53" s="48" t="e">
        <v>#REF!</v>
      </c>
      <c r="H53" s="49">
        <v>0</v>
      </c>
      <c r="I53" s="49" t="e">
        <v>#REF!</v>
      </c>
      <c r="J53" s="50"/>
    </row>
    <row r="54" outlineLevel="1" spans="1:10">
      <c r="A54" s="50">
        <v>44</v>
      </c>
      <c r="B54" s="51" t="str">
        <v>墙后浇带C40抗渗P6/P8</v>
      </c>
      <c r="C54" s="51" t="e">
        <v>#REF!</v>
      </c>
      <c r="D54" s="51" t="str">
        <v/>
      </c>
      <c r="E54" s="51" t="str">
        <v/>
      </c>
      <c r="F54" s="52" t="e">
        <v>#REF!</v>
      </c>
      <c r="G54" s="48" t="e">
        <v>#REF!</v>
      </c>
      <c r="H54" s="49">
        <v>0</v>
      </c>
      <c r="I54" s="49" t="e">
        <v>#REF!</v>
      </c>
      <c r="J54" s="50"/>
    </row>
    <row r="55" ht="28.8" outlineLevel="1" spans="1:10">
      <c r="A55" s="50">
        <v>45</v>
      </c>
      <c r="B55" s="51" t="str">
        <v>满堂基础后浇带C35抗渗P6/P8</v>
      </c>
      <c r="C55" s="51" t="e">
        <v>#REF!</v>
      </c>
      <c r="D55" s="51" t="str">
        <v/>
      </c>
      <c r="E55" s="51" t="str">
        <v/>
      </c>
      <c r="F55" s="52" t="e">
        <v>#REF!</v>
      </c>
      <c r="G55" s="48" t="e">
        <v>#REF!</v>
      </c>
      <c r="H55" s="49">
        <v>0</v>
      </c>
      <c r="I55" s="49" t="e">
        <v>#REF!</v>
      </c>
      <c r="J55" s="50"/>
    </row>
    <row r="56" outlineLevel="1" spans="1:10">
      <c r="A56" s="50">
        <v>46</v>
      </c>
      <c r="B56" s="51" t="str">
        <v>预制板C30</v>
      </c>
      <c r="C56" s="51" t="e">
        <v>#REF!</v>
      </c>
      <c r="D56" s="51" t="str">
        <v/>
      </c>
      <c r="E56" s="51" t="str">
        <v/>
      </c>
      <c r="F56" s="52" t="e">
        <v>#REF!</v>
      </c>
      <c r="G56" s="48" t="e">
        <v>#REF!</v>
      </c>
      <c r="H56" s="49">
        <v>0</v>
      </c>
      <c r="I56" s="49" t="e">
        <v>#REF!</v>
      </c>
      <c r="J56" s="50"/>
    </row>
    <row r="57" outlineLevel="1" spans="1:10">
      <c r="A57" s="50">
        <v>47</v>
      </c>
      <c r="B57" s="51" t="str">
        <v>无梁板C40抗渗P6/P8</v>
      </c>
      <c r="C57" s="51" t="e">
        <v>#REF!</v>
      </c>
      <c r="D57" s="51" t="str">
        <v/>
      </c>
      <c r="E57" s="51" t="str">
        <v/>
      </c>
      <c r="F57" s="52" t="e">
        <v>#REF!</v>
      </c>
      <c r="G57" s="48" t="e">
        <v>#REF!</v>
      </c>
      <c r="H57" s="49">
        <v>0</v>
      </c>
      <c r="I57" s="49" t="e">
        <v>#REF!</v>
      </c>
      <c r="J57" s="50"/>
    </row>
    <row r="58" outlineLevel="1" spans="1:10">
      <c r="A58" s="50">
        <v>48</v>
      </c>
      <c r="B58" s="51" t="str">
        <v>斜板C40抗渗P6/P8</v>
      </c>
      <c r="C58" s="51" t="e">
        <v>#REF!</v>
      </c>
      <c r="D58" s="51" t="str">
        <v/>
      </c>
      <c r="E58" s="51" t="str">
        <v/>
      </c>
      <c r="F58" s="52" t="e">
        <v>#REF!</v>
      </c>
      <c r="G58" s="48" t="e">
        <v>#REF!</v>
      </c>
      <c r="H58" s="49">
        <v>0</v>
      </c>
      <c r="I58" s="49" t="e">
        <v>#REF!</v>
      </c>
      <c r="J58" s="50"/>
    </row>
    <row r="59" outlineLevel="1" spans="1:10">
      <c r="A59" s="50">
        <v>49</v>
      </c>
      <c r="B59" s="51" t="str">
        <v>天沟(檐沟）挑檐板C30</v>
      </c>
      <c r="C59" s="51" t="e">
        <v>#REF!</v>
      </c>
      <c r="D59" s="51" t="str">
        <v/>
      </c>
      <c r="E59" s="51" t="str">
        <v/>
      </c>
      <c r="F59" s="52" t="e">
        <v>#REF!</v>
      </c>
      <c r="G59" s="48" t="e">
        <v>#REF!</v>
      </c>
      <c r="H59" s="49">
        <v>0</v>
      </c>
      <c r="I59" s="49" t="e">
        <v>#REF!</v>
      </c>
      <c r="J59" s="50"/>
    </row>
    <row r="60" outlineLevel="1" spans="1:10">
      <c r="A60" s="50">
        <v>50</v>
      </c>
      <c r="B60" s="51" t="str">
        <v>栏板C35</v>
      </c>
      <c r="C60" s="51" t="e">
        <v>#REF!</v>
      </c>
      <c r="D60" s="51" t="str">
        <v/>
      </c>
      <c r="E60" s="51" t="str">
        <v/>
      </c>
      <c r="F60" s="52" t="e">
        <v>#REF!</v>
      </c>
      <c r="G60" s="48" t="e">
        <v>#REF!</v>
      </c>
      <c r="H60" s="49">
        <v>0</v>
      </c>
      <c r="I60" s="49" t="e">
        <v>#REF!</v>
      </c>
      <c r="J60" s="50"/>
    </row>
    <row r="61" outlineLevel="1" spans="1:10">
      <c r="A61" s="50">
        <v>51</v>
      </c>
      <c r="B61" s="51" t="str">
        <v>平板C35</v>
      </c>
      <c r="C61" s="51" t="e">
        <v>#REF!</v>
      </c>
      <c r="D61" s="51" t="str">
        <v/>
      </c>
      <c r="E61" s="51" t="str">
        <v/>
      </c>
      <c r="F61" s="52" t="e">
        <v>#REF!</v>
      </c>
      <c r="G61" s="48" t="e">
        <v>#REF!</v>
      </c>
      <c r="H61" s="49">
        <v>0</v>
      </c>
      <c r="I61" s="49" t="e">
        <v>#REF!</v>
      </c>
      <c r="J61" s="50"/>
    </row>
    <row r="62" outlineLevel="1" spans="1:10">
      <c r="A62" s="50">
        <v>52</v>
      </c>
      <c r="B62" s="51" t="str">
        <v>平板C40抗渗P6/P8</v>
      </c>
      <c r="C62" s="51" t="e">
        <v>#REF!</v>
      </c>
      <c r="D62" s="51" t="str">
        <v/>
      </c>
      <c r="E62" s="51" t="str">
        <v/>
      </c>
      <c r="F62" s="52" t="e">
        <v>#REF!</v>
      </c>
      <c r="G62" s="48" t="e">
        <v>#REF!</v>
      </c>
      <c r="H62" s="49">
        <v>0</v>
      </c>
      <c r="I62" s="49" t="e">
        <v>#REF!</v>
      </c>
      <c r="J62" s="50"/>
    </row>
    <row r="63" outlineLevel="1" spans="1:10">
      <c r="A63" s="50">
        <v>53</v>
      </c>
      <c r="B63" s="51" t="str">
        <v>直形楼梯C30</v>
      </c>
      <c r="C63" s="51" t="e">
        <v>#REF!</v>
      </c>
      <c r="D63" s="51" t="str">
        <v/>
      </c>
      <c r="E63" s="51" t="str">
        <v/>
      </c>
      <c r="F63" s="52" t="e">
        <v>#REF!</v>
      </c>
      <c r="G63" s="48" t="e">
        <v>#REF!</v>
      </c>
      <c r="H63" s="49">
        <v>0</v>
      </c>
      <c r="I63" s="49" t="e">
        <v>#REF!</v>
      </c>
      <c r="J63" s="50"/>
    </row>
    <row r="64" outlineLevel="1" spans="1:10">
      <c r="A64" s="50">
        <v>54</v>
      </c>
      <c r="B64" s="51" t="str">
        <v>沟盖板C30抗渗P6/P8</v>
      </c>
      <c r="C64" s="51" t="e">
        <v>#REF!</v>
      </c>
      <c r="D64" s="51" t="str">
        <v/>
      </c>
      <c r="E64" s="51" t="str">
        <v/>
      </c>
      <c r="F64" s="52" t="e">
        <v>#REF!</v>
      </c>
      <c r="G64" s="48" t="e">
        <v>#REF!</v>
      </c>
      <c r="H64" s="49">
        <v>0</v>
      </c>
      <c r="I64" s="49" t="e">
        <v>#REF!</v>
      </c>
      <c r="J64" s="50"/>
    </row>
    <row r="65" outlineLevel="1" spans="1:10">
      <c r="A65" s="50">
        <v>55</v>
      </c>
      <c r="B65" s="51" t="str">
        <v>梁后浇带C45抗渗P6/P8</v>
      </c>
      <c r="C65" s="51" t="e">
        <v>#REF!</v>
      </c>
      <c r="D65" s="51" t="str">
        <v/>
      </c>
      <c r="E65" s="51" t="str">
        <v/>
      </c>
      <c r="F65" s="52" t="e">
        <v>#REF!</v>
      </c>
      <c r="G65" s="48" t="e">
        <v>#REF!</v>
      </c>
      <c r="H65" s="49">
        <v>0</v>
      </c>
      <c r="I65" s="49" t="e">
        <v>#REF!</v>
      </c>
      <c r="J65" s="50"/>
    </row>
    <row r="66" outlineLevel="1" spans="1:10">
      <c r="A66" s="50">
        <v>56</v>
      </c>
      <c r="B66" s="51" t="str">
        <v>板后浇带C45抗渗P6/P8</v>
      </c>
      <c r="C66" s="51" t="e">
        <v>#REF!</v>
      </c>
      <c r="D66" s="51" t="str">
        <v/>
      </c>
      <c r="E66" s="51" t="str">
        <v/>
      </c>
      <c r="F66" s="52" t="e">
        <v>#REF!</v>
      </c>
      <c r="G66" s="48" t="e">
        <v>#REF!</v>
      </c>
      <c r="H66" s="49">
        <v>0</v>
      </c>
      <c r="I66" s="49" t="e">
        <v>#REF!</v>
      </c>
      <c r="J66" s="50"/>
    </row>
    <row r="67" outlineLevel="1" spans="1:10">
      <c r="A67" s="50">
        <v>57</v>
      </c>
      <c r="B67" s="51" t="str">
        <v>墙后浇带C45抗渗P6/P8</v>
      </c>
      <c r="C67" s="51" t="e">
        <v>#REF!</v>
      </c>
      <c r="D67" s="51" t="str">
        <v/>
      </c>
      <c r="E67" s="51" t="str">
        <v/>
      </c>
      <c r="F67" s="52" t="e">
        <v>#REF!</v>
      </c>
      <c r="G67" s="48" t="e">
        <v>#REF!</v>
      </c>
      <c r="H67" s="49">
        <v>0</v>
      </c>
      <c r="I67" s="49" t="e">
        <v>#REF!</v>
      </c>
      <c r="J67" s="50"/>
    </row>
    <row r="68" ht="28.8" outlineLevel="1" spans="1:10">
      <c r="A68" s="50">
        <v>58</v>
      </c>
      <c r="B68" s="51" t="str">
        <v>满堂基础后浇带C35抗渗P6/P8</v>
      </c>
      <c r="C68" s="51" t="e">
        <v>#REF!</v>
      </c>
      <c r="D68" s="51" t="str">
        <v/>
      </c>
      <c r="E68" s="51" t="str">
        <v/>
      </c>
      <c r="F68" s="52" t="e">
        <v>#REF!</v>
      </c>
      <c r="G68" s="48" t="e">
        <v>#REF!</v>
      </c>
      <c r="H68" s="49">
        <v>0</v>
      </c>
      <c r="I68" s="49" t="e">
        <v>#REF!</v>
      </c>
      <c r="J68" s="50"/>
    </row>
    <row r="69" outlineLevel="1" spans="1:10">
      <c r="A69" s="50">
        <v>59</v>
      </c>
      <c r="B69" s="51" t="str">
        <v>消防水池池底C30抗渗P6/P8</v>
      </c>
      <c r="C69" s="51" t="e">
        <v>#REF!</v>
      </c>
      <c r="D69" s="51" t="str">
        <v/>
      </c>
      <c r="E69" s="51" t="str">
        <v/>
      </c>
      <c r="F69" s="52" t="e">
        <v>#REF!</v>
      </c>
      <c r="G69" s="48" t="e">
        <v>#REF!</v>
      </c>
      <c r="H69" s="49">
        <v>0</v>
      </c>
      <c r="I69" s="49" t="e">
        <v>#REF!</v>
      </c>
      <c r="J69" s="50"/>
    </row>
    <row r="70" outlineLevel="1" spans="1:10">
      <c r="A70" s="50">
        <v>60</v>
      </c>
      <c r="B70" s="51" t="str">
        <v>消防水池池壁C30抗渗P6/P8</v>
      </c>
      <c r="C70" s="51" t="e">
        <v>#REF!</v>
      </c>
      <c r="D70" s="51" t="str">
        <v/>
      </c>
      <c r="E70" s="51" t="str">
        <v/>
      </c>
      <c r="F70" s="52" t="e">
        <v>#REF!</v>
      </c>
      <c r="G70" s="48" t="e">
        <v>#REF!</v>
      </c>
      <c r="H70" s="49">
        <v>0</v>
      </c>
      <c r="I70" s="49" t="e">
        <v>#REF!</v>
      </c>
      <c r="J70" s="50"/>
    </row>
    <row r="71" outlineLevel="1" spans="1:10">
      <c r="A71" s="50">
        <v>61</v>
      </c>
      <c r="B71" s="51" t="str">
        <v>设备基础C25</v>
      </c>
      <c r="C71" s="51" t="e">
        <v>#REF!</v>
      </c>
      <c r="D71" s="51" t="str">
        <v/>
      </c>
      <c r="E71" s="51" t="str">
        <v/>
      </c>
      <c r="F71" s="52" t="e">
        <v>#REF!</v>
      </c>
      <c r="G71" s="48" t="e">
        <v>#REF!</v>
      </c>
      <c r="H71" s="49">
        <v>0</v>
      </c>
      <c r="I71" s="49" t="e">
        <v>#REF!</v>
      </c>
      <c r="J71" s="50"/>
    </row>
    <row r="72" outlineLevel="1" spans="1:10">
      <c r="A72" s="50" t="str">
        <v/>
      </c>
      <c r="B72" s="51" t="str">
        <v>A.02.02钢筋工程</v>
      </c>
      <c r="C72" s="51" t="str">
        <v/>
      </c>
      <c r="D72" s="51" t="str">
        <v/>
      </c>
      <c r="E72" s="51" t="str">
        <v/>
      </c>
      <c r="F72" s="52" t="str">
        <v/>
      </c>
      <c r="G72" s="48" t="str">
        <v/>
      </c>
      <c r="H72" s="49">
        <v>0</v>
      </c>
      <c r="I72" s="49" t="e">
        <v>#REF!</v>
      </c>
      <c r="J72" s="50"/>
    </row>
    <row r="73" ht="43.2" outlineLevel="1" spans="1:10">
      <c r="A73" s="50">
        <v>62</v>
      </c>
      <c r="B73" s="51" t="str">
        <v>地下现浇构件钢筋-φ10以内</v>
      </c>
      <c r="C73" s="51" t="e">
        <v>#REF!</v>
      </c>
      <c r="D73" s="51" t="str">
        <v>地下主体结构钢筋</v>
      </c>
      <c r="E73" s="51" t="str">
        <v>地下主体结构钢筋</v>
      </c>
      <c r="F73" s="52" t="e">
        <v>#REF!</v>
      </c>
      <c r="G73" s="48" t="e">
        <v>#REF!</v>
      </c>
      <c r="H73" s="49">
        <v>0</v>
      </c>
      <c r="I73" s="49" t="e">
        <v>#REF!</v>
      </c>
      <c r="J73" s="50"/>
    </row>
    <row r="74" ht="43.2" outlineLevel="1" spans="1:10">
      <c r="A74" s="50">
        <v>63</v>
      </c>
      <c r="B74" s="51" t="str">
        <v>地下现浇构件钢筋-三级钢筋 Φ6</v>
      </c>
      <c r="C74" s="51" t="e">
        <v>#REF!</v>
      </c>
      <c r="D74" s="51" t="str">
        <v>地下主体结构钢筋</v>
      </c>
      <c r="E74" s="51" t="str">
        <v>地下主体结构钢筋</v>
      </c>
      <c r="F74" s="52" t="e">
        <v>#REF!</v>
      </c>
      <c r="G74" s="48" t="e">
        <v>#REF!</v>
      </c>
      <c r="H74" s="49">
        <v>0</v>
      </c>
      <c r="I74" s="49" t="e">
        <v>#REF!</v>
      </c>
      <c r="J74" s="50"/>
    </row>
    <row r="75" ht="43.2" outlineLevel="1" spans="1:10">
      <c r="A75" s="50">
        <v>64</v>
      </c>
      <c r="B75" s="51" t="str">
        <v>地下现浇构件钢筋-三级钢筋 Φ8</v>
      </c>
      <c r="C75" s="51" t="e">
        <v>#REF!</v>
      </c>
      <c r="D75" s="51" t="str">
        <v>地下主体结构钢筋</v>
      </c>
      <c r="E75" s="51" t="str">
        <v>地下主体结构钢筋</v>
      </c>
      <c r="F75" s="52" t="e">
        <v>#REF!</v>
      </c>
      <c r="G75" s="48" t="e">
        <v>#REF!</v>
      </c>
      <c r="H75" s="49">
        <v>0</v>
      </c>
      <c r="I75" s="49" t="e">
        <v>#REF!</v>
      </c>
      <c r="J75" s="50"/>
    </row>
    <row r="76" ht="43.2" outlineLevel="1" spans="1:10">
      <c r="A76" s="50">
        <v>65</v>
      </c>
      <c r="B76" s="51" t="str">
        <v>地下现浇构件钢筋-三级钢筋 Φ10</v>
      </c>
      <c r="C76" s="51" t="e">
        <v>#REF!</v>
      </c>
      <c r="D76" s="51" t="str">
        <v>地下主体结构钢筋</v>
      </c>
      <c r="E76" s="51" t="str">
        <v>地下主体结构钢筋</v>
      </c>
      <c r="F76" s="52" t="e">
        <v>#REF!</v>
      </c>
      <c r="G76" s="48" t="e">
        <v>#REF!</v>
      </c>
      <c r="H76" s="49">
        <v>0</v>
      </c>
      <c r="I76" s="49" t="e">
        <v>#REF!</v>
      </c>
      <c r="J76" s="50"/>
    </row>
    <row r="77" ht="43.2" outlineLevel="1" spans="1:10">
      <c r="A77" s="50">
        <v>66</v>
      </c>
      <c r="B77" s="51" t="str">
        <v>地下现浇构件钢筋-三级钢筋 Φ12</v>
      </c>
      <c r="C77" s="51" t="e">
        <v>#REF!</v>
      </c>
      <c r="D77" s="51" t="str">
        <v>地下主体结构钢筋</v>
      </c>
      <c r="E77" s="51" t="str">
        <v>地下主体结构钢筋</v>
      </c>
      <c r="F77" s="52" t="e">
        <v>#REF!</v>
      </c>
      <c r="G77" s="48" t="e">
        <v>#REF!</v>
      </c>
      <c r="H77" s="49">
        <v>0</v>
      </c>
      <c r="I77" s="49" t="e">
        <v>#REF!</v>
      </c>
      <c r="J77" s="50"/>
    </row>
    <row r="78" ht="43.2" outlineLevel="1" spans="1:10">
      <c r="A78" s="50">
        <v>67</v>
      </c>
      <c r="B78" s="51" t="str">
        <v>地下现浇构件钢筋-三级钢筋 Φ14</v>
      </c>
      <c r="C78" s="51" t="e">
        <v>#REF!</v>
      </c>
      <c r="D78" s="51" t="str">
        <v>地下主体结构钢筋</v>
      </c>
      <c r="E78" s="51" t="str">
        <v>地下主体结构钢筋</v>
      </c>
      <c r="F78" s="52" t="e">
        <v>#REF!</v>
      </c>
      <c r="G78" s="48" t="e">
        <v>#REF!</v>
      </c>
      <c r="H78" s="49">
        <v>0</v>
      </c>
      <c r="I78" s="49" t="e">
        <v>#REF!</v>
      </c>
      <c r="J78" s="50"/>
    </row>
    <row r="79" ht="43.2" outlineLevel="1" spans="1:10">
      <c r="A79" s="50">
        <v>68</v>
      </c>
      <c r="B79" s="51" t="str">
        <v>地下现浇构件钢筋-三级钢筋 Φ16</v>
      </c>
      <c r="C79" s="51" t="e">
        <v>#REF!</v>
      </c>
      <c r="D79" s="51" t="str">
        <v>地下主体结构钢筋</v>
      </c>
      <c r="E79" s="51" t="str">
        <v>地下主体结构钢筋</v>
      </c>
      <c r="F79" s="52" t="e">
        <v>#REF!</v>
      </c>
      <c r="G79" s="48" t="e">
        <v>#REF!</v>
      </c>
      <c r="H79" s="49">
        <v>0</v>
      </c>
      <c r="I79" s="49" t="e">
        <v>#REF!</v>
      </c>
      <c r="J79" s="50"/>
    </row>
    <row r="80" ht="43.2" outlineLevel="1" spans="1:10">
      <c r="A80" s="50">
        <v>69</v>
      </c>
      <c r="B80" s="51" t="str">
        <v>地下现浇构件钢筋-三级钢筋 Φ18</v>
      </c>
      <c r="C80" s="51" t="e">
        <v>#REF!</v>
      </c>
      <c r="D80" s="51" t="str">
        <v>地下主体结构钢筋</v>
      </c>
      <c r="E80" s="51" t="str">
        <v>地下主体结构钢筋</v>
      </c>
      <c r="F80" s="52" t="e">
        <v>#REF!</v>
      </c>
      <c r="G80" s="48" t="e">
        <v>#REF!</v>
      </c>
      <c r="H80" s="49">
        <v>0</v>
      </c>
      <c r="I80" s="49" t="e">
        <v>#REF!</v>
      </c>
      <c r="J80" s="50"/>
    </row>
    <row r="81" ht="43.2" outlineLevel="1" spans="1:10">
      <c r="A81" s="50">
        <v>70</v>
      </c>
      <c r="B81" s="51" t="str">
        <v>地下现浇构件钢筋-三级钢筋 Φ20</v>
      </c>
      <c r="C81" s="51" t="e">
        <v>#REF!</v>
      </c>
      <c r="D81" s="51" t="str">
        <v>地下主体结构钢筋</v>
      </c>
      <c r="E81" s="51" t="str">
        <v>地下主体结构钢筋</v>
      </c>
      <c r="F81" s="52" t="e">
        <v>#REF!</v>
      </c>
      <c r="G81" s="48" t="e">
        <v>#REF!</v>
      </c>
      <c r="H81" s="49">
        <v>0</v>
      </c>
      <c r="I81" s="49" t="e">
        <v>#REF!</v>
      </c>
      <c r="J81" s="50"/>
    </row>
    <row r="82" ht="43.2" outlineLevel="1" spans="1:10">
      <c r="A82" s="50">
        <v>71</v>
      </c>
      <c r="B82" s="51" t="str">
        <v>地下现浇构件钢筋-三级钢筋 Φ22</v>
      </c>
      <c r="C82" s="51" t="e">
        <v>#REF!</v>
      </c>
      <c r="D82" s="51" t="str">
        <v>地下主体结构钢筋</v>
      </c>
      <c r="E82" s="51" t="str">
        <v>地下主体结构钢筋</v>
      </c>
      <c r="F82" s="52" t="e">
        <v>#REF!</v>
      </c>
      <c r="G82" s="48" t="e">
        <v>#REF!</v>
      </c>
      <c r="H82" s="49">
        <v>0</v>
      </c>
      <c r="I82" s="49" t="e">
        <v>#REF!</v>
      </c>
      <c r="J82" s="50"/>
    </row>
    <row r="83" ht="43.2" outlineLevel="1" spans="1:10">
      <c r="A83" s="50">
        <v>72</v>
      </c>
      <c r="B83" s="51" t="str">
        <v>地下现浇构件钢筋-三级钢筋 Φ25</v>
      </c>
      <c r="C83" s="51" t="e">
        <v>#REF!</v>
      </c>
      <c r="D83" s="51" t="str">
        <v>地下主体结构钢筋</v>
      </c>
      <c r="E83" s="51" t="str">
        <v>地下主体结构钢筋</v>
      </c>
      <c r="F83" s="52" t="e">
        <v>#REF!</v>
      </c>
      <c r="G83" s="48" t="e">
        <v>#REF!</v>
      </c>
      <c r="H83" s="49">
        <v>0</v>
      </c>
      <c r="I83" s="49" t="e">
        <v>#REF!</v>
      </c>
      <c r="J83" s="50"/>
    </row>
    <row r="84" ht="43.2" outlineLevel="1" spans="1:10">
      <c r="A84" s="50">
        <v>73</v>
      </c>
      <c r="B84" s="51" t="str">
        <v>地下现浇构件措施钢筋-三级钢筋 Φ10</v>
      </c>
      <c r="C84" s="51" t="e">
        <v>#REF!</v>
      </c>
      <c r="D84" s="51" t="str">
        <v>地下主体结构钢筋</v>
      </c>
      <c r="E84" s="51" t="str">
        <v>地下主体结构钢筋</v>
      </c>
      <c r="F84" s="52" t="e">
        <v>#REF!</v>
      </c>
      <c r="G84" s="48" t="e">
        <v>#REF!</v>
      </c>
      <c r="H84" s="49">
        <v>0</v>
      </c>
      <c r="I84" s="49" t="e">
        <v>#REF!</v>
      </c>
      <c r="J84" s="50"/>
    </row>
    <row r="85" ht="43.2" outlineLevel="1" spans="1:10">
      <c r="A85" s="50">
        <v>74</v>
      </c>
      <c r="B85" s="51" t="str">
        <v>地下现浇构件措施钢筋-三级钢筋 Φ16</v>
      </c>
      <c r="C85" s="51" t="e">
        <v>#REF!</v>
      </c>
      <c r="D85" s="51" t="str">
        <v>地下主体结构钢筋</v>
      </c>
      <c r="E85" s="51" t="str">
        <v>地下主体结构钢筋</v>
      </c>
      <c r="F85" s="52" t="e">
        <v>#REF!</v>
      </c>
      <c r="G85" s="48" t="e">
        <v>#REF!</v>
      </c>
      <c r="H85" s="49">
        <v>0</v>
      </c>
      <c r="I85" s="49" t="e">
        <v>#REF!</v>
      </c>
      <c r="J85" s="50"/>
    </row>
    <row r="86" ht="43.2" outlineLevel="1" spans="1:10">
      <c r="A86" s="50">
        <v>75</v>
      </c>
      <c r="B86" s="51" t="str">
        <v>钢筋接头-直螺纹连接-φ20以内</v>
      </c>
      <c r="C86" s="51" t="e">
        <v>#REF!</v>
      </c>
      <c r="D86" s="51" t="str">
        <v/>
      </c>
      <c r="E86" s="51" t="str">
        <v>地下主体结构钢筋</v>
      </c>
      <c r="F86" s="52" t="e">
        <v>#REF!</v>
      </c>
      <c r="G86" s="48" t="e">
        <v>#REF!</v>
      </c>
      <c r="H86" s="49">
        <v>0</v>
      </c>
      <c r="I86" s="49" t="e">
        <v>#REF!</v>
      </c>
      <c r="J86" s="50"/>
    </row>
    <row r="87" ht="43.2" outlineLevel="1" spans="1:10">
      <c r="A87" s="50">
        <v>76</v>
      </c>
      <c r="B87" s="51" t="str">
        <v>钢筋接头-直螺纹连接-Φ30以内</v>
      </c>
      <c r="C87" s="51" t="e">
        <v>#REF!</v>
      </c>
      <c r="D87" s="51" t="str">
        <v/>
      </c>
      <c r="E87" s="51" t="str">
        <v>地下主体结构钢筋</v>
      </c>
      <c r="F87" s="52" t="e">
        <v>#REF!</v>
      </c>
      <c r="G87" s="48" t="e">
        <v>#REF!</v>
      </c>
      <c r="H87" s="49">
        <v>0</v>
      </c>
      <c r="I87" s="49" t="e">
        <v>#REF!</v>
      </c>
      <c r="J87" s="50"/>
    </row>
    <row r="88" ht="43.2" outlineLevel="1" spans="1:10">
      <c r="A88" s="50">
        <v>77</v>
      </c>
      <c r="B88" s="51" t="str">
        <v>钢筋接头-电渣压力焊</v>
      </c>
      <c r="C88" s="51" t="e">
        <v>#REF!</v>
      </c>
      <c r="D88" s="51" t="str">
        <v/>
      </c>
      <c r="E88" s="51" t="str">
        <v>地下主体结构钢筋</v>
      </c>
      <c r="F88" s="52" t="e">
        <v>#REF!</v>
      </c>
      <c r="G88" s="48" t="e">
        <v>#REF!</v>
      </c>
      <c r="H88" s="49">
        <v>0</v>
      </c>
      <c r="I88" s="49" t="e">
        <v>#REF!</v>
      </c>
      <c r="J88" s="50"/>
    </row>
    <row r="89" outlineLevel="1" spans="1:10">
      <c r="A89" s="50" t="str">
        <v/>
      </c>
      <c r="B89" s="51" t="str">
        <v>A.03二次结构工程</v>
      </c>
      <c r="C89" s="51" t="str">
        <v/>
      </c>
      <c r="D89" s="51" t="str">
        <v/>
      </c>
      <c r="E89" s="51" t="str">
        <v/>
      </c>
      <c r="F89" s="52" t="str">
        <v/>
      </c>
      <c r="G89" s="48" t="str">
        <v/>
      </c>
      <c r="H89" s="49">
        <v>0</v>
      </c>
      <c r="I89" s="49" t="e">
        <v>#REF!</v>
      </c>
      <c r="J89" s="50"/>
    </row>
    <row r="90" outlineLevel="1" spans="1:10">
      <c r="A90" s="50" t="str">
        <v/>
      </c>
      <c r="B90" s="51" t="str">
        <v>A.03.01砌筑工程</v>
      </c>
      <c r="C90" s="51" t="str">
        <v/>
      </c>
      <c r="D90" s="51" t="str">
        <v/>
      </c>
      <c r="E90" s="51" t="str">
        <v/>
      </c>
      <c r="F90" s="52" t="str">
        <v/>
      </c>
      <c r="G90" s="48" t="str">
        <v/>
      </c>
      <c r="H90" s="49">
        <v>0</v>
      </c>
      <c r="I90" s="49" t="e">
        <v>#REF!</v>
      </c>
      <c r="J90" s="50"/>
    </row>
    <row r="91" outlineLevel="1" spans="1:10">
      <c r="A91" s="50">
        <v>78</v>
      </c>
      <c r="B91" s="51" t="str">
        <v>小型砼空心砌块</v>
      </c>
      <c r="C91" s="51" t="e">
        <v>#REF!</v>
      </c>
      <c r="D91" s="51" t="str">
        <v/>
      </c>
      <c r="E91" s="51" t="str">
        <v/>
      </c>
      <c r="F91" s="52" t="e">
        <v>#REF!</v>
      </c>
      <c r="G91" s="48" t="e">
        <v>#REF!</v>
      </c>
      <c r="H91" s="49">
        <v>0</v>
      </c>
      <c r="I91" s="49" t="e">
        <v>#REF!</v>
      </c>
      <c r="J91" s="50"/>
    </row>
    <row r="92" outlineLevel="1" spans="1:10">
      <c r="A92" s="50">
        <v>79</v>
      </c>
      <c r="B92" s="51" t="str">
        <v>砖台阶</v>
      </c>
      <c r="C92" s="51" t="e">
        <v>#REF!</v>
      </c>
      <c r="D92" s="51" t="str">
        <v/>
      </c>
      <c r="E92" s="51" t="str">
        <v/>
      </c>
      <c r="F92" s="52" t="e">
        <v>#REF!</v>
      </c>
      <c r="G92" s="48" t="e">
        <v>#REF!</v>
      </c>
      <c r="H92" s="49">
        <v>0</v>
      </c>
      <c r="I92" s="49" t="e">
        <v>#REF!</v>
      </c>
      <c r="J92" s="50"/>
    </row>
    <row r="93" outlineLevel="1" spans="1:10">
      <c r="A93" s="50" t="str">
        <v/>
      </c>
      <c r="B93" s="51" t="str">
        <v>A.03.02混凝土工程</v>
      </c>
      <c r="C93" s="51" t="str">
        <v/>
      </c>
      <c r="D93" s="51" t="str">
        <v/>
      </c>
      <c r="E93" s="51" t="str">
        <v/>
      </c>
      <c r="F93" s="52" t="str">
        <v/>
      </c>
      <c r="G93" s="48" t="str">
        <v/>
      </c>
      <c r="H93" s="49">
        <v>0</v>
      </c>
      <c r="I93" s="49" t="e">
        <v>#REF!</v>
      </c>
      <c r="J93" s="50"/>
    </row>
    <row r="94" outlineLevel="1" spans="1:10">
      <c r="A94" s="50">
        <v>80</v>
      </c>
      <c r="B94" s="51" t="str">
        <v>圈梁C25</v>
      </c>
      <c r="C94" s="51" t="e">
        <v>#REF!</v>
      </c>
      <c r="D94" s="51" t="str">
        <v/>
      </c>
      <c r="E94" s="51" t="str">
        <v/>
      </c>
      <c r="F94" s="52" t="e">
        <v>#REF!</v>
      </c>
      <c r="G94" s="48" t="e">
        <v>#REF!</v>
      </c>
      <c r="H94" s="49">
        <v>0</v>
      </c>
      <c r="I94" s="49" t="e">
        <v>#REF!</v>
      </c>
      <c r="J94" s="50"/>
    </row>
    <row r="95" outlineLevel="1" spans="1:10">
      <c r="A95" s="50">
        <v>81</v>
      </c>
      <c r="B95" s="51" t="str">
        <v>构造柱C25</v>
      </c>
      <c r="C95" s="51" t="e">
        <v>#REF!</v>
      </c>
      <c r="D95" s="51" t="str">
        <v/>
      </c>
      <c r="E95" s="51" t="str">
        <v/>
      </c>
      <c r="F95" s="52" t="e">
        <v>#REF!</v>
      </c>
      <c r="G95" s="48" t="e">
        <v>#REF!</v>
      </c>
      <c r="H95" s="49">
        <v>0</v>
      </c>
      <c r="I95" s="49" t="e">
        <v>#REF!</v>
      </c>
      <c r="J95" s="50"/>
    </row>
    <row r="96" outlineLevel="1" spans="1:10">
      <c r="A96" s="50">
        <v>82</v>
      </c>
      <c r="B96" s="51" t="str">
        <v>过梁C25</v>
      </c>
      <c r="C96" s="51" t="e">
        <v>#REF!</v>
      </c>
      <c r="D96" s="51" t="str">
        <v/>
      </c>
      <c r="E96" s="51" t="str">
        <v/>
      </c>
      <c r="F96" s="52" t="e">
        <v>#REF!</v>
      </c>
      <c r="G96" s="48" t="e">
        <v>#REF!</v>
      </c>
      <c r="H96" s="49">
        <v>0</v>
      </c>
      <c r="I96" s="49" t="e">
        <v>#REF!</v>
      </c>
      <c r="J96" s="50"/>
    </row>
    <row r="97" outlineLevel="1" spans="1:10">
      <c r="A97" s="50">
        <v>83</v>
      </c>
      <c r="B97" s="51" t="str">
        <v>门槛C20细石</v>
      </c>
      <c r="C97" s="51" t="e">
        <v>#REF!</v>
      </c>
      <c r="D97" s="51" t="str">
        <v/>
      </c>
      <c r="E97" s="51" t="str">
        <v/>
      </c>
      <c r="F97" s="52" t="e">
        <v>#REF!</v>
      </c>
      <c r="G97" s="48" t="e">
        <v>#REF!</v>
      </c>
      <c r="H97" s="49">
        <v>0</v>
      </c>
      <c r="I97" s="49" t="e">
        <v>#REF!</v>
      </c>
      <c r="J97" s="50"/>
    </row>
    <row r="98" outlineLevel="1" spans="1:10">
      <c r="A98" s="50">
        <v>84</v>
      </c>
      <c r="B98" s="51" t="str">
        <v>压顶C25</v>
      </c>
      <c r="C98" s="51" t="e">
        <v>#REF!</v>
      </c>
      <c r="D98" s="51" t="str">
        <v/>
      </c>
      <c r="E98" s="51" t="str">
        <v/>
      </c>
      <c r="F98" s="52" t="e">
        <v>#REF!</v>
      </c>
      <c r="G98" s="48" t="e">
        <v>#REF!</v>
      </c>
      <c r="H98" s="49">
        <v>0</v>
      </c>
      <c r="I98" s="49" t="e">
        <v>#REF!</v>
      </c>
      <c r="J98" s="50"/>
    </row>
    <row r="99" outlineLevel="1" spans="1:10">
      <c r="A99" s="50" t="str">
        <v/>
      </c>
      <c r="B99" s="51" t="str">
        <v>散水</v>
      </c>
      <c r="C99" s="51" t="str">
        <v/>
      </c>
      <c r="D99" s="51" t="str">
        <v/>
      </c>
      <c r="E99" s="51" t="str">
        <v/>
      </c>
      <c r="F99" s="52" t="str">
        <v/>
      </c>
      <c r="G99" s="48" t="str">
        <v/>
      </c>
      <c r="H99" s="49">
        <v>0</v>
      </c>
      <c r="I99" s="49">
        <v>0</v>
      </c>
      <c r="J99" s="50"/>
    </row>
    <row r="100" outlineLevel="1" spans="1:10">
      <c r="A100" s="50">
        <v>85</v>
      </c>
      <c r="B100" s="51" t="str">
        <v>散水-40厚C20细石</v>
      </c>
      <c r="C100" s="51" t="e">
        <v>#REF!</v>
      </c>
      <c r="D100" s="51" t="str">
        <v/>
      </c>
      <c r="E100" s="51" t="str">
        <v/>
      </c>
      <c r="F100" s="52" t="e">
        <v>#REF!</v>
      </c>
      <c r="G100" s="48" t="e">
        <v>#REF!</v>
      </c>
      <c r="H100" s="49">
        <v>0</v>
      </c>
      <c r="I100" s="49" t="e">
        <v>#REF!</v>
      </c>
      <c r="J100" s="50"/>
    </row>
    <row r="101" outlineLevel="1" spans="1:10">
      <c r="A101" s="50">
        <v>86</v>
      </c>
      <c r="B101" s="51" t="str">
        <v>150厚3:7灰土</v>
      </c>
      <c r="C101" s="51" t="e">
        <v>#REF!</v>
      </c>
      <c r="D101" s="51" t="str">
        <v/>
      </c>
      <c r="E101" s="51" t="str">
        <v/>
      </c>
      <c r="F101" s="52" t="e">
        <v>#REF!</v>
      </c>
      <c r="G101" s="48" t="e">
        <v>#REF!</v>
      </c>
      <c r="H101" s="49">
        <v>0</v>
      </c>
      <c r="I101" s="49" t="e">
        <v>#REF!</v>
      </c>
      <c r="J101" s="50"/>
    </row>
    <row r="102" outlineLevel="1" spans="1:10">
      <c r="A102" s="50">
        <v>87</v>
      </c>
      <c r="B102" s="51" t="str">
        <v>散水-素土夯实</v>
      </c>
      <c r="C102" s="51" t="e">
        <v>#REF!</v>
      </c>
      <c r="D102" s="51" t="str">
        <v/>
      </c>
      <c r="E102" s="51" t="str">
        <v/>
      </c>
      <c r="F102" s="52" t="e">
        <v>#REF!</v>
      </c>
      <c r="G102" s="48" t="e">
        <v>#REF!</v>
      </c>
      <c r="H102" s="49">
        <v>0</v>
      </c>
      <c r="I102" s="49" t="e">
        <v>#REF!</v>
      </c>
      <c r="J102" s="50"/>
    </row>
    <row r="103" outlineLevel="1" spans="1:10">
      <c r="A103" s="50" t="str">
        <v/>
      </c>
      <c r="B103" s="51" t="str">
        <v>坡道</v>
      </c>
      <c r="C103" s="51" t="str">
        <v/>
      </c>
      <c r="D103" s="51" t="str">
        <v/>
      </c>
      <c r="E103" s="51" t="str">
        <v/>
      </c>
      <c r="F103" s="52" t="str">
        <v/>
      </c>
      <c r="G103" s="48" t="str">
        <v/>
      </c>
      <c r="H103" s="49">
        <v>0</v>
      </c>
      <c r="I103" s="49">
        <v>0</v>
      </c>
      <c r="J103" s="50"/>
    </row>
    <row r="104" outlineLevel="1" spans="1:10">
      <c r="A104" s="50">
        <v>88</v>
      </c>
      <c r="B104" s="51" t="str">
        <v>坡道-100厚C15</v>
      </c>
      <c r="C104" s="51" t="e">
        <v>#REF!</v>
      </c>
      <c r="D104" s="51" t="str">
        <v/>
      </c>
      <c r="E104" s="51" t="str">
        <v/>
      </c>
      <c r="F104" s="52" t="e">
        <v>#REF!</v>
      </c>
      <c r="G104" s="48" t="e">
        <v>#REF!</v>
      </c>
      <c r="H104" s="49">
        <v>0</v>
      </c>
      <c r="I104" s="49" t="e">
        <v>#REF!</v>
      </c>
      <c r="J104" s="50"/>
    </row>
    <row r="105" outlineLevel="1" spans="1:10">
      <c r="A105" s="50">
        <v>89</v>
      </c>
      <c r="B105" s="51" t="str">
        <v>300厚3:7灰土</v>
      </c>
      <c r="C105" s="51" t="e">
        <v>#REF!</v>
      </c>
      <c r="D105" s="51" t="str">
        <v/>
      </c>
      <c r="E105" s="51" t="str">
        <v/>
      </c>
      <c r="F105" s="52" t="e">
        <v>#REF!</v>
      </c>
      <c r="G105" s="48" t="e">
        <v>#REF!</v>
      </c>
      <c r="H105" s="49">
        <v>0</v>
      </c>
      <c r="I105" s="49" t="e">
        <v>#REF!</v>
      </c>
      <c r="J105" s="50"/>
    </row>
    <row r="106" outlineLevel="1" spans="1:10">
      <c r="A106" s="50">
        <v>90</v>
      </c>
      <c r="B106" s="51" t="str">
        <v>坡道-素土夯实</v>
      </c>
      <c r="C106" s="51" t="e">
        <v>#REF!</v>
      </c>
      <c r="D106" s="51" t="str">
        <v/>
      </c>
      <c r="E106" s="51" t="str">
        <v/>
      </c>
      <c r="F106" s="52" t="e">
        <v>#REF!</v>
      </c>
      <c r="G106" s="48" t="e">
        <v>#REF!</v>
      </c>
      <c r="H106" s="49">
        <v>0</v>
      </c>
      <c r="I106" s="49" t="e">
        <v>#REF!</v>
      </c>
      <c r="J106" s="50"/>
    </row>
    <row r="107" outlineLevel="1" spans="1:10">
      <c r="A107" s="50" t="str">
        <v/>
      </c>
      <c r="B107" s="51" t="str">
        <v>A.03.03钢筋工程</v>
      </c>
      <c r="C107" s="51" t="str">
        <v/>
      </c>
      <c r="D107" s="51" t="str">
        <v/>
      </c>
      <c r="E107" s="51" t="str">
        <v/>
      </c>
      <c r="F107" s="52" t="str">
        <v/>
      </c>
      <c r="G107" s="48" t="str">
        <v/>
      </c>
      <c r="H107" s="49">
        <v>0</v>
      </c>
      <c r="I107" s="49" t="e">
        <v>#REF!</v>
      </c>
      <c r="J107" s="50"/>
    </row>
    <row r="108" outlineLevel="1" spans="1:10">
      <c r="A108" s="50">
        <v>91</v>
      </c>
      <c r="B108" s="51" t="str">
        <v>地下现浇构件钢筋-φ10以内</v>
      </c>
      <c r="C108" s="51" t="e">
        <v>#REF!</v>
      </c>
      <c r="D108" s="51" t="str">
        <v/>
      </c>
      <c r="E108" s="51" t="str">
        <v/>
      </c>
      <c r="F108" s="52" t="e">
        <v>#REF!</v>
      </c>
      <c r="G108" s="48" t="e">
        <v>#REF!</v>
      </c>
      <c r="H108" s="49">
        <v>0</v>
      </c>
      <c r="I108" s="49" t="e">
        <v>#REF!</v>
      </c>
      <c r="J108" s="50"/>
    </row>
    <row r="109" ht="28.8" outlineLevel="1" spans="1:10">
      <c r="A109" s="50">
        <v>92</v>
      </c>
      <c r="B109" s="51" t="str">
        <v>地下现浇构件钢筋-三级钢筋 Φ6</v>
      </c>
      <c r="C109" s="51" t="e">
        <v>#REF!</v>
      </c>
      <c r="D109" s="51" t="str">
        <v/>
      </c>
      <c r="E109" s="51" t="str">
        <v/>
      </c>
      <c r="F109" s="52" t="e">
        <v>#REF!</v>
      </c>
      <c r="G109" s="48" t="e">
        <v>#REF!</v>
      </c>
      <c r="H109" s="49">
        <v>0</v>
      </c>
      <c r="I109" s="49" t="e">
        <v>#REF!</v>
      </c>
      <c r="J109" s="50"/>
    </row>
    <row r="110" ht="28.8" outlineLevel="1" spans="1:10">
      <c r="A110" s="50">
        <v>93</v>
      </c>
      <c r="B110" s="51" t="str">
        <v>地下现浇构件钢筋-三级钢筋 Φ8</v>
      </c>
      <c r="C110" s="51" t="e">
        <v>#REF!</v>
      </c>
      <c r="D110" s="51" t="str">
        <v/>
      </c>
      <c r="E110" s="51" t="str">
        <v/>
      </c>
      <c r="F110" s="52" t="e">
        <v>#REF!</v>
      </c>
      <c r="G110" s="48" t="e">
        <v>#REF!</v>
      </c>
      <c r="H110" s="49">
        <v>0</v>
      </c>
      <c r="I110" s="49" t="e">
        <v>#REF!</v>
      </c>
      <c r="J110" s="50"/>
    </row>
    <row r="111" ht="28.8" outlineLevel="1" spans="1:10">
      <c r="A111" s="50">
        <v>94</v>
      </c>
      <c r="B111" s="51" t="str">
        <v>地下现浇构件钢筋-三级钢筋 Φ10</v>
      </c>
      <c r="C111" s="51" t="e">
        <v>#REF!</v>
      </c>
      <c r="D111" s="51" t="str">
        <v/>
      </c>
      <c r="E111" s="51" t="str">
        <v/>
      </c>
      <c r="F111" s="52" t="e">
        <v>#REF!</v>
      </c>
      <c r="G111" s="48" t="e">
        <v>#REF!</v>
      </c>
      <c r="H111" s="49">
        <v>0</v>
      </c>
      <c r="I111" s="49" t="e">
        <v>#REF!</v>
      </c>
      <c r="J111" s="50"/>
    </row>
    <row r="112" ht="28.8" outlineLevel="1" spans="1:10">
      <c r="A112" s="50">
        <v>95</v>
      </c>
      <c r="B112" s="51" t="str">
        <v>地下现浇构件钢筋-三级钢筋 Φ12</v>
      </c>
      <c r="C112" s="51" t="e">
        <v>#REF!</v>
      </c>
      <c r="D112" s="51" t="str">
        <v/>
      </c>
      <c r="E112" s="51" t="str">
        <v/>
      </c>
      <c r="F112" s="52" t="e">
        <v>#REF!</v>
      </c>
      <c r="G112" s="48" t="e">
        <v>#REF!</v>
      </c>
      <c r="H112" s="49">
        <v>0</v>
      </c>
      <c r="I112" s="49" t="e">
        <v>#REF!</v>
      </c>
      <c r="J112" s="50"/>
    </row>
    <row r="113" ht="28.8" outlineLevel="1" spans="1:10">
      <c r="A113" s="50">
        <v>96</v>
      </c>
      <c r="B113" s="51" t="str">
        <v>地下现浇构件钢筋-三级钢筋 Φ14</v>
      </c>
      <c r="C113" s="51" t="e">
        <v>#REF!</v>
      </c>
      <c r="D113" s="51" t="str">
        <v/>
      </c>
      <c r="E113" s="51" t="str">
        <v/>
      </c>
      <c r="F113" s="52" t="e">
        <v>#REF!</v>
      </c>
      <c r="G113" s="48" t="e">
        <v>#REF!</v>
      </c>
      <c r="H113" s="49">
        <v>0</v>
      </c>
      <c r="I113" s="49" t="e">
        <v>#REF!</v>
      </c>
      <c r="J113" s="50"/>
    </row>
    <row r="114" ht="28.8" outlineLevel="1" spans="1:10">
      <c r="A114" s="50">
        <v>97</v>
      </c>
      <c r="B114" s="51" t="str">
        <v>地下现浇构件钢筋-三级钢筋 Φ16</v>
      </c>
      <c r="C114" s="51" t="e">
        <v>#REF!</v>
      </c>
      <c r="D114" s="51" t="str">
        <v/>
      </c>
      <c r="E114" s="51" t="str">
        <v/>
      </c>
      <c r="F114" s="52" t="e">
        <v>#REF!</v>
      </c>
      <c r="G114" s="48" t="e">
        <v>#REF!</v>
      </c>
      <c r="H114" s="49">
        <v>0</v>
      </c>
      <c r="I114" s="49" t="e">
        <v>#REF!</v>
      </c>
      <c r="J114" s="50"/>
    </row>
    <row r="115" outlineLevel="1" spans="1:10">
      <c r="A115" s="50">
        <v>98</v>
      </c>
      <c r="B115" s="51" t="str">
        <v>地下砌体加筋-三级钢筋 Φ6</v>
      </c>
      <c r="C115" s="51" t="e">
        <v>#REF!</v>
      </c>
      <c r="D115" s="51" t="str">
        <v/>
      </c>
      <c r="E115" s="51" t="str">
        <v/>
      </c>
      <c r="F115" s="52" t="e">
        <v>#REF!</v>
      </c>
      <c r="G115" s="48" t="e">
        <v>#REF!</v>
      </c>
      <c r="H115" s="49">
        <v>0</v>
      </c>
      <c r="I115" s="49" t="e">
        <v>#REF!</v>
      </c>
      <c r="J115" s="50"/>
    </row>
    <row r="116" outlineLevel="1" spans="1:10">
      <c r="A116" s="50" t="str">
        <v/>
      </c>
      <c r="B116" s="51" t="str">
        <v>A.03.04金属工程</v>
      </c>
      <c r="C116" s="51" t="str">
        <v/>
      </c>
      <c r="D116" s="51" t="str">
        <v/>
      </c>
      <c r="E116" s="51" t="str">
        <v/>
      </c>
      <c r="F116" s="52" t="str">
        <v/>
      </c>
      <c r="G116" s="48" t="str">
        <v/>
      </c>
      <c r="H116" s="49">
        <v>0</v>
      </c>
      <c r="I116" s="49" t="e">
        <v>#REF!</v>
      </c>
      <c r="J116" s="50"/>
    </row>
    <row r="117" ht="28.8" outlineLevel="1" spans="1:10">
      <c r="A117" s="50">
        <v>99</v>
      </c>
      <c r="B117" s="51" t="str">
        <v>不同材质墙体交接处挂钢丝网</v>
      </c>
      <c r="C117" s="51" t="e">
        <v>#REF!</v>
      </c>
      <c r="D117" s="51" t="str">
        <v/>
      </c>
      <c r="E117" s="51" t="str">
        <v/>
      </c>
      <c r="F117" s="52" t="e">
        <v>#REF!</v>
      </c>
      <c r="G117" s="48" t="e">
        <v>#REF!</v>
      </c>
      <c r="H117" s="49">
        <v>0</v>
      </c>
      <c r="I117" s="49" t="e">
        <v>#REF!</v>
      </c>
      <c r="J117" s="50"/>
    </row>
    <row r="118" outlineLevel="1" spans="1:10">
      <c r="A118" s="50">
        <v>100</v>
      </c>
      <c r="B118" s="51" t="str">
        <v>砌块墙钢丝网满挂</v>
      </c>
      <c r="C118" s="51" t="e">
        <v>#REF!</v>
      </c>
      <c r="D118" s="51" t="str">
        <v/>
      </c>
      <c r="E118" s="51" t="str">
        <v/>
      </c>
      <c r="F118" s="52" t="e">
        <v>#REF!</v>
      </c>
      <c r="G118" s="48" t="e">
        <v>#REF!</v>
      </c>
      <c r="H118" s="49">
        <v>0</v>
      </c>
      <c r="I118" s="49" t="e">
        <v>#REF!</v>
      </c>
      <c r="J118" s="50"/>
    </row>
    <row r="119" outlineLevel="1" spans="1:10">
      <c r="A119" s="50">
        <v>101</v>
      </c>
      <c r="B119" s="51" t="str">
        <v>钢爬梯-屋面检修</v>
      </c>
      <c r="C119" s="51" t="e">
        <v>#REF!</v>
      </c>
      <c r="D119" s="51" t="str">
        <v/>
      </c>
      <c r="E119" s="51" t="str">
        <v/>
      </c>
      <c r="F119" s="52" t="e">
        <v>#REF!</v>
      </c>
      <c r="G119" s="48" t="e">
        <v>#REF!</v>
      </c>
      <c r="H119" s="49">
        <v>0</v>
      </c>
      <c r="I119" s="49" t="e">
        <v>#REF!</v>
      </c>
      <c r="J119" s="50"/>
    </row>
    <row r="120" outlineLevel="1" spans="1:10">
      <c r="A120" s="50">
        <v>102</v>
      </c>
      <c r="B120" s="51" t="str">
        <v>地面排水沟</v>
      </c>
      <c r="C120" s="51" t="e">
        <v>#REF!</v>
      </c>
      <c r="D120" s="51" t="str">
        <v/>
      </c>
      <c r="E120" s="51" t="str">
        <v/>
      </c>
      <c r="F120" s="52" t="e">
        <v>#REF!</v>
      </c>
      <c r="G120" s="48" t="e">
        <v>#REF!</v>
      </c>
      <c r="H120" s="49">
        <v>0</v>
      </c>
      <c r="I120" s="49" t="e">
        <v>#REF!</v>
      </c>
      <c r="J120" s="50"/>
    </row>
    <row r="121" outlineLevel="1" spans="1:10">
      <c r="A121" s="50">
        <v>103</v>
      </c>
      <c r="B121" s="51" t="str">
        <v>筏板排水沟</v>
      </c>
      <c r="C121" s="51" t="e">
        <v>#REF!</v>
      </c>
      <c r="D121" s="51" t="str">
        <v/>
      </c>
      <c r="E121" s="51" t="str">
        <v/>
      </c>
      <c r="F121" s="52" t="e">
        <v>#REF!</v>
      </c>
      <c r="G121" s="48" t="e">
        <v>#REF!</v>
      </c>
      <c r="H121" s="49">
        <v>0</v>
      </c>
      <c r="I121" s="49" t="e">
        <v>#REF!</v>
      </c>
      <c r="J121" s="50"/>
    </row>
    <row r="122" outlineLevel="1" spans="1:10">
      <c r="A122" s="50">
        <v>104</v>
      </c>
      <c r="B122" s="51" t="str">
        <v>铸铁篦子</v>
      </c>
      <c r="C122" s="51" t="e">
        <v>#REF!</v>
      </c>
      <c r="D122" s="51" t="str">
        <v/>
      </c>
      <c r="E122" s="51" t="str">
        <v/>
      </c>
      <c r="F122" s="52" t="e">
        <v>#REF!</v>
      </c>
      <c r="G122" s="48" t="e">
        <v>#REF!</v>
      </c>
      <c r="H122" s="49">
        <v>0</v>
      </c>
      <c r="I122" s="49" t="e">
        <v>#REF!</v>
      </c>
      <c r="J122" s="50"/>
    </row>
    <row r="123" outlineLevel="1" spans="1:10">
      <c r="A123" s="50">
        <v>105</v>
      </c>
      <c r="B123" s="51" t="str">
        <v>排水井</v>
      </c>
      <c r="C123" s="51" t="e">
        <v>#REF!</v>
      </c>
      <c r="D123" s="51" t="str">
        <v/>
      </c>
      <c r="E123" s="51" t="str">
        <v/>
      </c>
      <c r="F123" s="52" t="e">
        <v>#REF!</v>
      </c>
      <c r="G123" s="48" t="e">
        <v>#REF!</v>
      </c>
      <c r="H123" s="49">
        <v>0</v>
      </c>
      <c r="I123" s="49" t="e">
        <v>#REF!</v>
      </c>
      <c r="J123" s="50"/>
    </row>
    <row r="124" ht="28.8" outlineLevel="1" spans="1:10">
      <c r="A124" s="50">
        <v>106</v>
      </c>
      <c r="B124" s="51" t="str">
        <v>成品镀锌雨水篦子（车库坡道入口）</v>
      </c>
      <c r="C124" s="51" t="e">
        <v>#REF!</v>
      </c>
      <c r="D124" s="51" t="str">
        <v/>
      </c>
      <c r="E124" s="51" t="str">
        <v/>
      </c>
      <c r="F124" s="52" t="e">
        <v>#REF!</v>
      </c>
      <c r="G124" s="48" t="e">
        <v>#REF!</v>
      </c>
      <c r="H124" s="49">
        <v>0</v>
      </c>
      <c r="I124" s="49" t="e">
        <v>#REF!</v>
      </c>
      <c r="J124" s="50"/>
    </row>
    <row r="125" ht="28.8" outlineLevel="1" spans="1:10">
      <c r="A125" s="50">
        <v>107</v>
      </c>
      <c r="B125" s="51" t="str">
        <v>成品镀锌雨水篦子（车库排水沟）</v>
      </c>
      <c r="C125" s="51" t="e">
        <v>#REF!</v>
      </c>
      <c r="D125" s="51" t="str">
        <v/>
      </c>
      <c r="E125" s="51" t="str">
        <v/>
      </c>
      <c r="F125" s="52" t="e">
        <v>#REF!</v>
      </c>
      <c r="G125" s="48" t="e">
        <v>#REF!</v>
      </c>
      <c r="H125" s="49">
        <v>0</v>
      </c>
      <c r="I125" s="49" t="e">
        <v>#REF!</v>
      </c>
      <c r="J125" s="50"/>
    </row>
    <row r="126" outlineLevel="1" spans="1:10">
      <c r="A126" s="50">
        <v>108</v>
      </c>
      <c r="B126" s="51" t="str">
        <v>排水井篦子</v>
      </c>
      <c r="C126" s="51" t="e">
        <v>#REF!</v>
      </c>
      <c r="D126" s="51" t="str">
        <v/>
      </c>
      <c r="E126" s="51" t="str">
        <v/>
      </c>
      <c r="F126" s="52" t="e">
        <v>#REF!</v>
      </c>
      <c r="G126" s="48" t="e">
        <v>#REF!</v>
      </c>
      <c r="H126" s="49">
        <v>0</v>
      </c>
      <c r="I126" s="49" t="e">
        <v>#REF!</v>
      </c>
      <c r="J126" s="50"/>
    </row>
    <row r="127" outlineLevel="1" spans="1:10">
      <c r="A127" s="50" t="str">
        <v/>
      </c>
      <c r="B127" s="51" t="str">
        <v>A.04隔热防水工程</v>
      </c>
      <c r="C127" s="51" t="str">
        <v/>
      </c>
      <c r="D127" s="51" t="str">
        <v/>
      </c>
      <c r="E127" s="51" t="str">
        <v/>
      </c>
      <c r="F127" s="52" t="str">
        <v/>
      </c>
      <c r="G127" s="48" t="str">
        <v/>
      </c>
      <c r="H127" s="49">
        <v>0</v>
      </c>
      <c r="I127" s="49" t="e">
        <v>#REF!</v>
      </c>
      <c r="J127" s="50"/>
    </row>
    <row r="128" outlineLevel="1" spans="1:10">
      <c r="A128" s="50" t="str">
        <v/>
      </c>
      <c r="B128" s="51" t="str">
        <v>A.04.01保温隔热工程</v>
      </c>
      <c r="C128" s="51" t="str">
        <v/>
      </c>
      <c r="D128" s="51" t="str">
        <v/>
      </c>
      <c r="E128" s="51" t="str">
        <v/>
      </c>
      <c r="F128" s="52" t="str">
        <v/>
      </c>
      <c r="G128" s="48" t="str">
        <v/>
      </c>
      <c r="H128" s="49">
        <v>0</v>
      </c>
      <c r="I128" s="49" t="e">
        <v>#REF!</v>
      </c>
      <c r="J128" s="50"/>
    </row>
    <row r="129" outlineLevel="1" spans="1:10">
      <c r="A129" s="50" t="str">
        <v/>
      </c>
      <c r="B129" s="51" t="str">
        <v>保温隔热天棚</v>
      </c>
      <c r="C129" s="51" t="str">
        <v/>
      </c>
      <c r="D129" s="51" t="str">
        <v/>
      </c>
      <c r="E129" s="51" t="str">
        <v/>
      </c>
      <c r="F129" s="52" t="str">
        <v/>
      </c>
      <c r="G129" s="48" t="str">
        <v/>
      </c>
      <c r="H129" s="49">
        <v>0</v>
      </c>
      <c r="I129" s="49">
        <v>0</v>
      </c>
      <c r="J129" s="50"/>
    </row>
    <row r="130" outlineLevel="1" spans="1:10">
      <c r="A130" s="50">
        <v>109</v>
      </c>
      <c r="B130" s="51" t="str">
        <v>天棚-55厚岩棉板</v>
      </c>
      <c r="C130" s="51" t="e">
        <v>#REF!</v>
      </c>
      <c r="D130" s="51" t="str">
        <v/>
      </c>
      <c r="E130" s="51" t="str">
        <v/>
      </c>
      <c r="F130" s="52" t="e">
        <v>#REF!</v>
      </c>
      <c r="G130" s="48" t="e">
        <v>#REF!</v>
      </c>
      <c r="H130" s="49">
        <v>0</v>
      </c>
      <c r="I130" s="49" t="e">
        <v>#REF!</v>
      </c>
      <c r="J130" s="50"/>
    </row>
    <row r="131" outlineLevel="1" spans="1:10">
      <c r="A131" s="50">
        <v>110</v>
      </c>
      <c r="B131" s="51" t="str">
        <v>天棚-50厚岩棉板</v>
      </c>
      <c r="C131" s="51" t="e">
        <v>#REF!</v>
      </c>
      <c r="D131" s="51" t="str">
        <v/>
      </c>
      <c r="E131" s="51" t="str">
        <v/>
      </c>
      <c r="F131" s="52" t="e">
        <v>#REF!</v>
      </c>
      <c r="G131" s="48" t="e">
        <v>#REF!</v>
      </c>
      <c r="H131" s="49">
        <v>0</v>
      </c>
      <c r="I131" s="49" t="e">
        <v>#REF!</v>
      </c>
      <c r="J131" s="50"/>
    </row>
    <row r="132" outlineLevel="1" spans="1:10">
      <c r="A132" s="50">
        <v>111</v>
      </c>
      <c r="B132" s="51" t="str">
        <v>天棚-镀锌钢丝网</v>
      </c>
      <c r="C132" s="51" t="e">
        <v>#REF!</v>
      </c>
      <c r="D132" s="51" t="str">
        <v/>
      </c>
      <c r="E132" s="51" t="str">
        <v/>
      </c>
      <c r="F132" s="52" t="e">
        <v>#REF!</v>
      </c>
      <c r="G132" s="48" t="e">
        <v>#REF!</v>
      </c>
      <c r="H132" s="49">
        <v>0</v>
      </c>
      <c r="I132" s="49" t="e">
        <v>#REF!</v>
      </c>
      <c r="J132" s="50"/>
    </row>
    <row r="133" outlineLevel="1" spans="1:10">
      <c r="A133" s="50">
        <v>112</v>
      </c>
      <c r="B133" s="51" t="str">
        <v>天棚-3厚抗裂砂浆</v>
      </c>
      <c r="C133" s="51" t="e">
        <v>#REF!</v>
      </c>
      <c r="D133" s="51" t="str">
        <v/>
      </c>
      <c r="E133" s="51" t="str">
        <v/>
      </c>
      <c r="F133" s="52" t="e">
        <v>#REF!</v>
      </c>
      <c r="G133" s="48" t="e">
        <v>#REF!</v>
      </c>
      <c r="H133" s="49">
        <v>0</v>
      </c>
      <c r="I133" s="49" t="e">
        <v>#REF!</v>
      </c>
      <c r="J133" s="50"/>
    </row>
    <row r="134" outlineLevel="1" spans="1:10">
      <c r="A134" s="50">
        <v>113</v>
      </c>
      <c r="B134" s="51" t="str">
        <v>天棚-网格布</v>
      </c>
      <c r="C134" s="51" t="e">
        <v>#REF!</v>
      </c>
      <c r="D134" s="51" t="str">
        <v/>
      </c>
      <c r="E134" s="51" t="str">
        <v/>
      </c>
      <c r="F134" s="52" t="e">
        <v>#REF!</v>
      </c>
      <c r="G134" s="48" t="e">
        <v>#REF!</v>
      </c>
      <c r="H134" s="49">
        <v>0</v>
      </c>
      <c r="I134" s="49" t="e">
        <v>#REF!</v>
      </c>
      <c r="J134" s="50"/>
    </row>
    <row r="135" outlineLevel="1" spans="1:10">
      <c r="A135" s="50" t="str">
        <v/>
      </c>
      <c r="B135" s="51" t="str">
        <v>地下室外墙保温</v>
      </c>
      <c r="C135" s="51" t="str">
        <v/>
      </c>
      <c r="D135" s="51" t="str">
        <v/>
      </c>
      <c r="E135" s="51" t="str">
        <v/>
      </c>
      <c r="F135" s="52" t="str">
        <v/>
      </c>
      <c r="G135" s="48" t="str">
        <v/>
      </c>
      <c r="H135" s="49">
        <v>0</v>
      </c>
      <c r="I135" s="49">
        <v>0</v>
      </c>
      <c r="J135" s="50"/>
    </row>
    <row r="136" outlineLevel="1" spans="1:10">
      <c r="A136" s="50">
        <v>114</v>
      </c>
      <c r="B136" s="51" t="str">
        <v>外墙-220厚XPS</v>
      </c>
      <c r="C136" s="51" t="e">
        <v>#REF!</v>
      </c>
      <c r="D136" s="51" t="str">
        <v/>
      </c>
      <c r="E136" s="51" t="str">
        <v/>
      </c>
      <c r="F136" s="52" t="e">
        <v>#REF!</v>
      </c>
      <c r="G136" s="48" t="e">
        <v>#REF!</v>
      </c>
      <c r="H136" s="49">
        <v>0</v>
      </c>
      <c r="I136" s="49" t="e">
        <v>#REF!</v>
      </c>
      <c r="J136" s="50"/>
    </row>
    <row r="137" outlineLevel="1" spans="1:10">
      <c r="A137" s="50">
        <v>115</v>
      </c>
      <c r="B137" s="51" t="str">
        <v>外墙面-3厚抗裂砂浆</v>
      </c>
      <c r="C137" s="51" t="e">
        <v>#REF!</v>
      </c>
      <c r="D137" s="51" t="str">
        <v/>
      </c>
      <c r="E137" s="51" t="str">
        <v/>
      </c>
      <c r="F137" s="52" t="e">
        <v>#REF!</v>
      </c>
      <c r="G137" s="48" t="e">
        <v>#REF!</v>
      </c>
      <c r="H137" s="49">
        <v>0</v>
      </c>
      <c r="I137" s="49" t="e">
        <v>#REF!</v>
      </c>
      <c r="J137" s="50"/>
    </row>
    <row r="138" outlineLevel="1" spans="1:10">
      <c r="A138" s="50">
        <v>116</v>
      </c>
      <c r="B138" s="51" t="str">
        <v>外墙面-网格布</v>
      </c>
      <c r="C138" s="51" t="e">
        <v>#REF!</v>
      </c>
      <c r="D138" s="51" t="str">
        <v/>
      </c>
      <c r="E138" s="51" t="str">
        <v/>
      </c>
      <c r="F138" s="52" t="e">
        <v>#REF!</v>
      </c>
      <c r="G138" s="48" t="e">
        <v>#REF!</v>
      </c>
      <c r="H138" s="49">
        <v>0</v>
      </c>
      <c r="I138" s="49" t="e">
        <v>#REF!</v>
      </c>
      <c r="J138" s="50"/>
    </row>
    <row r="139" ht="28.8" outlineLevel="1" spans="1:10">
      <c r="A139" s="50" t="str">
        <v/>
      </c>
      <c r="B139" s="51" t="str">
        <v>地下室外墙保温（合用前室与车库外侧）</v>
      </c>
      <c r="C139" s="51" t="str">
        <v/>
      </c>
      <c r="D139" s="51" t="str">
        <v/>
      </c>
      <c r="E139" s="51" t="str">
        <v/>
      </c>
      <c r="F139" s="52" t="str">
        <v/>
      </c>
      <c r="G139" s="48" t="str">
        <v/>
      </c>
      <c r="H139" s="49">
        <v>0</v>
      </c>
      <c r="I139" s="49">
        <v>0</v>
      </c>
      <c r="J139" s="50"/>
    </row>
    <row r="140" outlineLevel="1" spans="1:10">
      <c r="A140" s="50">
        <v>117</v>
      </c>
      <c r="B140" s="51" t="str">
        <v>外墙-160厚岩棉板</v>
      </c>
      <c r="C140" s="51" t="e">
        <v>#REF!</v>
      </c>
      <c r="D140" s="51" t="str">
        <v/>
      </c>
      <c r="E140" s="51" t="str">
        <v/>
      </c>
      <c r="F140" s="52" t="e">
        <v>#REF!</v>
      </c>
      <c r="G140" s="48" t="e">
        <v>#REF!</v>
      </c>
      <c r="H140" s="49">
        <v>0</v>
      </c>
      <c r="I140" s="49" t="e">
        <v>#REF!</v>
      </c>
      <c r="J140" s="50"/>
    </row>
    <row r="141" outlineLevel="1" spans="1:10">
      <c r="A141" s="50">
        <v>118</v>
      </c>
      <c r="B141" s="51" t="str">
        <v>外墙面-3厚抗裂砂浆</v>
      </c>
      <c r="C141" s="51" t="e">
        <v>#REF!</v>
      </c>
      <c r="D141" s="51" t="str">
        <v/>
      </c>
      <c r="E141" s="51" t="str">
        <v/>
      </c>
      <c r="F141" s="52" t="e">
        <v>#REF!</v>
      </c>
      <c r="G141" s="48" t="e">
        <v>#REF!</v>
      </c>
      <c r="H141" s="49">
        <v>0</v>
      </c>
      <c r="I141" s="49" t="e">
        <v>#REF!</v>
      </c>
      <c r="J141" s="50"/>
    </row>
    <row r="142" outlineLevel="1" spans="1:10">
      <c r="A142" s="50">
        <v>119</v>
      </c>
      <c r="B142" s="51" t="str">
        <v>外墙面-网格布</v>
      </c>
      <c r="C142" s="51" t="e">
        <v>#REF!</v>
      </c>
      <c r="D142" s="51" t="str">
        <v/>
      </c>
      <c r="E142" s="51" t="str">
        <v/>
      </c>
      <c r="F142" s="52" t="e">
        <v>#REF!</v>
      </c>
      <c r="G142" s="48" t="e">
        <v>#REF!</v>
      </c>
      <c r="H142" s="49">
        <v>0</v>
      </c>
      <c r="I142" s="49" t="e">
        <v>#REF!</v>
      </c>
      <c r="J142" s="50"/>
    </row>
    <row r="143" outlineLevel="1" spans="1:10">
      <c r="A143" s="50">
        <v>120</v>
      </c>
      <c r="B143" s="51" t="str">
        <v>内墙面-聚合物水泥</v>
      </c>
      <c r="C143" s="51" t="e">
        <v>#REF!</v>
      </c>
      <c r="D143" s="51" t="str">
        <v/>
      </c>
      <c r="E143" s="51" t="str">
        <v/>
      </c>
      <c r="F143" s="52" t="e">
        <v>#REF!</v>
      </c>
      <c r="G143" s="48" t="e">
        <v>#REF!</v>
      </c>
      <c r="H143" s="49">
        <v>0</v>
      </c>
      <c r="I143" s="49" t="e">
        <v>#REF!</v>
      </c>
      <c r="J143" s="50"/>
    </row>
    <row r="144" outlineLevel="1" spans="1:10">
      <c r="A144" s="50" t="str">
        <v/>
      </c>
      <c r="B144" s="51" t="str">
        <v>被动区与非被动区保温隔热</v>
      </c>
      <c r="C144" s="51" t="str">
        <v/>
      </c>
      <c r="D144" s="51" t="str">
        <v/>
      </c>
      <c r="E144" s="51" t="str">
        <v/>
      </c>
      <c r="F144" s="52" t="str">
        <v/>
      </c>
      <c r="G144" s="48" t="str">
        <v/>
      </c>
      <c r="H144" s="49">
        <v>0</v>
      </c>
      <c r="I144" s="49">
        <v>0</v>
      </c>
      <c r="J144" s="50"/>
    </row>
    <row r="145" outlineLevel="1" spans="1:10">
      <c r="A145" s="50">
        <v>121</v>
      </c>
      <c r="B145" s="51" t="str">
        <v>内墙面-界面剂</v>
      </c>
      <c r="C145" s="51" t="e">
        <v>#REF!</v>
      </c>
      <c r="D145" s="51" t="str">
        <v/>
      </c>
      <c r="E145" s="51" t="str">
        <v/>
      </c>
      <c r="F145" s="52" t="e">
        <v>#REF!</v>
      </c>
      <c r="G145" s="48" t="e">
        <v>#REF!</v>
      </c>
      <c r="H145" s="49">
        <v>0</v>
      </c>
      <c r="I145" s="49" t="e">
        <v>#REF!</v>
      </c>
      <c r="J145" s="50"/>
    </row>
    <row r="146" outlineLevel="1" spans="1:10">
      <c r="A146" s="50">
        <v>122</v>
      </c>
      <c r="B146" s="51" t="str">
        <v>内墙保温-100厚岩棉板</v>
      </c>
      <c r="C146" s="51" t="e">
        <v>#REF!</v>
      </c>
      <c r="D146" s="51" t="str">
        <v/>
      </c>
      <c r="E146" s="51" t="str">
        <v/>
      </c>
      <c r="F146" s="52" t="e">
        <v>#REF!</v>
      </c>
      <c r="G146" s="48" t="e">
        <v>#REF!</v>
      </c>
      <c r="H146" s="49">
        <v>0</v>
      </c>
      <c r="I146" s="49" t="e">
        <v>#REF!</v>
      </c>
      <c r="J146" s="50"/>
    </row>
    <row r="147" outlineLevel="1" spans="1:10">
      <c r="A147" s="50">
        <v>123</v>
      </c>
      <c r="B147" s="51" t="str">
        <v>内墙面-5厚抗裂砂浆</v>
      </c>
      <c r="C147" s="51" t="e">
        <v>#REF!</v>
      </c>
      <c r="D147" s="51" t="str">
        <v/>
      </c>
      <c r="E147" s="51" t="str">
        <v/>
      </c>
      <c r="F147" s="52" t="e">
        <v>#REF!</v>
      </c>
      <c r="G147" s="48" t="e">
        <v>#REF!</v>
      </c>
      <c r="H147" s="49">
        <v>0</v>
      </c>
      <c r="I147" s="49" t="e">
        <v>#REF!</v>
      </c>
      <c r="J147" s="50"/>
    </row>
    <row r="148" outlineLevel="1" spans="1:10">
      <c r="A148" s="50">
        <v>124</v>
      </c>
      <c r="B148" s="51" t="str">
        <v>内墙面-网格布</v>
      </c>
      <c r="C148" s="51" t="e">
        <v>#REF!</v>
      </c>
      <c r="D148" s="51" t="str">
        <v/>
      </c>
      <c r="E148" s="51" t="str">
        <v/>
      </c>
      <c r="F148" s="52" t="e">
        <v>#REF!</v>
      </c>
      <c r="G148" s="48" t="e">
        <v>#REF!</v>
      </c>
      <c r="H148" s="49">
        <v>0</v>
      </c>
      <c r="I148" s="49" t="e">
        <v>#REF!</v>
      </c>
      <c r="J148" s="50"/>
    </row>
    <row r="149" outlineLevel="1" spans="1:10">
      <c r="A149" s="50" t="str">
        <v/>
      </c>
      <c r="B149" s="51" t="str">
        <v>A.04.02屋面与防水工程</v>
      </c>
      <c r="C149" s="51" t="str">
        <v/>
      </c>
      <c r="D149" s="51" t="str">
        <v/>
      </c>
      <c r="E149" s="51" t="str">
        <v/>
      </c>
      <c r="F149" s="52" t="str">
        <v/>
      </c>
      <c r="G149" s="48" t="str">
        <v/>
      </c>
      <c r="H149" s="49">
        <v>0</v>
      </c>
      <c r="I149" s="49" t="e">
        <v>#REF!</v>
      </c>
      <c r="J149" s="50"/>
    </row>
    <row r="150" outlineLevel="1" spans="1:10">
      <c r="A150" s="50" t="str">
        <v/>
      </c>
      <c r="B150" s="51" t="str">
        <v>地下室外墙1</v>
      </c>
      <c r="C150" s="51" t="str">
        <v/>
      </c>
      <c r="D150" s="51" t="str">
        <v/>
      </c>
      <c r="E150" s="51" t="str">
        <v/>
      </c>
      <c r="F150" s="52" t="str">
        <v/>
      </c>
      <c r="G150" s="48" t="str">
        <v/>
      </c>
      <c r="H150" s="49">
        <v>0</v>
      </c>
      <c r="I150" s="49">
        <v>0</v>
      </c>
      <c r="J150" s="50"/>
    </row>
    <row r="151" outlineLevel="1" spans="1:10">
      <c r="A151" s="50">
        <v>125</v>
      </c>
      <c r="B151" s="51" t="str">
        <v>外墙-50厚EPS</v>
      </c>
      <c r="C151" s="51" t="e">
        <v>#REF!</v>
      </c>
      <c r="D151" s="51" t="str">
        <v/>
      </c>
      <c r="E151" s="51" t="str">
        <v/>
      </c>
      <c r="F151" s="52" t="e">
        <v>#REF!</v>
      </c>
      <c r="G151" s="48" t="e">
        <v>#REF!</v>
      </c>
      <c r="H151" s="49">
        <v>0</v>
      </c>
      <c r="I151" s="49" t="e">
        <v>#REF!</v>
      </c>
      <c r="J151" s="50"/>
    </row>
    <row r="152" outlineLevel="1" spans="1:10">
      <c r="A152" s="50">
        <v>126</v>
      </c>
      <c r="B152" s="51" t="str">
        <v>外墙防水-1.5厚双面粘</v>
      </c>
      <c r="C152" s="51" t="e">
        <v>#REF!</v>
      </c>
      <c r="D152" s="51" t="str">
        <v/>
      </c>
      <c r="E152" s="51" t="str">
        <v/>
      </c>
      <c r="F152" s="52" t="e">
        <v>#REF!</v>
      </c>
      <c r="G152" s="48" t="e">
        <v>#REF!</v>
      </c>
      <c r="H152" s="49">
        <v>0</v>
      </c>
      <c r="I152" s="49" t="e">
        <v>#REF!</v>
      </c>
      <c r="J152" s="50"/>
    </row>
    <row r="153" outlineLevel="1" spans="1:10">
      <c r="A153" s="50">
        <v>127</v>
      </c>
      <c r="B153" s="51" t="str">
        <v>外墙-1.5厚水泥凝胶</v>
      </c>
      <c r="C153" s="51" t="e">
        <v>#REF!</v>
      </c>
      <c r="D153" s="51" t="str">
        <v/>
      </c>
      <c r="E153" s="51" t="str">
        <v/>
      </c>
      <c r="F153" s="52" t="e">
        <v>#REF!</v>
      </c>
      <c r="G153" s="48" t="e">
        <v>#REF!</v>
      </c>
      <c r="H153" s="49">
        <v>0</v>
      </c>
      <c r="I153" s="49" t="e">
        <v>#REF!</v>
      </c>
      <c r="J153" s="50"/>
    </row>
    <row r="154" outlineLevel="1" spans="1:10">
      <c r="A154" s="50" t="str">
        <v/>
      </c>
      <c r="B154" s="51" t="str">
        <v>地下室外墙2</v>
      </c>
      <c r="C154" s="51" t="str">
        <v/>
      </c>
      <c r="D154" s="51" t="str">
        <v/>
      </c>
      <c r="E154" s="51" t="str">
        <v/>
      </c>
      <c r="F154" s="52" t="str">
        <v/>
      </c>
      <c r="G154" s="48" t="str">
        <v/>
      </c>
      <c r="H154" s="49">
        <v>0</v>
      </c>
      <c r="I154" s="49">
        <v>0</v>
      </c>
      <c r="J154" s="50"/>
    </row>
    <row r="155" outlineLevel="1" spans="1:10">
      <c r="A155" s="50">
        <v>128</v>
      </c>
      <c r="B155" s="51" t="str">
        <v>外墙-50厚EPS</v>
      </c>
      <c r="C155" s="51" t="e">
        <v>#REF!</v>
      </c>
      <c r="D155" s="51" t="str">
        <v/>
      </c>
      <c r="E155" s="51" t="str">
        <v/>
      </c>
      <c r="F155" s="52" t="e">
        <v>#REF!</v>
      </c>
      <c r="G155" s="48" t="e">
        <v>#REF!</v>
      </c>
      <c r="H155" s="49">
        <v>0</v>
      </c>
      <c r="I155" s="49" t="e">
        <v>#REF!</v>
      </c>
      <c r="J155" s="50"/>
    </row>
    <row r="156" outlineLevel="1" spans="1:10">
      <c r="A156" s="50">
        <v>129</v>
      </c>
      <c r="B156" s="51" t="str">
        <v>外墙防水-1.5厚双面粘</v>
      </c>
      <c r="C156" s="51" t="e">
        <v>#REF!</v>
      </c>
      <c r="D156" s="51" t="str">
        <v/>
      </c>
      <c r="E156" s="51" t="str">
        <v/>
      </c>
      <c r="F156" s="52" t="e">
        <v>#REF!</v>
      </c>
      <c r="G156" s="48" t="e">
        <v>#REF!</v>
      </c>
      <c r="H156" s="49">
        <v>0</v>
      </c>
      <c r="I156" s="49" t="e">
        <v>#REF!</v>
      </c>
      <c r="J156" s="50"/>
    </row>
    <row r="157" outlineLevel="1" spans="1:10">
      <c r="A157" s="50">
        <v>130</v>
      </c>
      <c r="B157" s="51" t="str">
        <v>外墙防水-1.5厚单面粘</v>
      </c>
      <c r="C157" s="51" t="e">
        <v>#REF!</v>
      </c>
      <c r="D157" s="51" t="str">
        <v/>
      </c>
      <c r="E157" s="51" t="str">
        <v/>
      </c>
      <c r="F157" s="52" t="e">
        <v>#REF!</v>
      </c>
      <c r="G157" s="48" t="e">
        <v>#REF!</v>
      </c>
      <c r="H157" s="49">
        <v>0</v>
      </c>
      <c r="I157" s="49" t="e">
        <v>#REF!</v>
      </c>
      <c r="J157" s="50"/>
    </row>
    <row r="158" outlineLevel="1" spans="1:10">
      <c r="A158" s="50">
        <v>131</v>
      </c>
      <c r="B158" s="51" t="str">
        <v>外墙-1.5厚水泥凝胶</v>
      </c>
      <c r="C158" s="51" t="e">
        <v>#REF!</v>
      </c>
      <c r="D158" s="51" t="str">
        <v/>
      </c>
      <c r="E158" s="51" t="str">
        <v/>
      </c>
      <c r="F158" s="52" t="e">
        <v>#REF!</v>
      </c>
      <c r="G158" s="48" t="e">
        <v>#REF!</v>
      </c>
      <c r="H158" s="49">
        <v>0</v>
      </c>
      <c r="I158" s="49" t="e">
        <v>#REF!</v>
      </c>
      <c r="J158" s="50"/>
    </row>
    <row r="159" outlineLevel="1" spans="1:10">
      <c r="A159" s="50" t="str">
        <v/>
      </c>
      <c r="B159" s="51" t="str">
        <v>地下室外墙3</v>
      </c>
      <c r="C159" s="51" t="str">
        <v/>
      </c>
      <c r="D159" s="51" t="str">
        <v/>
      </c>
      <c r="E159" s="51" t="str">
        <v/>
      </c>
      <c r="F159" s="52" t="str">
        <v/>
      </c>
      <c r="G159" s="48" t="str">
        <v/>
      </c>
      <c r="H159" s="49">
        <v>0</v>
      </c>
      <c r="I159" s="49">
        <v>0</v>
      </c>
      <c r="J159" s="50"/>
    </row>
    <row r="160" outlineLevel="1" spans="1:10">
      <c r="A160" s="50">
        <v>132</v>
      </c>
      <c r="B160" s="51" t="str">
        <v>外墙-30厚EPS</v>
      </c>
      <c r="C160" s="51" t="e">
        <v>#REF!</v>
      </c>
      <c r="D160" s="51" t="str">
        <v/>
      </c>
      <c r="E160" s="51" t="str">
        <v/>
      </c>
      <c r="F160" s="52" t="e">
        <v>#REF!</v>
      </c>
      <c r="G160" s="48" t="e">
        <v>#REF!</v>
      </c>
      <c r="H160" s="49">
        <v>0</v>
      </c>
      <c r="I160" s="49" t="e">
        <v>#REF!</v>
      </c>
      <c r="J160" s="50"/>
    </row>
    <row r="161" outlineLevel="1" spans="1:10">
      <c r="A161" s="50">
        <v>133</v>
      </c>
      <c r="B161" s="51" t="str">
        <v>外墙防水-1.5厚双面粘</v>
      </c>
      <c r="C161" s="51" t="e">
        <v>#REF!</v>
      </c>
      <c r="D161" s="51" t="str">
        <v/>
      </c>
      <c r="E161" s="51" t="str">
        <v/>
      </c>
      <c r="F161" s="52" t="e">
        <v>#REF!</v>
      </c>
      <c r="G161" s="48" t="e">
        <v>#REF!</v>
      </c>
      <c r="H161" s="49">
        <v>0</v>
      </c>
      <c r="I161" s="49" t="e">
        <v>#REF!</v>
      </c>
      <c r="J161" s="50"/>
    </row>
    <row r="162" outlineLevel="1" spans="1:10">
      <c r="A162" s="50">
        <v>134</v>
      </c>
      <c r="B162" s="51" t="str">
        <v>外墙-1.5厚水泥凝胶</v>
      </c>
      <c r="C162" s="51" t="e">
        <v>#REF!</v>
      </c>
      <c r="D162" s="51" t="str">
        <v/>
      </c>
      <c r="E162" s="51" t="str">
        <v/>
      </c>
      <c r="F162" s="52" t="e">
        <v>#REF!</v>
      </c>
      <c r="G162" s="48" t="e">
        <v>#REF!</v>
      </c>
      <c r="H162" s="49">
        <v>0</v>
      </c>
      <c r="I162" s="49" t="e">
        <v>#REF!</v>
      </c>
      <c r="J162" s="50"/>
    </row>
    <row r="163" outlineLevel="1" spans="1:10">
      <c r="A163" s="50" t="str">
        <v/>
      </c>
      <c r="B163" s="51" t="str">
        <v>地下室外墙4</v>
      </c>
      <c r="C163" s="51" t="str">
        <v/>
      </c>
      <c r="D163" s="51" t="str">
        <v/>
      </c>
      <c r="E163" s="51" t="str">
        <v/>
      </c>
      <c r="F163" s="52" t="str">
        <v/>
      </c>
      <c r="G163" s="48" t="str">
        <v/>
      </c>
      <c r="H163" s="49">
        <v>0</v>
      </c>
      <c r="I163" s="49">
        <v>0</v>
      </c>
      <c r="J163" s="50"/>
    </row>
    <row r="164" outlineLevel="1" spans="1:10">
      <c r="A164" s="50">
        <v>135</v>
      </c>
      <c r="B164" s="51" t="str">
        <v>外墙-30厚EPS</v>
      </c>
      <c r="C164" s="51" t="e">
        <v>#REF!</v>
      </c>
      <c r="D164" s="51" t="str">
        <v/>
      </c>
      <c r="E164" s="51" t="str">
        <v/>
      </c>
      <c r="F164" s="52" t="e">
        <v>#REF!</v>
      </c>
      <c r="G164" s="48" t="e">
        <v>#REF!</v>
      </c>
      <c r="H164" s="49">
        <v>0</v>
      </c>
      <c r="I164" s="49" t="e">
        <v>#REF!</v>
      </c>
      <c r="J164" s="50"/>
    </row>
    <row r="165" outlineLevel="1" spans="1:10">
      <c r="A165" s="50">
        <v>136</v>
      </c>
      <c r="B165" s="51" t="str">
        <v>外墙防水-1.5厚双面粘</v>
      </c>
      <c r="C165" s="51" t="e">
        <v>#REF!</v>
      </c>
      <c r="D165" s="51" t="str">
        <v/>
      </c>
      <c r="E165" s="51" t="str">
        <v/>
      </c>
      <c r="F165" s="52" t="e">
        <v>#REF!</v>
      </c>
      <c r="G165" s="48" t="e">
        <v>#REF!</v>
      </c>
      <c r="H165" s="49">
        <v>0</v>
      </c>
      <c r="I165" s="49" t="e">
        <v>#REF!</v>
      </c>
      <c r="J165" s="50"/>
    </row>
    <row r="166" outlineLevel="1" spans="1:10">
      <c r="A166" s="50">
        <v>137</v>
      </c>
      <c r="B166" s="51" t="str">
        <v>外墙防水-1.5厚单面粘</v>
      </c>
      <c r="C166" s="51" t="e">
        <v>#REF!</v>
      </c>
      <c r="D166" s="51" t="str">
        <v/>
      </c>
      <c r="E166" s="51" t="str">
        <v/>
      </c>
      <c r="F166" s="52" t="e">
        <v>#REF!</v>
      </c>
      <c r="G166" s="48" t="e">
        <v>#REF!</v>
      </c>
      <c r="H166" s="49">
        <v>0</v>
      </c>
      <c r="I166" s="49" t="e">
        <v>#REF!</v>
      </c>
      <c r="J166" s="50"/>
    </row>
    <row r="167" outlineLevel="1" spans="1:10">
      <c r="A167" s="50">
        <v>138</v>
      </c>
      <c r="B167" s="51" t="str">
        <v>外墙-1.5厚水泥凝胶</v>
      </c>
      <c r="C167" s="51" t="e">
        <v>#REF!</v>
      </c>
      <c r="D167" s="51" t="str">
        <v/>
      </c>
      <c r="E167" s="51" t="str">
        <v/>
      </c>
      <c r="F167" s="52" t="e">
        <v>#REF!</v>
      </c>
      <c r="G167" s="48" t="e">
        <v>#REF!</v>
      </c>
      <c r="H167" s="49">
        <v>0</v>
      </c>
      <c r="I167" s="49" t="e">
        <v>#REF!</v>
      </c>
      <c r="J167" s="50"/>
    </row>
    <row r="168" ht="28.8" outlineLevel="1" spans="1:10">
      <c r="A168" s="50" t="str">
        <v/>
      </c>
      <c r="B168" s="51" t="str">
        <v>独立楼梯间、坡道、进排风井外墙面于混凝土墙</v>
      </c>
      <c r="C168" s="51" t="str">
        <v/>
      </c>
      <c r="D168" s="51" t="str">
        <v/>
      </c>
      <c r="E168" s="51" t="str">
        <v/>
      </c>
      <c r="F168" s="52" t="str">
        <v/>
      </c>
      <c r="G168" s="48" t="str">
        <v/>
      </c>
      <c r="H168" s="49">
        <v>0</v>
      </c>
      <c r="I168" s="49">
        <v>0</v>
      </c>
      <c r="J168" s="50"/>
    </row>
    <row r="169" outlineLevel="1" spans="1:10">
      <c r="A169" s="50">
        <v>139</v>
      </c>
      <c r="B169" s="51" t="str">
        <v>外墙面-界面剂</v>
      </c>
      <c r="C169" s="51" t="e">
        <v>#REF!</v>
      </c>
      <c r="D169" s="51" t="str">
        <v/>
      </c>
      <c r="E169" s="51" t="str">
        <v/>
      </c>
      <c r="F169" s="52" t="e">
        <v>#REF!</v>
      </c>
      <c r="G169" s="48" t="e">
        <v>#REF!</v>
      </c>
      <c r="H169" s="49">
        <v>0</v>
      </c>
      <c r="I169" s="49" t="e">
        <v>#REF!</v>
      </c>
      <c r="J169" s="50"/>
    </row>
    <row r="170" outlineLevel="1" spans="1:10">
      <c r="A170" s="50">
        <v>140</v>
      </c>
      <c r="B170" s="51" t="str">
        <v>外墙面-15厚M7.5</v>
      </c>
      <c r="C170" s="51" t="e">
        <v>#REF!</v>
      </c>
      <c r="D170" s="51" t="str">
        <v/>
      </c>
      <c r="E170" s="51" t="str">
        <v/>
      </c>
      <c r="F170" s="52" t="e">
        <v>#REF!</v>
      </c>
      <c r="G170" s="48" t="e">
        <v>#REF!</v>
      </c>
      <c r="H170" s="49">
        <v>0</v>
      </c>
      <c r="I170" s="49" t="e">
        <v>#REF!</v>
      </c>
      <c r="J170" s="50"/>
    </row>
    <row r="171" outlineLevel="1" spans="1:10">
      <c r="A171" s="50">
        <v>141</v>
      </c>
      <c r="B171" s="51" t="str">
        <v>外墙面-网格布</v>
      </c>
      <c r="C171" s="51" t="e">
        <v>#REF!</v>
      </c>
      <c r="D171" s="51" t="str">
        <v/>
      </c>
      <c r="E171" s="51" t="str">
        <v/>
      </c>
      <c r="F171" s="52" t="e">
        <v>#REF!</v>
      </c>
      <c r="G171" s="48" t="e">
        <v>#REF!</v>
      </c>
      <c r="H171" s="49">
        <v>0</v>
      </c>
      <c r="I171" s="49" t="e">
        <v>#REF!</v>
      </c>
      <c r="J171" s="50"/>
    </row>
    <row r="172" ht="28.8" outlineLevel="1" spans="1:10">
      <c r="A172" s="50" t="str">
        <v/>
      </c>
      <c r="B172" s="51" t="str">
        <v>独立楼梯间、坡道、进排风井外墙面于砌筑墙</v>
      </c>
      <c r="C172" s="51" t="str">
        <v/>
      </c>
      <c r="D172" s="51" t="str">
        <v/>
      </c>
      <c r="E172" s="51" t="str">
        <v/>
      </c>
      <c r="F172" s="52" t="str">
        <v/>
      </c>
      <c r="G172" s="48" t="str">
        <v/>
      </c>
      <c r="H172" s="49">
        <v>0</v>
      </c>
      <c r="I172" s="49">
        <v>0</v>
      </c>
      <c r="J172" s="50"/>
    </row>
    <row r="173" outlineLevel="1" spans="1:10">
      <c r="A173" s="50">
        <v>142</v>
      </c>
      <c r="B173" s="51" t="str">
        <v>外墙面-界面剂</v>
      </c>
      <c r="C173" s="51" t="e">
        <v>#REF!</v>
      </c>
      <c r="D173" s="51" t="str">
        <v/>
      </c>
      <c r="E173" s="51" t="str">
        <v/>
      </c>
      <c r="F173" s="52" t="e">
        <v>#REF!</v>
      </c>
      <c r="G173" s="48" t="e">
        <v>#REF!</v>
      </c>
      <c r="H173" s="49">
        <v>0</v>
      </c>
      <c r="I173" s="49" t="e">
        <v>#REF!</v>
      </c>
      <c r="J173" s="50"/>
    </row>
    <row r="174" outlineLevel="1" spans="1:10">
      <c r="A174" s="50">
        <v>143</v>
      </c>
      <c r="B174" s="51" t="str">
        <v>外墙面-15厚M7.5</v>
      </c>
      <c r="C174" s="51" t="e">
        <v>#REF!</v>
      </c>
      <c r="D174" s="51" t="str">
        <v/>
      </c>
      <c r="E174" s="51" t="str">
        <v/>
      </c>
      <c r="F174" s="52" t="e">
        <v>#REF!</v>
      </c>
      <c r="G174" s="48" t="e">
        <v>#REF!</v>
      </c>
      <c r="H174" s="49">
        <v>0</v>
      </c>
      <c r="I174" s="49" t="e">
        <v>#REF!</v>
      </c>
      <c r="J174" s="50"/>
    </row>
    <row r="175" outlineLevel="1" spans="1:10">
      <c r="A175" s="50">
        <v>144</v>
      </c>
      <c r="B175" s="51" t="str">
        <v>外墙面-网格布</v>
      </c>
      <c r="C175" s="51" t="e">
        <v>#REF!</v>
      </c>
      <c r="D175" s="51" t="str">
        <v/>
      </c>
      <c r="E175" s="51" t="str">
        <v/>
      </c>
      <c r="F175" s="52" t="e">
        <v>#REF!</v>
      </c>
      <c r="G175" s="48" t="e">
        <v>#REF!</v>
      </c>
      <c r="H175" s="49">
        <v>0</v>
      </c>
      <c r="I175" s="49" t="e">
        <v>#REF!</v>
      </c>
      <c r="J175" s="50"/>
    </row>
    <row r="176" outlineLevel="1" spans="1:10">
      <c r="A176" s="50" t="str">
        <v/>
      </c>
      <c r="B176" s="51" t="str">
        <v>地下室顶板1</v>
      </c>
      <c r="C176" s="51" t="str">
        <v/>
      </c>
      <c r="D176" s="51" t="str">
        <v/>
      </c>
      <c r="E176" s="51" t="str">
        <v/>
      </c>
      <c r="F176" s="52" t="str">
        <v/>
      </c>
      <c r="G176" s="48" t="str">
        <v/>
      </c>
      <c r="H176" s="49">
        <v>0</v>
      </c>
      <c r="I176" s="49">
        <v>0</v>
      </c>
      <c r="J176" s="50"/>
    </row>
    <row r="177" ht="28.8" outlineLevel="1" spans="1:10">
      <c r="A177" s="50">
        <v>145</v>
      </c>
      <c r="B177" s="51" t="str">
        <v>顶板防水-1.5厚单面粘（阻根型）</v>
      </c>
      <c r="C177" s="51" t="e">
        <v>#REF!</v>
      </c>
      <c r="D177" s="51" t="str">
        <v/>
      </c>
      <c r="E177" s="51" t="str">
        <v/>
      </c>
      <c r="F177" s="52" t="e">
        <v>#REF!</v>
      </c>
      <c r="G177" s="48" t="e">
        <v>#REF!</v>
      </c>
      <c r="H177" s="49">
        <v>0</v>
      </c>
      <c r="I177" s="49" t="e">
        <v>#REF!</v>
      </c>
      <c r="J177" s="50"/>
    </row>
    <row r="178" outlineLevel="1" spans="1:10">
      <c r="A178" s="50">
        <v>146</v>
      </c>
      <c r="B178" s="51" t="str">
        <v>顶板防水-1.5厚双面粘</v>
      </c>
      <c r="C178" s="51" t="e">
        <v>#REF!</v>
      </c>
      <c r="D178" s="51" t="str">
        <v/>
      </c>
      <c r="E178" s="51" t="str">
        <v/>
      </c>
      <c r="F178" s="52" t="e">
        <v>#REF!</v>
      </c>
      <c r="G178" s="48" t="e">
        <v>#REF!</v>
      </c>
      <c r="H178" s="49">
        <v>0</v>
      </c>
      <c r="I178" s="49" t="e">
        <v>#REF!</v>
      </c>
      <c r="J178" s="50"/>
    </row>
    <row r="179" outlineLevel="1" spans="1:10">
      <c r="A179" s="50" t="str">
        <v/>
      </c>
      <c r="B179" s="51" t="str">
        <v>地下室顶板2</v>
      </c>
      <c r="C179" s="51" t="str">
        <v/>
      </c>
      <c r="D179" s="51" t="str">
        <v/>
      </c>
      <c r="E179" s="51" t="str">
        <v/>
      </c>
      <c r="F179" s="52" t="str">
        <v/>
      </c>
      <c r="G179" s="48" t="str">
        <v/>
      </c>
      <c r="H179" s="49">
        <v>0</v>
      </c>
      <c r="I179" s="49">
        <v>0</v>
      </c>
      <c r="J179" s="50"/>
    </row>
    <row r="180" ht="28.8" outlineLevel="1" spans="1:10">
      <c r="A180" s="50">
        <v>147</v>
      </c>
      <c r="B180" s="51" t="str">
        <v>顶板防水-1.5厚单面粘（阻根型）</v>
      </c>
      <c r="C180" s="51" t="e">
        <v>#REF!</v>
      </c>
      <c r="D180" s="51" t="str">
        <v/>
      </c>
      <c r="E180" s="51" t="str">
        <v/>
      </c>
      <c r="F180" s="52" t="e">
        <v>#REF!</v>
      </c>
      <c r="G180" s="48" t="e">
        <v>#REF!</v>
      </c>
      <c r="H180" s="49">
        <v>0</v>
      </c>
      <c r="I180" s="49" t="e">
        <v>#REF!</v>
      </c>
      <c r="J180" s="50"/>
    </row>
    <row r="181" outlineLevel="1" spans="1:10">
      <c r="A181" s="50">
        <v>148</v>
      </c>
      <c r="B181" s="51" t="str">
        <v>顶板防水-1.5厚沥青涂料</v>
      </c>
      <c r="C181" s="51" t="e">
        <v>#REF!</v>
      </c>
      <c r="D181" s="51" t="str">
        <v/>
      </c>
      <c r="E181" s="51" t="str">
        <v/>
      </c>
      <c r="F181" s="52" t="e">
        <v>#REF!</v>
      </c>
      <c r="G181" s="48" t="e">
        <v>#REF!</v>
      </c>
      <c r="H181" s="49">
        <v>0</v>
      </c>
      <c r="I181" s="49" t="e">
        <v>#REF!</v>
      </c>
      <c r="J181" s="50"/>
    </row>
    <row r="182" outlineLevel="1" spans="1:10">
      <c r="A182" s="50">
        <v>149</v>
      </c>
      <c r="B182" s="51" t="str">
        <v>顶板-100厚XPS</v>
      </c>
      <c r="C182" s="51" t="e">
        <v>#REF!</v>
      </c>
      <c r="D182" s="51" t="str">
        <v/>
      </c>
      <c r="E182" s="51" t="str">
        <v/>
      </c>
      <c r="F182" s="52" t="e">
        <v>#REF!</v>
      </c>
      <c r="G182" s="48" t="e">
        <v>#REF!</v>
      </c>
      <c r="H182" s="49">
        <v>0</v>
      </c>
      <c r="I182" s="49" t="e">
        <v>#REF!</v>
      </c>
      <c r="J182" s="50"/>
    </row>
    <row r="183" outlineLevel="1" spans="1:10">
      <c r="A183" s="50">
        <v>150</v>
      </c>
      <c r="B183" s="51" t="str">
        <v>顶板-C20细石砼找坡</v>
      </c>
      <c r="C183" s="51" t="e">
        <v>#REF!</v>
      </c>
      <c r="D183" s="51" t="str">
        <v/>
      </c>
      <c r="E183" s="51" t="str">
        <v/>
      </c>
      <c r="F183" s="52" t="e">
        <v>#REF!</v>
      </c>
      <c r="G183" s="48" t="e">
        <v>#REF!</v>
      </c>
      <c r="H183" s="49">
        <v>0</v>
      </c>
      <c r="I183" s="49" t="e">
        <v>#REF!</v>
      </c>
      <c r="J183" s="50"/>
    </row>
    <row r="184" outlineLevel="1" spans="1:10">
      <c r="A184" s="50" t="str">
        <v/>
      </c>
      <c r="B184" s="51" t="str">
        <v>地下室底板</v>
      </c>
      <c r="C184" s="51" t="str">
        <v/>
      </c>
      <c r="D184" s="51" t="str">
        <v/>
      </c>
      <c r="E184" s="51" t="str">
        <v/>
      </c>
      <c r="F184" s="52" t="str">
        <v/>
      </c>
      <c r="G184" s="48" t="str">
        <v/>
      </c>
      <c r="H184" s="49">
        <v>0</v>
      </c>
      <c r="I184" s="49">
        <v>0</v>
      </c>
      <c r="J184" s="50"/>
    </row>
    <row r="185" ht="28.8" outlineLevel="1" spans="1:10">
      <c r="A185" s="50">
        <v>151</v>
      </c>
      <c r="B185" s="51" t="str">
        <v>底板防水-1.2厚预铺反粘（单面粘）</v>
      </c>
      <c r="C185" s="51" t="e">
        <v>#REF!</v>
      </c>
      <c r="D185" s="51" t="str">
        <v/>
      </c>
      <c r="E185" s="51" t="str">
        <v/>
      </c>
      <c r="F185" s="52" t="e">
        <v>#REF!</v>
      </c>
      <c r="G185" s="48" t="e">
        <v>#REF!</v>
      </c>
      <c r="H185" s="49">
        <v>0</v>
      </c>
      <c r="I185" s="49" t="e">
        <v>#REF!</v>
      </c>
      <c r="J185" s="50"/>
    </row>
    <row r="186" ht="28.8" outlineLevel="1" spans="1:10">
      <c r="A186" s="50">
        <v>152</v>
      </c>
      <c r="B186" s="51" t="str">
        <v>底板防水-1.5厚反粘（双面粘）</v>
      </c>
      <c r="C186" s="51" t="e">
        <v>#REF!</v>
      </c>
      <c r="D186" s="51" t="str">
        <v/>
      </c>
      <c r="E186" s="51" t="str">
        <v/>
      </c>
      <c r="F186" s="52" t="e">
        <v>#REF!</v>
      </c>
      <c r="G186" s="48" t="e">
        <v>#REF!</v>
      </c>
      <c r="H186" s="49">
        <v>0</v>
      </c>
      <c r="I186" s="49" t="e">
        <v>#REF!</v>
      </c>
      <c r="J186" s="50"/>
    </row>
    <row r="187" ht="28.8" outlineLevel="1" spans="1:10">
      <c r="A187" s="50">
        <v>153</v>
      </c>
      <c r="B187" s="51" t="str">
        <v>沟坑内壁-20厚聚合物防水砂浆</v>
      </c>
      <c r="C187" s="51" t="e">
        <v>#REF!</v>
      </c>
      <c r="D187" s="51" t="str">
        <v/>
      </c>
      <c r="E187" s="51" t="str">
        <v/>
      </c>
      <c r="F187" s="52" t="e">
        <v>#REF!</v>
      </c>
      <c r="G187" s="48" t="e">
        <v>#REF!</v>
      </c>
      <c r="H187" s="49">
        <v>0</v>
      </c>
      <c r="I187" s="49" t="e">
        <v>#REF!</v>
      </c>
      <c r="J187" s="50"/>
    </row>
    <row r="188" outlineLevel="1" spans="1:10">
      <c r="A188" s="50" t="str">
        <v/>
      </c>
      <c r="B188" s="51" t="str">
        <v>电梯基坑1</v>
      </c>
      <c r="C188" s="51" t="str">
        <v/>
      </c>
      <c r="D188" s="51" t="str">
        <v/>
      </c>
      <c r="E188" s="51" t="str">
        <v/>
      </c>
      <c r="F188" s="52" t="str">
        <v/>
      </c>
      <c r="G188" s="48" t="str">
        <v/>
      </c>
      <c r="H188" s="49">
        <v>0</v>
      </c>
      <c r="I188" s="49">
        <v>0</v>
      </c>
      <c r="J188" s="50"/>
    </row>
    <row r="189" outlineLevel="1" spans="1:10">
      <c r="A189" s="50">
        <v>154</v>
      </c>
      <c r="B189" s="51" t="str">
        <v>基坑-M20水泥砂浆</v>
      </c>
      <c r="C189" s="51" t="e">
        <v>#REF!</v>
      </c>
      <c r="D189" s="51" t="str">
        <v/>
      </c>
      <c r="E189" s="51" t="str">
        <v/>
      </c>
      <c r="F189" s="52" t="e">
        <v>#REF!</v>
      </c>
      <c r="G189" s="48" t="e">
        <v>#REF!</v>
      </c>
      <c r="H189" s="49">
        <v>0</v>
      </c>
      <c r="I189" s="49" t="e">
        <v>#REF!</v>
      </c>
      <c r="J189" s="50"/>
    </row>
    <row r="190" ht="28.8" outlineLevel="1" spans="1:10">
      <c r="A190" s="50">
        <v>155</v>
      </c>
      <c r="B190" s="51" t="str">
        <v>沟坑内壁-20厚聚合物防水砂浆</v>
      </c>
      <c r="C190" s="51" t="e">
        <v>#REF!</v>
      </c>
      <c r="D190" s="51" t="str">
        <v/>
      </c>
      <c r="E190" s="51" t="str">
        <v/>
      </c>
      <c r="F190" s="52" t="e">
        <v>#REF!</v>
      </c>
      <c r="G190" s="48" t="e">
        <v>#REF!</v>
      </c>
      <c r="H190" s="49">
        <v>0</v>
      </c>
      <c r="I190" s="49" t="e">
        <v>#REF!</v>
      </c>
      <c r="J190" s="50"/>
    </row>
    <row r="191" outlineLevel="1" spans="1:10">
      <c r="A191" s="50">
        <v>156</v>
      </c>
      <c r="B191" s="51" t="str">
        <v>基坑-1.5厚聚氨酯涂料</v>
      </c>
      <c r="C191" s="51" t="e">
        <v>#REF!</v>
      </c>
      <c r="D191" s="51" t="str">
        <v/>
      </c>
      <c r="E191" s="51" t="str">
        <v/>
      </c>
      <c r="F191" s="52" t="e">
        <v>#REF!</v>
      </c>
      <c r="G191" s="48" t="e">
        <v>#REF!</v>
      </c>
      <c r="H191" s="49">
        <v>0</v>
      </c>
      <c r="I191" s="49" t="e">
        <v>#REF!</v>
      </c>
      <c r="J191" s="50"/>
    </row>
    <row r="192" outlineLevel="1" spans="1:10">
      <c r="A192" s="50">
        <v>157</v>
      </c>
      <c r="B192" s="51" t="str">
        <v>基坑-40厚C20细石砼</v>
      </c>
      <c r="C192" s="51" t="e">
        <v>#REF!</v>
      </c>
      <c r="D192" s="51" t="str">
        <v/>
      </c>
      <c r="E192" s="51" t="str">
        <v/>
      </c>
      <c r="F192" s="52" t="e">
        <v>#REF!</v>
      </c>
      <c r="G192" s="48" t="e">
        <v>#REF!</v>
      </c>
      <c r="H192" s="49">
        <v>0</v>
      </c>
      <c r="I192" s="49" t="e">
        <v>#REF!</v>
      </c>
      <c r="J192" s="50"/>
    </row>
    <row r="193" outlineLevel="1" spans="1:10">
      <c r="A193" s="50">
        <v>158</v>
      </c>
      <c r="B193" s="51" t="str">
        <v>基坑-φ4@100钢筋网片</v>
      </c>
      <c r="C193" s="51" t="e">
        <v>#REF!</v>
      </c>
      <c r="D193" s="51" t="str">
        <v/>
      </c>
      <c r="E193" s="51" t="str">
        <v/>
      </c>
      <c r="F193" s="52" t="e">
        <v>#REF!</v>
      </c>
      <c r="G193" s="48" t="e">
        <v>#REF!</v>
      </c>
      <c r="H193" s="49">
        <v>0</v>
      </c>
      <c r="I193" s="49" t="e">
        <v>#REF!</v>
      </c>
      <c r="J193" s="50"/>
    </row>
    <row r="194" outlineLevel="1" spans="1:10">
      <c r="A194" s="50">
        <v>159</v>
      </c>
      <c r="B194" s="51" t="str">
        <v>基坑-塑料膜</v>
      </c>
      <c r="C194" s="51" t="e">
        <v>#REF!</v>
      </c>
      <c r="D194" s="51" t="str">
        <v/>
      </c>
      <c r="E194" s="51" t="str">
        <v/>
      </c>
      <c r="F194" s="52" t="e">
        <v>#REF!</v>
      </c>
      <c r="G194" s="48" t="e">
        <v>#REF!</v>
      </c>
      <c r="H194" s="49">
        <v>0</v>
      </c>
      <c r="I194" s="49" t="e">
        <v>#REF!</v>
      </c>
      <c r="J194" s="50"/>
    </row>
    <row r="195" outlineLevel="1" spans="1:10">
      <c r="A195" s="50">
        <v>160</v>
      </c>
      <c r="B195" s="51" t="str">
        <v>基坑-120厚XPS</v>
      </c>
      <c r="C195" s="51" t="e">
        <v>#REF!</v>
      </c>
      <c r="D195" s="51" t="str">
        <v/>
      </c>
      <c r="E195" s="51" t="str">
        <v/>
      </c>
      <c r="F195" s="52" t="e">
        <v>#REF!</v>
      </c>
      <c r="G195" s="48" t="e">
        <v>#REF!</v>
      </c>
      <c r="H195" s="49">
        <v>0</v>
      </c>
      <c r="I195" s="49" t="e">
        <v>#REF!</v>
      </c>
      <c r="J195" s="50"/>
    </row>
    <row r="196" outlineLevel="1" spans="1:10">
      <c r="A196" s="50">
        <v>161</v>
      </c>
      <c r="B196" s="51" t="str">
        <v>基坑-1.5厚聚氨酯涂料</v>
      </c>
      <c r="C196" s="51" t="e">
        <v>#REF!</v>
      </c>
      <c r="D196" s="51" t="str">
        <v/>
      </c>
      <c r="E196" s="51" t="str">
        <v/>
      </c>
      <c r="F196" s="52" t="e">
        <v>#REF!</v>
      </c>
      <c r="G196" s="48" t="e">
        <v>#REF!</v>
      </c>
      <c r="H196" s="49">
        <v>0</v>
      </c>
      <c r="I196" s="49" t="e">
        <v>#REF!</v>
      </c>
      <c r="J196" s="50"/>
    </row>
    <row r="197" outlineLevel="1" spans="1:10">
      <c r="A197" s="50">
        <v>162</v>
      </c>
      <c r="B197" s="51" t="str">
        <v>基坑-素水泥浆</v>
      </c>
      <c r="C197" s="51" t="e">
        <v>#REF!</v>
      </c>
      <c r="D197" s="51" t="str">
        <v/>
      </c>
      <c r="E197" s="51" t="str">
        <v/>
      </c>
      <c r="F197" s="52" t="e">
        <v>#REF!</v>
      </c>
      <c r="G197" s="48" t="e">
        <v>#REF!</v>
      </c>
      <c r="H197" s="49">
        <v>0</v>
      </c>
      <c r="I197" s="49" t="e">
        <v>#REF!</v>
      </c>
      <c r="J197" s="50"/>
    </row>
    <row r="198" outlineLevel="1" spans="1:10">
      <c r="A198" s="50">
        <v>163</v>
      </c>
      <c r="B198" s="51" t="str">
        <v>基坑-20厚真空绝热板</v>
      </c>
      <c r="C198" s="51" t="e">
        <v>#REF!</v>
      </c>
      <c r="D198" s="51" t="str">
        <v/>
      </c>
      <c r="E198" s="51" t="str">
        <v/>
      </c>
      <c r="F198" s="52" t="e">
        <v>#REF!</v>
      </c>
      <c r="G198" s="48" t="e">
        <v>#REF!</v>
      </c>
      <c r="H198" s="49">
        <v>0</v>
      </c>
      <c r="I198" s="49" t="e">
        <v>#REF!</v>
      </c>
      <c r="J198" s="50"/>
    </row>
    <row r="199" outlineLevel="1" spans="1:10">
      <c r="A199" s="50">
        <v>164</v>
      </c>
      <c r="B199" s="51" t="str">
        <v>基坑-1.2厚聚氨酯涂料</v>
      </c>
      <c r="C199" s="51" t="e">
        <v>#REF!</v>
      </c>
      <c r="D199" s="51" t="str">
        <v/>
      </c>
      <c r="E199" s="51" t="str">
        <v/>
      </c>
      <c r="F199" s="52" t="e">
        <v>#REF!</v>
      </c>
      <c r="G199" s="48" t="e">
        <v>#REF!</v>
      </c>
      <c r="H199" s="49">
        <v>0</v>
      </c>
      <c r="I199" s="49" t="e">
        <v>#REF!</v>
      </c>
      <c r="J199" s="50"/>
    </row>
    <row r="200" outlineLevel="1" spans="1:10">
      <c r="A200" s="50">
        <v>165</v>
      </c>
      <c r="B200" s="51" t="str">
        <v>遇水膨胀止水条</v>
      </c>
      <c r="C200" s="51" t="e">
        <v>#REF!</v>
      </c>
      <c r="D200" s="51" t="str">
        <v/>
      </c>
      <c r="E200" s="51" t="str">
        <v/>
      </c>
      <c r="F200" s="52" t="e">
        <v>#REF!</v>
      </c>
      <c r="G200" s="48" t="e">
        <v>#REF!</v>
      </c>
      <c r="H200" s="49">
        <v>0</v>
      </c>
      <c r="I200" s="49" t="e">
        <v>#REF!</v>
      </c>
      <c r="J200" s="50"/>
    </row>
    <row r="201" outlineLevel="1" spans="1:10">
      <c r="A201" s="50">
        <v>166</v>
      </c>
      <c r="B201" s="51" t="str">
        <v>钢板止水条</v>
      </c>
      <c r="C201" s="51" t="e">
        <v>#REF!</v>
      </c>
      <c r="D201" s="51" t="str">
        <v/>
      </c>
      <c r="E201" s="51" t="str">
        <v/>
      </c>
      <c r="F201" s="52" t="e">
        <v>#REF!</v>
      </c>
      <c r="G201" s="48" t="e">
        <v>#REF!</v>
      </c>
      <c r="H201" s="49">
        <v>0</v>
      </c>
      <c r="I201" s="49" t="e">
        <v>#REF!</v>
      </c>
      <c r="J201" s="50"/>
    </row>
    <row r="202" outlineLevel="1" spans="1:10">
      <c r="A202" s="50">
        <v>167</v>
      </c>
      <c r="B202" s="51" t="str">
        <v>橡胶止水带</v>
      </c>
      <c r="C202" s="51" t="e">
        <v>#REF!</v>
      </c>
      <c r="D202" s="51" t="str">
        <v/>
      </c>
      <c r="E202" s="51" t="str">
        <v/>
      </c>
      <c r="F202" s="52" t="e">
        <v>#REF!</v>
      </c>
      <c r="G202" s="48" t="e">
        <v>#REF!</v>
      </c>
      <c r="H202" s="49">
        <v>0</v>
      </c>
      <c r="I202" s="49" t="e">
        <v>#REF!</v>
      </c>
      <c r="J202" s="50"/>
    </row>
    <row r="203" ht="28.8" outlineLevel="1" spans="1:10">
      <c r="A203" s="50" t="str">
        <v/>
      </c>
      <c r="B203" s="51" t="str">
        <v>非上人屋面（楼梯间.门厅.水箱间等）</v>
      </c>
      <c r="C203" s="51" t="str">
        <v/>
      </c>
      <c r="D203" s="51" t="str">
        <v/>
      </c>
      <c r="E203" s="51" t="str">
        <v/>
      </c>
      <c r="F203" s="52" t="str">
        <v/>
      </c>
      <c r="G203" s="48" t="str">
        <v/>
      </c>
      <c r="H203" s="49">
        <v>0</v>
      </c>
      <c r="I203" s="49">
        <v>0</v>
      </c>
      <c r="J203" s="50"/>
    </row>
    <row r="204" ht="28.8" outlineLevel="1" spans="1:10">
      <c r="A204" s="50">
        <v>168</v>
      </c>
      <c r="B204" s="51" t="str">
        <v>屋面-20厚M15水泥砂浆保护层</v>
      </c>
      <c r="C204" s="51" t="e">
        <v>#REF!</v>
      </c>
      <c r="D204" s="51" t="str">
        <v/>
      </c>
      <c r="E204" s="51" t="str">
        <v/>
      </c>
      <c r="F204" s="52" t="e">
        <v>#REF!</v>
      </c>
      <c r="G204" s="48" t="e">
        <v>#REF!</v>
      </c>
      <c r="H204" s="49">
        <v>0</v>
      </c>
      <c r="I204" s="49" t="e">
        <v>#REF!</v>
      </c>
      <c r="J204" s="50"/>
    </row>
    <row r="205" outlineLevel="1" spans="1:10">
      <c r="A205" s="50">
        <v>169</v>
      </c>
      <c r="B205" s="51" t="str">
        <v>屋面-土工布</v>
      </c>
      <c r="C205" s="51" t="e">
        <v>#REF!</v>
      </c>
      <c r="D205" s="51" t="str">
        <v/>
      </c>
      <c r="E205" s="51" t="str">
        <v/>
      </c>
      <c r="F205" s="52" t="e">
        <v>#REF!</v>
      </c>
      <c r="G205" s="48" t="e">
        <v>#REF!</v>
      </c>
      <c r="H205" s="49">
        <v>0</v>
      </c>
      <c r="I205" s="49" t="e">
        <v>#REF!</v>
      </c>
      <c r="J205" s="50"/>
    </row>
    <row r="206" outlineLevel="1" spans="1:10">
      <c r="A206" s="50">
        <v>170</v>
      </c>
      <c r="B206" s="51" t="str">
        <v>屋面-3+3SBS</v>
      </c>
      <c r="C206" s="51" t="e">
        <v>#REF!</v>
      </c>
      <c r="D206" s="51" t="str">
        <v/>
      </c>
      <c r="E206" s="51" t="str">
        <v/>
      </c>
      <c r="F206" s="52" t="e">
        <v>#REF!</v>
      </c>
      <c r="G206" s="48" t="e">
        <v>#REF!</v>
      </c>
      <c r="H206" s="49">
        <v>0</v>
      </c>
      <c r="I206" s="49" t="e">
        <v>#REF!</v>
      </c>
      <c r="J206" s="50"/>
    </row>
    <row r="207" outlineLevel="1" spans="1:10">
      <c r="A207" s="50">
        <v>171</v>
      </c>
      <c r="B207" s="51" t="str">
        <v>屋面-30厚C20细石砼</v>
      </c>
      <c r="C207" s="51" t="e">
        <v>#REF!</v>
      </c>
      <c r="D207" s="51" t="str">
        <v/>
      </c>
      <c r="E207" s="51" t="str">
        <v/>
      </c>
      <c r="F207" s="52" t="e">
        <v>#REF!</v>
      </c>
      <c r="G207" s="48" t="e">
        <v>#REF!</v>
      </c>
      <c r="H207" s="49">
        <v>0</v>
      </c>
      <c r="I207" s="49" t="e">
        <v>#REF!</v>
      </c>
      <c r="J207" s="50"/>
    </row>
    <row r="208" outlineLevel="1" spans="1:10">
      <c r="A208" s="50">
        <v>172</v>
      </c>
      <c r="B208" s="51" t="str">
        <v>屋面-最薄处30厚焦渣找坡</v>
      </c>
      <c r="C208" s="51" t="e">
        <v>#REF!</v>
      </c>
      <c r="D208" s="51" t="str">
        <v/>
      </c>
      <c r="E208" s="51" t="str">
        <v/>
      </c>
      <c r="F208" s="52" t="e">
        <v>#REF!</v>
      </c>
      <c r="G208" s="48" t="e">
        <v>#REF!</v>
      </c>
      <c r="H208" s="49">
        <v>0</v>
      </c>
      <c r="I208" s="49" t="e">
        <v>#REF!</v>
      </c>
      <c r="J208" s="50"/>
    </row>
    <row r="209" outlineLevel="1" spans="1:10">
      <c r="A209" s="50">
        <v>173</v>
      </c>
      <c r="B209" s="51" t="str">
        <v>屋面-190厚EPS</v>
      </c>
      <c r="C209" s="51" t="e">
        <v>#REF!</v>
      </c>
      <c r="D209" s="51" t="str">
        <v/>
      </c>
      <c r="E209" s="51" t="str">
        <v/>
      </c>
      <c r="F209" s="52" t="e">
        <v>#REF!</v>
      </c>
      <c r="G209" s="48" t="e">
        <v>#REF!</v>
      </c>
      <c r="H209" s="49">
        <v>0</v>
      </c>
      <c r="I209" s="49" t="e">
        <v>#REF!</v>
      </c>
      <c r="J209" s="50"/>
    </row>
    <row r="210" ht="28.8" outlineLevel="1" spans="1:10">
      <c r="A210" s="50" t="str">
        <v/>
      </c>
      <c r="B210" s="51" t="str">
        <v>非上人屋面（楼梯间.门厅.水箱间等）与主楼相连</v>
      </c>
      <c r="C210" s="51" t="str">
        <v/>
      </c>
      <c r="D210" s="51" t="str">
        <v/>
      </c>
      <c r="E210" s="51" t="str">
        <v/>
      </c>
      <c r="F210" s="52" t="str">
        <v/>
      </c>
      <c r="G210" s="48" t="str">
        <v/>
      </c>
      <c r="H210" s="49">
        <v>0</v>
      </c>
      <c r="I210" s="49">
        <v>0</v>
      </c>
      <c r="J210" s="50"/>
    </row>
    <row r="211" ht="28.8" outlineLevel="1" spans="1:10">
      <c r="A211" s="50">
        <v>174</v>
      </c>
      <c r="B211" s="51" t="str">
        <v>屋面-20厚M15水泥砂浆保护层</v>
      </c>
      <c r="C211" s="51" t="e">
        <v>#REF!</v>
      </c>
      <c r="D211" s="51" t="str">
        <v/>
      </c>
      <c r="E211" s="51" t="str">
        <v/>
      </c>
      <c r="F211" s="52" t="e">
        <v>#REF!</v>
      </c>
      <c r="G211" s="48" t="e">
        <v>#REF!</v>
      </c>
      <c r="H211" s="49">
        <v>0</v>
      </c>
      <c r="I211" s="49" t="e">
        <v>#REF!</v>
      </c>
      <c r="J211" s="50"/>
    </row>
    <row r="212" outlineLevel="1" spans="1:10">
      <c r="A212" s="50">
        <v>175</v>
      </c>
      <c r="B212" s="51" t="str">
        <v>屋面-土工布</v>
      </c>
      <c r="C212" s="51" t="e">
        <v>#REF!</v>
      </c>
      <c r="D212" s="51" t="str">
        <v/>
      </c>
      <c r="E212" s="51" t="str">
        <v/>
      </c>
      <c r="F212" s="52" t="e">
        <v>#REF!</v>
      </c>
      <c r="G212" s="48" t="e">
        <v>#REF!</v>
      </c>
      <c r="H212" s="49">
        <v>0</v>
      </c>
      <c r="I212" s="49" t="e">
        <v>#REF!</v>
      </c>
      <c r="J212" s="50"/>
    </row>
    <row r="213" outlineLevel="1" spans="1:10">
      <c r="A213" s="50">
        <v>176</v>
      </c>
      <c r="B213" s="51" t="str">
        <v>屋面-4厚SBS</v>
      </c>
      <c r="C213" s="51" t="e">
        <v>#REF!</v>
      </c>
      <c r="D213" s="51" t="str">
        <v/>
      </c>
      <c r="E213" s="51" t="str">
        <v/>
      </c>
      <c r="F213" s="52" t="e">
        <v>#REF!</v>
      </c>
      <c r="G213" s="48" t="e">
        <v>#REF!</v>
      </c>
      <c r="H213" s="49">
        <v>0</v>
      </c>
      <c r="I213" s="49" t="e">
        <v>#REF!</v>
      </c>
      <c r="J213" s="50"/>
    </row>
    <row r="214" outlineLevel="1" spans="1:10">
      <c r="A214" s="50">
        <v>177</v>
      </c>
      <c r="B214" s="51" t="str">
        <v>屋面-30厚C20细石砼</v>
      </c>
      <c r="C214" s="51" t="e">
        <v>#REF!</v>
      </c>
      <c r="D214" s="51" t="str">
        <v/>
      </c>
      <c r="E214" s="51" t="str">
        <v/>
      </c>
      <c r="F214" s="52" t="e">
        <v>#REF!</v>
      </c>
      <c r="G214" s="48" t="e">
        <v>#REF!</v>
      </c>
      <c r="H214" s="49">
        <v>0</v>
      </c>
      <c r="I214" s="49" t="e">
        <v>#REF!</v>
      </c>
      <c r="J214" s="50"/>
    </row>
    <row r="215" outlineLevel="1" spans="1:10">
      <c r="A215" s="50">
        <v>178</v>
      </c>
      <c r="B215" s="51" t="str">
        <v>屋面-最薄处30厚焦渣找坡</v>
      </c>
      <c r="C215" s="51" t="e">
        <v>#REF!</v>
      </c>
      <c r="D215" s="51" t="str">
        <v/>
      </c>
      <c r="E215" s="51" t="str">
        <v/>
      </c>
      <c r="F215" s="52" t="e">
        <v>#REF!</v>
      </c>
      <c r="G215" s="48" t="e">
        <v>#REF!</v>
      </c>
      <c r="H215" s="49">
        <v>0</v>
      </c>
      <c r="I215" s="49" t="e">
        <v>#REF!</v>
      </c>
      <c r="J215" s="50"/>
    </row>
    <row r="216" outlineLevel="1" spans="1:10">
      <c r="A216" s="50">
        <v>179</v>
      </c>
      <c r="B216" s="51" t="str">
        <v>屋面-200厚EPS</v>
      </c>
      <c r="C216" s="51" t="e">
        <v>#REF!</v>
      </c>
      <c r="D216" s="51" t="str">
        <v/>
      </c>
      <c r="E216" s="51" t="str">
        <v/>
      </c>
      <c r="F216" s="52" t="e">
        <v>#REF!</v>
      </c>
      <c r="G216" s="48" t="e">
        <v>#REF!</v>
      </c>
      <c r="H216" s="49">
        <v>0</v>
      </c>
      <c r="I216" s="49" t="e">
        <v>#REF!</v>
      </c>
      <c r="J216" s="50"/>
    </row>
    <row r="217" ht="28.8" outlineLevel="1" spans="1:10">
      <c r="A217" s="50" t="str">
        <v/>
      </c>
      <c r="B217" s="51" t="str">
        <v>非上人屋面（楼梯间.门厅.水箱间等）不与主楼相连</v>
      </c>
      <c r="C217" s="51" t="str">
        <v/>
      </c>
      <c r="D217" s="51" t="str">
        <v/>
      </c>
      <c r="E217" s="51" t="str">
        <v/>
      </c>
      <c r="F217" s="52" t="str">
        <v/>
      </c>
      <c r="G217" s="48" t="str">
        <v/>
      </c>
      <c r="H217" s="49">
        <v>0</v>
      </c>
      <c r="I217" s="49">
        <v>0</v>
      </c>
      <c r="J217" s="50"/>
    </row>
    <row r="218" ht="28.8" outlineLevel="1" spans="1:10">
      <c r="A218" s="50">
        <v>180</v>
      </c>
      <c r="B218" s="51" t="str">
        <v>屋面-20厚M15水泥砂浆保护层</v>
      </c>
      <c r="C218" s="51" t="e">
        <v>#REF!</v>
      </c>
      <c r="D218" s="51" t="str">
        <v/>
      </c>
      <c r="E218" s="51" t="str">
        <v/>
      </c>
      <c r="F218" s="52" t="e">
        <v>#REF!</v>
      </c>
      <c r="G218" s="48" t="e">
        <v>#REF!</v>
      </c>
      <c r="H218" s="49">
        <v>0</v>
      </c>
      <c r="I218" s="49" t="e">
        <v>#REF!</v>
      </c>
      <c r="J218" s="50"/>
    </row>
    <row r="219" outlineLevel="1" spans="1:10">
      <c r="A219" s="50">
        <v>181</v>
      </c>
      <c r="B219" s="51" t="str">
        <v>屋面-土工布</v>
      </c>
      <c r="C219" s="51" t="e">
        <v>#REF!</v>
      </c>
      <c r="D219" s="51" t="str">
        <v/>
      </c>
      <c r="E219" s="51" t="str">
        <v/>
      </c>
      <c r="F219" s="52" t="e">
        <v>#REF!</v>
      </c>
      <c r="G219" s="48" t="e">
        <v>#REF!</v>
      </c>
      <c r="H219" s="49">
        <v>0</v>
      </c>
      <c r="I219" s="49" t="e">
        <v>#REF!</v>
      </c>
      <c r="J219" s="50"/>
    </row>
    <row r="220" outlineLevel="1" spans="1:10">
      <c r="A220" s="50">
        <v>182</v>
      </c>
      <c r="B220" s="51" t="str">
        <v>屋面-4厚SBS</v>
      </c>
      <c r="C220" s="51" t="e">
        <v>#REF!</v>
      </c>
      <c r="D220" s="51" t="str">
        <v/>
      </c>
      <c r="E220" s="51" t="str">
        <v/>
      </c>
      <c r="F220" s="52" t="e">
        <v>#REF!</v>
      </c>
      <c r="G220" s="48" t="e">
        <v>#REF!</v>
      </c>
      <c r="H220" s="49">
        <v>0</v>
      </c>
      <c r="I220" s="49" t="e">
        <v>#REF!</v>
      </c>
      <c r="J220" s="50"/>
    </row>
    <row r="221" outlineLevel="1" spans="1:10">
      <c r="A221" s="50">
        <v>183</v>
      </c>
      <c r="B221" s="51" t="str">
        <v>屋面-30厚C20细石砼</v>
      </c>
      <c r="C221" s="51" t="e">
        <v>#REF!</v>
      </c>
      <c r="D221" s="51" t="str">
        <v/>
      </c>
      <c r="E221" s="51" t="str">
        <v/>
      </c>
      <c r="F221" s="52" t="e">
        <v>#REF!</v>
      </c>
      <c r="G221" s="48" t="e">
        <v>#REF!</v>
      </c>
      <c r="H221" s="49">
        <v>0</v>
      </c>
      <c r="I221" s="49" t="e">
        <v>#REF!</v>
      </c>
      <c r="J221" s="50"/>
    </row>
    <row r="222" outlineLevel="1" spans="1:10">
      <c r="A222" s="50">
        <v>184</v>
      </c>
      <c r="B222" s="51" t="str">
        <v>屋面-最薄处30厚焦渣找坡</v>
      </c>
      <c r="C222" s="51" t="e">
        <v>#REF!</v>
      </c>
      <c r="D222" s="51" t="str">
        <v/>
      </c>
      <c r="E222" s="51" t="str">
        <v/>
      </c>
      <c r="F222" s="52" t="e">
        <v>#REF!</v>
      </c>
      <c r="G222" s="48" t="e">
        <v>#REF!</v>
      </c>
      <c r="H222" s="49">
        <v>0</v>
      </c>
      <c r="I222" s="49" t="e">
        <v>#REF!</v>
      </c>
      <c r="J222" s="50"/>
    </row>
    <row r="223" outlineLevel="1" spans="1:10">
      <c r="A223" s="50">
        <v>185</v>
      </c>
      <c r="B223" s="51" t="str">
        <v>屋面-风井窗井</v>
      </c>
      <c r="C223" s="51" t="e">
        <v>#REF!</v>
      </c>
      <c r="D223" s="51" t="str">
        <v/>
      </c>
      <c r="E223" s="51" t="str">
        <v/>
      </c>
      <c r="F223" s="52" t="e">
        <v>#REF!</v>
      </c>
      <c r="G223" s="48" t="e">
        <v>#REF!</v>
      </c>
      <c r="H223" s="49">
        <v>0</v>
      </c>
      <c r="I223" s="49" t="e">
        <v>#REF!</v>
      </c>
      <c r="J223" s="50"/>
    </row>
    <row r="224" outlineLevel="1" spans="1:10">
      <c r="A224" s="50">
        <v>186</v>
      </c>
      <c r="B224" s="51" t="str">
        <v>屋面-顶板后浇带找平层</v>
      </c>
      <c r="C224" s="51" t="e">
        <v>#REF!</v>
      </c>
      <c r="D224" s="51" t="str">
        <v/>
      </c>
      <c r="E224" s="51" t="str">
        <v/>
      </c>
      <c r="F224" s="52" t="e">
        <v>#REF!</v>
      </c>
      <c r="G224" s="48" t="e">
        <v>#REF!</v>
      </c>
      <c r="H224" s="49">
        <v>0</v>
      </c>
      <c r="I224" s="49" t="e">
        <v>#REF!</v>
      </c>
      <c r="J224" s="50"/>
    </row>
    <row r="225" outlineLevel="1" spans="1:10">
      <c r="A225" s="50">
        <v>187</v>
      </c>
      <c r="B225" s="51" t="str">
        <v>水簸箕-C20细石砼</v>
      </c>
      <c r="C225" s="51" t="e">
        <v>#REF!</v>
      </c>
      <c r="D225" s="51" t="str">
        <v/>
      </c>
      <c r="E225" s="51" t="str">
        <v/>
      </c>
      <c r="F225" s="52" t="e">
        <v>#REF!</v>
      </c>
      <c r="G225" s="48" t="e">
        <v>#REF!</v>
      </c>
      <c r="H225" s="49">
        <v>0</v>
      </c>
      <c r="I225" s="49" t="e">
        <v>#REF!</v>
      </c>
      <c r="J225" s="50"/>
    </row>
    <row r="226" outlineLevel="1" spans="1:10">
      <c r="A226" s="50">
        <v>188</v>
      </c>
      <c r="B226" s="51" t="str">
        <v>屋面-Φ110UPVC雨水管</v>
      </c>
      <c r="C226" s="51" t="e">
        <v>#REF!</v>
      </c>
      <c r="D226" s="51" t="str">
        <v/>
      </c>
      <c r="E226" s="51" t="str">
        <v/>
      </c>
      <c r="F226" s="52" t="e">
        <v>#REF!</v>
      </c>
      <c r="G226" s="48" t="e">
        <v>#REF!</v>
      </c>
      <c r="H226" s="49">
        <v>0</v>
      </c>
      <c r="I226" s="49" t="e">
        <v>#REF!</v>
      </c>
      <c r="J226" s="50"/>
    </row>
    <row r="227" outlineLevel="1" spans="1:10">
      <c r="A227" s="50" t="str">
        <v/>
      </c>
      <c r="B227" s="51" t="str">
        <v>A.05简易装修工程</v>
      </c>
      <c r="C227" s="51" t="str">
        <v/>
      </c>
      <c r="D227" s="51" t="str">
        <v/>
      </c>
      <c r="E227" s="51" t="str">
        <v/>
      </c>
      <c r="F227" s="52" t="str">
        <v/>
      </c>
      <c r="G227" s="48" t="str">
        <v/>
      </c>
      <c r="H227" s="49">
        <v>0</v>
      </c>
      <c r="I227" s="49" t="e">
        <v>#REF!</v>
      </c>
      <c r="J227" s="50"/>
    </row>
    <row r="228" outlineLevel="1" spans="1:10">
      <c r="A228" s="50" t="str">
        <v/>
      </c>
      <c r="B228" s="51" t="str">
        <v>A.05.01地面装饰工程</v>
      </c>
      <c r="C228" s="51" t="str">
        <v/>
      </c>
      <c r="D228" s="51" t="str">
        <v/>
      </c>
      <c r="E228" s="51" t="str">
        <v/>
      </c>
      <c r="F228" s="52" t="str">
        <v/>
      </c>
      <c r="G228" s="48" t="str">
        <v/>
      </c>
      <c r="H228" s="49">
        <v>0</v>
      </c>
      <c r="I228" s="49" t="e">
        <v>#REF!</v>
      </c>
      <c r="J228" s="50"/>
    </row>
    <row r="229" outlineLevel="1" spans="1:10">
      <c r="A229" s="50">
        <v>189</v>
      </c>
      <c r="B229" s="51" t="str">
        <v>楼地面-热计量间</v>
      </c>
      <c r="C229" s="51" t="e">
        <v>#REF!</v>
      </c>
      <c r="D229" s="51" t="str">
        <v/>
      </c>
      <c r="E229" s="51" t="str">
        <v/>
      </c>
      <c r="F229" s="52" t="e">
        <v>#REF!</v>
      </c>
      <c r="G229" s="48" t="e">
        <v>#REF!</v>
      </c>
      <c r="H229" s="49">
        <v>0</v>
      </c>
      <c r="I229" s="49" t="e">
        <v>#REF!</v>
      </c>
      <c r="J229" s="50"/>
    </row>
    <row r="230" outlineLevel="1" spans="1:10">
      <c r="A230" s="50">
        <v>190</v>
      </c>
      <c r="B230" s="51" t="str">
        <v>楼地面-地下走道进线间机房</v>
      </c>
      <c r="C230" s="51" t="e">
        <v>#REF!</v>
      </c>
      <c r="D230" s="51" t="str">
        <v/>
      </c>
      <c r="E230" s="51" t="str">
        <v/>
      </c>
      <c r="F230" s="52" t="e">
        <v>#REF!</v>
      </c>
      <c r="G230" s="48" t="e">
        <v>#REF!</v>
      </c>
      <c r="H230" s="49">
        <v>0</v>
      </c>
      <c r="I230" s="49" t="e">
        <v>#REF!</v>
      </c>
      <c r="J230" s="50"/>
    </row>
    <row r="231" outlineLevel="1" spans="1:10">
      <c r="A231" s="50">
        <v>191</v>
      </c>
      <c r="B231" s="51" t="str">
        <v>楼地面-电信间</v>
      </c>
      <c r="C231" s="51" t="e">
        <v>#REF!</v>
      </c>
      <c r="D231" s="51" t="str">
        <v/>
      </c>
      <c r="E231" s="51" t="str">
        <v/>
      </c>
      <c r="F231" s="52" t="e">
        <v>#REF!</v>
      </c>
      <c r="G231" s="48" t="e">
        <v>#REF!</v>
      </c>
      <c r="H231" s="49">
        <v>0</v>
      </c>
      <c r="I231" s="49" t="e">
        <v>#REF!</v>
      </c>
      <c r="J231" s="50"/>
    </row>
    <row r="232" outlineLevel="1" spans="1:10">
      <c r="A232" s="50">
        <v>192</v>
      </c>
      <c r="B232" s="51" t="str">
        <v>楼地面-40厚C20细石砼</v>
      </c>
      <c r="C232" s="51" t="e">
        <v>#REF!</v>
      </c>
      <c r="D232" s="51" t="str">
        <v/>
      </c>
      <c r="E232" s="51" t="str">
        <v/>
      </c>
      <c r="F232" s="52" t="e">
        <v>#REF!</v>
      </c>
      <c r="G232" s="48" t="e">
        <v>#REF!</v>
      </c>
      <c r="H232" s="49">
        <v>0</v>
      </c>
      <c r="I232" s="49" t="e">
        <v>#REF!</v>
      </c>
      <c r="J232" s="50"/>
    </row>
    <row r="233" outlineLevel="1" spans="1:10">
      <c r="A233" s="50">
        <v>193</v>
      </c>
      <c r="B233" s="51" t="str">
        <v>楼地面-风井</v>
      </c>
      <c r="C233" s="51" t="e">
        <v>#REF!</v>
      </c>
      <c r="D233" s="51" t="str">
        <v/>
      </c>
      <c r="E233" s="51" t="str">
        <v/>
      </c>
      <c r="F233" s="52" t="e">
        <v>#REF!</v>
      </c>
      <c r="G233" s="48" t="e">
        <v>#REF!</v>
      </c>
      <c r="H233" s="49">
        <v>0</v>
      </c>
      <c r="I233" s="49" t="e">
        <v>#REF!</v>
      </c>
      <c r="J233" s="50"/>
    </row>
    <row r="234" outlineLevel="1" spans="1:10">
      <c r="A234" s="50">
        <v>194</v>
      </c>
      <c r="B234" s="51" t="str">
        <v>楼地面-水暖电井</v>
      </c>
      <c r="C234" s="51" t="e">
        <v>#REF!</v>
      </c>
      <c r="D234" s="51" t="str">
        <v/>
      </c>
      <c r="E234" s="51" t="str">
        <v/>
      </c>
      <c r="F234" s="52" t="e">
        <v>#REF!</v>
      </c>
      <c r="G234" s="48" t="e">
        <v>#REF!</v>
      </c>
      <c r="H234" s="49">
        <v>0</v>
      </c>
      <c r="I234" s="49" t="e">
        <v>#REF!</v>
      </c>
      <c r="J234" s="50"/>
    </row>
    <row r="235" outlineLevel="1" spans="1:10">
      <c r="A235" s="50">
        <v>195</v>
      </c>
      <c r="B235" s="51" t="str">
        <v>楼地面-独立车库</v>
      </c>
      <c r="C235" s="51" t="e">
        <v>#REF!</v>
      </c>
      <c r="D235" s="51" t="str">
        <v/>
      </c>
      <c r="E235" s="51" t="str">
        <v/>
      </c>
      <c r="F235" s="52" t="e">
        <v>#REF!</v>
      </c>
      <c r="G235" s="48" t="e">
        <v>#REF!</v>
      </c>
      <c r="H235" s="49">
        <v>0</v>
      </c>
      <c r="I235" s="49" t="e">
        <v>#REF!</v>
      </c>
      <c r="J235" s="50"/>
    </row>
    <row r="236" outlineLevel="1" spans="1:10">
      <c r="A236" s="50">
        <v>196</v>
      </c>
      <c r="B236" s="51" t="str">
        <v>踢脚线-100mm灰色涂料</v>
      </c>
      <c r="C236" s="51" t="e">
        <v>#REF!</v>
      </c>
      <c r="D236" s="51" t="str">
        <v/>
      </c>
      <c r="E236" s="51" t="str">
        <v/>
      </c>
      <c r="F236" s="52" t="e">
        <v>#REF!</v>
      </c>
      <c r="G236" s="48" t="e">
        <v>#REF!</v>
      </c>
      <c r="H236" s="49">
        <v>0</v>
      </c>
      <c r="I236" s="49" t="e">
        <v>#REF!</v>
      </c>
      <c r="J236" s="50"/>
    </row>
    <row r="237" outlineLevel="1" spans="1:10">
      <c r="A237" s="50">
        <v>197</v>
      </c>
      <c r="B237" s="51" t="str">
        <v>踢脚线-50mm灰色涂料</v>
      </c>
      <c r="C237" s="51" t="e">
        <v>#REF!</v>
      </c>
      <c r="D237" s="51" t="str">
        <v/>
      </c>
      <c r="E237" s="51" t="str">
        <v/>
      </c>
      <c r="F237" s="52" t="e">
        <v>#REF!</v>
      </c>
      <c r="G237" s="48" t="e">
        <v>#REF!</v>
      </c>
      <c r="H237" s="49">
        <v>0</v>
      </c>
      <c r="I237" s="49" t="e">
        <v>#REF!</v>
      </c>
      <c r="J237" s="50"/>
    </row>
    <row r="238" outlineLevel="1" spans="1:10">
      <c r="A238" s="50">
        <v>198</v>
      </c>
      <c r="B238" s="51" t="str">
        <v>踢脚线-150mm灰色涂料</v>
      </c>
      <c r="C238" s="51" t="e">
        <v>#REF!</v>
      </c>
      <c r="D238" s="51" t="str">
        <v/>
      </c>
      <c r="E238" s="51" t="str">
        <v/>
      </c>
      <c r="F238" s="52" t="e">
        <v>#REF!</v>
      </c>
      <c r="G238" s="48" t="e">
        <v>#REF!</v>
      </c>
      <c r="H238" s="49">
        <v>0</v>
      </c>
      <c r="I238" s="49" t="e">
        <v>#REF!</v>
      </c>
      <c r="J238" s="50"/>
    </row>
    <row r="239" outlineLevel="1" spans="1:10">
      <c r="A239" s="50">
        <v>199</v>
      </c>
      <c r="B239" s="51" t="str">
        <v>楼地面-楼梯间（30厚）</v>
      </c>
      <c r="C239" s="51" t="e">
        <v>#REF!</v>
      </c>
      <c r="D239" s="51" t="str">
        <v/>
      </c>
      <c r="E239" s="51" t="str">
        <v/>
      </c>
      <c r="F239" s="52" t="e">
        <v>#REF!</v>
      </c>
      <c r="G239" s="48" t="e">
        <v>#REF!</v>
      </c>
      <c r="H239" s="49">
        <v>0</v>
      </c>
      <c r="I239" s="49" t="e">
        <v>#REF!</v>
      </c>
      <c r="J239" s="50"/>
    </row>
    <row r="240" outlineLevel="1" spans="1:10">
      <c r="A240" s="50">
        <v>200</v>
      </c>
      <c r="B240" s="51" t="str">
        <v>楼地面-筏板（坡道）</v>
      </c>
      <c r="C240" s="51" t="e">
        <v>#REF!</v>
      </c>
      <c r="D240" s="51" t="str">
        <v/>
      </c>
      <c r="E240" s="51" t="str">
        <v/>
      </c>
      <c r="F240" s="52" t="e">
        <v>#REF!</v>
      </c>
      <c r="G240" s="48" t="e">
        <v>#REF!</v>
      </c>
      <c r="H240" s="49">
        <v>0</v>
      </c>
      <c r="I240" s="49" t="e">
        <v>#REF!</v>
      </c>
      <c r="J240" s="50"/>
    </row>
    <row r="241" ht="28.8" outlineLevel="1" spans="1:10">
      <c r="A241" s="50" t="str">
        <v/>
      </c>
      <c r="B241" s="51" t="str">
        <v>地下室底板（含坡道）防水板</v>
      </c>
      <c r="C241" s="51" t="str">
        <v/>
      </c>
      <c r="D241" s="51" t="str">
        <v/>
      </c>
      <c r="E241" s="51" t="str">
        <v/>
      </c>
      <c r="F241" s="52" t="str">
        <v/>
      </c>
      <c r="G241" s="48" t="str">
        <v/>
      </c>
      <c r="H241" s="49">
        <v>0</v>
      </c>
      <c r="I241" s="49">
        <v>0</v>
      </c>
      <c r="J241" s="50"/>
    </row>
    <row r="242" outlineLevel="1" spans="1:10">
      <c r="A242" s="50">
        <v>201</v>
      </c>
      <c r="B242" s="51" t="str">
        <v>楼地面-150厚C25细石砼</v>
      </c>
      <c r="C242" s="51" t="e">
        <v>#REF!</v>
      </c>
      <c r="D242" s="51" t="str">
        <v/>
      </c>
      <c r="E242" s="51" t="str">
        <v/>
      </c>
      <c r="F242" s="52" t="e">
        <v>#REF!</v>
      </c>
      <c r="G242" s="48" t="e">
        <v>#REF!</v>
      </c>
      <c r="H242" s="49">
        <v>0</v>
      </c>
      <c r="I242" s="49" t="e">
        <v>#REF!</v>
      </c>
      <c r="J242" s="50"/>
    </row>
    <row r="243" outlineLevel="1" spans="1:10">
      <c r="A243" s="50">
        <v>202</v>
      </c>
      <c r="B243" s="51" t="str">
        <v>楼地面-塑料膜</v>
      </c>
      <c r="C243" s="51" t="e">
        <v>#REF!</v>
      </c>
      <c r="D243" s="51" t="str">
        <v/>
      </c>
      <c r="E243" s="51" t="str">
        <v/>
      </c>
      <c r="F243" s="52" t="e">
        <v>#REF!</v>
      </c>
      <c r="G243" s="48" t="e">
        <v>#REF!</v>
      </c>
      <c r="H243" s="49">
        <v>0</v>
      </c>
      <c r="I243" s="49" t="e">
        <v>#REF!</v>
      </c>
      <c r="J243" s="50"/>
    </row>
    <row r="244" outlineLevel="1" spans="1:10">
      <c r="A244" s="50">
        <v>203</v>
      </c>
      <c r="B244" s="51" t="str">
        <v>楼地面-素土夯实</v>
      </c>
      <c r="C244" s="51" t="e">
        <v>#REF!</v>
      </c>
      <c r="D244" s="51" t="str">
        <v/>
      </c>
      <c r="E244" s="51" t="str">
        <v/>
      </c>
      <c r="F244" s="52" t="e">
        <v>#REF!</v>
      </c>
      <c r="G244" s="48" t="e">
        <v>#REF!</v>
      </c>
      <c r="H244" s="49">
        <v>0</v>
      </c>
      <c r="I244" s="49" t="e">
        <v>#REF!</v>
      </c>
      <c r="J244" s="50"/>
    </row>
    <row r="245" outlineLevel="1" spans="1:10">
      <c r="A245" s="50">
        <v>204</v>
      </c>
      <c r="B245" s="51" t="str">
        <v>楼地面-φ4@200钢筋网片</v>
      </c>
      <c r="C245" s="51" t="e">
        <v>#REF!</v>
      </c>
      <c r="D245" s="51" t="str">
        <v/>
      </c>
      <c r="E245" s="51" t="str">
        <v/>
      </c>
      <c r="F245" s="52" t="e">
        <v>#REF!</v>
      </c>
      <c r="G245" s="48" t="e">
        <v>#REF!</v>
      </c>
      <c r="H245" s="49">
        <v>0</v>
      </c>
      <c r="I245" s="49" t="e">
        <v>#REF!</v>
      </c>
      <c r="J245" s="50"/>
    </row>
    <row r="246" outlineLevel="1" spans="1:10">
      <c r="A246" s="50">
        <v>205</v>
      </c>
      <c r="B246" s="51" t="str">
        <v>楼地面-自行车坡道</v>
      </c>
      <c r="C246" s="51" t="e">
        <v>#REF!</v>
      </c>
      <c r="D246" s="51" t="str">
        <v/>
      </c>
      <c r="E246" s="51" t="str">
        <v/>
      </c>
      <c r="F246" s="52" t="e">
        <v>#REF!</v>
      </c>
      <c r="G246" s="48" t="e">
        <v>#REF!</v>
      </c>
      <c r="H246" s="49">
        <v>0</v>
      </c>
      <c r="I246" s="49" t="e">
        <v>#REF!</v>
      </c>
      <c r="J246" s="50"/>
    </row>
    <row r="247" outlineLevel="1" spans="1:10">
      <c r="A247" s="50" t="str">
        <v/>
      </c>
      <c r="B247" s="51" t="str">
        <v>水泵房地面（有/无覆土）</v>
      </c>
      <c r="C247" s="51" t="str">
        <v/>
      </c>
      <c r="D247" s="51" t="str">
        <v/>
      </c>
      <c r="E247" s="51" t="str">
        <v/>
      </c>
      <c r="F247" s="52" t="str">
        <v/>
      </c>
      <c r="G247" s="48" t="str">
        <v/>
      </c>
      <c r="H247" s="49">
        <v>0</v>
      </c>
      <c r="I247" s="49">
        <v>0</v>
      </c>
      <c r="J247" s="50"/>
    </row>
    <row r="248" outlineLevel="1" spans="1:10">
      <c r="A248" s="50">
        <v>206</v>
      </c>
      <c r="B248" s="51" t="str">
        <v>楼地面-60厚C15细石砼找坡</v>
      </c>
      <c r="C248" s="51" t="e">
        <v>#REF!</v>
      </c>
      <c r="D248" s="51" t="str">
        <v/>
      </c>
      <c r="E248" s="51" t="str">
        <v/>
      </c>
      <c r="F248" s="52" t="e">
        <v>#REF!</v>
      </c>
      <c r="G248" s="48" t="e">
        <v>#REF!</v>
      </c>
      <c r="H248" s="49">
        <v>0</v>
      </c>
      <c r="I248" s="49" t="e">
        <v>#REF!</v>
      </c>
      <c r="J248" s="50"/>
    </row>
    <row r="249" outlineLevel="1" spans="1:10">
      <c r="A249" s="50">
        <v>207</v>
      </c>
      <c r="B249" s="51" t="str">
        <v>楼地面-20厚C20细石砼找坡</v>
      </c>
      <c r="C249" s="51" t="e">
        <v>#REF!</v>
      </c>
      <c r="D249" s="51" t="str">
        <v/>
      </c>
      <c r="E249" s="51" t="str">
        <v/>
      </c>
      <c r="F249" s="52" t="e">
        <v>#REF!</v>
      </c>
      <c r="G249" s="48" t="e">
        <v>#REF!</v>
      </c>
      <c r="H249" s="49">
        <v>0</v>
      </c>
      <c r="I249" s="49" t="e">
        <v>#REF!</v>
      </c>
      <c r="J249" s="50"/>
    </row>
    <row r="250" ht="28.8" outlineLevel="1" spans="1:10">
      <c r="A250" s="50">
        <v>208</v>
      </c>
      <c r="B250" s="51" t="str">
        <v>楼地面-20厚M20水泥砂浆找坡</v>
      </c>
      <c r="C250" s="51" t="e">
        <v>#REF!</v>
      </c>
      <c r="D250" s="51" t="str">
        <v/>
      </c>
      <c r="E250" s="51" t="str">
        <v/>
      </c>
      <c r="F250" s="52" t="e">
        <v>#REF!</v>
      </c>
      <c r="G250" s="48" t="e">
        <v>#REF!</v>
      </c>
      <c r="H250" s="49">
        <v>0</v>
      </c>
      <c r="I250" s="49" t="e">
        <v>#REF!</v>
      </c>
      <c r="J250" s="50"/>
    </row>
    <row r="251" outlineLevel="1" spans="1:10">
      <c r="A251" s="50">
        <v>209</v>
      </c>
      <c r="B251" s="51" t="str">
        <v>楼地面-柴油电站</v>
      </c>
      <c r="C251" s="51" t="e">
        <v>#REF!</v>
      </c>
      <c r="D251" s="51" t="str">
        <v/>
      </c>
      <c r="E251" s="51" t="str">
        <v/>
      </c>
      <c r="F251" s="52" t="e">
        <v>#REF!</v>
      </c>
      <c r="G251" s="48" t="e">
        <v>#REF!</v>
      </c>
      <c r="H251" s="49">
        <v>0</v>
      </c>
      <c r="I251" s="49" t="e">
        <v>#REF!</v>
      </c>
      <c r="J251" s="50"/>
    </row>
    <row r="252" outlineLevel="1" spans="1:10">
      <c r="A252" s="50" t="str">
        <v/>
      </c>
      <c r="B252" s="51" t="str">
        <v>变配电室地面</v>
      </c>
      <c r="C252" s="51" t="str">
        <v/>
      </c>
      <c r="D252" s="51" t="str">
        <v/>
      </c>
      <c r="E252" s="51" t="str">
        <v/>
      </c>
      <c r="F252" s="52" t="str">
        <v/>
      </c>
      <c r="G252" s="48" t="str">
        <v/>
      </c>
      <c r="H252" s="49">
        <v>0</v>
      </c>
      <c r="I252" s="49">
        <v>0</v>
      </c>
      <c r="J252" s="50"/>
    </row>
    <row r="253" outlineLevel="1" spans="1:10">
      <c r="A253" s="50">
        <v>210</v>
      </c>
      <c r="B253" s="51" t="str">
        <v>楼地面-60厚C20细石砼</v>
      </c>
      <c r="C253" s="51" t="e">
        <v>#REF!</v>
      </c>
      <c r="D253" s="51" t="str">
        <v/>
      </c>
      <c r="E253" s="51" t="str">
        <v/>
      </c>
      <c r="F253" s="52" t="e">
        <v>#REF!</v>
      </c>
      <c r="G253" s="48" t="e">
        <v>#REF!</v>
      </c>
      <c r="H253" s="49">
        <v>0</v>
      </c>
      <c r="I253" s="49" t="e">
        <v>#REF!</v>
      </c>
      <c r="J253" s="50"/>
    </row>
    <row r="254" outlineLevel="1" spans="1:10">
      <c r="A254" s="50">
        <v>211</v>
      </c>
      <c r="B254" s="51" t="str">
        <v>楼地面-素土夯实</v>
      </c>
      <c r="C254" s="51" t="e">
        <v>#REF!</v>
      </c>
      <c r="D254" s="51" t="str">
        <v/>
      </c>
      <c r="E254" s="51" t="str">
        <v/>
      </c>
      <c r="F254" s="52" t="e">
        <v>#REF!</v>
      </c>
      <c r="G254" s="48" t="e">
        <v>#REF!</v>
      </c>
      <c r="H254" s="49">
        <v>0</v>
      </c>
      <c r="I254" s="49" t="e">
        <v>#REF!</v>
      </c>
      <c r="J254" s="50"/>
    </row>
    <row r="255" outlineLevel="1" spans="1:10">
      <c r="A255" s="50">
        <v>212</v>
      </c>
      <c r="B255" s="51" t="str">
        <v>楼地面-竖井</v>
      </c>
      <c r="C255" s="51" t="e">
        <v>#REF!</v>
      </c>
      <c r="D255" s="51" t="str">
        <v/>
      </c>
      <c r="E255" s="51" t="str">
        <v/>
      </c>
      <c r="F255" s="52" t="e">
        <v>#REF!</v>
      </c>
      <c r="G255" s="48" t="e">
        <v>#REF!</v>
      </c>
      <c r="H255" s="49">
        <v>0</v>
      </c>
      <c r="I255" s="49" t="e">
        <v>#REF!</v>
      </c>
      <c r="J255" s="50"/>
    </row>
    <row r="256" outlineLevel="1" spans="1:10">
      <c r="A256" s="50">
        <v>213</v>
      </c>
      <c r="B256" s="51" t="str">
        <v>楼地面-楼梯间（30厚）</v>
      </c>
      <c r="C256" s="51" t="e">
        <v>#REF!</v>
      </c>
      <c r="D256" s="51" t="str">
        <v/>
      </c>
      <c r="E256" s="51" t="str">
        <v/>
      </c>
      <c r="F256" s="52" t="e">
        <v>#REF!</v>
      </c>
      <c r="G256" s="48" t="e">
        <v>#REF!</v>
      </c>
      <c r="H256" s="49">
        <v>0</v>
      </c>
      <c r="I256" s="49" t="e">
        <v>#REF!</v>
      </c>
      <c r="J256" s="50"/>
    </row>
    <row r="257" outlineLevel="1" spans="1:10">
      <c r="A257" s="50">
        <v>214</v>
      </c>
      <c r="B257" s="51" t="str">
        <v>楼地面-自行车斜道</v>
      </c>
      <c r="C257" s="51" t="e">
        <v>#REF!</v>
      </c>
      <c r="D257" s="51" t="str">
        <v/>
      </c>
      <c r="E257" s="51" t="str">
        <v/>
      </c>
      <c r="F257" s="52" t="e">
        <v>#REF!</v>
      </c>
      <c r="G257" s="48" t="e">
        <v>#REF!</v>
      </c>
      <c r="H257" s="49">
        <v>0</v>
      </c>
      <c r="I257" s="49" t="e">
        <v>#REF!</v>
      </c>
      <c r="J257" s="50"/>
    </row>
    <row r="258" outlineLevel="1" spans="1:10">
      <c r="A258" s="50">
        <v>215</v>
      </c>
      <c r="B258" s="51" t="str">
        <v>楼地面-聚氨酯防水涂料</v>
      </c>
      <c r="C258" s="51" t="e">
        <v>#REF!</v>
      </c>
      <c r="D258" s="51" t="str">
        <v/>
      </c>
      <c r="E258" s="51" t="str">
        <v/>
      </c>
      <c r="F258" s="52" t="e">
        <v>#REF!</v>
      </c>
      <c r="G258" s="48" t="e">
        <v>#REF!</v>
      </c>
      <c r="H258" s="49">
        <v>0</v>
      </c>
      <c r="I258" s="49" t="e">
        <v>#REF!</v>
      </c>
      <c r="J258" s="50"/>
    </row>
    <row r="259" outlineLevel="1" spans="1:10">
      <c r="A259" s="50">
        <v>216</v>
      </c>
      <c r="B259" s="51" t="str">
        <v>踢脚线-100mm灰色涂料</v>
      </c>
      <c r="C259" s="51" t="e">
        <v>#REF!</v>
      </c>
      <c r="D259" s="51" t="str">
        <v/>
      </c>
      <c r="E259" s="51" t="str">
        <v/>
      </c>
      <c r="F259" s="52" t="e">
        <v>#REF!</v>
      </c>
      <c r="G259" s="48" t="e">
        <v>#REF!</v>
      </c>
      <c r="H259" s="49">
        <v>0</v>
      </c>
      <c r="I259" s="49" t="e">
        <v>#REF!</v>
      </c>
      <c r="J259" s="50"/>
    </row>
    <row r="260" outlineLevel="1" spans="1:10">
      <c r="A260" s="50" t="str">
        <v/>
      </c>
      <c r="B260" s="51" t="str">
        <v>A.05.02墙柱装饰工程</v>
      </c>
      <c r="C260" s="51" t="str">
        <v/>
      </c>
      <c r="D260" s="51" t="str">
        <v/>
      </c>
      <c r="E260" s="51" t="str">
        <v/>
      </c>
      <c r="F260" s="52" t="str">
        <v/>
      </c>
      <c r="G260" s="48" t="str">
        <v/>
      </c>
      <c r="H260" s="49">
        <v>0</v>
      </c>
      <c r="I260" s="49" t="e">
        <v>#REF!</v>
      </c>
      <c r="J260" s="50"/>
    </row>
    <row r="261" ht="28.8" outlineLevel="1" spans="1:10">
      <c r="A261" s="50" t="str">
        <v/>
      </c>
      <c r="B261" s="51" t="str">
        <v>地下室内墙（二次结构墙体）</v>
      </c>
      <c r="C261" s="51" t="str">
        <v/>
      </c>
      <c r="D261" s="51" t="str">
        <v/>
      </c>
      <c r="E261" s="51" t="str">
        <v/>
      </c>
      <c r="F261" s="52" t="str">
        <v/>
      </c>
      <c r="G261" s="48" t="str">
        <v/>
      </c>
      <c r="H261" s="49">
        <v>0</v>
      </c>
      <c r="I261" s="49">
        <v>0</v>
      </c>
      <c r="J261" s="50"/>
    </row>
    <row r="262" outlineLevel="1" spans="1:10">
      <c r="A262" s="50">
        <v>217</v>
      </c>
      <c r="B262" s="51" t="str">
        <v>内墙面-界面剂</v>
      </c>
      <c r="C262" s="51" t="e">
        <v>#REF!</v>
      </c>
      <c r="D262" s="51" t="str">
        <v/>
      </c>
      <c r="E262" s="51" t="str">
        <v/>
      </c>
      <c r="F262" s="52" t="e">
        <v>#REF!</v>
      </c>
      <c r="G262" s="48" t="e">
        <v>#REF!</v>
      </c>
      <c r="H262" s="49">
        <v>0</v>
      </c>
      <c r="I262" s="49" t="e">
        <v>#REF!</v>
      </c>
      <c r="J262" s="50"/>
    </row>
    <row r="263" outlineLevel="1" spans="1:10">
      <c r="A263" s="50">
        <v>218</v>
      </c>
      <c r="B263" s="51" t="str">
        <v>内墙面-7厚M5石灰砂浆</v>
      </c>
      <c r="C263" s="51" t="e">
        <v>#REF!</v>
      </c>
      <c r="D263" s="51" t="str">
        <v/>
      </c>
      <c r="E263" s="51" t="str">
        <v/>
      </c>
      <c r="F263" s="52" t="e">
        <v>#REF!</v>
      </c>
      <c r="G263" s="48" t="e">
        <v>#REF!</v>
      </c>
      <c r="H263" s="49">
        <v>0</v>
      </c>
      <c r="I263" s="49" t="e">
        <v>#REF!</v>
      </c>
      <c r="J263" s="50"/>
    </row>
    <row r="264" outlineLevel="1" spans="1:10">
      <c r="A264" s="50">
        <v>219</v>
      </c>
      <c r="B264" s="51" t="str">
        <v>内墙面-6厚M7.5水泥砂浆</v>
      </c>
      <c r="C264" s="51" t="e">
        <v>#REF!</v>
      </c>
      <c r="D264" s="51" t="str">
        <v/>
      </c>
      <c r="E264" s="51" t="str">
        <v/>
      </c>
      <c r="F264" s="52" t="e">
        <v>#REF!</v>
      </c>
      <c r="G264" s="48" t="e">
        <v>#REF!</v>
      </c>
      <c r="H264" s="49">
        <v>0</v>
      </c>
      <c r="I264" s="49" t="e">
        <v>#REF!</v>
      </c>
      <c r="J264" s="50"/>
    </row>
    <row r="265" ht="28.8" outlineLevel="1" spans="1:10">
      <c r="A265" s="50" t="str">
        <v/>
      </c>
      <c r="B265" s="51" t="str">
        <v>地下室内墙（二次结构墙体）1</v>
      </c>
      <c r="C265" s="51" t="str">
        <v/>
      </c>
      <c r="D265" s="51" t="str">
        <v/>
      </c>
      <c r="E265" s="51" t="str">
        <v/>
      </c>
      <c r="F265" s="52" t="str">
        <v/>
      </c>
      <c r="G265" s="48" t="str">
        <v/>
      </c>
      <c r="H265" s="49">
        <v>0</v>
      </c>
      <c r="I265" s="49">
        <v>0</v>
      </c>
      <c r="J265" s="50"/>
    </row>
    <row r="266" outlineLevel="1" spans="1:10">
      <c r="A266" s="50">
        <v>220</v>
      </c>
      <c r="B266" s="51" t="str">
        <v>内墙面-界面剂</v>
      </c>
      <c r="C266" s="51" t="e">
        <v>#REF!</v>
      </c>
      <c r="D266" s="51" t="str">
        <v/>
      </c>
      <c r="E266" s="51" t="str">
        <v/>
      </c>
      <c r="F266" s="52" t="e">
        <v>#REF!</v>
      </c>
      <c r="G266" s="48" t="e">
        <v>#REF!</v>
      </c>
      <c r="H266" s="49">
        <v>0</v>
      </c>
      <c r="I266" s="49" t="e">
        <v>#REF!</v>
      </c>
      <c r="J266" s="50"/>
    </row>
    <row r="267" outlineLevel="1" spans="1:10">
      <c r="A267" s="50">
        <v>221</v>
      </c>
      <c r="B267" s="51" t="str">
        <v>内墙面-15厚M5水泥砂浆</v>
      </c>
      <c r="C267" s="51" t="e">
        <v>#REF!</v>
      </c>
      <c r="D267" s="51" t="str">
        <v/>
      </c>
      <c r="E267" s="51" t="str">
        <v/>
      </c>
      <c r="F267" s="52" t="e">
        <v>#REF!</v>
      </c>
      <c r="G267" s="48" t="e">
        <v>#REF!</v>
      </c>
      <c r="H267" s="49">
        <v>0</v>
      </c>
      <c r="I267" s="49" t="e">
        <v>#REF!</v>
      </c>
      <c r="J267" s="50"/>
    </row>
    <row r="268" ht="28.8" outlineLevel="1" spans="1:10">
      <c r="A268" s="50" t="str">
        <v/>
      </c>
      <c r="B268" s="51" t="str">
        <v>独立车库（带卷帘门）内墙（二次结构墙体）</v>
      </c>
      <c r="C268" s="51" t="str">
        <v/>
      </c>
      <c r="D268" s="51" t="str">
        <v/>
      </c>
      <c r="E268" s="51" t="str">
        <v/>
      </c>
      <c r="F268" s="52" t="str">
        <v/>
      </c>
      <c r="G268" s="48" t="str">
        <v/>
      </c>
      <c r="H268" s="49">
        <v>0</v>
      </c>
      <c r="I268" s="49">
        <v>0</v>
      </c>
      <c r="J268" s="50"/>
    </row>
    <row r="269" outlineLevel="1" spans="1:10">
      <c r="A269" s="50">
        <v>222</v>
      </c>
      <c r="B269" s="51" t="str">
        <v>内墙面-界面剂</v>
      </c>
      <c r="C269" s="51" t="e">
        <v>#REF!</v>
      </c>
      <c r="D269" s="51" t="str">
        <v/>
      </c>
      <c r="E269" s="51" t="str">
        <v/>
      </c>
      <c r="F269" s="52" t="e">
        <v>#REF!</v>
      </c>
      <c r="G269" s="48" t="e">
        <v>#REF!</v>
      </c>
      <c r="H269" s="49">
        <v>0</v>
      </c>
      <c r="I269" s="49" t="e">
        <v>#REF!</v>
      </c>
      <c r="J269" s="50"/>
    </row>
    <row r="270" outlineLevel="1" spans="1:10">
      <c r="A270" s="50">
        <v>223</v>
      </c>
      <c r="B270" s="51" t="str">
        <v>内墙面-7厚M5石灰砂浆</v>
      </c>
      <c r="C270" s="51" t="e">
        <v>#REF!</v>
      </c>
      <c r="D270" s="51" t="str">
        <v/>
      </c>
      <c r="E270" s="51" t="str">
        <v/>
      </c>
      <c r="F270" s="52" t="e">
        <v>#REF!</v>
      </c>
      <c r="G270" s="48" t="e">
        <v>#REF!</v>
      </c>
      <c r="H270" s="49">
        <v>0</v>
      </c>
      <c r="I270" s="49" t="e">
        <v>#REF!</v>
      </c>
      <c r="J270" s="50"/>
    </row>
    <row r="271" outlineLevel="1" spans="1:10">
      <c r="A271" s="50">
        <v>224</v>
      </c>
      <c r="B271" s="51" t="str">
        <v>内墙面-6厚M7.5水泥砂浆</v>
      </c>
      <c r="C271" s="51" t="e">
        <v>#REF!</v>
      </c>
      <c r="D271" s="51" t="str">
        <v/>
      </c>
      <c r="E271" s="51" t="str">
        <v/>
      </c>
      <c r="F271" s="52" t="e">
        <v>#REF!</v>
      </c>
      <c r="G271" s="48" t="e">
        <v>#REF!</v>
      </c>
      <c r="H271" s="49">
        <v>0</v>
      </c>
      <c r="I271" s="49" t="e">
        <v>#REF!</v>
      </c>
      <c r="J271" s="50"/>
    </row>
    <row r="272" outlineLevel="1" spans="1:10">
      <c r="A272" s="50" t="str">
        <v/>
      </c>
      <c r="B272" s="51" t="str">
        <v>楼梯间内墙</v>
      </c>
      <c r="C272" s="51" t="str">
        <v/>
      </c>
      <c r="D272" s="51" t="str">
        <v/>
      </c>
      <c r="E272" s="51" t="str">
        <v/>
      </c>
      <c r="F272" s="52" t="str">
        <v/>
      </c>
      <c r="G272" s="48" t="str">
        <v/>
      </c>
      <c r="H272" s="49">
        <v>0</v>
      </c>
      <c r="I272" s="49">
        <v>0</v>
      </c>
      <c r="J272" s="50"/>
    </row>
    <row r="273" outlineLevel="1" spans="1:10">
      <c r="A273" s="50">
        <v>225</v>
      </c>
      <c r="B273" s="51" t="str">
        <v>内墙面-界面剂</v>
      </c>
      <c r="C273" s="51" t="e">
        <v>#REF!</v>
      </c>
      <c r="D273" s="51" t="str">
        <v/>
      </c>
      <c r="E273" s="51" t="str">
        <v/>
      </c>
      <c r="F273" s="52" t="e">
        <v>#REF!</v>
      </c>
      <c r="G273" s="48" t="e">
        <v>#REF!</v>
      </c>
      <c r="H273" s="49">
        <v>0</v>
      </c>
      <c r="I273" s="49" t="e">
        <v>#REF!</v>
      </c>
      <c r="J273" s="50"/>
    </row>
    <row r="274" outlineLevel="1" spans="1:10">
      <c r="A274" s="50">
        <v>226</v>
      </c>
      <c r="B274" s="51" t="str">
        <v>内墙面-7厚M5石灰砂浆</v>
      </c>
      <c r="C274" s="51" t="e">
        <v>#REF!</v>
      </c>
      <c r="D274" s="51" t="str">
        <v/>
      </c>
      <c r="E274" s="51" t="str">
        <v/>
      </c>
      <c r="F274" s="52" t="e">
        <v>#REF!</v>
      </c>
      <c r="G274" s="48" t="e">
        <v>#REF!</v>
      </c>
      <c r="H274" s="49">
        <v>0</v>
      </c>
      <c r="I274" s="49" t="e">
        <v>#REF!</v>
      </c>
      <c r="J274" s="50"/>
    </row>
    <row r="275" outlineLevel="1" spans="1:10">
      <c r="A275" s="50">
        <v>227</v>
      </c>
      <c r="B275" s="51" t="str">
        <v>内墙面-6厚M7.5水泥砂浆</v>
      </c>
      <c r="C275" s="51" t="e">
        <v>#REF!</v>
      </c>
      <c r="D275" s="51" t="str">
        <v/>
      </c>
      <c r="E275" s="51" t="str">
        <v/>
      </c>
      <c r="F275" s="52" t="e">
        <v>#REF!</v>
      </c>
      <c r="G275" s="48" t="e">
        <v>#REF!</v>
      </c>
      <c r="H275" s="49">
        <v>0</v>
      </c>
      <c r="I275" s="49" t="e">
        <v>#REF!</v>
      </c>
      <c r="J275" s="50"/>
    </row>
    <row r="276" outlineLevel="1" spans="1:10">
      <c r="A276" s="50">
        <v>228</v>
      </c>
      <c r="B276" s="51" t="str">
        <v>砌块墙钢丝网满挂</v>
      </c>
      <c r="C276" s="51" t="e">
        <v>#REF!</v>
      </c>
      <c r="D276" s="51" t="str">
        <v/>
      </c>
      <c r="E276" s="51" t="str">
        <v/>
      </c>
      <c r="F276" s="52" t="e">
        <v>#REF!</v>
      </c>
      <c r="G276" s="48" t="e">
        <v>#REF!</v>
      </c>
      <c r="H276" s="49">
        <v>0</v>
      </c>
      <c r="I276" s="49" t="e">
        <v>#REF!</v>
      </c>
      <c r="J276" s="50"/>
    </row>
    <row r="277" ht="28.8" outlineLevel="1" spans="1:10">
      <c r="A277" s="50" t="str">
        <v/>
      </c>
      <c r="B277" s="51" t="str">
        <v>水暖电井内墙（二次结构墙体）</v>
      </c>
      <c r="C277" s="51" t="str">
        <v/>
      </c>
      <c r="D277" s="51" t="str">
        <v/>
      </c>
      <c r="E277" s="51" t="str">
        <v/>
      </c>
      <c r="F277" s="52" t="str">
        <v/>
      </c>
      <c r="G277" s="48" t="str">
        <v/>
      </c>
      <c r="H277" s="49">
        <v>0</v>
      </c>
      <c r="I277" s="49">
        <v>0</v>
      </c>
      <c r="J277" s="50"/>
    </row>
    <row r="278" outlineLevel="1" spans="1:10">
      <c r="A278" s="50">
        <v>229</v>
      </c>
      <c r="B278" s="51" t="str">
        <v>内墙面-界面剂</v>
      </c>
      <c r="C278" s="51" t="e">
        <v>#REF!</v>
      </c>
      <c r="D278" s="51" t="str">
        <v/>
      </c>
      <c r="E278" s="51" t="str">
        <v/>
      </c>
      <c r="F278" s="52" t="e">
        <v>#REF!</v>
      </c>
      <c r="G278" s="48" t="e">
        <v>#REF!</v>
      </c>
      <c r="H278" s="49">
        <v>0</v>
      </c>
      <c r="I278" s="49" t="e">
        <v>#REF!</v>
      </c>
      <c r="J278" s="50"/>
    </row>
    <row r="279" outlineLevel="1" spans="1:10">
      <c r="A279" s="50">
        <v>230</v>
      </c>
      <c r="B279" s="51" t="str">
        <v>内墙面-7厚M5石灰砂浆</v>
      </c>
      <c r="C279" s="51" t="e">
        <v>#REF!</v>
      </c>
      <c r="D279" s="51" t="str">
        <v/>
      </c>
      <c r="E279" s="51" t="str">
        <v/>
      </c>
      <c r="F279" s="52" t="e">
        <v>#REF!</v>
      </c>
      <c r="G279" s="48" t="e">
        <v>#REF!</v>
      </c>
      <c r="H279" s="49">
        <v>0</v>
      </c>
      <c r="I279" s="49" t="e">
        <v>#REF!</v>
      </c>
      <c r="J279" s="50"/>
    </row>
    <row r="280" outlineLevel="1" spans="1:10">
      <c r="A280" s="50">
        <v>231</v>
      </c>
      <c r="B280" s="51" t="str">
        <v>内墙面-6厚M7.5水泥砂浆</v>
      </c>
      <c r="C280" s="51" t="e">
        <v>#REF!</v>
      </c>
      <c r="D280" s="51" t="str">
        <v/>
      </c>
      <c r="E280" s="51" t="str">
        <v/>
      </c>
      <c r="F280" s="52" t="e">
        <v>#REF!</v>
      </c>
      <c r="G280" s="48" t="e">
        <v>#REF!</v>
      </c>
      <c r="H280" s="49">
        <v>0</v>
      </c>
      <c r="I280" s="49" t="e">
        <v>#REF!</v>
      </c>
      <c r="J280" s="50"/>
    </row>
    <row r="281" ht="28.8" outlineLevel="1" spans="1:10">
      <c r="A281" s="50" t="str">
        <v/>
      </c>
      <c r="B281" s="51" t="str">
        <v>窗井.风井、竖井内墙（二次结构墙体）</v>
      </c>
      <c r="C281" s="51" t="str">
        <v/>
      </c>
      <c r="D281" s="51" t="str">
        <v/>
      </c>
      <c r="E281" s="51" t="str">
        <v/>
      </c>
      <c r="F281" s="52" t="str">
        <v/>
      </c>
      <c r="G281" s="48" t="str">
        <v/>
      </c>
      <c r="H281" s="49">
        <v>0</v>
      </c>
      <c r="I281" s="49">
        <v>0</v>
      </c>
      <c r="J281" s="50"/>
    </row>
    <row r="282" outlineLevel="1" spans="1:10">
      <c r="A282" s="50">
        <v>232</v>
      </c>
      <c r="B282" s="51" t="str">
        <v>内墙面-15厚M20水泥砂浆</v>
      </c>
      <c r="C282" s="51" t="e">
        <v>#REF!</v>
      </c>
      <c r="D282" s="51" t="str">
        <v/>
      </c>
      <c r="E282" s="51" t="str">
        <v/>
      </c>
      <c r="F282" s="52" t="e">
        <v>#REF!</v>
      </c>
      <c r="G282" s="48" t="e">
        <v>#REF!</v>
      </c>
      <c r="H282" s="49">
        <v>0</v>
      </c>
      <c r="I282" s="49" t="e">
        <v>#REF!</v>
      </c>
      <c r="J282" s="50"/>
    </row>
    <row r="283" outlineLevel="1" spans="1:10">
      <c r="A283" s="50">
        <v>233</v>
      </c>
      <c r="B283" s="51" t="str">
        <v>内墙面-地下室柱面</v>
      </c>
      <c r="C283" s="51" t="e">
        <v>#REF!</v>
      </c>
      <c r="D283" s="51" t="str">
        <v/>
      </c>
      <c r="E283" s="51" t="str">
        <v/>
      </c>
      <c r="F283" s="52" t="e">
        <v>#REF!</v>
      </c>
      <c r="G283" s="48" t="e">
        <v>#REF!</v>
      </c>
      <c r="H283" s="49">
        <v>0</v>
      </c>
      <c r="I283" s="49" t="e">
        <v>#REF!</v>
      </c>
      <c r="J283" s="50"/>
    </row>
    <row r="284" outlineLevel="1" spans="1:10">
      <c r="A284" s="50" t="str">
        <v/>
      </c>
      <c r="B284" s="51" t="str">
        <v>消防水池内壁</v>
      </c>
      <c r="C284" s="51" t="str">
        <v/>
      </c>
      <c r="D284" s="51" t="str">
        <v/>
      </c>
      <c r="E284" s="51" t="str">
        <v/>
      </c>
      <c r="F284" s="52" t="str">
        <v/>
      </c>
      <c r="G284" s="48" t="str">
        <v/>
      </c>
      <c r="H284" s="49">
        <v>0</v>
      </c>
      <c r="I284" s="49">
        <v>0</v>
      </c>
      <c r="J284" s="50"/>
    </row>
    <row r="285" outlineLevel="1" spans="1:10">
      <c r="A285" s="50">
        <v>234</v>
      </c>
      <c r="B285" s="51" t="str">
        <v>内墙面-1.5厚RG涂料</v>
      </c>
      <c r="C285" s="51" t="e">
        <v>#REF!</v>
      </c>
      <c r="D285" s="51" t="str">
        <v/>
      </c>
      <c r="E285" s="51" t="str">
        <v/>
      </c>
      <c r="F285" s="52" t="e">
        <v>#REF!</v>
      </c>
      <c r="G285" s="48" t="e">
        <v>#REF!</v>
      </c>
      <c r="H285" s="49">
        <v>0</v>
      </c>
      <c r="I285" s="49" t="e">
        <v>#REF!</v>
      </c>
      <c r="J285" s="50"/>
    </row>
    <row r="286" outlineLevel="1" spans="1:10">
      <c r="A286" s="50">
        <v>235</v>
      </c>
      <c r="B286" s="51" t="str">
        <v>内墙面-10厚M15水泥砂浆</v>
      </c>
      <c r="C286" s="51" t="e">
        <v>#REF!</v>
      </c>
      <c r="D286" s="51" t="str">
        <v/>
      </c>
      <c r="E286" s="51" t="str">
        <v/>
      </c>
      <c r="F286" s="52" t="e">
        <v>#REF!</v>
      </c>
      <c r="G286" s="48" t="e">
        <v>#REF!</v>
      </c>
      <c r="H286" s="49">
        <v>0</v>
      </c>
      <c r="I286" s="49" t="e">
        <v>#REF!</v>
      </c>
      <c r="J286" s="50"/>
    </row>
    <row r="287" outlineLevel="1" spans="1:10">
      <c r="A287" s="50" t="str">
        <v/>
      </c>
      <c r="B287" s="51" t="str">
        <v>A.05.04白水泥工程</v>
      </c>
      <c r="C287" s="51" t="str">
        <v/>
      </c>
      <c r="D287" s="51" t="str">
        <v/>
      </c>
      <c r="E287" s="51" t="str">
        <v/>
      </c>
      <c r="F287" s="52" t="str">
        <v/>
      </c>
      <c r="G287" s="48" t="str">
        <v/>
      </c>
      <c r="H287" s="49">
        <v>0</v>
      </c>
      <c r="I287" s="49" t="e">
        <v>#REF!</v>
      </c>
      <c r="J287" s="50"/>
    </row>
    <row r="288" outlineLevel="1" spans="1:10">
      <c r="A288" s="50">
        <v>236</v>
      </c>
      <c r="B288" s="51" t="str">
        <v>内墙面-地下白水泥</v>
      </c>
      <c r="C288" s="51" t="e">
        <v>#REF!</v>
      </c>
      <c r="D288" s="51" t="str">
        <v/>
      </c>
      <c r="E288" s="51" t="str">
        <v/>
      </c>
      <c r="F288" s="52" t="e">
        <v>#REF!</v>
      </c>
      <c r="G288" s="48" t="e">
        <v>#REF!</v>
      </c>
      <c r="H288" s="49">
        <v>0</v>
      </c>
      <c r="I288" s="49" t="e">
        <v>#REF!</v>
      </c>
      <c r="J288" s="50"/>
    </row>
    <row r="289" outlineLevel="1" spans="1:10">
      <c r="A289" s="50">
        <v>237</v>
      </c>
      <c r="B289" s="51" t="str">
        <v>内墙面-独立车库白水泥</v>
      </c>
      <c r="C289" s="51" t="e">
        <v>#REF!</v>
      </c>
      <c r="D289" s="51" t="str">
        <v/>
      </c>
      <c r="E289" s="51" t="str">
        <v/>
      </c>
      <c r="F289" s="52" t="e">
        <v>#REF!</v>
      </c>
      <c r="G289" s="48" t="e">
        <v>#REF!</v>
      </c>
      <c r="H289" s="49">
        <v>0</v>
      </c>
      <c r="I289" s="49" t="e">
        <v>#REF!</v>
      </c>
      <c r="J289" s="50"/>
    </row>
    <row r="290" outlineLevel="1" spans="1:10">
      <c r="A290" s="50">
        <v>238</v>
      </c>
      <c r="B290" s="51" t="str">
        <v>内墙面-楼梯间白水泥</v>
      </c>
      <c r="C290" s="51" t="e">
        <v>#REF!</v>
      </c>
      <c r="D290" s="51" t="str">
        <v/>
      </c>
      <c r="E290" s="51" t="str">
        <v/>
      </c>
      <c r="F290" s="52" t="e">
        <v>#REF!</v>
      </c>
      <c r="G290" s="48" t="e">
        <v>#REF!</v>
      </c>
      <c r="H290" s="49">
        <v>0</v>
      </c>
      <c r="I290" s="49" t="e">
        <v>#REF!</v>
      </c>
      <c r="J290" s="50"/>
    </row>
    <row r="291" outlineLevel="1" spans="1:10">
      <c r="A291" s="50">
        <v>239</v>
      </c>
      <c r="B291" s="51" t="str">
        <v>天棚-地下室白水泥</v>
      </c>
      <c r="C291" s="51" t="e">
        <v>#REF!</v>
      </c>
      <c r="D291" s="51" t="str">
        <v/>
      </c>
      <c r="E291" s="51" t="str">
        <v/>
      </c>
      <c r="F291" s="52" t="e">
        <v>#REF!</v>
      </c>
      <c r="G291" s="48" t="e">
        <v>#REF!</v>
      </c>
      <c r="H291" s="49">
        <v>0</v>
      </c>
      <c r="I291" s="49" t="e">
        <v>#REF!</v>
      </c>
      <c r="J291" s="50"/>
    </row>
    <row r="292" outlineLevel="1" spans="1:10">
      <c r="A292" s="50">
        <v>240</v>
      </c>
      <c r="B292" s="51" t="str">
        <v>天棚-楼梯间白水泥</v>
      </c>
      <c r="C292" s="51" t="e">
        <v>#REF!</v>
      </c>
      <c r="D292" s="51" t="str">
        <v/>
      </c>
      <c r="E292" s="51" t="str">
        <v/>
      </c>
      <c r="F292" s="52" t="e">
        <v>#REF!</v>
      </c>
      <c r="G292" s="48" t="e">
        <v>#REF!</v>
      </c>
      <c r="H292" s="49">
        <v>0</v>
      </c>
      <c r="I292" s="49" t="e">
        <v>#REF!</v>
      </c>
      <c r="J292" s="50"/>
    </row>
    <row r="293" ht="28.8" outlineLevel="1" spans="1:10">
      <c r="A293" s="50">
        <v>241</v>
      </c>
      <c r="B293" s="51" t="str">
        <v>内墙面-人防扩散室集气室滤尘室白水泥</v>
      </c>
      <c r="C293" s="51" t="e">
        <v>#REF!</v>
      </c>
      <c r="D293" s="51" t="str">
        <v/>
      </c>
      <c r="E293" s="51" t="str">
        <v/>
      </c>
      <c r="F293" s="52" t="e">
        <v>#REF!</v>
      </c>
      <c r="G293" s="48" t="e">
        <v>#REF!</v>
      </c>
      <c r="H293" s="49">
        <v>0</v>
      </c>
      <c r="I293" s="49" t="e">
        <v>#REF!</v>
      </c>
      <c r="J293" s="50"/>
    </row>
    <row r="294" ht="28.8" outlineLevel="1" spans="1:10">
      <c r="A294" s="50">
        <v>242</v>
      </c>
      <c r="B294" s="51" t="str">
        <v>天棚-人防扩散室集气室滤尘室白水泥</v>
      </c>
      <c r="C294" s="51" t="e">
        <v>#REF!</v>
      </c>
      <c r="D294" s="51" t="str">
        <v/>
      </c>
      <c r="E294" s="51" t="str">
        <v/>
      </c>
      <c r="F294" s="52" t="e">
        <v>#REF!</v>
      </c>
      <c r="G294" s="48" t="e">
        <v>#REF!</v>
      </c>
      <c r="H294" s="49">
        <v>0</v>
      </c>
      <c r="I294" s="49" t="e">
        <v>#REF!</v>
      </c>
      <c r="J294" s="50"/>
    </row>
    <row r="295" outlineLevel="1" spans="1:10">
      <c r="A295" s="50">
        <v>243</v>
      </c>
      <c r="B295" s="51" t="str">
        <v>天棚-地下车道白水泥</v>
      </c>
      <c r="C295" s="51" t="e">
        <v>#REF!</v>
      </c>
      <c r="D295" s="51" t="str">
        <v/>
      </c>
      <c r="E295" s="51" t="str">
        <v/>
      </c>
      <c r="F295" s="52" t="e">
        <v>#REF!</v>
      </c>
      <c r="G295" s="48" t="e">
        <v>#REF!</v>
      </c>
      <c r="H295" s="49">
        <v>0</v>
      </c>
      <c r="I295" s="49" t="e">
        <v>#REF!</v>
      </c>
      <c r="J295" s="50"/>
    </row>
    <row r="296" outlineLevel="1" spans="1:10">
      <c r="A296" s="50">
        <v>244</v>
      </c>
      <c r="B296" s="51" t="str">
        <v>天棚-地下白水泥</v>
      </c>
      <c r="C296" s="51" t="e">
        <v>#REF!</v>
      </c>
      <c r="D296" s="51" t="str">
        <v/>
      </c>
      <c r="E296" s="51" t="str">
        <v/>
      </c>
      <c r="F296" s="52" t="e">
        <v>#REF!</v>
      </c>
      <c r="G296" s="48" t="e">
        <v>#REF!</v>
      </c>
      <c r="H296" s="49">
        <v>0</v>
      </c>
      <c r="I296" s="49" t="e">
        <v>#REF!</v>
      </c>
      <c r="J296" s="50"/>
    </row>
    <row r="297" outlineLevel="1" spans="1:10">
      <c r="A297" s="50">
        <v>245</v>
      </c>
      <c r="B297" s="51" t="str">
        <v>天棚-水泵房白水泥</v>
      </c>
      <c r="C297" s="51" t="e">
        <v>#REF!</v>
      </c>
      <c r="D297" s="51" t="str">
        <v/>
      </c>
      <c r="E297" s="51" t="str">
        <v/>
      </c>
      <c r="F297" s="52" t="e">
        <v>#REF!</v>
      </c>
      <c r="G297" s="48" t="e">
        <v>#REF!</v>
      </c>
      <c r="H297" s="49">
        <v>0</v>
      </c>
      <c r="I297" s="49" t="e">
        <v>#REF!</v>
      </c>
      <c r="J297" s="50"/>
    </row>
    <row r="298" outlineLevel="1" spans="1:10">
      <c r="A298" s="50" t="str">
        <v/>
      </c>
      <c r="B298" s="51" t="str">
        <v>地上工程</v>
      </c>
      <c r="C298" s="51" t="str">
        <v/>
      </c>
      <c r="D298" s="51" t="str">
        <v/>
      </c>
      <c r="E298" s="51" t="str">
        <v/>
      </c>
      <c r="F298" s="52" t="str">
        <v/>
      </c>
      <c r="G298" s="48" t="str">
        <v/>
      </c>
      <c r="H298" s="49">
        <v>0</v>
      </c>
      <c r="I298" s="49" t="e">
        <v>#REF!</v>
      </c>
      <c r="J298" s="50"/>
    </row>
    <row r="299" outlineLevel="1" spans="1:10">
      <c r="A299" s="50" t="str">
        <v/>
      </c>
      <c r="B299" s="51" t="str">
        <v>A.02主体结构工程</v>
      </c>
      <c r="C299" s="51" t="str">
        <v/>
      </c>
      <c r="D299" s="51" t="str">
        <v/>
      </c>
      <c r="E299" s="51" t="str">
        <v/>
      </c>
      <c r="F299" s="52" t="str">
        <v/>
      </c>
      <c r="G299" s="48" t="str">
        <v/>
      </c>
      <c r="H299" s="49">
        <v>0</v>
      </c>
      <c r="I299" s="49" t="e">
        <v>#REF!</v>
      </c>
      <c r="J299" s="50"/>
    </row>
    <row r="300" outlineLevel="1" spans="1:10">
      <c r="A300" s="50" t="str">
        <v/>
      </c>
      <c r="B300" s="51" t="str">
        <v>A.02.01混凝土工程</v>
      </c>
      <c r="C300" s="51" t="str">
        <v/>
      </c>
      <c r="D300" s="51" t="str">
        <v/>
      </c>
      <c r="E300" s="51" t="str">
        <v/>
      </c>
      <c r="F300" s="52" t="str">
        <v/>
      </c>
      <c r="G300" s="48" t="str">
        <v/>
      </c>
      <c r="H300" s="49">
        <v>0</v>
      </c>
      <c r="I300" s="49" t="e">
        <v>#REF!</v>
      </c>
      <c r="J300" s="50"/>
    </row>
    <row r="301" outlineLevel="1" spans="1:10">
      <c r="A301" s="50">
        <v>246</v>
      </c>
      <c r="B301" s="51" t="str">
        <v>柱C30</v>
      </c>
      <c r="C301" s="51" t="e">
        <v>#REF!</v>
      </c>
      <c r="D301" s="51" t="str">
        <v/>
      </c>
      <c r="E301" s="51" t="str">
        <v/>
      </c>
      <c r="F301" s="52" t="e">
        <v>#REF!</v>
      </c>
      <c r="G301" s="48" t="e">
        <v>#REF!</v>
      </c>
      <c r="H301" s="49">
        <v>54.21</v>
      </c>
      <c r="I301" s="49" t="e">
        <v>#REF!</v>
      </c>
      <c r="J301" s="50"/>
    </row>
    <row r="302" outlineLevel="1" spans="1:10">
      <c r="A302" s="50">
        <v>247</v>
      </c>
      <c r="B302" s="51" t="str">
        <v>梁C30</v>
      </c>
      <c r="C302" s="51" t="e">
        <v>#REF!</v>
      </c>
      <c r="D302" s="51" t="str">
        <v/>
      </c>
      <c r="E302" s="51" t="str">
        <v/>
      </c>
      <c r="F302" s="52" t="e">
        <v>#REF!</v>
      </c>
      <c r="G302" s="48" t="e">
        <v>#REF!</v>
      </c>
      <c r="H302" s="49">
        <v>30.04</v>
      </c>
      <c r="I302" s="49" t="e">
        <v>#REF!</v>
      </c>
      <c r="J302" s="50"/>
    </row>
    <row r="303" outlineLevel="1" spans="1:10">
      <c r="A303" s="50">
        <v>248</v>
      </c>
      <c r="B303" s="51" t="str">
        <v>拱形梁C30</v>
      </c>
      <c r="C303" s="51" t="e">
        <v>#REF!</v>
      </c>
      <c r="D303" s="51" t="str">
        <v/>
      </c>
      <c r="E303" s="51" t="str">
        <v/>
      </c>
      <c r="F303" s="52" t="e">
        <v>#REF!</v>
      </c>
      <c r="G303" s="48" t="e">
        <v>#REF!</v>
      </c>
      <c r="H303" s="49">
        <v>115.67</v>
      </c>
      <c r="I303" s="49" t="e">
        <v>#REF!</v>
      </c>
      <c r="J303" s="50"/>
    </row>
    <row r="304" outlineLevel="1" spans="1:10">
      <c r="A304" s="50">
        <v>249</v>
      </c>
      <c r="B304" s="51" t="str">
        <v>墙C30</v>
      </c>
      <c r="C304" s="51" t="e">
        <v>#REF!</v>
      </c>
      <c r="D304" s="51" t="str">
        <v/>
      </c>
      <c r="E304" s="51" t="str">
        <v/>
      </c>
      <c r="F304" s="52" t="e">
        <v>#REF!</v>
      </c>
      <c r="G304" s="48" t="e">
        <v>#REF!</v>
      </c>
      <c r="H304" s="49">
        <v>0</v>
      </c>
      <c r="I304" s="49" t="e">
        <v>#REF!</v>
      </c>
      <c r="J304" s="50"/>
    </row>
    <row r="305" outlineLevel="1" spans="1:10">
      <c r="A305" s="50">
        <v>250</v>
      </c>
      <c r="B305" s="51" t="str">
        <v>墙C35</v>
      </c>
      <c r="C305" s="51" t="e">
        <v>#REF!</v>
      </c>
      <c r="D305" s="51" t="str">
        <v/>
      </c>
      <c r="E305" s="51" t="str">
        <v/>
      </c>
      <c r="F305" s="52" t="e">
        <v>#REF!</v>
      </c>
      <c r="G305" s="48" t="e">
        <v>#REF!</v>
      </c>
      <c r="H305" s="49">
        <v>0</v>
      </c>
      <c r="I305" s="49" t="e">
        <v>#REF!</v>
      </c>
      <c r="J305" s="50"/>
    </row>
    <row r="306" outlineLevel="1" spans="1:10">
      <c r="A306" s="50">
        <v>251</v>
      </c>
      <c r="B306" s="51" t="str">
        <v>电梯井壁墙C30</v>
      </c>
      <c r="C306" s="51" t="e">
        <v>#REF!</v>
      </c>
      <c r="D306" s="51" t="str">
        <v/>
      </c>
      <c r="E306" s="51" t="str">
        <v/>
      </c>
      <c r="F306" s="52" t="e">
        <v>#REF!</v>
      </c>
      <c r="G306" s="48" t="e">
        <v>#REF!</v>
      </c>
      <c r="H306" s="49">
        <v>0</v>
      </c>
      <c r="I306" s="49" t="e">
        <v>#REF!</v>
      </c>
      <c r="J306" s="50"/>
    </row>
    <row r="307" outlineLevel="1" spans="1:10">
      <c r="A307" s="50">
        <v>252</v>
      </c>
      <c r="B307" s="51" t="str">
        <v>电梯井壁墙C35</v>
      </c>
      <c r="C307" s="51" t="e">
        <v>#REF!</v>
      </c>
      <c r="D307" s="51" t="str">
        <v/>
      </c>
      <c r="E307" s="51" t="str">
        <v/>
      </c>
      <c r="F307" s="52" t="e">
        <v>#REF!</v>
      </c>
      <c r="G307" s="48" t="e">
        <v>#REF!</v>
      </c>
      <c r="H307" s="49">
        <v>0</v>
      </c>
      <c r="I307" s="49" t="e">
        <v>#REF!</v>
      </c>
      <c r="J307" s="50"/>
    </row>
    <row r="308" outlineLevel="1" spans="1:10">
      <c r="A308" s="50">
        <v>253</v>
      </c>
      <c r="B308" s="51" t="str">
        <v>平板C30</v>
      </c>
      <c r="C308" s="51" t="e">
        <v>#REF!</v>
      </c>
      <c r="D308" s="51" t="str">
        <v/>
      </c>
      <c r="E308" s="51" t="str">
        <v/>
      </c>
      <c r="F308" s="52" t="e">
        <v>#REF!</v>
      </c>
      <c r="G308" s="48" t="e">
        <v>#REF!</v>
      </c>
      <c r="H308" s="49">
        <v>6.9</v>
      </c>
      <c r="I308" s="49" t="e">
        <v>#REF!</v>
      </c>
      <c r="J308" s="50"/>
    </row>
    <row r="309" outlineLevel="1" spans="1:10">
      <c r="A309" s="50">
        <v>254</v>
      </c>
      <c r="B309" s="51" t="str">
        <v>斜板C30</v>
      </c>
      <c r="C309" s="51" t="e">
        <v>#REF!</v>
      </c>
      <c r="D309" s="51" t="str">
        <v/>
      </c>
      <c r="E309" s="51" t="str">
        <v/>
      </c>
      <c r="F309" s="52" t="e">
        <v>#REF!</v>
      </c>
      <c r="G309" s="48" t="e">
        <v>#REF!</v>
      </c>
      <c r="H309" s="49">
        <v>0</v>
      </c>
      <c r="I309" s="49" t="e">
        <v>#REF!</v>
      </c>
      <c r="J309" s="50"/>
    </row>
    <row r="310" outlineLevel="1" spans="1:10">
      <c r="A310" s="50">
        <v>255</v>
      </c>
      <c r="B310" s="51" t="str">
        <v>拱板C30</v>
      </c>
      <c r="C310" s="51" t="e">
        <v>#REF!</v>
      </c>
      <c r="D310" s="51" t="str">
        <v/>
      </c>
      <c r="E310" s="51" t="str">
        <v/>
      </c>
      <c r="F310" s="52" t="e">
        <v>#REF!</v>
      </c>
      <c r="G310" s="48" t="e">
        <v>#REF!</v>
      </c>
      <c r="H310" s="49">
        <v>0</v>
      </c>
      <c r="I310" s="49" t="e">
        <v>#REF!</v>
      </c>
      <c r="J310" s="50"/>
    </row>
    <row r="311" outlineLevel="1" spans="1:10">
      <c r="A311" s="50">
        <v>256</v>
      </c>
      <c r="B311" s="51" t="str">
        <v>叠合板现浇部位C30</v>
      </c>
      <c r="C311" s="51" t="e">
        <v>#REF!</v>
      </c>
      <c r="D311" s="51" t="str">
        <v/>
      </c>
      <c r="E311" s="51" t="str">
        <v/>
      </c>
      <c r="F311" s="52" t="e">
        <v>#REF!</v>
      </c>
      <c r="G311" s="48" t="e">
        <v>#REF!</v>
      </c>
      <c r="H311" s="49">
        <v>43.1</v>
      </c>
      <c r="I311" s="49" t="e">
        <v>#REF!</v>
      </c>
      <c r="J311" s="50"/>
    </row>
    <row r="312" outlineLevel="1" spans="1:10">
      <c r="A312" s="50">
        <v>257</v>
      </c>
      <c r="B312" s="51" t="str">
        <v>PC板补板缝C30</v>
      </c>
      <c r="C312" s="51" t="e">
        <v>#REF!</v>
      </c>
      <c r="D312" s="51" t="str">
        <v/>
      </c>
      <c r="E312" s="51" t="str">
        <v/>
      </c>
      <c r="F312" s="52" t="e">
        <v>#REF!</v>
      </c>
      <c r="G312" s="48" t="e">
        <v>#REF!</v>
      </c>
      <c r="H312" s="49">
        <v>0</v>
      </c>
      <c r="I312" s="49" t="e">
        <v>#REF!</v>
      </c>
      <c r="J312" s="50"/>
    </row>
    <row r="313" outlineLevel="1" spans="1:10">
      <c r="A313" s="50">
        <v>258</v>
      </c>
      <c r="B313" s="51" t="str">
        <v>雨篷C30</v>
      </c>
      <c r="C313" s="51" t="e">
        <v>#REF!</v>
      </c>
      <c r="D313" s="51" t="str">
        <v/>
      </c>
      <c r="E313" s="51" t="str">
        <v/>
      </c>
      <c r="F313" s="52" t="e">
        <v>#REF!</v>
      </c>
      <c r="G313" s="48" t="e">
        <v>#REF!</v>
      </c>
      <c r="H313" s="49">
        <v>0</v>
      </c>
      <c r="I313" s="49" t="e">
        <v>#REF!</v>
      </c>
      <c r="J313" s="50"/>
    </row>
    <row r="314" outlineLevel="1" spans="1:10">
      <c r="A314" s="50">
        <v>259</v>
      </c>
      <c r="B314" s="51" t="str">
        <v>天沟(檐沟）挑檐板C30</v>
      </c>
      <c r="C314" s="51" t="e">
        <v>#REF!</v>
      </c>
      <c r="D314" s="51" t="str">
        <v/>
      </c>
      <c r="E314" s="51" t="str">
        <v/>
      </c>
      <c r="F314" s="52" t="e">
        <v>#REF!</v>
      </c>
      <c r="G314" s="48" t="e">
        <v>#REF!</v>
      </c>
      <c r="H314" s="49">
        <v>10.11</v>
      </c>
      <c r="I314" s="49" t="e">
        <v>#REF!</v>
      </c>
      <c r="J314" s="50"/>
    </row>
    <row r="315" outlineLevel="1" spans="1:10">
      <c r="A315" s="50">
        <v>260</v>
      </c>
      <c r="B315" s="51" t="str">
        <v>栏板C30</v>
      </c>
      <c r="C315" s="51" t="e">
        <v>#REF!</v>
      </c>
      <c r="D315" s="51" t="str">
        <v/>
      </c>
      <c r="E315" s="51" t="str">
        <v/>
      </c>
      <c r="F315" s="52" t="e">
        <v>#REF!</v>
      </c>
      <c r="G315" s="48" t="e">
        <v>#REF!</v>
      </c>
      <c r="H315" s="49">
        <v>17.26</v>
      </c>
      <c r="I315" s="49" t="e">
        <v>#REF!</v>
      </c>
      <c r="J315" s="50"/>
    </row>
    <row r="316" outlineLevel="1" spans="1:10">
      <c r="A316" s="50">
        <v>261</v>
      </c>
      <c r="B316" s="51" t="str">
        <v>直形楼梯C30</v>
      </c>
      <c r="C316" s="51" t="e">
        <v>#REF!</v>
      </c>
      <c r="D316" s="51" t="str">
        <v/>
      </c>
      <c r="E316" s="51" t="str">
        <v/>
      </c>
      <c r="F316" s="52" t="e">
        <v>#REF!</v>
      </c>
      <c r="G316" s="48" t="e">
        <v>#REF!</v>
      </c>
      <c r="H316" s="49">
        <v>6.14</v>
      </c>
      <c r="I316" s="49" t="e">
        <v>#REF!</v>
      </c>
      <c r="J316" s="50"/>
    </row>
    <row r="317" outlineLevel="1" spans="1:10">
      <c r="A317" s="50">
        <v>262</v>
      </c>
      <c r="B317" s="51" t="str">
        <v>设备基础C25</v>
      </c>
      <c r="C317" s="51" t="e">
        <v>#REF!</v>
      </c>
      <c r="D317" s="51" t="str">
        <v/>
      </c>
      <c r="E317" s="51" t="str">
        <v/>
      </c>
      <c r="F317" s="52" t="e">
        <v>#REF!</v>
      </c>
      <c r="G317" s="48" t="e">
        <v>#REF!</v>
      </c>
      <c r="H317" s="49">
        <v>0</v>
      </c>
      <c r="I317" s="49" t="e">
        <v>#REF!</v>
      </c>
      <c r="J317" s="50"/>
    </row>
    <row r="318" outlineLevel="1" spans="1:10">
      <c r="A318" s="50">
        <v>263</v>
      </c>
      <c r="B318" s="51" t="str">
        <v>自密实混凝土-50厚C30</v>
      </c>
      <c r="C318" s="51" t="e">
        <v>#REF!</v>
      </c>
      <c r="D318" s="51" t="str">
        <v/>
      </c>
      <c r="E318" s="51" t="str">
        <v/>
      </c>
      <c r="F318" s="52" t="e">
        <v>#REF!</v>
      </c>
      <c r="G318" s="48" t="e">
        <v>#REF!</v>
      </c>
      <c r="H318" s="49">
        <v>0</v>
      </c>
      <c r="I318" s="49" t="e">
        <v>#REF!</v>
      </c>
      <c r="J318" s="50"/>
    </row>
    <row r="319" outlineLevel="1" spans="1:10">
      <c r="A319" s="50">
        <v>264</v>
      </c>
      <c r="B319" s="51" t="str">
        <v>预制钢筋混凝土叠合楼板</v>
      </c>
      <c r="C319" s="51" t="e">
        <v>#REF!</v>
      </c>
      <c r="D319" s="51" t="str">
        <v/>
      </c>
      <c r="E319" s="51" t="str">
        <v/>
      </c>
      <c r="F319" s="52" t="e">
        <v>#REF!</v>
      </c>
      <c r="G319" s="48" t="e">
        <v>#REF!</v>
      </c>
      <c r="H319" s="49">
        <v>36.9</v>
      </c>
      <c r="I319" s="49" t="e">
        <v>#REF!</v>
      </c>
      <c r="J319" s="50"/>
    </row>
    <row r="320" outlineLevel="1" spans="1:10">
      <c r="A320" s="50">
        <v>265</v>
      </c>
      <c r="B320" s="51" t="str">
        <v>预制钢筋混凝土空调板</v>
      </c>
      <c r="C320" s="51" t="e">
        <v>#REF!</v>
      </c>
      <c r="D320" s="51" t="str">
        <v/>
      </c>
      <c r="E320" s="51" t="str">
        <v/>
      </c>
      <c r="F320" s="52" t="e">
        <v>#REF!</v>
      </c>
      <c r="G320" s="48" t="e">
        <v>#REF!</v>
      </c>
      <c r="H320" s="49">
        <v>0</v>
      </c>
      <c r="I320" s="49" t="e">
        <v>#REF!</v>
      </c>
      <c r="J320" s="50"/>
    </row>
    <row r="321" outlineLevel="1" spans="1:10">
      <c r="A321" s="50">
        <v>266</v>
      </c>
      <c r="B321" s="51" t="str">
        <v>预制钢筋混凝土楼梯</v>
      </c>
      <c r="C321" s="51" t="e">
        <v>#REF!</v>
      </c>
      <c r="D321" s="51" t="str">
        <v/>
      </c>
      <c r="E321" s="51" t="str">
        <v/>
      </c>
      <c r="F321" s="52" t="e">
        <v>#REF!</v>
      </c>
      <c r="G321" s="48" t="e">
        <v>#REF!</v>
      </c>
      <c r="H321" s="49">
        <v>0</v>
      </c>
      <c r="I321" s="49" t="e">
        <v>#REF!</v>
      </c>
      <c r="J321" s="50"/>
    </row>
    <row r="322" outlineLevel="1" spans="1:10">
      <c r="A322" s="50" t="str">
        <v/>
      </c>
      <c r="B322" s="51" t="str">
        <v>A.02.02钢筋工程</v>
      </c>
      <c r="C322" s="51" t="str">
        <v/>
      </c>
      <c r="D322" s="51" t="str">
        <v/>
      </c>
      <c r="E322" s="51" t="str">
        <v/>
      </c>
      <c r="F322" s="52" t="str">
        <v/>
      </c>
      <c r="G322" s="48" t="str">
        <v/>
      </c>
      <c r="H322" s="49">
        <v>0</v>
      </c>
      <c r="I322" s="49" t="e">
        <v>#REF!</v>
      </c>
      <c r="J322" s="50"/>
    </row>
    <row r="323" outlineLevel="1" spans="1:10">
      <c r="A323" s="50">
        <v>267</v>
      </c>
      <c r="B323" s="51" t="str">
        <v>地上现浇构件钢筋-φ10以内</v>
      </c>
      <c r="C323" s="51" t="e">
        <v>#REF!</v>
      </c>
      <c r="D323" s="51" t="str">
        <v/>
      </c>
      <c r="E323" s="51" t="str">
        <v/>
      </c>
      <c r="F323" s="52" t="e">
        <v>#REF!</v>
      </c>
      <c r="G323" s="48" t="e">
        <v>#REF!</v>
      </c>
      <c r="H323" s="49">
        <v>0.001</v>
      </c>
      <c r="I323" s="49" t="e">
        <v>#REF!</v>
      </c>
      <c r="J323" s="50"/>
    </row>
    <row r="324" ht="28.8" outlineLevel="1" spans="1:10">
      <c r="A324" s="50">
        <v>268</v>
      </c>
      <c r="B324" s="51" t="str">
        <v>地上现浇构件钢筋-三级钢筋 Φ6</v>
      </c>
      <c r="C324" s="51" t="e">
        <v>#REF!</v>
      </c>
      <c r="D324" s="51" t="str">
        <v/>
      </c>
      <c r="E324" s="51" t="str">
        <v/>
      </c>
      <c r="F324" s="52" t="e">
        <v>#REF!</v>
      </c>
      <c r="G324" s="48" t="e">
        <v>#REF!</v>
      </c>
      <c r="H324" s="49">
        <v>0.919</v>
      </c>
      <c r="I324" s="49" t="e">
        <v>#REF!</v>
      </c>
      <c r="J324" s="50"/>
    </row>
    <row r="325" ht="28.8" outlineLevel="1" spans="1:10">
      <c r="A325" s="50">
        <v>269</v>
      </c>
      <c r="B325" s="51" t="str">
        <v>地上现浇构件钢筋-三级钢筋 Φ8</v>
      </c>
      <c r="C325" s="51" t="e">
        <v>#REF!</v>
      </c>
      <c r="D325" s="51" t="str">
        <v/>
      </c>
      <c r="E325" s="51" t="str">
        <v/>
      </c>
      <c r="F325" s="52" t="e">
        <v>#REF!</v>
      </c>
      <c r="G325" s="48" t="e">
        <v>#REF!</v>
      </c>
      <c r="H325" s="49">
        <v>17.74</v>
      </c>
      <c r="I325" s="49" t="e">
        <v>#REF!</v>
      </c>
      <c r="J325" s="50"/>
    </row>
    <row r="326" ht="28.8" outlineLevel="1" spans="1:10">
      <c r="A326" s="50">
        <v>270</v>
      </c>
      <c r="B326" s="51" t="str">
        <v>地上现浇构件钢筋-三级钢筋 Φ10</v>
      </c>
      <c r="C326" s="51" t="e">
        <v>#REF!</v>
      </c>
      <c r="D326" s="51" t="str">
        <v/>
      </c>
      <c r="E326" s="51" t="str">
        <v/>
      </c>
      <c r="F326" s="52" t="e">
        <v>#REF!</v>
      </c>
      <c r="G326" s="48" t="e">
        <v>#REF!</v>
      </c>
      <c r="H326" s="49">
        <v>4.82</v>
      </c>
      <c r="I326" s="49" t="e">
        <v>#REF!</v>
      </c>
      <c r="J326" s="50"/>
    </row>
    <row r="327" ht="28.8" outlineLevel="1" spans="1:10">
      <c r="A327" s="50">
        <v>271</v>
      </c>
      <c r="B327" s="51" t="str">
        <v>地上现浇构件钢筋-三级钢筋 Φ12</v>
      </c>
      <c r="C327" s="51" t="e">
        <v>#REF!</v>
      </c>
      <c r="D327" s="51" t="str">
        <v/>
      </c>
      <c r="E327" s="51" t="str">
        <v/>
      </c>
      <c r="F327" s="52" t="e">
        <v>#REF!</v>
      </c>
      <c r="G327" s="48" t="e">
        <v>#REF!</v>
      </c>
      <c r="H327" s="49">
        <v>5.08</v>
      </c>
      <c r="I327" s="49" t="e">
        <v>#REF!</v>
      </c>
      <c r="J327" s="50"/>
    </row>
    <row r="328" ht="28.8" outlineLevel="1" spans="1:10">
      <c r="A328" s="50">
        <v>272</v>
      </c>
      <c r="B328" s="51" t="str">
        <v>地上现浇构件钢筋-三级钢筋 Φ14</v>
      </c>
      <c r="C328" s="51" t="e">
        <v>#REF!</v>
      </c>
      <c r="D328" s="51" t="str">
        <v/>
      </c>
      <c r="E328" s="51" t="str">
        <v/>
      </c>
      <c r="F328" s="52" t="e">
        <v>#REF!</v>
      </c>
      <c r="G328" s="48" t="e">
        <v>#REF!</v>
      </c>
      <c r="H328" s="49">
        <v>1.86</v>
      </c>
      <c r="I328" s="49" t="e">
        <v>#REF!</v>
      </c>
      <c r="J328" s="50"/>
    </row>
    <row r="329" ht="28.8" outlineLevel="1" spans="1:10">
      <c r="A329" s="50">
        <v>273</v>
      </c>
      <c r="B329" s="51" t="str">
        <v>地上现浇构件钢筋-三级钢筋 Φ16</v>
      </c>
      <c r="C329" s="51" t="e">
        <v>#REF!</v>
      </c>
      <c r="D329" s="51" t="str">
        <v/>
      </c>
      <c r="E329" s="51" t="str">
        <v/>
      </c>
      <c r="F329" s="52" t="e">
        <v>#REF!</v>
      </c>
      <c r="G329" s="48" t="e">
        <v>#REF!</v>
      </c>
      <c r="H329" s="49">
        <v>3.24</v>
      </c>
      <c r="I329" s="49" t="e">
        <v>#REF!</v>
      </c>
      <c r="J329" s="50"/>
    </row>
    <row r="330" ht="28.8" outlineLevel="1" spans="1:10">
      <c r="A330" s="50">
        <v>274</v>
      </c>
      <c r="B330" s="51" t="str">
        <v>地上现浇构件钢筋-三级钢筋 Φ18</v>
      </c>
      <c r="C330" s="51" t="e">
        <v>#REF!</v>
      </c>
      <c r="D330" s="51" t="str">
        <v/>
      </c>
      <c r="E330" s="51" t="str">
        <v/>
      </c>
      <c r="F330" s="52" t="e">
        <v>#REF!</v>
      </c>
      <c r="G330" s="48" t="e">
        <v>#REF!</v>
      </c>
      <c r="H330" s="49">
        <v>5.33</v>
      </c>
      <c r="I330" s="49" t="e">
        <v>#REF!</v>
      </c>
      <c r="J330" s="50"/>
    </row>
    <row r="331" ht="28.8" outlineLevel="1" spans="1:10">
      <c r="A331" s="50">
        <v>275</v>
      </c>
      <c r="B331" s="51" t="str">
        <v>地上现浇构件钢筋-三级钢筋 Φ20</v>
      </c>
      <c r="C331" s="51" t="e">
        <v>#REF!</v>
      </c>
      <c r="D331" s="51" t="str">
        <v/>
      </c>
      <c r="E331" s="51" t="str">
        <v/>
      </c>
      <c r="F331" s="52" t="e">
        <v>#REF!</v>
      </c>
      <c r="G331" s="48" t="e">
        <v>#REF!</v>
      </c>
      <c r="H331" s="49">
        <v>7.32</v>
      </c>
      <c r="I331" s="49" t="e">
        <v>#REF!</v>
      </c>
      <c r="J331" s="50"/>
    </row>
    <row r="332" ht="28.8" outlineLevel="1" spans="1:10">
      <c r="A332" s="50">
        <v>276</v>
      </c>
      <c r="B332" s="51" t="str">
        <v>地上现浇构件钢筋-三级钢筋 Φ22</v>
      </c>
      <c r="C332" s="51" t="e">
        <v>#REF!</v>
      </c>
      <c r="D332" s="51" t="str">
        <v/>
      </c>
      <c r="E332" s="51" t="str">
        <v/>
      </c>
      <c r="F332" s="52" t="e">
        <v>#REF!</v>
      </c>
      <c r="G332" s="48" t="e">
        <v>#REF!</v>
      </c>
      <c r="H332" s="49">
        <v>7.79</v>
      </c>
      <c r="I332" s="49" t="e">
        <v>#REF!</v>
      </c>
      <c r="J332" s="50"/>
    </row>
    <row r="333" ht="28.8" outlineLevel="1" spans="1:10">
      <c r="A333" s="50">
        <v>277</v>
      </c>
      <c r="B333" s="51" t="str">
        <v>地上现浇构件钢筋-三级钢筋 Φ25</v>
      </c>
      <c r="C333" s="51" t="e">
        <v>#REF!</v>
      </c>
      <c r="D333" s="51" t="str">
        <v/>
      </c>
      <c r="E333" s="51" t="str">
        <v/>
      </c>
      <c r="F333" s="52" t="e">
        <v>#REF!</v>
      </c>
      <c r="G333" s="48" t="e">
        <v>#REF!</v>
      </c>
      <c r="H333" s="49">
        <v>13.02</v>
      </c>
      <c r="I333" s="49" t="e">
        <v>#REF!</v>
      </c>
      <c r="J333" s="50"/>
    </row>
    <row r="334" ht="28.8" outlineLevel="1" spans="1:10">
      <c r="A334" s="50">
        <v>278</v>
      </c>
      <c r="B334" s="51" t="str">
        <v>地上现浇构件措施钢筋-三级钢筋 Φ10</v>
      </c>
      <c r="C334" s="51" t="e">
        <v>#REF!</v>
      </c>
      <c r="D334" s="51" t="str">
        <v/>
      </c>
      <c r="E334" s="51" t="str">
        <v/>
      </c>
      <c r="F334" s="52" t="e">
        <v>#REF!</v>
      </c>
      <c r="G334" s="48" t="e">
        <v>#REF!</v>
      </c>
      <c r="H334" s="49">
        <v>0.18</v>
      </c>
      <c r="I334" s="49" t="e">
        <v>#REF!</v>
      </c>
      <c r="J334" s="50"/>
    </row>
    <row r="335" ht="28.8" outlineLevel="1" spans="1:10">
      <c r="A335" s="50">
        <v>279</v>
      </c>
      <c r="B335" s="51" t="str">
        <v>钢筋接头-直螺纹连接-φ20以内</v>
      </c>
      <c r="C335" s="51" t="e">
        <v>#REF!</v>
      </c>
      <c r="D335" s="51" t="str">
        <v/>
      </c>
      <c r="E335" s="51" t="str">
        <v/>
      </c>
      <c r="F335" s="52" t="e">
        <v>#REF!</v>
      </c>
      <c r="G335" s="48" t="e">
        <v>#REF!</v>
      </c>
      <c r="H335" s="49">
        <v>347</v>
      </c>
      <c r="I335" s="49" t="e">
        <v>#REF!</v>
      </c>
      <c r="J335" s="50"/>
    </row>
    <row r="336" ht="28.8" outlineLevel="1" spans="1:10">
      <c r="A336" s="50">
        <v>280</v>
      </c>
      <c r="B336" s="51" t="str">
        <v>钢筋接头-直螺纹连接-Φ30以内</v>
      </c>
      <c r="C336" s="51" t="e">
        <v>#REF!</v>
      </c>
      <c r="D336" s="51" t="str">
        <v/>
      </c>
      <c r="E336" s="51" t="str">
        <v/>
      </c>
      <c r="F336" s="52" t="e">
        <v>#REF!</v>
      </c>
      <c r="G336" s="48" t="e">
        <v>#REF!</v>
      </c>
      <c r="H336" s="49">
        <v>0</v>
      </c>
      <c r="I336" s="49" t="e">
        <v>#REF!</v>
      </c>
      <c r="J336" s="50"/>
    </row>
    <row r="337" outlineLevel="1" spans="1:10">
      <c r="A337" s="50">
        <v>281</v>
      </c>
      <c r="B337" s="51" t="str">
        <v>钢筋接头-电渣压力焊</v>
      </c>
      <c r="C337" s="51" t="e">
        <v>#REF!</v>
      </c>
      <c r="D337" s="51" t="str">
        <v/>
      </c>
      <c r="E337" s="51" t="str">
        <v/>
      </c>
      <c r="F337" s="52" t="e">
        <v>#REF!</v>
      </c>
      <c r="G337" s="48" t="e">
        <v>#REF!</v>
      </c>
      <c r="H337" s="49">
        <v>876</v>
      </c>
      <c r="I337" s="49" t="e">
        <v>#REF!</v>
      </c>
      <c r="J337" s="50"/>
    </row>
    <row r="338" outlineLevel="1" spans="1:10">
      <c r="A338" s="50" t="str">
        <v/>
      </c>
      <c r="B338" s="51" t="str">
        <v>A.03二次结构工程</v>
      </c>
      <c r="C338" s="51" t="str">
        <v/>
      </c>
      <c r="D338" s="51" t="str">
        <v/>
      </c>
      <c r="E338" s="51" t="str">
        <v/>
      </c>
      <c r="F338" s="52" t="str">
        <v/>
      </c>
      <c r="G338" s="48" t="str">
        <v/>
      </c>
      <c r="H338" s="49">
        <v>0</v>
      </c>
      <c r="I338" s="49" t="e">
        <v>#REF!</v>
      </c>
      <c r="J338" s="50"/>
    </row>
    <row r="339" outlineLevel="1" spans="1:10">
      <c r="A339" s="50" t="str">
        <v/>
      </c>
      <c r="B339" s="51" t="str">
        <v>A.03.01砌筑工程</v>
      </c>
      <c r="C339" s="51" t="str">
        <v/>
      </c>
      <c r="D339" s="51" t="str">
        <v/>
      </c>
      <c r="E339" s="51" t="str">
        <v/>
      </c>
      <c r="F339" s="52" t="str">
        <v/>
      </c>
      <c r="G339" s="48" t="str">
        <v/>
      </c>
      <c r="H339" s="49">
        <v>0</v>
      </c>
      <c r="I339" s="49" t="e">
        <v>#REF!</v>
      </c>
      <c r="J339" s="50"/>
    </row>
    <row r="340" outlineLevel="1" spans="1:10">
      <c r="A340" s="50">
        <v>282</v>
      </c>
      <c r="B340" s="51" t="str">
        <v>出屋面砖台阶</v>
      </c>
      <c r="C340" s="51" t="e">
        <v>#REF!</v>
      </c>
      <c r="D340" s="51" t="str">
        <v/>
      </c>
      <c r="E340" s="51" t="str">
        <v/>
      </c>
      <c r="F340" s="52" t="e">
        <v>#REF!</v>
      </c>
      <c r="G340" s="48" t="e">
        <v>#REF!</v>
      </c>
      <c r="H340" s="49">
        <v>0</v>
      </c>
      <c r="I340" s="49" t="e">
        <v>#REF!</v>
      </c>
      <c r="J340" s="50"/>
    </row>
    <row r="341" outlineLevel="1" spans="1:10">
      <c r="A341" s="50">
        <v>283</v>
      </c>
      <c r="B341" s="51" t="str">
        <v>加气混凝土砌块</v>
      </c>
      <c r="C341" s="51" t="e">
        <v>#REF!</v>
      </c>
      <c r="D341" s="51" t="str">
        <v/>
      </c>
      <c r="E341" s="51" t="str">
        <v/>
      </c>
      <c r="F341" s="52" t="e">
        <v>#REF!</v>
      </c>
      <c r="G341" s="48" t="e">
        <v>#REF!</v>
      </c>
      <c r="H341" s="49">
        <v>125.71</v>
      </c>
      <c r="I341" s="49" t="e">
        <v>#REF!</v>
      </c>
      <c r="J341" s="50"/>
    </row>
    <row r="342" outlineLevel="1" spans="1:10">
      <c r="A342" s="50">
        <v>284</v>
      </c>
      <c r="B342" s="51" t="str">
        <v>管道包封砌筑</v>
      </c>
      <c r="C342" s="51" t="e">
        <v>#REF!</v>
      </c>
      <c r="D342" s="51" t="str">
        <v/>
      </c>
      <c r="E342" s="51" t="str">
        <v/>
      </c>
      <c r="F342" s="52" t="e">
        <v>#REF!</v>
      </c>
      <c r="G342" s="48" t="e">
        <v>#REF!</v>
      </c>
      <c r="H342" s="49">
        <v>0</v>
      </c>
      <c r="I342" s="49" t="e">
        <v>#REF!</v>
      </c>
      <c r="J342" s="50"/>
    </row>
    <row r="343" ht="28.8" outlineLevel="1" spans="1:10">
      <c r="A343" s="50">
        <v>285</v>
      </c>
      <c r="B343" s="51" t="str">
        <v>轻集料混凝土条板-100mm以内</v>
      </c>
      <c r="C343" s="51" t="e">
        <v>#REF!</v>
      </c>
      <c r="D343" s="51" t="str">
        <v/>
      </c>
      <c r="E343" s="51" t="str">
        <v/>
      </c>
      <c r="F343" s="52" t="e">
        <v>#REF!</v>
      </c>
      <c r="G343" s="48" t="e">
        <v>#REF!</v>
      </c>
      <c r="H343" s="49">
        <v>0</v>
      </c>
      <c r="I343" s="49" t="e">
        <v>#REF!</v>
      </c>
      <c r="J343" s="50"/>
    </row>
    <row r="344" ht="28.8" outlineLevel="1" spans="1:10">
      <c r="A344" s="50">
        <v>286</v>
      </c>
      <c r="B344" s="51" t="str">
        <v>轻集料混凝土条板-200mm以内</v>
      </c>
      <c r="C344" s="51" t="e">
        <v>#REF!</v>
      </c>
      <c r="D344" s="51" t="str">
        <v/>
      </c>
      <c r="E344" s="51" t="str">
        <v/>
      </c>
      <c r="F344" s="52" t="e">
        <v>#REF!</v>
      </c>
      <c r="G344" s="48" t="e">
        <v>#REF!</v>
      </c>
      <c r="H344" s="49">
        <v>0</v>
      </c>
      <c r="I344" s="49" t="e">
        <v>#REF!</v>
      </c>
      <c r="J344" s="50"/>
    </row>
    <row r="345" outlineLevel="1" spans="1:10">
      <c r="A345" s="50">
        <v>287</v>
      </c>
      <c r="B345" s="51" t="str">
        <v>AAC内墙板-180mm以内</v>
      </c>
      <c r="C345" s="51" t="e">
        <v>#REF!</v>
      </c>
      <c r="D345" s="51" t="str">
        <v/>
      </c>
      <c r="E345" s="51" t="str">
        <v/>
      </c>
      <c r="F345" s="52" t="e">
        <v>#REF!</v>
      </c>
      <c r="G345" s="48" t="e">
        <v>#REF!</v>
      </c>
      <c r="H345" s="49">
        <v>0</v>
      </c>
      <c r="I345" s="49" t="e">
        <v>#REF!</v>
      </c>
      <c r="J345" s="50"/>
    </row>
    <row r="346" outlineLevel="1" spans="1:10">
      <c r="A346" s="50">
        <v>288</v>
      </c>
      <c r="B346" s="51" t="str">
        <v>AAC外墙板-100mm以内</v>
      </c>
      <c r="C346" s="51" t="e">
        <v>#REF!</v>
      </c>
      <c r="D346" s="51" t="str">
        <v/>
      </c>
      <c r="E346" s="51" t="str">
        <v/>
      </c>
      <c r="F346" s="52" t="e">
        <v>#REF!</v>
      </c>
      <c r="G346" s="48" t="e">
        <v>#REF!</v>
      </c>
      <c r="H346" s="49">
        <v>0</v>
      </c>
      <c r="I346" s="49" t="e">
        <v>#REF!</v>
      </c>
      <c r="J346" s="50"/>
    </row>
    <row r="347" outlineLevel="1" spans="1:10">
      <c r="A347" s="50">
        <v>289</v>
      </c>
      <c r="B347" s="51" t="str">
        <v>AAC外墙板-180mm以内</v>
      </c>
      <c r="C347" s="51" t="e">
        <v>#REF!</v>
      </c>
      <c r="D347" s="51" t="str">
        <v/>
      </c>
      <c r="E347" s="51" t="str">
        <v/>
      </c>
      <c r="F347" s="52" t="e">
        <v>#REF!</v>
      </c>
      <c r="G347" s="48" t="e">
        <v>#REF!</v>
      </c>
      <c r="H347" s="49">
        <v>0</v>
      </c>
      <c r="I347" s="49" t="e">
        <v>#REF!</v>
      </c>
      <c r="J347" s="50"/>
    </row>
    <row r="348" outlineLevel="1" spans="1:10">
      <c r="A348" s="50">
        <v>290</v>
      </c>
      <c r="B348" s="51" t="str">
        <v>AAC外墙板-280mm以内</v>
      </c>
      <c r="C348" s="51" t="e">
        <v>#REF!</v>
      </c>
      <c r="D348" s="51" t="str">
        <v/>
      </c>
      <c r="E348" s="51" t="str">
        <v/>
      </c>
      <c r="F348" s="52" t="e">
        <v>#REF!</v>
      </c>
      <c r="G348" s="48" t="e">
        <v>#REF!</v>
      </c>
      <c r="H348" s="49">
        <v>0</v>
      </c>
      <c r="I348" s="49" t="e">
        <v>#REF!</v>
      </c>
      <c r="J348" s="50"/>
    </row>
    <row r="349" outlineLevel="1" spans="1:10">
      <c r="A349" s="50">
        <v>291</v>
      </c>
      <c r="B349" s="51" t="str">
        <v>AAC自保温砌块</v>
      </c>
      <c r="C349" s="51" t="e">
        <v>#REF!</v>
      </c>
      <c r="D349" s="51" t="str">
        <v/>
      </c>
      <c r="E349" s="51" t="str">
        <v/>
      </c>
      <c r="F349" s="52" t="e">
        <v>#REF!</v>
      </c>
      <c r="G349" s="48" t="e">
        <v>#REF!</v>
      </c>
      <c r="H349" s="49">
        <v>0</v>
      </c>
      <c r="I349" s="49" t="e">
        <v>#REF!</v>
      </c>
      <c r="J349" s="50"/>
    </row>
    <row r="350" outlineLevel="1" spans="1:10">
      <c r="A350" s="50" t="str">
        <v/>
      </c>
      <c r="B350" s="51" t="str">
        <v>A.03.02混凝土工程</v>
      </c>
      <c r="C350" s="51" t="str">
        <v/>
      </c>
      <c r="D350" s="51" t="str">
        <v/>
      </c>
      <c r="E350" s="51" t="str">
        <v/>
      </c>
      <c r="F350" s="52" t="str">
        <v/>
      </c>
      <c r="G350" s="48" t="str">
        <v/>
      </c>
      <c r="H350" s="49">
        <v>0</v>
      </c>
      <c r="I350" s="49" t="e">
        <v>#REF!</v>
      </c>
      <c r="J350" s="50"/>
    </row>
    <row r="351" outlineLevel="1" spans="1:10">
      <c r="A351" s="50">
        <v>292</v>
      </c>
      <c r="B351" s="51" t="str">
        <v>构造柱C25</v>
      </c>
      <c r="C351" s="51" t="e">
        <v>#REF!</v>
      </c>
      <c r="D351" s="51" t="str">
        <v/>
      </c>
      <c r="E351" s="51" t="str">
        <v/>
      </c>
      <c r="F351" s="52" t="e">
        <v>#REF!</v>
      </c>
      <c r="G351" s="48" t="e">
        <v>#REF!</v>
      </c>
      <c r="H351" s="49">
        <v>9.82</v>
      </c>
      <c r="I351" s="49" t="e">
        <v>#REF!</v>
      </c>
      <c r="J351" s="50"/>
    </row>
    <row r="352" outlineLevel="1" spans="1:10">
      <c r="A352" s="50">
        <v>293</v>
      </c>
      <c r="B352" s="51" t="str">
        <v>圈梁C25</v>
      </c>
      <c r="C352" s="51" t="e">
        <v>#REF!</v>
      </c>
      <c r="D352" s="51" t="str">
        <v/>
      </c>
      <c r="E352" s="51" t="str">
        <v/>
      </c>
      <c r="F352" s="52" t="e">
        <v>#REF!</v>
      </c>
      <c r="G352" s="48" t="e">
        <v>#REF!</v>
      </c>
      <c r="H352" s="49">
        <v>0.28</v>
      </c>
      <c r="I352" s="49" t="e">
        <v>#REF!</v>
      </c>
      <c r="J352" s="50"/>
    </row>
    <row r="353" outlineLevel="1" spans="1:10">
      <c r="A353" s="50">
        <v>294</v>
      </c>
      <c r="B353" s="51" t="str">
        <v>门槛C20细石</v>
      </c>
      <c r="C353" s="51" t="e">
        <v>#REF!</v>
      </c>
      <c r="D353" s="51" t="str">
        <v/>
      </c>
      <c r="E353" s="51" t="str">
        <v/>
      </c>
      <c r="F353" s="52" t="e">
        <v>#REF!</v>
      </c>
      <c r="G353" s="48" t="e">
        <v>#REF!</v>
      </c>
      <c r="H353" s="49">
        <v>1</v>
      </c>
      <c r="I353" s="49" t="e">
        <v>#REF!</v>
      </c>
      <c r="J353" s="50"/>
    </row>
    <row r="354" outlineLevel="1" spans="1:10">
      <c r="A354" s="50">
        <v>295</v>
      </c>
      <c r="B354" s="51" t="str">
        <v>反坎C20</v>
      </c>
      <c r="C354" s="51" t="e">
        <v>#REF!</v>
      </c>
      <c r="D354" s="51" t="str">
        <v/>
      </c>
      <c r="E354" s="51" t="str">
        <v/>
      </c>
      <c r="F354" s="52" t="e">
        <v>#REF!</v>
      </c>
      <c r="G354" s="48" t="e">
        <v>#REF!</v>
      </c>
      <c r="H354" s="49">
        <v>0</v>
      </c>
      <c r="I354" s="49" t="e">
        <v>#REF!</v>
      </c>
      <c r="J354" s="50"/>
    </row>
    <row r="355" outlineLevel="1" spans="1:10">
      <c r="A355" s="50">
        <v>296</v>
      </c>
      <c r="B355" s="51" t="str">
        <v>过梁C25</v>
      </c>
      <c r="C355" s="51" t="e">
        <v>#REF!</v>
      </c>
      <c r="D355" s="51" t="str">
        <v/>
      </c>
      <c r="E355" s="51" t="str">
        <v/>
      </c>
      <c r="F355" s="52" t="e">
        <v>#REF!</v>
      </c>
      <c r="G355" s="48" t="e">
        <v>#REF!</v>
      </c>
      <c r="H355" s="49">
        <v>1.54</v>
      </c>
      <c r="I355" s="49" t="e">
        <v>#REF!</v>
      </c>
      <c r="J355" s="50"/>
    </row>
    <row r="356" outlineLevel="1" spans="1:10">
      <c r="A356" s="50">
        <v>297</v>
      </c>
      <c r="B356" s="51" t="str">
        <v>压顶C25</v>
      </c>
      <c r="C356" s="51" t="e">
        <v>#REF!</v>
      </c>
      <c r="D356" s="51" t="str">
        <v/>
      </c>
      <c r="E356" s="51" t="str">
        <v/>
      </c>
      <c r="F356" s="52" t="e">
        <v>#REF!</v>
      </c>
      <c r="G356" s="48" t="e">
        <v>#REF!</v>
      </c>
      <c r="H356" s="49">
        <v>1.2</v>
      </c>
      <c r="I356" s="49" t="e">
        <v>#REF!</v>
      </c>
      <c r="J356" s="50"/>
    </row>
    <row r="357" outlineLevel="1" spans="1:10">
      <c r="A357" s="50" t="str">
        <v/>
      </c>
      <c r="B357" s="51" t="str">
        <v>散水</v>
      </c>
      <c r="C357" s="51" t="str">
        <v/>
      </c>
      <c r="D357" s="51" t="str">
        <v/>
      </c>
      <c r="E357" s="51" t="str">
        <v/>
      </c>
      <c r="F357" s="52" t="str">
        <v/>
      </c>
      <c r="G357" s="48" t="str">
        <v/>
      </c>
      <c r="H357" s="49">
        <v>0</v>
      </c>
      <c r="I357" s="49">
        <v>0</v>
      </c>
      <c r="J357" s="50"/>
    </row>
    <row r="358" outlineLevel="1" spans="1:10">
      <c r="A358" s="50">
        <v>298</v>
      </c>
      <c r="B358" s="51" t="str">
        <v>散水-40厚C20细石</v>
      </c>
      <c r="C358" s="51" t="e">
        <v>#REF!</v>
      </c>
      <c r="D358" s="51" t="str">
        <v/>
      </c>
      <c r="E358" s="51" t="str">
        <v/>
      </c>
      <c r="F358" s="52" t="e">
        <v>#REF!</v>
      </c>
      <c r="G358" s="48" t="e">
        <v>#REF!</v>
      </c>
      <c r="H358" s="49">
        <v>60.04</v>
      </c>
      <c r="I358" s="49" t="e">
        <v>#REF!</v>
      </c>
      <c r="J358" s="50"/>
    </row>
    <row r="359" outlineLevel="1" spans="1:10">
      <c r="A359" s="50">
        <v>299</v>
      </c>
      <c r="B359" s="51" t="str">
        <v>散水-150厚3:7灰土</v>
      </c>
      <c r="C359" s="51" t="e">
        <v>#REF!</v>
      </c>
      <c r="D359" s="51" t="str">
        <v/>
      </c>
      <c r="E359" s="51" t="str">
        <v/>
      </c>
      <c r="F359" s="52" t="e">
        <v>#REF!</v>
      </c>
      <c r="G359" s="48" t="e">
        <v>#REF!</v>
      </c>
      <c r="H359" s="49">
        <v>60.04</v>
      </c>
      <c r="I359" s="49" t="e">
        <v>#REF!</v>
      </c>
      <c r="J359" s="50"/>
    </row>
    <row r="360" outlineLevel="1" spans="1:10">
      <c r="A360" s="50">
        <v>300</v>
      </c>
      <c r="B360" s="51" t="str">
        <v>散水-素土夯实</v>
      </c>
      <c r="C360" s="51" t="e">
        <v>#REF!</v>
      </c>
      <c r="D360" s="51" t="str">
        <v/>
      </c>
      <c r="E360" s="51" t="str">
        <v/>
      </c>
      <c r="F360" s="52" t="e">
        <v>#REF!</v>
      </c>
      <c r="G360" s="48" t="e">
        <v>#REF!</v>
      </c>
      <c r="H360" s="49">
        <v>60.04</v>
      </c>
      <c r="I360" s="49" t="e">
        <v>#REF!</v>
      </c>
      <c r="J360" s="50"/>
    </row>
    <row r="361" outlineLevel="1" spans="1:10">
      <c r="A361" s="50" t="str">
        <v/>
      </c>
      <c r="B361" s="51" t="str">
        <v/>
      </c>
      <c r="C361" s="51" t="str">
        <v>成品明沟</v>
      </c>
      <c r="D361" s="51" t="str">
        <v/>
      </c>
      <c r="E361" s="51" t="str">
        <v/>
      </c>
      <c r="F361" s="52" t="str">
        <v/>
      </c>
      <c r="G361" s="48" t="str">
        <v/>
      </c>
      <c r="H361" s="49">
        <v>0</v>
      </c>
      <c r="I361" s="49">
        <v>0</v>
      </c>
      <c r="J361" s="50"/>
    </row>
    <row r="362" outlineLevel="1" spans="1:10">
      <c r="A362" s="50">
        <v>298</v>
      </c>
      <c r="B362" s="51" t="str">
        <v>成品排水沟（含结构篦子）</v>
      </c>
      <c r="C362" s="51" t="e">
        <v>#REF!</v>
      </c>
      <c r="D362" s="51" t="str">
        <v/>
      </c>
      <c r="E362" s="51" t="str">
        <v/>
      </c>
      <c r="F362" s="52" t="e">
        <v>#REF!</v>
      </c>
      <c r="G362" s="48" t="e">
        <v>#REF!</v>
      </c>
      <c r="H362" s="49">
        <v>0</v>
      </c>
      <c r="I362" s="49" t="e">
        <v>#REF!</v>
      </c>
      <c r="J362" s="50"/>
    </row>
    <row r="363" outlineLevel="1" spans="1:10">
      <c r="A363" s="50" t="str">
        <v/>
      </c>
      <c r="B363" s="51" t="str">
        <v>明沟</v>
      </c>
      <c r="C363" s="51" t="str">
        <v/>
      </c>
      <c r="D363" s="51" t="str">
        <v/>
      </c>
      <c r="E363" s="51" t="str">
        <v/>
      </c>
      <c r="F363" s="52" t="str">
        <v/>
      </c>
      <c r="G363" s="48" t="str">
        <v/>
      </c>
      <c r="H363" s="49">
        <v>0</v>
      </c>
      <c r="I363" s="49">
        <v>0</v>
      </c>
      <c r="J363" s="50"/>
    </row>
    <row r="364" outlineLevel="1" spans="1:10">
      <c r="A364" s="50">
        <v>301</v>
      </c>
      <c r="B364" s="51" t="str">
        <v>明沟-雨水篦子</v>
      </c>
      <c r="C364" s="51" t="e">
        <v>#REF!</v>
      </c>
      <c r="D364" s="51" t="str">
        <v/>
      </c>
      <c r="E364" s="51" t="str">
        <v/>
      </c>
      <c r="F364" s="52" t="e">
        <v>#REF!</v>
      </c>
      <c r="G364" s="48" t="e">
        <v>#REF!</v>
      </c>
      <c r="H364" s="49">
        <v>0</v>
      </c>
      <c r="I364" s="49" t="e">
        <v>#REF!</v>
      </c>
      <c r="J364" s="50"/>
    </row>
    <row r="365" outlineLevel="1" spans="1:10">
      <c r="A365" s="50">
        <v>302</v>
      </c>
      <c r="B365" s="51" t="str">
        <v>明沟-20厚M20水泥砂浆</v>
      </c>
      <c r="C365" s="51" t="e">
        <v>#REF!</v>
      </c>
      <c r="D365" s="51" t="str">
        <v/>
      </c>
      <c r="E365" s="51" t="str">
        <v/>
      </c>
      <c r="F365" s="52" t="e">
        <v>#REF!</v>
      </c>
      <c r="G365" s="48" t="e">
        <v>#REF!</v>
      </c>
      <c r="H365" s="49">
        <v>0</v>
      </c>
      <c r="I365" s="49" t="e">
        <v>#REF!</v>
      </c>
      <c r="J365" s="50"/>
    </row>
    <row r="366" outlineLevel="1" spans="1:10">
      <c r="A366" s="50">
        <v>303</v>
      </c>
      <c r="B366" s="51" t="str">
        <v>明沟-20厚C20细石砼找坡</v>
      </c>
      <c r="C366" s="51" t="e">
        <v>#REF!</v>
      </c>
      <c r="D366" s="51" t="str">
        <v/>
      </c>
      <c r="E366" s="51" t="str">
        <v/>
      </c>
      <c r="F366" s="52" t="e">
        <v>#REF!</v>
      </c>
      <c r="G366" s="48" t="e">
        <v>#REF!</v>
      </c>
      <c r="H366" s="49">
        <v>0</v>
      </c>
      <c r="I366" s="49" t="e">
        <v>#REF!</v>
      </c>
      <c r="J366" s="50"/>
    </row>
    <row r="367" outlineLevel="1" spans="1:10">
      <c r="A367" s="50">
        <v>304</v>
      </c>
      <c r="B367" s="51" t="str">
        <v>明沟-80厚C20砼</v>
      </c>
      <c r="C367" s="51" t="e">
        <v>#REF!</v>
      </c>
      <c r="D367" s="51" t="str">
        <v/>
      </c>
      <c r="E367" s="51" t="str">
        <v/>
      </c>
      <c r="F367" s="52" t="e">
        <v>#REF!</v>
      </c>
      <c r="G367" s="48" t="e">
        <v>#REF!</v>
      </c>
      <c r="H367" s="49">
        <v>0</v>
      </c>
      <c r="I367" s="49" t="e">
        <v>#REF!</v>
      </c>
      <c r="J367" s="50"/>
    </row>
    <row r="368" outlineLevel="1" spans="1:10">
      <c r="A368" s="50">
        <v>305</v>
      </c>
      <c r="B368" s="51" t="str">
        <v>明沟-100厚3:7灰土</v>
      </c>
      <c r="C368" s="51" t="e">
        <v>#REF!</v>
      </c>
      <c r="D368" s="51" t="str">
        <v/>
      </c>
      <c r="E368" s="51" t="str">
        <v/>
      </c>
      <c r="F368" s="52" t="e">
        <v>#REF!</v>
      </c>
      <c r="G368" s="48" t="e">
        <v>#REF!</v>
      </c>
      <c r="H368" s="49">
        <v>0</v>
      </c>
      <c r="I368" s="49" t="e">
        <v>#REF!</v>
      </c>
      <c r="J368" s="50"/>
    </row>
    <row r="369" ht="28.8" outlineLevel="1" spans="1:10">
      <c r="A369" s="50" t="str">
        <v/>
      </c>
      <c r="B369" s="51" t="str">
        <v>台阶（参12J1-155-台6，结构面交付）</v>
      </c>
      <c r="C369" s="51" t="str">
        <v/>
      </c>
      <c r="D369" s="51" t="str">
        <v/>
      </c>
      <c r="E369" s="51" t="str">
        <v/>
      </c>
      <c r="F369" s="52" t="str">
        <v/>
      </c>
      <c r="G369" s="48" t="str">
        <v/>
      </c>
      <c r="H369" s="49">
        <v>0</v>
      </c>
      <c r="I369" s="49">
        <v>0</v>
      </c>
      <c r="J369" s="50"/>
    </row>
    <row r="370" outlineLevel="1" spans="1:10">
      <c r="A370" s="50">
        <v>306</v>
      </c>
      <c r="B370" s="51" t="str">
        <v>台阶-60厚C15砼</v>
      </c>
      <c r="C370" s="51" t="e">
        <v>#REF!</v>
      </c>
      <c r="D370" s="51" t="str">
        <v/>
      </c>
      <c r="E370" s="51" t="str">
        <v/>
      </c>
      <c r="F370" s="52" t="e">
        <v>#REF!</v>
      </c>
      <c r="G370" s="48" t="e">
        <v>#REF!</v>
      </c>
      <c r="H370" s="49">
        <v>133.5</v>
      </c>
      <c r="I370" s="49" t="e">
        <v>#REF!</v>
      </c>
      <c r="J370" s="50"/>
    </row>
    <row r="371" outlineLevel="1" spans="1:10">
      <c r="A371" s="50">
        <v>307</v>
      </c>
      <c r="B371" s="51" t="str">
        <v>台阶-300厚3:7灰土</v>
      </c>
      <c r="C371" s="51" t="e">
        <v>#REF!</v>
      </c>
      <c r="D371" s="51" t="str">
        <v/>
      </c>
      <c r="E371" s="51" t="str">
        <v/>
      </c>
      <c r="F371" s="52" t="e">
        <v>#REF!</v>
      </c>
      <c r="G371" s="48" t="e">
        <v>#REF!</v>
      </c>
      <c r="H371" s="49">
        <v>133.5</v>
      </c>
      <c r="I371" s="49" t="e">
        <v>#REF!</v>
      </c>
      <c r="J371" s="50"/>
    </row>
    <row r="372" outlineLevel="1" spans="1:10">
      <c r="A372" s="50">
        <v>308</v>
      </c>
      <c r="B372" s="51" t="str">
        <v>台阶-素土夯实</v>
      </c>
      <c r="C372" s="51" t="e">
        <v>#REF!</v>
      </c>
      <c r="D372" s="51" t="str">
        <v/>
      </c>
      <c r="E372" s="51" t="str">
        <v/>
      </c>
      <c r="F372" s="52" t="e">
        <v>#REF!</v>
      </c>
      <c r="G372" s="48" t="e">
        <v>#REF!</v>
      </c>
      <c r="H372" s="49">
        <v>133.5</v>
      </c>
      <c r="I372" s="49" t="e">
        <v>#REF!</v>
      </c>
      <c r="J372" s="50"/>
    </row>
    <row r="373" ht="28.8" outlineLevel="1" spans="1:10">
      <c r="A373" s="50" t="str">
        <v/>
      </c>
      <c r="B373" s="51" t="str">
        <v>坡道（参12J12-25-3，结构面交付）</v>
      </c>
      <c r="C373" s="51" t="str">
        <v/>
      </c>
      <c r="D373" s="51" t="str">
        <v/>
      </c>
      <c r="E373" s="51" t="str">
        <v/>
      </c>
      <c r="F373" s="52" t="str">
        <v/>
      </c>
      <c r="G373" s="48" t="str">
        <v/>
      </c>
      <c r="H373" s="49">
        <v>0</v>
      </c>
      <c r="I373" s="49">
        <v>0</v>
      </c>
      <c r="J373" s="50"/>
    </row>
    <row r="374" outlineLevel="1" spans="1:10">
      <c r="A374" s="50">
        <v>309</v>
      </c>
      <c r="B374" s="51" t="str">
        <v>坡道-100厚C15</v>
      </c>
      <c r="C374" s="51" t="e">
        <v>#REF!</v>
      </c>
      <c r="D374" s="51" t="str">
        <v/>
      </c>
      <c r="E374" s="51" t="str">
        <v/>
      </c>
      <c r="F374" s="52" t="e">
        <v>#REF!</v>
      </c>
      <c r="G374" s="48" t="e">
        <v>#REF!</v>
      </c>
      <c r="H374" s="49">
        <v>106.32</v>
      </c>
      <c r="I374" s="49" t="e">
        <v>#REF!</v>
      </c>
      <c r="J374" s="50"/>
    </row>
    <row r="375" outlineLevel="1" spans="1:10">
      <c r="A375" s="50">
        <v>310</v>
      </c>
      <c r="B375" s="51" t="str">
        <v>坡道-300厚3:7灰土</v>
      </c>
      <c r="C375" s="51" t="e">
        <v>#REF!</v>
      </c>
      <c r="D375" s="51" t="str">
        <v/>
      </c>
      <c r="E375" s="51" t="str">
        <v/>
      </c>
      <c r="F375" s="52" t="e">
        <v>#REF!</v>
      </c>
      <c r="G375" s="48" t="e">
        <v>#REF!</v>
      </c>
      <c r="H375" s="49">
        <v>106.32</v>
      </c>
      <c r="I375" s="49" t="e">
        <v>#REF!</v>
      </c>
      <c r="J375" s="50"/>
    </row>
    <row r="376" outlineLevel="1" spans="1:10">
      <c r="A376" s="50">
        <v>311</v>
      </c>
      <c r="B376" s="51" t="str">
        <v>坡道-素土夯实</v>
      </c>
      <c r="C376" s="51" t="e">
        <v>#REF!</v>
      </c>
      <c r="D376" s="51" t="str">
        <v/>
      </c>
      <c r="E376" s="51" t="str">
        <v/>
      </c>
      <c r="F376" s="52" t="e">
        <v>#REF!</v>
      </c>
      <c r="G376" s="48" t="e">
        <v>#REF!</v>
      </c>
      <c r="H376" s="49">
        <v>106.32</v>
      </c>
      <c r="I376" s="49" t="e">
        <v>#REF!</v>
      </c>
      <c r="J376" s="50"/>
    </row>
    <row r="377" outlineLevel="1" spans="1:10">
      <c r="A377" s="50">
        <v>312</v>
      </c>
      <c r="B377" s="51" t="str">
        <v>水簸箕-C20细石砼</v>
      </c>
      <c r="C377" s="51" t="e">
        <v>#REF!</v>
      </c>
      <c r="D377" s="51" t="str">
        <v/>
      </c>
      <c r="E377" s="51" t="str">
        <v/>
      </c>
      <c r="F377" s="52" t="e">
        <v>#REF!</v>
      </c>
      <c r="G377" s="48" t="e">
        <v>#REF!</v>
      </c>
      <c r="H377" s="49">
        <v>1</v>
      </c>
      <c r="I377" s="49" t="e">
        <v>#REF!</v>
      </c>
      <c r="J377" s="50"/>
    </row>
    <row r="378" outlineLevel="1" spans="1:10">
      <c r="A378" s="50">
        <v>313</v>
      </c>
      <c r="B378" s="51" t="str">
        <v>卫生间排气道</v>
      </c>
      <c r="C378" s="51" t="e">
        <v>#REF!</v>
      </c>
      <c r="D378" s="51" t="str">
        <v/>
      </c>
      <c r="E378" s="51" t="str">
        <v/>
      </c>
      <c r="F378" s="52" t="e">
        <v>#REF!</v>
      </c>
      <c r="G378" s="48" t="e">
        <v>#REF!</v>
      </c>
      <c r="H378" s="49">
        <v>4.9</v>
      </c>
      <c r="I378" s="49" t="e">
        <v>#REF!</v>
      </c>
      <c r="J378" s="50"/>
    </row>
    <row r="379" outlineLevel="1" spans="1:10">
      <c r="A379" s="50">
        <v>314</v>
      </c>
      <c r="B379" s="51" t="str">
        <v>厨房排气道</v>
      </c>
      <c r="C379" s="51" t="e">
        <v>#REF!</v>
      </c>
      <c r="D379" s="51" t="str">
        <v/>
      </c>
      <c r="E379" s="51" t="str">
        <v/>
      </c>
      <c r="F379" s="52" t="e">
        <v>#REF!</v>
      </c>
      <c r="G379" s="48" t="e">
        <v>#REF!</v>
      </c>
      <c r="H379" s="49">
        <v>0</v>
      </c>
      <c r="I379" s="49" t="e">
        <v>#REF!</v>
      </c>
      <c r="J379" s="50"/>
    </row>
    <row r="380" outlineLevel="1" spans="1:10">
      <c r="A380" s="50" t="str">
        <v/>
      </c>
      <c r="B380" s="51" t="str">
        <v>A.03.03钢筋工程</v>
      </c>
      <c r="C380" s="51" t="str">
        <v/>
      </c>
      <c r="D380" s="51" t="str">
        <v/>
      </c>
      <c r="E380" s="51" t="str">
        <v/>
      </c>
      <c r="F380" s="52" t="str">
        <v/>
      </c>
      <c r="G380" s="48" t="str">
        <v/>
      </c>
      <c r="H380" s="49">
        <v>0</v>
      </c>
      <c r="I380" s="49" t="e">
        <v>#REF!</v>
      </c>
      <c r="J380" s="50"/>
    </row>
    <row r="381" outlineLevel="1" spans="1:10">
      <c r="A381" s="50">
        <v>315</v>
      </c>
      <c r="B381" s="51" t="str">
        <v>地上现浇构件钢筋-φ10以内</v>
      </c>
      <c r="C381" s="51" t="e">
        <v>#REF!</v>
      </c>
      <c r="D381" s="51" t="str">
        <v/>
      </c>
      <c r="E381" s="51" t="str">
        <v/>
      </c>
      <c r="F381" s="52" t="e">
        <v>#REF!</v>
      </c>
      <c r="G381" s="48" t="e">
        <v>#REF!</v>
      </c>
      <c r="H381" s="49">
        <v>0.001</v>
      </c>
      <c r="I381" s="49" t="e">
        <v>#REF!</v>
      </c>
      <c r="J381" s="50"/>
    </row>
    <row r="382" ht="28.8" outlineLevel="1" spans="1:10">
      <c r="A382" s="50">
        <v>316</v>
      </c>
      <c r="B382" s="51" t="str">
        <v>地上现浇构件钢筋-三级钢筋 Φ6</v>
      </c>
      <c r="C382" s="51" t="e">
        <v>#REF!</v>
      </c>
      <c r="D382" s="51" t="str">
        <v/>
      </c>
      <c r="E382" s="51" t="str">
        <v/>
      </c>
      <c r="F382" s="52" t="e">
        <v>#REF!</v>
      </c>
      <c r="G382" s="48" t="e">
        <v>#REF!</v>
      </c>
      <c r="H382" s="49">
        <v>0.202</v>
      </c>
      <c r="I382" s="49" t="e">
        <v>#REF!</v>
      </c>
      <c r="J382" s="50"/>
    </row>
    <row r="383" ht="28.8" outlineLevel="1" spans="1:10">
      <c r="A383" s="50">
        <v>317</v>
      </c>
      <c r="B383" s="51" t="str">
        <v>地上现浇构件钢筋-三级钢筋 Φ8</v>
      </c>
      <c r="C383" s="51" t="e">
        <v>#REF!</v>
      </c>
      <c r="D383" s="51" t="str">
        <v/>
      </c>
      <c r="E383" s="51" t="str">
        <v/>
      </c>
      <c r="F383" s="52" t="e">
        <v>#REF!</v>
      </c>
      <c r="G383" s="48" t="e">
        <v>#REF!</v>
      </c>
      <c r="H383" s="49">
        <v>0.202</v>
      </c>
      <c r="I383" s="49" t="e">
        <v>#REF!</v>
      </c>
      <c r="J383" s="50"/>
    </row>
    <row r="384" ht="28.8" outlineLevel="1" spans="1:10">
      <c r="A384" s="50">
        <v>318</v>
      </c>
      <c r="B384" s="51" t="str">
        <v>地上现浇构件钢筋-三级钢筋 Φ10</v>
      </c>
      <c r="C384" s="51" t="e">
        <v>#REF!</v>
      </c>
      <c r="D384" s="51" t="str">
        <v/>
      </c>
      <c r="E384" s="51" t="str">
        <v/>
      </c>
      <c r="F384" s="52" t="e">
        <v>#REF!</v>
      </c>
      <c r="G384" s="48" t="e">
        <v>#REF!</v>
      </c>
      <c r="H384" s="49">
        <v>0.082</v>
      </c>
      <c r="I384" s="49" t="e">
        <v>#REF!</v>
      </c>
      <c r="J384" s="50"/>
    </row>
    <row r="385" ht="28.8" outlineLevel="1" spans="1:10">
      <c r="A385" s="50">
        <v>319</v>
      </c>
      <c r="B385" s="51" t="str">
        <v>地上现浇构件钢筋-三级钢筋 Φ12</v>
      </c>
      <c r="C385" s="51" t="e">
        <v>#REF!</v>
      </c>
      <c r="D385" s="51" t="str">
        <v/>
      </c>
      <c r="E385" s="51" t="str">
        <v/>
      </c>
      <c r="F385" s="52" t="e">
        <v>#REF!</v>
      </c>
      <c r="G385" s="48" t="e">
        <v>#REF!</v>
      </c>
      <c r="H385" s="49">
        <v>0.976</v>
      </c>
      <c r="I385" s="49" t="e">
        <v>#REF!</v>
      </c>
      <c r="J385" s="50"/>
    </row>
    <row r="386" outlineLevel="1" spans="1:10">
      <c r="A386" s="50">
        <v>320</v>
      </c>
      <c r="B386" s="51" t="str">
        <v>地上砌体加筋-三级钢筋 Φ6</v>
      </c>
      <c r="C386" s="51" t="e">
        <v>#REF!</v>
      </c>
      <c r="D386" s="51" t="str">
        <v/>
      </c>
      <c r="E386" s="51" t="str">
        <v/>
      </c>
      <c r="F386" s="52" t="e">
        <v>#REF!</v>
      </c>
      <c r="G386" s="48" t="e">
        <v>#REF!</v>
      </c>
      <c r="H386" s="49">
        <v>1.166</v>
      </c>
      <c r="I386" s="49" t="e">
        <v>#REF!</v>
      </c>
      <c r="J386" s="50"/>
    </row>
    <row r="387" ht="28.8" outlineLevel="1" spans="1:10">
      <c r="A387" s="50">
        <v>321</v>
      </c>
      <c r="B387" s="51" t="str">
        <v>地上现浇构件钢筋-三级钢筋 Φ20</v>
      </c>
      <c r="C387" s="51" t="e">
        <v>#REF!</v>
      </c>
      <c r="D387" s="51" t="str">
        <v/>
      </c>
      <c r="E387" s="51" t="str">
        <v/>
      </c>
      <c r="F387" s="52" t="e">
        <v>#REF!</v>
      </c>
      <c r="G387" s="48" t="e">
        <v>#REF!</v>
      </c>
      <c r="H387" s="49">
        <v>0.053</v>
      </c>
      <c r="I387" s="49" t="e">
        <v>#REF!</v>
      </c>
      <c r="J387" s="50"/>
    </row>
    <row r="388" outlineLevel="1" spans="1:10">
      <c r="A388" s="50" t="str">
        <v/>
      </c>
      <c r="B388" s="51" t="str">
        <v>A.03.04金属工程</v>
      </c>
      <c r="C388" s="51" t="str">
        <v/>
      </c>
      <c r="D388" s="51" t="str">
        <v/>
      </c>
      <c r="E388" s="51" t="str">
        <v/>
      </c>
      <c r="F388" s="52" t="str">
        <v/>
      </c>
      <c r="G388" s="48" t="str">
        <v/>
      </c>
      <c r="H388" s="49">
        <v>0</v>
      </c>
      <c r="I388" s="49" t="e">
        <v>#REF!</v>
      </c>
      <c r="J388" s="50"/>
    </row>
    <row r="389" outlineLevel="1" spans="1:10">
      <c r="A389" s="50">
        <v>322</v>
      </c>
      <c r="B389" s="51" t="str">
        <v>钢爬梯-屋面检修</v>
      </c>
      <c r="C389" s="51" t="e">
        <v>#REF!</v>
      </c>
      <c r="D389" s="51" t="str">
        <v/>
      </c>
      <c r="E389" s="51" t="str">
        <v/>
      </c>
      <c r="F389" s="52" t="e">
        <v>#REF!</v>
      </c>
      <c r="G389" s="48" t="e">
        <v>#REF!</v>
      </c>
      <c r="H389" s="49">
        <v>0.025</v>
      </c>
      <c r="I389" s="49" t="e">
        <v>#REF!</v>
      </c>
      <c r="J389" s="50"/>
    </row>
    <row r="390" outlineLevel="1" spans="1:10">
      <c r="A390" s="50">
        <v>323</v>
      </c>
      <c r="B390" s="51" t="str">
        <v>机房钢梯</v>
      </c>
      <c r="C390" s="51" t="e">
        <v>#REF!</v>
      </c>
      <c r="D390" s="51" t="str">
        <v/>
      </c>
      <c r="E390" s="51" t="str">
        <v/>
      </c>
      <c r="F390" s="52" t="e">
        <v>#REF!</v>
      </c>
      <c r="G390" s="48" t="e">
        <v>#REF!</v>
      </c>
      <c r="H390" s="49">
        <v>0</v>
      </c>
      <c r="I390" s="49" t="e">
        <v>#REF!</v>
      </c>
      <c r="J390" s="50"/>
    </row>
    <row r="391" ht="28.8" outlineLevel="1" spans="1:10">
      <c r="A391" s="50">
        <v>324</v>
      </c>
      <c r="B391" s="51" t="str">
        <v>不同材质墙体交接处挂钢丝网</v>
      </c>
      <c r="C391" s="51" t="e">
        <v>#REF!</v>
      </c>
      <c r="D391" s="51" t="str">
        <v/>
      </c>
      <c r="E391" s="51" t="str">
        <v/>
      </c>
      <c r="F391" s="52" t="e">
        <v>#REF!</v>
      </c>
      <c r="G391" s="48" t="e">
        <v>#REF!</v>
      </c>
      <c r="H391" s="49">
        <v>219.36</v>
      </c>
      <c r="I391" s="49" t="e">
        <v>#REF!</v>
      </c>
      <c r="J391" s="50"/>
    </row>
    <row r="392" outlineLevel="1" spans="1:10">
      <c r="A392" s="50">
        <v>325</v>
      </c>
      <c r="B392" s="51" t="str">
        <v>砌块墙钢丝网满挂</v>
      </c>
      <c r="C392" s="51" t="e">
        <v>#REF!</v>
      </c>
      <c r="D392" s="51" t="str">
        <v/>
      </c>
      <c r="E392" s="51" t="str">
        <v/>
      </c>
      <c r="F392" s="52" t="e">
        <v>#REF!</v>
      </c>
      <c r="G392" s="48" t="e">
        <v>#REF!</v>
      </c>
      <c r="H392" s="49">
        <v>413.68</v>
      </c>
      <c r="I392" s="49" t="e">
        <v>#REF!</v>
      </c>
      <c r="J392" s="50"/>
    </row>
    <row r="393" outlineLevel="1" spans="1:10">
      <c r="A393" s="50">
        <v>326</v>
      </c>
      <c r="B393" s="51" t="str">
        <v>预埋铁件</v>
      </c>
      <c r="C393" s="51" t="e">
        <v>#REF!</v>
      </c>
      <c r="D393" s="51" t="str">
        <v/>
      </c>
      <c r="E393" s="51" t="str">
        <v/>
      </c>
      <c r="F393" s="52" t="e">
        <v>#REF!</v>
      </c>
      <c r="G393" s="48" t="e">
        <v>#REF!</v>
      </c>
      <c r="H393" s="49">
        <v>1.109</v>
      </c>
      <c r="I393" s="49" t="e">
        <v>#REF!</v>
      </c>
      <c r="J393" s="50"/>
    </row>
    <row r="394" outlineLevel="1" spans="1:10">
      <c r="A394" s="50" t="str">
        <v/>
      </c>
      <c r="B394" s="51" t="str">
        <v>A.04隔热防水工程</v>
      </c>
      <c r="C394" s="51" t="str">
        <v/>
      </c>
      <c r="D394" s="51" t="str">
        <v/>
      </c>
      <c r="E394" s="51" t="str">
        <v/>
      </c>
      <c r="F394" s="52" t="str">
        <v/>
      </c>
      <c r="G394" s="48" t="str">
        <v/>
      </c>
      <c r="H394" s="49">
        <v>0</v>
      </c>
      <c r="I394" s="49" t="e">
        <v>#REF!</v>
      </c>
      <c r="J394" s="50"/>
    </row>
    <row r="395" outlineLevel="1" spans="1:10">
      <c r="A395" s="50" t="str">
        <v/>
      </c>
      <c r="B395" s="51" t="str">
        <v>A.04.02屋面与防水工程</v>
      </c>
      <c r="C395" s="51" t="str">
        <v/>
      </c>
      <c r="D395" s="51" t="str">
        <v/>
      </c>
      <c r="E395" s="51" t="str">
        <v/>
      </c>
      <c r="F395" s="52" t="str">
        <v/>
      </c>
      <c r="G395" s="48" t="str">
        <v/>
      </c>
      <c r="H395" s="49">
        <v>0</v>
      </c>
      <c r="I395" s="49" t="e">
        <v>#REF!</v>
      </c>
      <c r="J395" s="50"/>
    </row>
    <row r="396" outlineLevel="1" spans="1:10">
      <c r="A396" s="50" t="str">
        <v/>
      </c>
      <c r="B396" s="51" t="str">
        <v>住宅上人屋面</v>
      </c>
      <c r="C396" s="51" t="str">
        <v/>
      </c>
      <c r="D396" s="51" t="str">
        <v/>
      </c>
      <c r="E396" s="51" t="str">
        <v/>
      </c>
      <c r="F396" s="52" t="str">
        <v/>
      </c>
      <c r="G396" s="48" t="str">
        <v/>
      </c>
      <c r="H396" s="49">
        <v>0</v>
      </c>
      <c r="I396" s="49">
        <v>0</v>
      </c>
      <c r="J396" s="50"/>
    </row>
    <row r="397" outlineLevel="1" spans="1:10">
      <c r="A397" s="50">
        <v>327</v>
      </c>
      <c r="B397" s="51" t="str">
        <v>屋面-40厚C20细石砼</v>
      </c>
      <c r="C397" s="51" t="e">
        <v>#REF!</v>
      </c>
      <c r="D397" s="51" t="str">
        <v/>
      </c>
      <c r="E397" s="51" t="str">
        <v/>
      </c>
      <c r="F397" s="52" t="e">
        <v>#REF!</v>
      </c>
      <c r="G397" s="48" t="e">
        <v>#REF!</v>
      </c>
      <c r="H397" s="49">
        <v>611.61</v>
      </c>
      <c r="I397" s="49" t="e">
        <v>#REF!</v>
      </c>
      <c r="J397" s="50"/>
    </row>
    <row r="398" outlineLevel="1" spans="1:10">
      <c r="A398" s="50">
        <v>328</v>
      </c>
      <c r="B398" s="51" t="str">
        <v>屋面-φ4@200钢筋网</v>
      </c>
      <c r="C398" s="51" t="e">
        <v>#REF!</v>
      </c>
      <c r="D398" s="51" t="str">
        <v/>
      </c>
      <c r="E398" s="51" t="str">
        <v/>
      </c>
      <c r="F398" s="52" t="e">
        <v>#REF!</v>
      </c>
      <c r="G398" s="48" t="e">
        <v>#REF!</v>
      </c>
      <c r="H398" s="49">
        <v>611.61</v>
      </c>
      <c r="I398" s="49" t="e">
        <v>#REF!</v>
      </c>
      <c r="J398" s="50"/>
    </row>
    <row r="399" outlineLevel="1" spans="1:10">
      <c r="A399" s="50">
        <v>329</v>
      </c>
      <c r="B399" s="51" t="str">
        <v>屋面-土工布</v>
      </c>
      <c r="C399" s="51" t="e">
        <v>#REF!</v>
      </c>
      <c r="D399" s="51" t="str">
        <v/>
      </c>
      <c r="E399" s="51" t="str">
        <v/>
      </c>
      <c r="F399" s="52" t="e">
        <v>#REF!</v>
      </c>
      <c r="G399" s="48" t="e">
        <v>#REF!</v>
      </c>
      <c r="H399" s="49">
        <v>611.61</v>
      </c>
      <c r="I399" s="49" t="e">
        <v>#REF!</v>
      </c>
      <c r="J399" s="50"/>
    </row>
    <row r="400" outlineLevel="1" spans="1:10">
      <c r="A400" s="50">
        <v>330</v>
      </c>
      <c r="B400" s="51" t="str">
        <v>屋面-3+3SBS</v>
      </c>
      <c r="C400" s="51" t="e">
        <v>#REF!</v>
      </c>
      <c r="D400" s="51" t="str">
        <v/>
      </c>
      <c r="E400" s="51" t="str">
        <v/>
      </c>
      <c r="F400" s="52" t="e">
        <v>#REF!</v>
      </c>
      <c r="G400" s="48" t="e">
        <v>#REF!</v>
      </c>
      <c r="H400" s="49">
        <v>611.61</v>
      </c>
      <c r="I400" s="49" t="e">
        <v>#REF!</v>
      </c>
      <c r="J400" s="50"/>
    </row>
    <row r="401" outlineLevel="1" spans="1:10">
      <c r="A401" s="50">
        <v>331</v>
      </c>
      <c r="B401" s="51" t="str">
        <v>屋面-30厚C20细石砼</v>
      </c>
      <c r="C401" s="51" t="e">
        <v>#REF!</v>
      </c>
      <c r="D401" s="51" t="str">
        <v>屋面</v>
      </c>
      <c r="E401" s="51" t="str">
        <v>屋面</v>
      </c>
      <c r="F401" s="52" t="e">
        <v>#REF!</v>
      </c>
      <c r="G401" s="48" t="e">
        <v>#REF!</v>
      </c>
      <c r="H401" s="49">
        <v>611.61</v>
      </c>
      <c r="I401" s="49" t="e">
        <v>#REF!</v>
      </c>
      <c r="J401" s="50"/>
    </row>
    <row r="402" outlineLevel="1" spans="1:10">
      <c r="A402" s="50">
        <v>332</v>
      </c>
      <c r="B402" s="51" t="str">
        <v>屋面-最薄处30厚焦渣找坡</v>
      </c>
      <c r="C402" s="51" t="e">
        <v>#REF!</v>
      </c>
      <c r="D402" s="51" t="str">
        <v/>
      </c>
      <c r="E402" s="51" t="str">
        <v/>
      </c>
      <c r="F402" s="52" t="e">
        <v>#REF!</v>
      </c>
      <c r="G402" s="48" t="e">
        <v>#REF!</v>
      </c>
      <c r="H402" s="49">
        <v>611.61</v>
      </c>
      <c r="I402" s="49" t="e">
        <v>#REF!</v>
      </c>
      <c r="J402" s="50"/>
    </row>
    <row r="403" outlineLevel="1" spans="1:10">
      <c r="A403" s="50">
        <v>333</v>
      </c>
      <c r="B403" s="51" t="str">
        <v>屋面-110厚XPS</v>
      </c>
      <c r="C403" s="51" t="e">
        <v>#REF!</v>
      </c>
      <c r="D403" s="51" t="str">
        <v/>
      </c>
      <c r="E403" s="51" t="str">
        <v/>
      </c>
      <c r="F403" s="52" t="e">
        <v>#REF!</v>
      </c>
      <c r="G403" s="48" t="e">
        <v>#REF!</v>
      </c>
      <c r="H403" s="49">
        <v>0</v>
      </c>
      <c r="I403" s="49" t="e">
        <v>#REF!</v>
      </c>
      <c r="J403" s="50"/>
    </row>
    <row r="404" outlineLevel="1" spans="1:10">
      <c r="A404" s="50">
        <v>334</v>
      </c>
      <c r="B404" s="51" t="str">
        <v>屋面-190厚EPS</v>
      </c>
      <c r="C404" s="51" t="e">
        <v>#REF!</v>
      </c>
      <c r="D404" s="51" t="str">
        <v/>
      </c>
      <c r="E404" s="51" t="str">
        <v/>
      </c>
      <c r="F404" s="52" t="e">
        <v>#REF!</v>
      </c>
      <c r="G404" s="48" t="e">
        <v>#REF!</v>
      </c>
      <c r="H404" s="49">
        <v>611.61</v>
      </c>
      <c r="I404" s="49" t="e">
        <v>#REF!</v>
      </c>
      <c r="J404" s="50"/>
    </row>
    <row r="405" outlineLevel="1" spans="1:10">
      <c r="A405" s="50" t="str">
        <v/>
      </c>
      <c r="B405" s="51" t="str">
        <v>被动式住宅屋面</v>
      </c>
      <c r="C405" s="51" t="str">
        <v/>
      </c>
      <c r="D405" s="51" t="str">
        <v/>
      </c>
      <c r="E405" s="51" t="str">
        <v/>
      </c>
      <c r="F405" s="52" t="str">
        <v/>
      </c>
      <c r="G405" s="48" t="str">
        <v/>
      </c>
      <c r="H405" s="49">
        <v>0</v>
      </c>
      <c r="I405" s="49">
        <v>0</v>
      </c>
      <c r="J405" s="50"/>
    </row>
    <row r="406" outlineLevel="1" spans="1:10">
      <c r="A406" s="50">
        <v>335</v>
      </c>
      <c r="B406" s="51" t="str">
        <v>屋面-40厚C20细石砼</v>
      </c>
      <c r="C406" s="51" t="e">
        <v>#REF!</v>
      </c>
      <c r="D406" s="51" t="str">
        <v/>
      </c>
      <c r="E406" s="51" t="str">
        <v/>
      </c>
      <c r="F406" s="52" t="e">
        <v>#REF!</v>
      </c>
      <c r="G406" s="48" t="e">
        <v>#REF!</v>
      </c>
      <c r="H406" s="49">
        <v>0</v>
      </c>
      <c r="I406" s="49" t="e">
        <v>#REF!</v>
      </c>
      <c r="J406" s="50"/>
    </row>
    <row r="407" outlineLevel="1" spans="1:10">
      <c r="A407" s="50">
        <v>336</v>
      </c>
      <c r="B407" s="51" t="str">
        <v>屋面-φ4@200钢筋网</v>
      </c>
      <c r="C407" s="51" t="e">
        <v>#REF!</v>
      </c>
      <c r="D407" s="51" t="str">
        <v/>
      </c>
      <c r="E407" s="51" t="str">
        <v/>
      </c>
      <c r="F407" s="52" t="e">
        <v>#REF!</v>
      </c>
      <c r="G407" s="48" t="e">
        <v>#REF!</v>
      </c>
      <c r="H407" s="49">
        <v>0</v>
      </c>
      <c r="I407" s="49" t="e">
        <v>#REF!</v>
      </c>
      <c r="J407" s="50"/>
    </row>
    <row r="408" outlineLevel="1" spans="1:10">
      <c r="A408" s="50">
        <v>337</v>
      </c>
      <c r="B408" s="51" t="str">
        <v>屋面-M7.5水泥砂浆</v>
      </c>
      <c r="C408" s="51" t="e">
        <v>#REF!</v>
      </c>
      <c r="D408" s="51" t="str">
        <v/>
      </c>
      <c r="E408" s="51" t="str">
        <v/>
      </c>
      <c r="F408" s="52" t="e">
        <v>#REF!</v>
      </c>
      <c r="G408" s="48" t="e">
        <v>#REF!</v>
      </c>
      <c r="H408" s="49">
        <v>0</v>
      </c>
      <c r="I408" s="49" t="e">
        <v>#REF!</v>
      </c>
      <c r="J408" s="50"/>
    </row>
    <row r="409" ht="28.8" outlineLevel="1" spans="1:10">
      <c r="A409" s="50">
        <v>338</v>
      </c>
      <c r="B409" s="51" t="str">
        <v>屋面-4厚PE玻纤加强聚酯胎卷材</v>
      </c>
      <c r="C409" s="51" t="e">
        <v>#REF!</v>
      </c>
      <c r="D409" s="51" t="str">
        <v/>
      </c>
      <c r="E409" s="51" t="str">
        <v/>
      </c>
      <c r="F409" s="52" t="e">
        <v>#REF!</v>
      </c>
      <c r="G409" s="48" t="e">
        <v>#REF!</v>
      </c>
      <c r="H409" s="49">
        <v>0</v>
      </c>
      <c r="I409" s="49" t="e">
        <v>#REF!</v>
      </c>
      <c r="J409" s="50"/>
    </row>
    <row r="410" outlineLevel="1" spans="1:10">
      <c r="A410" s="50">
        <v>339</v>
      </c>
      <c r="B410" s="51" t="str">
        <v>屋面-3厚PE玻纤胎卷材</v>
      </c>
      <c r="C410" s="51" t="e">
        <v>#REF!</v>
      </c>
      <c r="D410" s="51" t="str">
        <v/>
      </c>
      <c r="E410" s="51" t="str">
        <v/>
      </c>
      <c r="F410" s="52" t="e">
        <v>#REF!</v>
      </c>
      <c r="G410" s="48" t="e">
        <v>#REF!</v>
      </c>
      <c r="H410" s="49">
        <v>0</v>
      </c>
      <c r="I410" s="49" t="e">
        <v>#REF!</v>
      </c>
      <c r="J410" s="50"/>
    </row>
    <row r="411" outlineLevel="1" spans="1:10">
      <c r="A411" s="50">
        <v>340</v>
      </c>
      <c r="B411" s="51" t="str">
        <v>屋面-250厚石墨聚苯板</v>
      </c>
      <c r="C411" s="51" t="e">
        <v>#REF!</v>
      </c>
      <c r="D411" s="51" t="str">
        <v/>
      </c>
      <c r="E411" s="51" t="str">
        <v/>
      </c>
      <c r="F411" s="52" t="e">
        <v>#REF!</v>
      </c>
      <c r="G411" s="48" t="e">
        <v>#REF!</v>
      </c>
      <c r="H411" s="49">
        <v>0</v>
      </c>
      <c r="I411" s="49" t="e">
        <v>#REF!</v>
      </c>
      <c r="J411" s="50"/>
    </row>
    <row r="412" outlineLevel="1" spans="1:10">
      <c r="A412" s="50">
        <v>341</v>
      </c>
      <c r="B412" s="51" t="str">
        <v>屋面-1.2铝箔面玻纤胎卷材</v>
      </c>
      <c r="C412" s="51" t="e">
        <v>#REF!</v>
      </c>
      <c r="D412" s="51" t="str">
        <v/>
      </c>
      <c r="E412" s="51" t="str">
        <v/>
      </c>
      <c r="F412" s="52" t="e">
        <v>#REF!</v>
      </c>
      <c r="G412" s="48" t="e">
        <v>#REF!</v>
      </c>
      <c r="H412" s="49">
        <v>0</v>
      </c>
      <c r="I412" s="49" t="e">
        <v>#REF!</v>
      </c>
      <c r="J412" s="50"/>
    </row>
    <row r="413" outlineLevel="1" spans="1:10">
      <c r="A413" s="50">
        <v>342</v>
      </c>
      <c r="B413" s="51" t="str">
        <v>屋面-30厚C20细石砼找坡</v>
      </c>
      <c r="C413" s="51" t="e">
        <v>#REF!</v>
      </c>
      <c r="D413" s="51" t="str">
        <v/>
      </c>
      <c r="E413" s="51" t="str">
        <v/>
      </c>
      <c r="F413" s="52" t="e">
        <v>#REF!</v>
      </c>
      <c r="G413" s="48" t="e">
        <v>#REF!</v>
      </c>
      <c r="H413" s="49">
        <v>0</v>
      </c>
      <c r="I413" s="49" t="e">
        <v>#REF!</v>
      </c>
      <c r="J413" s="50"/>
    </row>
    <row r="414" ht="28.8" outlineLevel="1" spans="1:10">
      <c r="A414" s="50" t="str">
        <v/>
      </c>
      <c r="B414" s="51" t="str">
        <v>住宅非上人屋面（楼梯间.门厅.水箱间等）</v>
      </c>
      <c r="C414" s="51" t="str">
        <v/>
      </c>
      <c r="D414" s="51" t="str">
        <v/>
      </c>
      <c r="E414" s="51" t="str">
        <v/>
      </c>
      <c r="F414" s="52" t="str">
        <v/>
      </c>
      <c r="G414" s="48" t="str">
        <v/>
      </c>
      <c r="H414" s="49">
        <v>0</v>
      </c>
      <c r="I414" s="49">
        <v>0</v>
      </c>
      <c r="J414" s="50"/>
    </row>
    <row r="415" ht="28.8" outlineLevel="1" spans="1:10">
      <c r="A415" s="50">
        <v>343</v>
      </c>
      <c r="B415" s="51" t="str">
        <v>屋面-20厚M15水泥砂浆保护层</v>
      </c>
      <c r="C415" s="51" t="e">
        <v>#REF!</v>
      </c>
      <c r="D415" s="51" t="str">
        <v/>
      </c>
      <c r="E415" s="51" t="str">
        <v/>
      </c>
      <c r="F415" s="52" t="e">
        <v>#REF!</v>
      </c>
      <c r="G415" s="48" t="e">
        <v>#REF!</v>
      </c>
      <c r="H415" s="49">
        <v>0</v>
      </c>
      <c r="I415" s="49" t="e">
        <v>#REF!</v>
      </c>
      <c r="J415" s="50"/>
    </row>
    <row r="416" outlineLevel="1" spans="1:10">
      <c r="A416" s="50">
        <v>344</v>
      </c>
      <c r="B416" s="51" t="str">
        <v>屋面-土工布</v>
      </c>
      <c r="C416" s="51" t="e">
        <v>#REF!</v>
      </c>
      <c r="D416" s="51" t="str">
        <v/>
      </c>
      <c r="E416" s="51" t="str">
        <v/>
      </c>
      <c r="F416" s="52" t="e">
        <v>#REF!</v>
      </c>
      <c r="G416" s="48" t="e">
        <v>#REF!</v>
      </c>
      <c r="H416" s="49">
        <v>0</v>
      </c>
      <c r="I416" s="49" t="e">
        <v>#REF!</v>
      </c>
      <c r="J416" s="50"/>
    </row>
    <row r="417" outlineLevel="1" spans="1:10">
      <c r="A417" s="50">
        <v>345</v>
      </c>
      <c r="B417" s="51" t="str">
        <v>屋面-3+3SBS</v>
      </c>
      <c r="C417" s="51" t="e">
        <v>#REF!</v>
      </c>
      <c r="D417" s="51" t="str">
        <v/>
      </c>
      <c r="E417" s="51" t="str">
        <v/>
      </c>
      <c r="F417" s="52" t="e">
        <v>#REF!</v>
      </c>
      <c r="G417" s="48" t="e">
        <v>#REF!</v>
      </c>
      <c r="H417" s="49">
        <v>0</v>
      </c>
      <c r="I417" s="49" t="e">
        <v>#REF!</v>
      </c>
      <c r="J417" s="50"/>
    </row>
    <row r="418" outlineLevel="1" spans="1:10">
      <c r="A418" s="50">
        <v>346</v>
      </c>
      <c r="B418" s="51" t="str">
        <v>屋面-30厚C20细石砼</v>
      </c>
      <c r="C418" s="51" t="e">
        <v>#REF!</v>
      </c>
      <c r="D418" s="51" t="str">
        <v/>
      </c>
      <c r="E418" s="51" t="str">
        <v/>
      </c>
      <c r="F418" s="52" t="e">
        <v>#REF!</v>
      </c>
      <c r="G418" s="48" t="e">
        <v>#REF!</v>
      </c>
      <c r="H418" s="49">
        <v>0</v>
      </c>
      <c r="I418" s="49" t="e">
        <v>#REF!</v>
      </c>
      <c r="J418" s="50"/>
    </row>
    <row r="419" outlineLevel="1" spans="1:10">
      <c r="A419" s="50">
        <v>347</v>
      </c>
      <c r="B419" s="51" t="str">
        <v>屋面-最薄处30厚焦渣找坡</v>
      </c>
      <c r="C419" s="51" t="e">
        <v>#REF!</v>
      </c>
      <c r="D419" s="51" t="str">
        <v/>
      </c>
      <c r="E419" s="51" t="str">
        <v/>
      </c>
      <c r="F419" s="52" t="e">
        <v>#REF!</v>
      </c>
      <c r="G419" s="48" t="e">
        <v>#REF!</v>
      </c>
      <c r="H419" s="49">
        <v>0</v>
      </c>
      <c r="I419" s="49" t="e">
        <v>#REF!</v>
      </c>
      <c r="J419" s="50"/>
    </row>
    <row r="420" outlineLevel="1" spans="1:10">
      <c r="A420" s="50">
        <v>348</v>
      </c>
      <c r="B420" s="51" t="str">
        <v>屋面-110厚XPS</v>
      </c>
      <c r="C420" s="51" t="e">
        <v>#REF!</v>
      </c>
      <c r="D420" s="51" t="str">
        <v/>
      </c>
      <c r="E420" s="51" t="str">
        <v/>
      </c>
      <c r="F420" s="52" t="e">
        <v>#REF!</v>
      </c>
      <c r="G420" s="48" t="e">
        <v>#REF!</v>
      </c>
      <c r="H420" s="49">
        <v>0</v>
      </c>
      <c r="I420" s="49" t="e">
        <v>#REF!</v>
      </c>
      <c r="J420" s="50"/>
    </row>
    <row r="421" outlineLevel="1" spans="1:10">
      <c r="A421" s="50">
        <v>349</v>
      </c>
      <c r="B421" s="51" t="str">
        <v>屋面-190厚EPS</v>
      </c>
      <c r="C421" s="51" t="e">
        <v>#REF!</v>
      </c>
      <c r="D421" s="51" t="str">
        <v/>
      </c>
      <c r="E421" s="51" t="str">
        <v/>
      </c>
      <c r="F421" s="52" t="e">
        <v>#REF!</v>
      </c>
      <c r="G421" s="48" t="e">
        <v>#REF!</v>
      </c>
      <c r="H421" s="49">
        <v>0</v>
      </c>
      <c r="I421" s="49" t="e">
        <v>#REF!</v>
      </c>
      <c r="J421" s="50"/>
    </row>
    <row r="422" ht="28.8" outlineLevel="1" spans="1:10">
      <c r="A422" s="50" t="str">
        <v/>
      </c>
      <c r="B422" s="51" t="str">
        <v>住宅非上人屋面（楼梯间.门厅.水箱间等）与主楼相连</v>
      </c>
      <c r="C422" s="51" t="str">
        <v/>
      </c>
      <c r="D422" s="51" t="str">
        <v/>
      </c>
      <c r="E422" s="51" t="str">
        <v/>
      </c>
      <c r="F422" s="52" t="str">
        <v/>
      </c>
      <c r="G422" s="48" t="str">
        <v/>
      </c>
      <c r="H422" s="49">
        <v>0</v>
      </c>
      <c r="I422" s="49">
        <v>0</v>
      </c>
      <c r="J422" s="50"/>
    </row>
    <row r="423" ht="28.8" outlineLevel="1" spans="1:10">
      <c r="A423" s="50">
        <v>350</v>
      </c>
      <c r="B423" s="51" t="str">
        <v>屋面-20厚M15水泥砂浆保护层</v>
      </c>
      <c r="C423" s="51" t="e">
        <v>#REF!</v>
      </c>
      <c r="D423" s="51" t="str">
        <v/>
      </c>
      <c r="E423" s="51" t="str">
        <v/>
      </c>
      <c r="F423" s="52" t="e">
        <v>#REF!</v>
      </c>
      <c r="G423" s="48" t="e">
        <v>#REF!</v>
      </c>
      <c r="H423" s="49">
        <v>1</v>
      </c>
      <c r="I423" s="49" t="e">
        <v>#REF!</v>
      </c>
      <c r="J423" s="50"/>
    </row>
    <row r="424" outlineLevel="1" spans="1:10">
      <c r="A424" s="50">
        <v>351</v>
      </c>
      <c r="B424" s="51" t="str">
        <v>屋面-土工布</v>
      </c>
      <c r="C424" s="51" t="e">
        <v>#REF!</v>
      </c>
      <c r="D424" s="51" t="str">
        <v/>
      </c>
      <c r="E424" s="51" t="str">
        <v/>
      </c>
      <c r="F424" s="52" t="e">
        <v>#REF!</v>
      </c>
      <c r="G424" s="48" t="e">
        <v>#REF!</v>
      </c>
      <c r="H424" s="49">
        <v>1</v>
      </c>
      <c r="I424" s="49" t="e">
        <v>#REF!</v>
      </c>
      <c r="J424" s="50"/>
    </row>
    <row r="425" outlineLevel="1" spans="1:10">
      <c r="A425" s="50">
        <v>352</v>
      </c>
      <c r="B425" s="51" t="str">
        <v>屋面-4厚SBS</v>
      </c>
      <c r="C425" s="51" t="e">
        <v>#REF!</v>
      </c>
      <c r="D425" s="51" t="str">
        <v/>
      </c>
      <c r="E425" s="51" t="str">
        <v/>
      </c>
      <c r="F425" s="52" t="e">
        <v>#REF!</v>
      </c>
      <c r="G425" s="48" t="e">
        <v>#REF!</v>
      </c>
      <c r="H425" s="49">
        <v>1</v>
      </c>
      <c r="I425" s="49" t="e">
        <v>#REF!</v>
      </c>
      <c r="J425" s="50"/>
    </row>
    <row r="426" outlineLevel="1" spans="1:10">
      <c r="A426" s="50">
        <v>353</v>
      </c>
      <c r="B426" s="51" t="str">
        <v>屋面-30厚C20细石砼</v>
      </c>
      <c r="C426" s="51" t="e">
        <v>#REF!</v>
      </c>
      <c r="D426" s="51" t="str">
        <v/>
      </c>
      <c r="E426" s="51" t="str">
        <v/>
      </c>
      <c r="F426" s="52" t="e">
        <v>#REF!</v>
      </c>
      <c r="G426" s="48" t="e">
        <v>#REF!</v>
      </c>
      <c r="H426" s="49">
        <v>1</v>
      </c>
      <c r="I426" s="49" t="e">
        <v>#REF!</v>
      </c>
      <c r="J426" s="50"/>
    </row>
    <row r="427" outlineLevel="1" spans="1:10">
      <c r="A427" s="50">
        <v>354</v>
      </c>
      <c r="B427" s="51" t="str">
        <v>屋面-最薄处30厚焦渣找坡</v>
      </c>
      <c r="C427" s="51" t="e">
        <v>#REF!</v>
      </c>
      <c r="D427" s="51" t="str">
        <v/>
      </c>
      <c r="E427" s="51" t="str">
        <v/>
      </c>
      <c r="F427" s="52" t="e">
        <v>#REF!</v>
      </c>
      <c r="G427" s="48" t="e">
        <v>#REF!</v>
      </c>
      <c r="H427" s="49">
        <v>1</v>
      </c>
      <c r="I427" s="49" t="e">
        <v>#REF!</v>
      </c>
      <c r="J427" s="50"/>
    </row>
    <row r="428" outlineLevel="1" spans="1:10">
      <c r="A428" s="50">
        <v>355</v>
      </c>
      <c r="B428" s="51" t="str">
        <v>屋面-190厚EPS</v>
      </c>
      <c r="C428" s="51" t="e">
        <v>#REF!</v>
      </c>
      <c r="D428" s="51" t="str">
        <v/>
      </c>
      <c r="E428" s="51" t="str">
        <v/>
      </c>
      <c r="F428" s="52" t="e">
        <v>#REF!</v>
      </c>
      <c r="G428" s="48" t="e">
        <v>#REF!</v>
      </c>
      <c r="H428" s="49">
        <v>1</v>
      </c>
      <c r="I428" s="49" t="e">
        <v>#REF!</v>
      </c>
      <c r="J428" s="50"/>
    </row>
    <row r="429" ht="28.8" outlineLevel="1" spans="1:10">
      <c r="A429" s="50" t="str">
        <v/>
      </c>
      <c r="B429" s="51" t="str">
        <v>住宅非上人屋面（楼梯间.门厅.水箱间等）不与主楼相连</v>
      </c>
      <c r="C429" s="51" t="str">
        <v/>
      </c>
      <c r="D429" s="51" t="str">
        <v/>
      </c>
      <c r="E429" s="51" t="str">
        <v/>
      </c>
      <c r="F429" s="52" t="str">
        <v/>
      </c>
      <c r="G429" s="48" t="str">
        <v/>
      </c>
      <c r="H429" s="49">
        <v>0</v>
      </c>
      <c r="I429" s="49">
        <v>0</v>
      </c>
      <c r="J429" s="50"/>
    </row>
    <row r="430" ht="28.8" outlineLevel="1" spans="1:10">
      <c r="A430" s="50">
        <v>356</v>
      </c>
      <c r="B430" s="51" t="str">
        <v>屋面-20厚M15水泥砂浆保护层</v>
      </c>
      <c r="C430" s="51" t="e">
        <v>#REF!</v>
      </c>
      <c r="D430" s="51" t="str">
        <v/>
      </c>
      <c r="E430" s="51" t="str">
        <v/>
      </c>
      <c r="F430" s="52" t="e">
        <v>#REF!</v>
      </c>
      <c r="G430" s="48" t="e">
        <v>#REF!</v>
      </c>
      <c r="H430" s="49">
        <v>1</v>
      </c>
      <c r="I430" s="49" t="e">
        <v>#REF!</v>
      </c>
      <c r="J430" s="50"/>
    </row>
    <row r="431" outlineLevel="1" spans="1:10">
      <c r="A431" s="50">
        <v>357</v>
      </c>
      <c r="B431" s="51" t="str">
        <v>屋面-土工布</v>
      </c>
      <c r="C431" s="51" t="e">
        <v>#REF!</v>
      </c>
      <c r="D431" s="51" t="str">
        <v/>
      </c>
      <c r="E431" s="51" t="str">
        <v/>
      </c>
      <c r="F431" s="52" t="e">
        <v>#REF!</v>
      </c>
      <c r="G431" s="48" t="e">
        <v>#REF!</v>
      </c>
      <c r="H431" s="49">
        <v>1</v>
      </c>
      <c r="I431" s="49" t="e">
        <v>#REF!</v>
      </c>
      <c r="J431" s="50"/>
    </row>
    <row r="432" outlineLevel="1" spans="1:10">
      <c r="A432" s="50">
        <v>358</v>
      </c>
      <c r="B432" s="51" t="str">
        <v>屋面-4厚SBS</v>
      </c>
      <c r="C432" s="51" t="e">
        <v>#REF!</v>
      </c>
      <c r="D432" s="51" t="str">
        <v/>
      </c>
      <c r="E432" s="51" t="str">
        <v/>
      </c>
      <c r="F432" s="52" t="e">
        <v>#REF!</v>
      </c>
      <c r="G432" s="48" t="e">
        <v>#REF!</v>
      </c>
      <c r="H432" s="49">
        <v>1</v>
      </c>
      <c r="I432" s="49" t="e">
        <v>#REF!</v>
      </c>
      <c r="J432" s="50"/>
    </row>
    <row r="433" outlineLevel="1" spans="1:10">
      <c r="A433" s="50">
        <v>359</v>
      </c>
      <c r="B433" s="51" t="str">
        <v>屋面-30厚C20细石砼</v>
      </c>
      <c r="C433" s="51" t="e">
        <v>#REF!</v>
      </c>
      <c r="D433" s="51" t="str">
        <v/>
      </c>
      <c r="E433" s="51" t="str">
        <v/>
      </c>
      <c r="F433" s="52" t="e">
        <v>#REF!</v>
      </c>
      <c r="G433" s="48" t="e">
        <v>#REF!</v>
      </c>
      <c r="H433" s="49">
        <v>1</v>
      </c>
      <c r="I433" s="49" t="e">
        <v>#REF!</v>
      </c>
      <c r="J433" s="50"/>
    </row>
    <row r="434" outlineLevel="1" spans="1:10">
      <c r="A434" s="50">
        <v>360</v>
      </c>
      <c r="B434" s="51" t="str">
        <v>屋面-最薄处30厚焦渣找坡</v>
      </c>
      <c r="C434" s="51" t="e">
        <v>#REF!</v>
      </c>
      <c r="D434" s="51" t="str">
        <v/>
      </c>
      <c r="E434" s="51" t="str">
        <v/>
      </c>
      <c r="F434" s="52" t="e">
        <v>#REF!</v>
      </c>
      <c r="G434" s="48" t="e">
        <v>#REF!</v>
      </c>
      <c r="H434" s="49">
        <v>1</v>
      </c>
      <c r="I434" s="49" t="e">
        <v>#REF!</v>
      </c>
      <c r="J434" s="50"/>
    </row>
    <row r="435" outlineLevel="1" spans="1:10">
      <c r="A435" s="50" t="str">
        <v/>
      </c>
      <c r="B435" s="51" t="str">
        <v>住宅屋面挑檐</v>
      </c>
      <c r="C435" s="51" t="str">
        <v/>
      </c>
      <c r="D435" s="51" t="str">
        <v/>
      </c>
      <c r="E435" s="51" t="str">
        <v/>
      </c>
      <c r="F435" s="52" t="str">
        <v/>
      </c>
      <c r="G435" s="48" t="str">
        <v/>
      </c>
      <c r="H435" s="49">
        <v>0</v>
      </c>
      <c r="I435" s="49">
        <v>0</v>
      </c>
      <c r="J435" s="50"/>
    </row>
    <row r="436" ht="28.8" outlineLevel="1" spans="1:10">
      <c r="A436" s="50">
        <v>361</v>
      </c>
      <c r="B436" s="51" t="str">
        <v>屋面-20厚M15水泥砂浆保护层</v>
      </c>
      <c r="C436" s="51" t="e">
        <v>#REF!</v>
      </c>
      <c r="D436" s="51" t="str">
        <v/>
      </c>
      <c r="E436" s="51" t="str">
        <v/>
      </c>
      <c r="F436" s="52" t="e">
        <v>#REF!</v>
      </c>
      <c r="G436" s="48" t="e">
        <v>#REF!</v>
      </c>
      <c r="H436" s="49">
        <v>1</v>
      </c>
      <c r="I436" s="49" t="e">
        <v>#REF!</v>
      </c>
      <c r="J436" s="50"/>
    </row>
    <row r="437" outlineLevel="1" spans="1:10">
      <c r="A437" s="50">
        <v>362</v>
      </c>
      <c r="B437" s="51" t="str">
        <v>屋面-土工布</v>
      </c>
      <c r="C437" s="51" t="e">
        <v>#REF!</v>
      </c>
      <c r="D437" s="51" t="str">
        <v/>
      </c>
      <c r="E437" s="51" t="str">
        <v/>
      </c>
      <c r="F437" s="52" t="e">
        <v>#REF!</v>
      </c>
      <c r="G437" s="48" t="e">
        <v>#REF!</v>
      </c>
      <c r="H437" s="49">
        <v>1</v>
      </c>
      <c r="I437" s="49" t="e">
        <v>#REF!</v>
      </c>
      <c r="J437" s="50"/>
    </row>
    <row r="438" outlineLevel="1" spans="1:10">
      <c r="A438" s="50">
        <v>363</v>
      </c>
      <c r="B438" s="51" t="str">
        <v>屋面-4厚SBS</v>
      </c>
      <c r="C438" s="51" t="e">
        <v>#REF!</v>
      </c>
      <c r="D438" s="51" t="str">
        <v/>
      </c>
      <c r="E438" s="51" t="str">
        <v/>
      </c>
      <c r="F438" s="52" t="e">
        <v>#REF!</v>
      </c>
      <c r="G438" s="48" t="e">
        <v>#REF!</v>
      </c>
      <c r="H438" s="49">
        <v>1</v>
      </c>
      <c r="I438" s="49" t="e">
        <v>#REF!</v>
      </c>
      <c r="J438" s="50"/>
    </row>
    <row r="439" outlineLevel="1" spans="1:10">
      <c r="A439" s="50">
        <v>364</v>
      </c>
      <c r="B439" s="51" t="str">
        <v>屋面-20厚M20水泥砂浆找坡</v>
      </c>
      <c r="C439" s="51" t="e">
        <v>#REF!</v>
      </c>
      <c r="D439" s="51" t="str">
        <v/>
      </c>
      <c r="E439" s="51" t="str">
        <v/>
      </c>
      <c r="F439" s="52" t="e">
        <v>#REF!</v>
      </c>
      <c r="G439" s="48" t="e">
        <v>#REF!</v>
      </c>
      <c r="H439" s="49">
        <v>1</v>
      </c>
      <c r="I439" s="49" t="e">
        <v>#REF!</v>
      </c>
      <c r="J439" s="50"/>
    </row>
    <row r="440" outlineLevel="1" spans="1:10">
      <c r="A440" s="50" t="str">
        <v/>
      </c>
      <c r="B440" s="51" t="str">
        <v>住宅坡屋面</v>
      </c>
      <c r="C440" s="51" t="str">
        <v/>
      </c>
      <c r="D440" s="51" t="str">
        <v/>
      </c>
      <c r="E440" s="51" t="str">
        <v/>
      </c>
      <c r="F440" s="52" t="str">
        <v/>
      </c>
      <c r="G440" s="48" t="str">
        <v/>
      </c>
      <c r="H440" s="49">
        <v>0</v>
      </c>
      <c r="I440" s="49">
        <v>0</v>
      </c>
      <c r="J440" s="50"/>
    </row>
    <row r="441" outlineLevel="1" spans="1:10">
      <c r="A441" s="50">
        <v>365</v>
      </c>
      <c r="B441" s="51" t="str">
        <v>屋面-45厚C20细石砼</v>
      </c>
      <c r="C441" s="51" t="e">
        <v>#REF!</v>
      </c>
      <c r="D441" s="51" t="str">
        <v/>
      </c>
      <c r="E441" s="51" t="str">
        <v/>
      </c>
      <c r="F441" s="52" t="e">
        <v>#REF!</v>
      </c>
      <c r="G441" s="48" t="e">
        <v>#REF!</v>
      </c>
      <c r="H441" s="49">
        <v>1</v>
      </c>
      <c r="I441" s="49" t="e">
        <v>#REF!</v>
      </c>
      <c r="J441" s="50"/>
    </row>
    <row r="442" outlineLevel="1" spans="1:10">
      <c r="A442" s="50">
        <v>366</v>
      </c>
      <c r="B442" s="51" t="str">
        <v>屋面-φ4@200钢筋网</v>
      </c>
      <c r="C442" s="51" t="e">
        <v>#REF!</v>
      </c>
      <c r="D442" s="51" t="str">
        <v/>
      </c>
      <c r="E442" s="51" t="str">
        <v/>
      </c>
      <c r="F442" s="52" t="e">
        <v>#REF!</v>
      </c>
      <c r="G442" s="48" t="e">
        <v>#REF!</v>
      </c>
      <c r="H442" s="49">
        <v>1</v>
      </c>
      <c r="I442" s="49" t="e">
        <v>#REF!</v>
      </c>
      <c r="J442" s="50"/>
    </row>
    <row r="443" outlineLevel="1" spans="1:10">
      <c r="A443" s="50">
        <v>367</v>
      </c>
      <c r="B443" s="51" t="str">
        <v>屋面-土工布</v>
      </c>
      <c r="C443" s="51" t="e">
        <v>#REF!</v>
      </c>
      <c r="D443" s="51" t="str">
        <v/>
      </c>
      <c r="E443" s="51" t="str">
        <v/>
      </c>
      <c r="F443" s="52" t="e">
        <v>#REF!</v>
      </c>
      <c r="G443" s="48" t="e">
        <v>#REF!</v>
      </c>
      <c r="H443" s="49">
        <v>1</v>
      </c>
      <c r="I443" s="49" t="e">
        <v>#REF!</v>
      </c>
      <c r="J443" s="50"/>
    </row>
    <row r="444" outlineLevel="1" spans="1:10">
      <c r="A444" s="50">
        <v>368</v>
      </c>
      <c r="B444" s="51" t="str">
        <v>屋面-4厚SBS</v>
      </c>
      <c r="C444" s="51" t="e">
        <v>#REF!</v>
      </c>
      <c r="D444" s="51" t="str">
        <v/>
      </c>
      <c r="E444" s="51" t="str">
        <v/>
      </c>
      <c r="F444" s="52" t="e">
        <v>#REF!</v>
      </c>
      <c r="G444" s="48" t="e">
        <v>#REF!</v>
      </c>
      <c r="H444" s="49">
        <v>1</v>
      </c>
      <c r="I444" s="49" t="e">
        <v>#REF!</v>
      </c>
      <c r="J444" s="50"/>
    </row>
    <row r="445" outlineLevel="1" spans="1:10">
      <c r="A445" s="50">
        <v>369</v>
      </c>
      <c r="B445" s="51" t="str">
        <v>屋面-30厚C20细石砼</v>
      </c>
      <c r="C445" s="51" t="e">
        <v>#REF!</v>
      </c>
      <c r="D445" s="51" t="str">
        <v/>
      </c>
      <c r="E445" s="51" t="str">
        <v/>
      </c>
      <c r="F445" s="52" t="e">
        <v>#REF!</v>
      </c>
      <c r="G445" s="48" t="e">
        <v>#REF!</v>
      </c>
      <c r="H445" s="49">
        <v>1</v>
      </c>
      <c r="I445" s="49" t="e">
        <v>#REF!</v>
      </c>
      <c r="J445" s="50"/>
    </row>
    <row r="446" outlineLevel="1" spans="1:10">
      <c r="A446" s="50">
        <v>370</v>
      </c>
      <c r="B446" s="51" t="str">
        <v>屋面-190厚EPS聚苯板</v>
      </c>
      <c r="C446" s="51" t="e">
        <v>#REF!</v>
      </c>
      <c r="D446" s="51" t="str">
        <v/>
      </c>
      <c r="E446" s="51" t="str">
        <v/>
      </c>
      <c r="F446" s="52" t="e">
        <v>#REF!</v>
      </c>
      <c r="G446" s="48" t="e">
        <v>#REF!</v>
      </c>
      <c r="H446" s="49">
        <v>1</v>
      </c>
      <c r="I446" s="49" t="e">
        <v>#REF!</v>
      </c>
      <c r="J446" s="50"/>
    </row>
    <row r="447" outlineLevel="1" spans="1:10">
      <c r="A447" s="50" t="str">
        <v/>
      </c>
      <c r="B447" s="51" t="str">
        <v>住宅坡女儿墙（法式）</v>
      </c>
      <c r="C447" s="51" t="str">
        <v/>
      </c>
      <c r="D447" s="51" t="str">
        <v/>
      </c>
      <c r="E447" s="51" t="str">
        <v/>
      </c>
      <c r="F447" s="52" t="str">
        <v/>
      </c>
      <c r="G447" s="48" t="str">
        <v/>
      </c>
      <c r="H447" s="49">
        <v>0</v>
      </c>
      <c r="I447" s="49">
        <v>0</v>
      </c>
      <c r="J447" s="50"/>
    </row>
    <row r="448" outlineLevel="1" spans="1:10">
      <c r="A448" s="50">
        <v>371</v>
      </c>
      <c r="B448" s="51" t="str">
        <v>屋面-屋面瓦</v>
      </c>
      <c r="C448" s="51" t="e">
        <v>#REF!</v>
      </c>
      <c r="D448" s="51" t="str">
        <v/>
      </c>
      <c r="E448" s="51" t="str">
        <v/>
      </c>
      <c r="F448" s="52" t="e">
        <v>#REF!</v>
      </c>
      <c r="G448" s="48" t="e">
        <v>#REF!</v>
      </c>
      <c r="H448" s="49">
        <v>1</v>
      </c>
      <c r="I448" s="49" t="e">
        <v>#REF!</v>
      </c>
      <c r="J448" s="50"/>
    </row>
    <row r="449" outlineLevel="1" spans="1:10">
      <c r="A449" s="50">
        <v>372</v>
      </c>
      <c r="B449" s="51" t="str">
        <v>屋面-20厚无机保温砂浆I型</v>
      </c>
      <c r="C449" s="51" t="e">
        <v>#REF!</v>
      </c>
      <c r="D449" s="51" t="str">
        <v/>
      </c>
      <c r="E449" s="51" t="str">
        <v/>
      </c>
      <c r="F449" s="52" t="e">
        <v>#REF!</v>
      </c>
      <c r="G449" s="48" t="e">
        <v>#REF!</v>
      </c>
      <c r="H449" s="49">
        <v>1</v>
      </c>
      <c r="I449" s="49" t="e">
        <v>#REF!</v>
      </c>
      <c r="J449" s="50"/>
    </row>
    <row r="450" outlineLevel="1" spans="1:10">
      <c r="A450" s="50">
        <v>373</v>
      </c>
      <c r="B450" s="51" t="str">
        <v>屋面-风井窗井</v>
      </c>
      <c r="C450" s="51" t="e">
        <v>#REF!</v>
      </c>
      <c r="D450" s="51" t="str">
        <v/>
      </c>
      <c r="E450" s="51" t="str">
        <v/>
      </c>
      <c r="F450" s="52" t="e">
        <v>#REF!</v>
      </c>
      <c r="G450" s="48" t="e">
        <v>#REF!</v>
      </c>
      <c r="H450" s="49">
        <v>0</v>
      </c>
      <c r="I450" s="49" t="e">
        <v>#REF!</v>
      </c>
      <c r="J450" s="50"/>
    </row>
    <row r="451" outlineLevel="1" spans="1:10">
      <c r="A451" s="50">
        <v>374</v>
      </c>
      <c r="B451" s="51" t="str">
        <v>屋面-雨棚上</v>
      </c>
      <c r="C451" s="51" t="e">
        <v>#REF!</v>
      </c>
      <c r="D451" s="51" t="str">
        <v/>
      </c>
      <c r="E451" s="51" t="str">
        <v/>
      </c>
      <c r="F451" s="52" t="e">
        <v>#REF!</v>
      </c>
      <c r="G451" s="48" t="e">
        <v>#REF!</v>
      </c>
      <c r="H451" s="49">
        <v>0</v>
      </c>
      <c r="I451" s="49" t="e">
        <v>#REF!</v>
      </c>
      <c r="J451" s="50"/>
    </row>
    <row r="452" outlineLevel="1" spans="1:10">
      <c r="A452" s="50">
        <v>375</v>
      </c>
      <c r="B452" s="51" t="str">
        <v>墙面防水-墙基防潮层</v>
      </c>
      <c r="C452" s="51" t="e">
        <v>#REF!</v>
      </c>
      <c r="D452" s="51" t="str">
        <v/>
      </c>
      <c r="E452" s="51" t="str">
        <v/>
      </c>
      <c r="F452" s="52" t="e">
        <v>#REF!</v>
      </c>
      <c r="G452" s="48" t="e">
        <v>#REF!</v>
      </c>
      <c r="H452" s="49">
        <v>26.32</v>
      </c>
      <c r="I452" s="49" t="e">
        <v>#REF!</v>
      </c>
      <c r="J452" s="50"/>
    </row>
    <row r="453" outlineLevel="1" spans="1:10">
      <c r="A453" s="50">
        <v>376</v>
      </c>
      <c r="B453" s="51" t="str">
        <v>屋面-出屋面风道保温</v>
      </c>
      <c r="C453" s="51" t="e">
        <v>#REF!</v>
      </c>
      <c r="D453" s="51" t="str">
        <v/>
      </c>
      <c r="E453" s="51" t="str">
        <v/>
      </c>
      <c r="F453" s="52" t="e">
        <v>#REF!</v>
      </c>
      <c r="G453" s="48" t="e">
        <v>#REF!</v>
      </c>
      <c r="H453" s="49">
        <v>0</v>
      </c>
      <c r="I453" s="49" t="e">
        <v>#REF!</v>
      </c>
      <c r="J453" s="50"/>
    </row>
    <row r="454" outlineLevel="1" spans="1:10">
      <c r="A454" s="50" t="str">
        <v/>
      </c>
      <c r="B454" s="51" t="str">
        <v>后贴保温层</v>
      </c>
      <c r="C454" s="51" t="str">
        <v/>
      </c>
      <c r="D454" s="51" t="str">
        <v/>
      </c>
      <c r="E454" s="51" t="str">
        <v/>
      </c>
      <c r="F454" s="52" t="str">
        <v/>
      </c>
      <c r="G454" s="48" t="str">
        <v/>
      </c>
      <c r="H454" s="49">
        <v>0</v>
      </c>
      <c r="I454" s="49">
        <v>0</v>
      </c>
      <c r="J454" s="50"/>
    </row>
    <row r="455" outlineLevel="1" spans="1:10">
      <c r="A455" s="50">
        <v>377</v>
      </c>
      <c r="B455" s="51" t="str">
        <v>外墙面-180厚XPS</v>
      </c>
      <c r="C455" s="51" t="e">
        <v>#REF!</v>
      </c>
      <c r="D455" s="51" t="str">
        <v/>
      </c>
      <c r="E455" s="51" t="str">
        <v/>
      </c>
      <c r="F455" s="52" t="e">
        <v>#REF!</v>
      </c>
      <c r="G455" s="48" t="e">
        <v>#REF!</v>
      </c>
      <c r="H455" s="49">
        <v>0</v>
      </c>
      <c r="I455" s="49" t="e">
        <v>#REF!</v>
      </c>
      <c r="J455" s="50"/>
    </row>
    <row r="456" outlineLevel="1" spans="1:10">
      <c r="A456" s="50">
        <v>378</v>
      </c>
      <c r="B456" s="51" t="str">
        <v>外墙面-3厚抗裂砂浆</v>
      </c>
      <c r="C456" s="51" t="e">
        <v>#REF!</v>
      </c>
      <c r="D456" s="51" t="str">
        <v/>
      </c>
      <c r="E456" s="51" t="str">
        <v/>
      </c>
      <c r="F456" s="52" t="e">
        <v>#REF!</v>
      </c>
      <c r="G456" s="48" t="e">
        <v>#REF!</v>
      </c>
      <c r="H456" s="49">
        <v>0</v>
      </c>
      <c r="I456" s="49" t="e">
        <v>#REF!</v>
      </c>
      <c r="J456" s="50"/>
    </row>
    <row r="457" outlineLevel="1" spans="1:10">
      <c r="A457" s="50">
        <v>379</v>
      </c>
      <c r="B457" s="51" t="str">
        <v>外墙面-网格布</v>
      </c>
      <c r="C457" s="51" t="e">
        <v>#REF!</v>
      </c>
      <c r="D457" s="51" t="str">
        <v/>
      </c>
      <c r="E457" s="51" t="str">
        <v/>
      </c>
      <c r="F457" s="52" t="e">
        <v>#REF!</v>
      </c>
      <c r="G457" s="48" t="e">
        <v>#REF!</v>
      </c>
      <c r="H457" s="49">
        <v>0</v>
      </c>
      <c r="I457" s="49" t="e">
        <v>#REF!</v>
      </c>
      <c r="J457" s="50"/>
    </row>
    <row r="458" outlineLevel="1" spans="1:10">
      <c r="A458" s="50">
        <v>380</v>
      </c>
      <c r="B458" s="51" t="str">
        <v>屋面-Φ110UPVC雨水管</v>
      </c>
      <c r="C458" s="51" t="e">
        <v>#REF!</v>
      </c>
      <c r="D458" s="51" t="str">
        <v/>
      </c>
      <c r="E458" s="51" t="str">
        <v/>
      </c>
      <c r="F458" s="52" t="e">
        <v>#REF!</v>
      </c>
      <c r="G458" s="48" t="e">
        <v>#REF!</v>
      </c>
      <c r="H458" s="49">
        <v>0</v>
      </c>
      <c r="I458" s="49" t="e">
        <v>#REF!</v>
      </c>
      <c r="J458" s="50"/>
    </row>
    <row r="459" outlineLevel="1" spans="1:10">
      <c r="A459" s="50">
        <v>381</v>
      </c>
      <c r="B459" s="51" t="str">
        <v>屋面-Φ50泄水口</v>
      </c>
      <c r="C459" s="51" t="e">
        <v>#REF!</v>
      </c>
      <c r="D459" s="51" t="str">
        <v/>
      </c>
      <c r="E459" s="51" t="str">
        <v/>
      </c>
      <c r="F459" s="52" t="e">
        <v>#REF!</v>
      </c>
      <c r="G459" s="48" t="e">
        <v>#REF!</v>
      </c>
      <c r="H459" s="49">
        <v>0</v>
      </c>
      <c r="I459" s="49" t="e">
        <v>#REF!</v>
      </c>
      <c r="J459" s="50"/>
    </row>
    <row r="460" outlineLevel="1" spans="1:10">
      <c r="A460" s="50">
        <v>382</v>
      </c>
      <c r="B460" s="51" t="str">
        <v>外墙（屋面）面-变形缝</v>
      </c>
      <c r="C460" s="51" t="e">
        <v>#REF!</v>
      </c>
      <c r="D460" s="51" t="str">
        <v/>
      </c>
      <c r="E460" s="51" t="str">
        <v/>
      </c>
      <c r="F460" s="52" t="e">
        <v>#REF!</v>
      </c>
      <c r="G460" s="48" t="e">
        <v>#REF!</v>
      </c>
      <c r="H460" s="49">
        <v>0</v>
      </c>
      <c r="I460" s="49" t="e">
        <v>#REF!</v>
      </c>
      <c r="J460" s="50"/>
    </row>
    <row r="461" outlineLevel="1" spans="1:10">
      <c r="A461" s="50" t="str">
        <v/>
      </c>
      <c r="B461" s="51" t="str">
        <v>A.04.03保温一体化工程</v>
      </c>
      <c r="C461" s="51" t="str">
        <v/>
      </c>
      <c r="D461" s="51" t="str">
        <v/>
      </c>
      <c r="E461" s="51" t="str">
        <v/>
      </c>
      <c r="F461" s="52" t="str">
        <v/>
      </c>
      <c r="G461" s="48" t="str">
        <v/>
      </c>
      <c r="H461" s="49">
        <v>0</v>
      </c>
      <c r="I461" s="49" t="e">
        <v>#REF!</v>
      </c>
      <c r="J461" s="50"/>
    </row>
    <row r="462" ht="28.8" outlineLevel="1" spans="1:10">
      <c r="A462" s="50">
        <v>383</v>
      </c>
      <c r="B462" s="51" t="str">
        <v>130厚轻质发泡复合保温板-浇筑施工</v>
      </c>
      <c r="C462" s="51" t="e">
        <v>#REF!</v>
      </c>
      <c r="D462" s="51" t="str">
        <v/>
      </c>
      <c r="E462" s="51" t="str">
        <v/>
      </c>
      <c r="F462" s="52" t="e">
        <v>#REF!</v>
      </c>
      <c r="G462" s="48" t="e">
        <v>#REF!</v>
      </c>
      <c r="H462" s="49">
        <v>1</v>
      </c>
      <c r="I462" s="49" t="e">
        <v>#REF!</v>
      </c>
      <c r="J462" s="50"/>
    </row>
    <row r="463" ht="28.8" outlineLevel="1" spans="1:10">
      <c r="A463" s="50">
        <v>384</v>
      </c>
      <c r="B463" s="51" t="str">
        <v>130厚轻质发泡复合保温板-后贴施工</v>
      </c>
      <c r="C463" s="51" t="e">
        <v>#REF!</v>
      </c>
      <c r="D463" s="51" t="str">
        <v/>
      </c>
      <c r="E463" s="51" t="str">
        <v/>
      </c>
      <c r="F463" s="52" t="e">
        <v>#REF!</v>
      </c>
      <c r="G463" s="48" t="e">
        <v>#REF!</v>
      </c>
      <c r="H463" s="49">
        <v>1</v>
      </c>
      <c r="I463" s="49" t="e">
        <v>#REF!</v>
      </c>
      <c r="J463" s="50"/>
    </row>
    <row r="464" ht="28.8" outlineLevel="1" spans="1:10">
      <c r="A464" s="50">
        <v>385</v>
      </c>
      <c r="B464" s="51" t="str">
        <v>120厚轻质发泡复合保温板-浇筑施工</v>
      </c>
      <c r="C464" s="51" t="e">
        <v>#REF!</v>
      </c>
      <c r="D464" s="51" t="str">
        <v/>
      </c>
      <c r="E464" s="51" t="str">
        <v/>
      </c>
      <c r="F464" s="52" t="e">
        <v>#REF!</v>
      </c>
      <c r="G464" s="48" t="e">
        <v>#REF!</v>
      </c>
      <c r="H464" s="49">
        <v>1</v>
      </c>
      <c r="I464" s="49" t="e">
        <v>#REF!</v>
      </c>
      <c r="J464" s="50"/>
    </row>
    <row r="465" ht="28.8" outlineLevel="1" spans="1:10">
      <c r="A465" s="50">
        <v>386</v>
      </c>
      <c r="B465" s="51" t="str">
        <v>120厚轻质发泡复合保温板-后贴施工</v>
      </c>
      <c r="C465" s="51" t="e">
        <v>#REF!</v>
      </c>
      <c r="D465" s="51" t="str">
        <v/>
      </c>
      <c r="E465" s="51" t="str">
        <v/>
      </c>
      <c r="F465" s="52" t="e">
        <v>#REF!</v>
      </c>
      <c r="G465" s="48" t="e">
        <v>#REF!</v>
      </c>
      <c r="H465" s="49">
        <v>1</v>
      </c>
      <c r="I465" s="49" t="e">
        <v>#REF!</v>
      </c>
      <c r="J465" s="50"/>
    </row>
    <row r="466" ht="28.8" outlineLevel="1" spans="1:10">
      <c r="A466" s="50">
        <v>387</v>
      </c>
      <c r="B466" s="51" t="str">
        <v>110厚轻质发泡复合保温板-浇筑施工</v>
      </c>
      <c r="C466" s="51" t="e">
        <v>#REF!</v>
      </c>
      <c r="D466" s="51" t="str">
        <v/>
      </c>
      <c r="E466" s="51" t="str">
        <v/>
      </c>
      <c r="F466" s="52" t="e">
        <v>#REF!</v>
      </c>
      <c r="G466" s="48" t="e">
        <v>#REF!</v>
      </c>
      <c r="H466" s="49">
        <v>1</v>
      </c>
      <c r="I466" s="49" t="e">
        <v>#REF!</v>
      </c>
      <c r="J466" s="50"/>
    </row>
    <row r="467" ht="28.8" outlineLevel="1" spans="1:10">
      <c r="A467" s="50">
        <v>388</v>
      </c>
      <c r="B467" s="51" t="str">
        <v>110厚轻质发泡复合保温板-后贴施工</v>
      </c>
      <c r="C467" s="51" t="e">
        <v>#REF!</v>
      </c>
      <c r="D467" s="51" t="str">
        <v/>
      </c>
      <c r="E467" s="51" t="str">
        <v/>
      </c>
      <c r="F467" s="52" t="e">
        <v>#REF!</v>
      </c>
      <c r="G467" s="48" t="e">
        <v>#REF!</v>
      </c>
      <c r="H467" s="49">
        <v>1</v>
      </c>
      <c r="I467" s="49" t="e">
        <v>#REF!</v>
      </c>
      <c r="J467" s="50"/>
    </row>
    <row r="468" ht="28.8" outlineLevel="1" spans="1:10">
      <c r="A468" s="50">
        <v>389</v>
      </c>
      <c r="B468" s="51" t="str">
        <v>100厚轻质发泡复合保温板-浇筑施工</v>
      </c>
      <c r="C468" s="51" t="e">
        <v>#REF!</v>
      </c>
      <c r="D468" s="51" t="str">
        <v/>
      </c>
      <c r="E468" s="51" t="str">
        <v/>
      </c>
      <c r="F468" s="52" t="e">
        <v>#REF!</v>
      </c>
      <c r="G468" s="48" t="e">
        <v>#REF!</v>
      </c>
      <c r="H468" s="49">
        <v>1</v>
      </c>
      <c r="I468" s="49" t="e">
        <v>#REF!</v>
      </c>
      <c r="J468" s="50"/>
    </row>
    <row r="469" ht="28.8" outlineLevel="1" spans="1:10">
      <c r="A469" s="50">
        <v>390</v>
      </c>
      <c r="B469" s="51" t="str">
        <v>100厚轻质发泡复合保温板-后贴施工</v>
      </c>
      <c r="C469" s="51" t="e">
        <v>#REF!</v>
      </c>
      <c r="D469" s="51" t="str">
        <v/>
      </c>
      <c r="E469" s="51" t="str">
        <v/>
      </c>
      <c r="F469" s="52" t="e">
        <v>#REF!</v>
      </c>
      <c r="G469" s="48" t="e">
        <v>#REF!</v>
      </c>
      <c r="H469" s="49">
        <v>1</v>
      </c>
      <c r="I469" s="49" t="e">
        <v>#REF!</v>
      </c>
      <c r="J469" s="50"/>
    </row>
    <row r="470" ht="28.8" outlineLevel="1" spans="1:10">
      <c r="A470" s="50">
        <v>391</v>
      </c>
      <c r="B470" s="51" t="str">
        <v>90厚轻质发泡复合保温板-浇筑施工</v>
      </c>
      <c r="C470" s="51" t="e">
        <v>#REF!</v>
      </c>
      <c r="D470" s="51" t="str">
        <v/>
      </c>
      <c r="E470" s="51" t="str">
        <v/>
      </c>
      <c r="F470" s="52" t="e">
        <v>#REF!</v>
      </c>
      <c r="G470" s="48" t="e">
        <v>#REF!</v>
      </c>
      <c r="H470" s="49">
        <v>1</v>
      </c>
      <c r="I470" s="49" t="e">
        <v>#REF!</v>
      </c>
      <c r="J470" s="50"/>
    </row>
    <row r="471" ht="28.8" outlineLevel="1" spans="1:10">
      <c r="A471" s="50">
        <v>392</v>
      </c>
      <c r="B471" s="51" t="str">
        <v>90厚轻质发泡复合保温板后贴施工</v>
      </c>
      <c r="C471" s="51" t="e">
        <v>#REF!</v>
      </c>
      <c r="D471" s="51" t="str">
        <v/>
      </c>
      <c r="E471" s="51" t="str">
        <v/>
      </c>
      <c r="F471" s="52" t="e">
        <v>#REF!</v>
      </c>
      <c r="G471" s="48" t="e">
        <v>#REF!</v>
      </c>
      <c r="H471" s="49">
        <v>1</v>
      </c>
      <c r="I471" s="49" t="e">
        <v>#REF!</v>
      </c>
      <c r="J471" s="50"/>
    </row>
    <row r="472" ht="28.8" outlineLevel="1" spans="1:10">
      <c r="A472" s="50">
        <v>393</v>
      </c>
      <c r="B472" s="51" t="str">
        <v>80厚轻质发泡复合保温板-浇筑施工</v>
      </c>
      <c r="C472" s="51" t="e">
        <v>#REF!</v>
      </c>
      <c r="D472" s="51" t="str">
        <v/>
      </c>
      <c r="E472" s="51" t="str">
        <v/>
      </c>
      <c r="F472" s="52" t="e">
        <v>#REF!</v>
      </c>
      <c r="G472" s="48" t="e">
        <v>#REF!</v>
      </c>
      <c r="H472" s="49">
        <v>1</v>
      </c>
      <c r="I472" s="49" t="e">
        <v>#REF!</v>
      </c>
      <c r="J472" s="50"/>
    </row>
    <row r="473" ht="28.8" outlineLevel="1" spans="1:10">
      <c r="A473" s="50">
        <v>394</v>
      </c>
      <c r="B473" s="51" t="str">
        <v>80厚轻质发泡复合保温板-后贴施工</v>
      </c>
      <c r="C473" s="51" t="e">
        <v>#REF!</v>
      </c>
      <c r="D473" s="51" t="str">
        <v/>
      </c>
      <c r="E473" s="51" t="str">
        <v/>
      </c>
      <c r="F473" s="52" t="e">
        <v>#REF!</v>
      </c>
      <c r="G473" s="48" t="e">
        <v>#REF!</v>
      </c>
      <c r="H473" s="49">
        <v>1</v>
      </c>
      <c r="I473" s="49" t="e">
        <v>#REF!</v>
      </c>
      <c r="J473" s="50"/>
    </row>
    <row r="474" ht="28.8" outlineLevel="1" spans="1:10">
      <c r="A474" s="50">
        <v>395</v>
      </c>
      <c r="B474" s="51" t="str">
        <v>70厚轻质发泡复合保温板-浇筑施工</v>
      </c>
      <c r="C474" s="51" t="e">
        <v>#REF!</v>
      </c>
      <c r="D474" s="51" t="str">
        <v/>
      </c>
      <c r="E474" s="51" t="str">
        <v/>
      </c>
      <c r="F474" s="52" t="e">
        <v>#REF!</v>
      </c>
      <c r="G474" s="48" t="e">
        <v>#REF!</v>
      </c>
      <c r="H474" s="49">
        <v>1</v>
      </c>
      <c r="I474" s="49" t="e">
        <v>#REF!</v>
      </c>
      <c r="J474" s="50"/>
    </row>
    <row r="475" ht="28.8" outlineLevel="1" spans="1:10">
      <c r="A475" s="50">
        <v>396</v>
      </c>
      <c r="B475" s="51" t="str">
        <v>70厚轻质发泡复合保温板-后贴施工</v>
      </c>
      <c r="C475" s="51" t="e">
        <v>#REF!</v>
      </c>
      <c r="D475" s="51" t="str">
        <v/>
      </c>
      <c r="E475" s="51" t="str">
        <v/>
      </c>
      <c r="F475" s="52" t="e">
        <v>#REF!</v>
      </c>
      <c r="G475" s="48" t="e">
        <v>#REF!</v>
      </c>
      <c r="H475" s="49">
        <v>1</v>
      </c>
      <c r="I475" s="49" t="e">
        <v>#REF!</v>
      </c>
      <c r="J475" s="50"/>
    </row>
    <row r="476" outlineLevel="1" spans="1:10">
      <c r="A476" s="50" t="str">
        <v/>
      </c>
      <c r="B476" s="51" t="str">
        <v>保温隔热墙面（被动式）</v>
      </c>
      <c r="C476" s="51" t="str">
        <v/>
      </c>
      <c r="D476" s="51" t="str">
        <v/>
      </c>
      <c r="E476" s="51" t="str">
        <v/>
      </c>
      <c r="F476" s="52" t="str">
        <v/>
      </c>
      <c r="G476" s="48" t="str">
        <v/>
      </c>
      <c r="H476" s="49">
        <v>0</v>
      </c>
      <c r="I476" s="49">
        <v>0</v>
      </c>
      <c r="J476" s="50"/>
    </row>
    <row r="477" outlineLevel="1" spans="1:10">
      <c r="A477" s="50">
        <v>397</v>
      </c>
      <c r="B477" s="51" t="str">
        <v>外墙保温-260厚石墨聚苯板</v>
      </c>
      <c r="C477" s="51" t="e">
        <v>#REF!</v>
      </c>
      <c r="D477" s="51" t="str">
        <v/>
      </c>
      <c r="E477" s="51" t="str">
        <v/>
      </c>
      <c r="F477" s="52" t="e">
        <v>#REF!</v>
      </c>
      <c r="G477" s="48" t="e">
        <v>#REF!</v>
      </c>
      <c r="H477" s="49">
        <v>0</v>
      </c>
      <c r="I477" s="49" t="e">
        <v>#REF!</v>
      </c>
      <c r="J477" s="50"/>
    </row>
    <row r="478" outlineLevel="1" spans="1:10">
      <c r="A478" s="50">
        <v>398</v>
      </c>
      <c r="B478" s="51" t="str">
        <v>外墙保温-界面修补</v>
      </c>
      <c r="C478" s="51" t="e">
        <v>#REF!</v>
      </c>
      <c r="D478" s="51" t="str">
        <v/>
      </c>
      <c r="E478" s="51" t="str">
        <v/>
      </c>
      <c r="F478" s="52" t="e">
        <v>#REF!</v>
      </c>
      <c r="G478" s="48" t="e">
        <v>#REF!</v>
      </c>
      <c r="H478" s="49">
        <v>0</v>
      </c>
      <c r="I478" s="49" t="e">
        <v>#REF!</v>
      </c>
      <c r="J478" s="50"/>
    </row>
    <row r="479" ht="28.8" outlineLevel="1" spans="1:10">
      <c r="A479" s="50">
        <v>399</v>
      </c>
      <c r="B479" s="51" t="str">
        <v>外墙保温-5厚干粉聚合物砂浆</v>
      </c>
      <c r="C479" s="51" t="e">
        <v>#REF!</v>
      </c>
      <c r="D479" s="51" t="str">
        <v/>
      </c>
      <c r="E479" s="51" t="str">
        <v/>
      </c>
      <c r="F479" s="52" t="e">
        <v>#REF!</v>
      </c>
      <c r="G479" s="48" t="e">
        <v>#REF!</v>
      </c>
      <c r="H479" s="49">
        <v>0</v>
      </c>
      <c r="I479" s="49" t="e">
        <v>#REF!</v>
      </c>
      <c r="J479" s="50"/>
    </row>
    <row r="480" outlineLevel="1" spans="1:10">
      <c r="A480" s="50">
        <v>400</v>
      </c>
      <c r="B480" s="51" t="str">
        <v>外墙面-网格布</v>
      </c>
      <c r="C480" s="51" t="e">
        <v>#REF!</v>
      </c>
      <c r="D480" s="51" t="str">
        <v/>
      </c>
      <c r="E480" s="51" t="str">
        <v/>
      </c>
      <c r="F480" s="52" t="e">
        <v>#REF!</v>
      </c>
      <c r="G480" s="48" t="e">
        <v>#REF!</v>
      </c>
      <c r="H480" s="49">
        <v>0</v>
      </c>
      <c r="I480" s="49" t="e">
        <v>#REF!</v>
      </c>
      <c r="J480" s="50"/>
    </row>
    <row r="481" outlineLevel="1" spans="1:10">
      <c r="A481" s="50" t="str">
        <v/>
      </c>
      <c r="B481" s="51" t="str">
        <v>自密实混凝土墙保温</v>
      </c>
      <c r="C481" s="51" t="str">
        <v/>
      </c>
      <c r="D481" s="51" t="str">
        <v/>
      </c>
      <c r="E481" s="51" t="str">
        <v/>
      </c>
      <c r="F481" s="52" t="str">
        <v/>
      </c>
      <c r="G481" s="48" t="str">
        <v/>
      </c>
      <c r="H481" s="49">
        <v>0</v>
      </c>
      <c r="I481" s="49">
        <v>0</v>
      </c>
      <c r="J481" s="50"/>
    </row>
    <row r="482" ht="28.8" outlineLevel="1" spans="1:10">
      <c r="A482" s="50">
        <v>401</v>
      </c>
      <c r="B482" s="51" t="str">
        <v>外墙保温-320厚石墨聚苯板（单层网）</v>
      </c>
      <c r="C482" s="51" t="e">
        <v>#REF!</v>
      </c>
      <c r="D482" s="51" t="str">
        <v/>
      </c>
      <c r="E482" s="51" t="str">
        <v/>
      </c>
      <c r="F482" s="52" t="e">
        <v>#REF!</v>
      </c>
      <c r="G482" s="48" t="e">
        <v>#REF!</v>
      </c>
      <c r="H482" s="49">
        <v>0</v>
      </c>
      <c r="I482" s="49" t="e">
        <v>#REF!</v>
      </c>
      <c r="J482" s="50"/>
    </row>
    <row r="483" outlineLevel="1" spans="1:10">
      <c r="A483" s="50">
        <v>402</v>
      </c>
      <c r="B483" s="51" t="str">
        <v>外墙保温-界面修补</v>
      </c>
      <c r="C483" s="51" t="e">
        <v>#REF!</v>
      </c>
      <c r="D483" s="51" t="str">
        <v/>
      </c>
      <c r="E483" s="51" t="str">
        <v/>
      </c>
      <c r="F483" s="52" t="e">
        <v>#REF!</v>
      </c>
      <c r="G483" s="48" t="e">
        <v>#REF!</v>
      </c>
      <c r="H483" s="49">
        <v>0</v>
      </c>
      <c r="I483" s="49" t="e">
        <v>#REF!</v>
      </c>
      <c r="J483" s="50"/>
    </row>
    <row r="484" ht="28.8" outlineLevel="1" spans="1:10">
      <c r="A484" s="50">
        <v>403</v>
      </c>
      <c r="B484" s="51" t="str">
        <v>外墙保温-5厚干粉聚合物砂浆</v>
      </c>
      <c r="C484" s="51" t="e">
        <v>#REF!</v>
      </c>
      <c r="D484" s="51" t="str">
        <v/>
      </c>
      <c r="E484" s="51" t="str">
        <v/>
      </c>
      <c r="F484" s="52" t="e">
        <v>#REF!</v>
      </c>
      <c r="G484" s="48" t="e">
        <v>#REF!</v>
      </c>
      <c r="H484" s="49">
        <v>0</v>
      </c>
      <c r="I484" s="49" t="e">
        <v>#REF!</v>
      </c>
      <c r="J484" s="50"/>
    </row>
    <row r="485" outlineLevel="1" spans="1:10">
      <c r="A485" s="50">
        <v>404</v>
      </c>
      <c r="B485" s="51" t="str">
        <v>外墙面-网格布</v>
      </c>
      <c r="C485" s="51" t="e">
        <v>#REF!</v>
      </c>
      <c r="D485" s="51" t="str">
        <v/>
      </c>
      <c r="E485" s="51" t="str">
        <v/>
      </c>
      <c r="F485" s="52" t="e">
        <v>#REF!</v>
      </c>
      <c r="G485" s="48" t="e">
        <v>#REF!</v>
      </c>
      <c r="H485" s="49">
        <v>0</v>
      </c>
      <c r="I485" s="49" t="e">
        <v>#REF!</v>
      </c>
      <c r="J485" s="50"/>
    </row>
    <row r="486" outlineLevel="1" spans="1:10">
      <c r="A486" s="50" t="str">
        <v/>
      </c>
      <c r="B486" s="51" t="str">
        <v>自密实混凝土墙保温</v>
      </c>
      <c r="C486" s="51" t="str">
        <v/>
      </c>
      <c r="D486" s="51" t="str">
        <v/>
      </c>
      <c r="E486" s="51" t="str">
        <v/>
      </c>
      <c r="F486" s="52" t="str">
        <v/>
      </c>
      <c r="G486" s="48" t="str">
        <v/>
      </c>
      <c r="H486" s="49">
        <v>0</v>
      </c>
      <c r="I486" s="49">
        <v>0</v>
      </c>
      <c r="J486" s="50"/>
    </row>
    <row r="487" ht="28.8" outlineLevel="1" spans="1:10">
      <c r="A487" s="50">
        <v>405</v>
      </c>
      <c r="B487" s="51" t="str">
        <v>外墙保温-320厚石墨聚苯板（双层网）</v>
      </c>
      <c r="C487" s="51" t="e">
        <v>#REF!</v>
      </c>
      <c r="D487" s="51" t="str">
        <v/>
      </c>
      <c r="E487" s="51" t="str">
        <v/>
      </c>
      <c r="F487" s="52" t="e">
        <v>#REF!</v>
      </c>
      <c r="G487" s="48" t="e">
        <v>#REF!</v>
      </c>
      <c r="H487" s="49">
        <v>0</v>
      </c>
      <c r="I487" s="49" t="e">
        <v>#REF!</v>
      </c>
      <c r="J487" s="50"/>
    </row>
    <row r="488" outlineLevel="1" spans="1:10">
      <c r="A488" s="50">
        <v>406</v>
      </c>
      <c r="B488" s="51" t="str">
        <v>外墙保温-界面修补</v>
      </c>
      <c r="C488" s="51" t="e">
        <v>#REF!</v>
      </c>
      <c r="D488" s="51" t="str">
        <v/>
      </c>
      <c r="E488" s="51" t="str">
        <v/>
      </c>
      <c r="F488" s="52" t="e">
        <v>#REF!</v>
      </c>
      <c r="G488" s="48" t="e">
        <v>#REF!</v>
      </c>
      <c r="H488" s="49">
        <v>0</v>
      </c>
      <c r="I488" s="49" t="e">
        <v>#REF!</v>
      </c>
      <c r="J488" s="50"/>
    </row>
    <row r="489" ht="28.8" outlineLevel="1" spans="1:10">
      <c r="A489" s="50">
        <v>407</v>
      </c>
      <c r="B489" s="51" t="str">
        <v>外墙保温-5厚干粉聚合物砂浆</v>
      </c>
      <c r="C489" s="51" t="e">
        <v>#REF!</v>
      </c>
      <c r="D489" s="51" t="str">
        <v/>
      </c>
      <c r="E489" s="51" t="str">
        <v/>
      </c>
      <c r="F489" s="52" t="e">
        <v>#REF!</v>
      </c>
      <c r="G489" s="48" t="e">
        <v>#REF!</v>
      </c>
      <c r="H489" s="49">
        <v>0</v>
      </c>
      <c r="I489" s="49" t="e">
        <v>#REF!</v>
      </c>
      <c r="J489" s="50"/>
    </row>
    <row r="490" outlineLevel="1" spans="1:10">
      <c r="A490" s="50">
        <v>408</v>
      </c>
      <c r="B490" s="51" t="str">
        <v>外墙面-网格布</v>
      </c>
      <c r="C490" s="51" t="e">
        <v>#REF!</v>
      </c>
      <c r="D490" s="51" t="str">
        <v/>
      </c>
      <c r="E490" s="51" t="str">
        <v/>
      </c>
      <c r="F490" s="52" t="e">
        <v>#REF!</v>
      </c>
      <c r="G490" s="48" t="e">
        <v>#REF!</v>
      </c>
      <c r="H490" s="49">
        <v>0</v>
      </c>
      <c r="I490" s="49" t="e">
        <v>#REF!</v>
      </c>
      <c r="J490" s="50"/>
    </row>
    <row r="491" outlineLevel="1" spans="1:10">
      <c r="A491" s="50" t="str">
        <v/>
      </c>
      <c r="B491" s="51" t="str">
        <v>A.05简易装修工程</v>
      </c>
      <c r="C491" s="51" t="str">
        <v/>
      </c>
      <c r="D491" s="51" t="str">
        <v/>
      </c>
      <c r="E491" s="51" t="str">
        <v/>
      </c>
      <c r="F491" s="52" t="str">
        <v/>
      </c>
      <c r="G491" s="48" t="str">
        <v/>
      </c>
      <c r="H491" s="49">
        <v>0</v>
      </c>
      <c r="I491" s="49" t="e">
        <v>#REF!</v>
      </c>
      <c r="J491" s="50"/>
    </row>
    <row r="492" outlineLevel="1" spans="1:10">
      <c r="A492" s="50" t="str">
        <v/>
      </c>
      <c r="B492" s="51" t="str">
        <v>A.05.01地面装饰工程</v>
      </c>
      <c r="C492" s="51" t="str">
        <v/>
      </c>
      <c r="D492" s="51" t="str">
        <v/>
      </c>
      <c r="E492" s="51" t="str">
        <v/>
      </c>
      <c r="F492" s="52" t="str">
        <v/>
      </c>
      <c r="G492" s="48" t="str">
        <v/>
      </c>
      <c r="H492" s="49">
        <v>0</v>
      </c>
      <c r="I492" s="49" t="e">
        <v>#REF!</v>
      </c>
      <c r="J492" s="50"/>
    </row>
    <row r="493" outlineLevel="1" spans="1:10">
      <c r="A493" s="50">
        <v>409</v>
      </c>
      <c r="B493" s="51" t="str">
        <v>楼地面-楼梯间（30厚）</v>
      </c>
      <c r="C493" s="51" t="e">
        <v>#REF!</v>
      </c>
      <c r="D493" s="51" t="str">
        <v/>
      </c>
      <c r="E493" s="51" t="str">
        <v/>
      </c>
      <c r="F493" s="52" t="e">
        <v>#REF!</v>
      </c>
      <c r="G493" s="48" t="e">
        <v>#REF!</v>
      </c>
      <c r="H493" s="49">
        <v>0</v>
      </c>
      <c r="I493" s="49" t="e">
        <v>#REF!</v>
      </c>
      <c r="J493" s="50"/>
    </row>
    <row r="494" outlineLevel="1" spans="1:10">
      <c r="A494" s="50">
        <v>410</v>
      </c>
      <c r="B494" s="51" t="str">
        <v>楼地面-楼梯间（20厚）</v>
      </c>
      <c r="C494" s="51" t="e">
        <v>#REF!</v>
      </c>
      <c r="D494" s="51" t="str">
        <v/>
      </c>
      <c r="E494" s="51" t="str">
        <v/>
      </c>
      <c r="F494" s="52" t="e">
        <v>#REF!</v>
      </c>
      <c r="G494" s="48" t="e">
        <v>#REF!</v>
      </c>
      <c r="H494" s="49">
        <v>26.9</v>
      </c>
      <c r="I494" s="49" t="e">
        <v>#REF!</v>
      </c>
      <c r="J494" s="50"/>
    </row>
    <row r="495" outlineLevel="1" spans="1:10">
      <c r="A495" s="50" t="str">
        <v/>
      </c>
      <c r="B495" s="51" t="str">
        <v>装配式干法地暖楼地面</v>
      </c>
      <c r="C495" s="51" t="str">
        <v/>
      </c>
      <c r="D495" s="51" t="str">
        <v/>
      </c>
      <c r="E495" s="51" t="str">
        <v/>
      </c>
      <c r="F495" s="52" t="str">
        <v/>
      </c>
      <c r="G495" s="48" t="str">
        <v/>
      </c>
      <c r="H495" s="49">
        <v>0</v>
      </c>
      <c r="I495" s="49">
        <v>0</v>
      </c>
      <c r="J495" s="50"/>
    </row>
    <row r="496" outlineLevel="1" spans="1:10">
      <c r="A496" s="50">
        <v>411</v>
      </c>
      <c r="B496" s="51" t="str">
        <v>楼地面-7厚抗裂砂浆</v>
      </c>
      <c r="C496" s="51" t="e">
        <v>#REF!</v>
      </c>
      <c r="D496" s="51" t="str">
        <v/>
      </c>
      <c r="E496" s="51" t="str">
        <v/>
      </c>
      <c r="F496" s="52" t="e">
        <v>#REF!</v>
      </c>
      <c r="G496" s="48" t="e">
        <v>#REF!</v>
      </c>
      <c r="H496" s="49">
        <v>0</v>
      </c>
      <c r="I496" s="49" t="e">
        <v>#REF!</v>
      </c>
      <c r="J496" s="50"/>
    </row>
    <row r="497" outlineLevel="1" spans="1:10">
      <c r="A497" s="50">
        <v>412</v>
      </c>
      <c r="B497" s="51" t="str">
        <v>楼地面-玻纤网</v>
      </c>
      <c r="C497" s="51" t="e">
        <v>#REF!</v>
      </c>
      <c r="D497" s="51" t="str">
        <v/>
      </c>
      <c r="E497" s="51" t="str">
        <v/>
      </c>
      <c r="F497" s="52" t="e">
        <v>#REF!</v>
      </c>
      <c r="G497" s="48" t="e">
        <v>#REF!</v>
      </c>
      <c r="H497" s="49">
        <v>0</v>
      </c>
      <c r="I497" s="49" t="e">
        <v>#REF!</v>
      </c>
      <c r="J497" s="50"/>
    </row>
    <row r="498" outlineLevel="1" spans="1:10">
      <c r="A498" s="50">
        <v>413</v>
      </c>
      <c r="B498" s="51" t="str">
        <v>楼地面-干法地暖薄粘结剂</v>
      </c>
      <c r="C498" s="51" t="e">
        <v>#REF!</v>
      </c>
      <c r="D498" s="51" t="str">
        <v/>
      </c>
      <c r="E498" s="51" t="str">
        <v/>
      </c>
      <c r="F498" s="52" t="e">
        <v>#REF!</v>
      </c>
      <c r="G498" s="48" t="e">
        <v>#REF!</v>
      </c>
      <c r="H498" s="49">
        <v>0</v>
      </c>
      <c r="I498" s="49" t="e">
        <v>#REF!</v>
      </c>
      <c r="J498" s="50"/>
    </row>
    <row r="499" outlineLevel="1" spans="1:10">
      <c r="A499" s="50">
        <v>414</v>
      </c>
      <c r="B499" s="51" t="str">
        <v>楼地面-干法地暖厚粘结剂</v>
      </c>
      <c r="C499" s="51" t="e">
        <v>#REF!</v>
      </c>
      <c r="D499" s="51" t="str">
        <v/>
      </c>
      <c r="E499" s="51" t="str">
        <v/>
      </c>
      <c r="F499" s="52" t="e">
        <v>#REF!</v>
      </c>
      <c r="G499" s="48" t="e">
        <v>#REF!</v>
      </c>
      <c r="H499" s="49">
        <v>0</v>
      </c>
      <c r="I499" s="49" t="e">
        <v>#REF!</v>
      </c>
      <c r="J499" s="50"/>
    </row>
    <row r="500" outlineLevel="1" spans="1:10">
      <c r="A500" s="50">
        <v>415</v>
      </c>
      <c r="B500" s="51" t="str">
        <v>楼地面-砂浆粘结层</v>
      </c>
      <c r="C500" s="51" t="e">
        <v>#REF!</v>
      </c>
      <c r="D500" s="51" t="str">
        <v/>
      </c>
      <c r="E500" s="51" t="str">
        <v/>
      </c>
      <c r="F500" s="52" t="e">
        <v>#REF!</v>
      </c>
      <c r="G500" s="48" t="e">
        <v>#REF!</v>
      </c>
      <c r="H500" s="49">
        <v>0</v>
      </c>
      <c r="I500" s="49" t="e">
        <v>#REF!</v>
      </c>
      <c r="J500" s="50"/>
    </row>
    <row r="501" ht="28.8" outlineLevel="1" spans="1:10">
      <c r="A501" s="50" t="str">
        <v/>
      </c>
      <c r="B501" s="51" t="str">
        <v>湿法地暖楼地面（通用做法）</v>
      </c>
      <c r="C501" s="51" t="str">
        <v/>
      </c>
      <c r="D501" s="51" t="str">
        <v/>
      </c>
      <c r="E501" s="51" t="str">
        <v/>
      </c>
      <c r="F501" s="52" t="str">
        <v/>
      </c>
      <c r="G501" s="48" t="str">
        <v/>
      </c>
      <c r="H501" s="49">
        <v>0</v>
      </c>
      <c r="I501" s="49">
        <v>0</v>
      </c>
      <c r="J501" s="50"/>
    </row>
    <row r="502" outlineLevel="1" spans="1:10">
      <c r="A502" s="50">
        <v>416</v>
      </c>
      <c r="B502" s="51" t="str">
        <v>楼地面-单层Φ3@50钢筋网</v>
      </c>
      <c r="C502" s="51" t="e">
        <v>#REF!</v>
      </c>
      <c r="D502" s="51" t="str">
        <v/>
      </c>
      <c r="E502" s="51" t="str">
        <v/>
      </c>
      <c r="F502" s="52" t="e">
        <v>#REF!</v>
      </c>
      <c r="G502" s="48" t="e">
        <v>#REF!</v>
      </c>
      <c r="H502" s="49">
        <v>0</v>
      </c>
      <c r="I502" s="49" t="e">
        <v>#REF!</v>
      </c>
      <c r="J502" s="50"/>
    </row>
    <row r="503" outlineLevel="1" spans="1:10">
      <c r="A503" s="50">
        <v>417</v>
      </c>
      <c r="B503" s="51" t="str">
        <v>楼地面-铝箔纸</v>
      </c>
      <c r="C503" s="51" t="e">
        <v>#REF!</v>
      </c>
      <c r="D503" s="51" t="str">
        <v/>
      </c>
      <c r="E503" s="51" t="str">
        <v/>
      </c>
      <c r="F503" s="52" t="e">
        <v>#REF!</v>
      </c>
      <c r="G503" s="48" t="e">
        <v>#REF!</v>
      </c>
      <c r="H503" s="49">
        <v>0</v>
      </c>
      <c r="I503" s="49" t="e">
        <v>#REF!</v>
      </c>
      <c r="J503" s="50"/>
    </row>
    <row r="504" outlineLevel="1" spans="1:10">
      <c r="A504" s="50">
        <v>418</v>
      </c>
      <c r="B504" s="51" t="str">
        <v>楼地面-20厚XPS</v>
      </c>
      <c r="C504" s="51" t="e">
        <v>#REF!</v>
      </c>
      <c r="D504" s="51" t="str">
        <v/>
      </c>
      <c r="E504" s="51" t="str">
        <v/>
      </c>
      <c r="F504" s="52" t="e">
        <v>#REF!</v>
      </c>
      <c r="G504" s="48" t="e">
        <v>#REF!</v>
      </c>
      <c r="H504" s="49">
        <v>0</v>
      </c>
      <c r="I504" s="49" t="e">
        <v>#REF!</v>
      </c>
      <c r="J504" s="50"/>
    </row>
    <row r="505" outlineLevel="1" spans="1:10">
      <c r="A505" s="50" t="str">
        <v/>
      </c>
      <c r="B505" s="51" t="str">
        <v>卫生间地面（有覆土）</v>
      </c>
      <c r="C505" s="51" t="str">
        <v/>
      </c>
      <c r="D505" s="51" t="str">
        <v/>
      </c>
      <c r="E505" s="51" t="str">
        <v/>
      </c>
      <c r="F505" s="52" t="str">
        <v/>
      </c>
      <c r="G505" s="48" t="str">
        <v/>
      </c>
      <c r="H505" s="49">
        <v>0</v>
      </c>
      <c r="I505" s="49">
        <v>0</v>
      </c>
      <c r="J505" s="50"/>
    </row>
    <row r="506" outlineLevel="1" spans="1:10">
      <c r="A506" s="50">
        <v>419</v>
      </c>
      <c r="B506" s="51" t="str">
        <v>楼地面-60厚C15豆石砼找坡</v>
      </c>
      <c r="C506" s="51" t="e">
        <v>#REF!</v>
      </c>
      <c r="D506" s="51" t="str">
        <v/>
      </c>
      <c r="E506" s="51" t="str">
        <v/>
      </c>
      <c r="F506" s="52" t="e">
        <v>#REF!</v>
      </c>
      <c r="G506" s="48" t="e">
        <v>#REF!</v>
      </c>
      <c r="H506" s="49">
        <v>1</v>
      </c>
      <c r="I506" s="49" t="e">
        <v>#REF!</v>
      </c>
      <c r="J506" s="50"/>
    </row>
    <row r="507" outlineLevel="1" spans="1:10">
      <c r="A507" s="50">
        <v>420</v>
      </c>
      <c r="B507" s="51" t="str">
        <v>楼地面-玻纤网</v>
      </c>
      <c r="C507" s="51" t="e">
        <v>#REF!</v>
      </c>
      <c r="D507" s="51" t="str">
        <v/>
      </c>
      <c r="E507" s="51" t="str">
        <v/>
      </c>
      <c r="F507" s="52" t="e">
        <v>#REF!</v>
      </c>
      <c r="G507" s="48" t="e">
        <v>#REF!</v>
      </c>
      <c r="H507" s="49">
        <v>1</v>
      </c>
      <c r="I507" s="49" t="e">
        <v>#REF!</v>
      </c>
      <c r="J507" s="50"/>
    </row>
    <row r="508" outlineLevel="1" spans="1:10">
      <c r="A508" s="50">
        <v>421</v>
      </c>
      <c r="B508" s="51" t="str">
        <v>楼地面-15厚M20水泥砂浆</v>
      </c>
      <c r="C508" s="51" t="e">
        <v>#REF!</v>
      </c>
      <c r="D508" s="51" t="str">
        <v/>
      </c>
      <c r="E508" s="51" t="str">
        <v/>
      </c>
      <c r="F508" s="52" t="e">
        <v>#REF!</v>
      </c>
      <c r="G508" s="48" t="e">
        <v>#REF!</v>
      </c>
      <c r="H508" s="49">
        <v>1</v>
      </c>
      <c r="I508" s="49" t="e">
        <v>#REF!</v>
      </c>
      <c r="J508" s="50"/>
    </row>
    <row r="509" outlineLevel="1" spans="1:10">
      <c r="A509" s="50">
        <v>422</v>
      </c>
      <c r="B509" s="51" t="str">
        <v>楼地面-60厚C15细石砼</v>
      </c>
      <c r="C509" s="51" t="e">
        <v>#REF!</v>
      </c>
      <c r="D509" s="51" t="str">
        <v/>
      </c>
      <c r="E509" s="51" t="str">
        <v/>
      </c>
      <c r="F509" s="52" t="e">
        <v>#REF!</v>
      </c>
      <c r="G509" s="48" t="e">
        <v>#REF!</v>
      </c>
      <c r="H509" s="49">
        <v>1</v>
      </c>
      <c r="I509" s="49" t="e">
        <v>#REF!</v>
      </c>
      <c r="J509" s="50"/>
    </row>
    <row r="510" outlineLevel="1" spans="1:10">
      <c r="A510" s="50">
        <v>423</v>
      </c>
      <c r="B510" s="51" t="str">
        <v>楼地面-塑料膜</v>
      </c>
      <c r="C510" s="51" t="e">
        <v>#REF!</v>
      </c>
      <c r="D510" s="51" t="str">
        <v/>
      </c>
      <c r="E510" s="51" t="str">
        <v/>
      </c>
      <c r="F510" s="52" t="e">
        <v>#REF!</v>
      </c>
      <c r="G510" s="48" t="e">
        <v>#REF!</v>
      </c>
      <c r="H510" s="49">
        <v>1</v>
      </c>
      <c r="I510" s="49" t="e">
        <v>#REF!</v>
      </c>
      <c r="J510" s="50"/>
    </row>
    <row r="511" outlineLevel="1" spans="1:10">
      <c r="A511" s="50">
        <v>424</v>
      </c>
      <c r="B511" s="51" t="str">
        <v>楼地面-150厚3:7灰土夯实</v>
      </c>
      <c r="C511" s="51" t="e">
        <v>#REF!</v>
      </c>
      <c r="D511" s="51" t="str">
        <v/>
      </c>
      <c r="E511" s="51" t="str">
        <v/>
      </c>
      <c r="F511" s="52" t="e">
        <v>#REF!</v>
      </c>
      <c r="G511" s="48" t="e">
        <v>#REF!</v>
      </c>
      <c r="H511" s="49">
        <v>1</v>
      </c>
      <c r="I511" s="49" t="e">
        <v>#REF!</v>
      </c>
      <c r="J511" s="50"/>
    </row>
    <row r="512" outlineLevel="1" spans="1:10">
      <c r="A512" s="50">
        <v>425</v>
      </c>
      <c r="B512" s="51" t="str">
        <v>楼地面-素土夯实</v>
      </c>
      <c r="C512" s="51" t="e">
        <v>#REF!</v>
      </c>
      <c r="D512" s="51" t="str">
        <v/>
      </c>
      <c r="E512" s="51" t="str">
        <v/>
      </c>
      <c r="F512" s="52" t="e">
        <v>#REF!</v>
      </c>
      <c r="G512" s="48" t="e">
        <v>#REF!</v>
      </c>
      <c r="H512" s="49">
        <v>1</v>
      </c>
      <c r="I512" s="49" t="e">
        <v>#REF!</v>
      </c>
      <c r="J512" s="50"/>
    </row>
    <row r="513" outlineLevel="1" spans="1:10">
      <c r="A513" s="50" t="str">
        <v/>
      </c>
      <c r="B513" s="51" t="str">
        <v>卫生间地面（有覆土）</v>
      </c>
      <c r="C513" s="51" t="str">
        <v/>
      </c>
      <c r="D513" s="51" t="str">
        <v/>
      </c>
      <c r="E513" s="51" t="str">
        <v/>
      </c>
      <c r="F513" s="52" t="str">
        <v/>
      </c>
      <c r="G513" s="48" t="str">
        <v/>
      </c>
      <c r="H513" s="49">
        <v>0</v>
      </c>
      <c r="I513" s="49">
        <v>0</v>
      </c>
      <c r="J513" s="50"/>
    </row>
    <row r="514" outlineLevel="1" spans="1:10">
      <c r="A514" s="50">
        <v>426</v>
      </c>
      <c r="B514" s="51" t="str">
        <v>楼地面-60厚C15细石砼</v>
      </c>
      <c r="C514" s="51" t="e">
        <v>#REF!</v>
      </c>
      <c r="D514" s="51" t="str">
        <v/>
      </c>
      <c r="E514" s="51" t="str">
        <v/>
      </c>
      <c r="F514" s="52" t="e">
        <v>#REF!</v>
      </c>
      <c r="G514" s="48" t="e">
        <v>#REF!</v>
      </c>
      <c r="H514" s="49">
        <v>1</v>
      </c>
      <c r="I514" s="49" t="e">
        <v>#REF!</v>
      </c>
      <c r="J514" s="50"/>
    </row>
    <row r="515" outlineLevel="1" spans="1:10">
      <c r="A515" s="50">
        <v>427</v>
      </c>
      <c r="B515" s="51" t="str">
        <v>楼地面-60厚C15砼</v>
      </c>
      <c r="C515" s="51" t="e">
        <v>#REF!</v>
      </c>
      <c r="D515" s="51" t="str">
        <v/>
      </c>
      <c r="E515" s="51" t="str">
        <v/>
      </c>
      <c r="F515" s="52" t="e">
        <v>#REF!</v>
      </c>
      <c r="G515" s="48" t="e">
        <v>#REF!</v>
      </c>
      <c r="H515" s="49">
        <v>1</v>
      </c>
      <c r="I515" s="49" t="e">
        <v>#REF!</v>
      </c>
      <c r="J515" s="50"/>
    </row>
    <row r="516" outlineLevel="1" spans="1:10">
      <c r="A516" s="50">
        <v>428</v>
      </c>
      <c r="B516" s="51" t="str">
        <v>楼地面-双层Φ3@50钢筋网</v>
      </c>
      <c r="C516" s="51" t="e">
        <v>#REF!</v>
      </c>
      <c r="D516" s="51" t="str">
        <v/>
      </c>
      <c r="E516" s="51" t="str">
        <v/>
      </c>
      <c r="F516" s="52" t="e">
        <v>#REF!</v>
      </c>
      <c r="G516" s="48" t="e">
        <v>#REF!</v>
      </c>
      <c r="H516" s="49">
        <v>1</v>
      </c>
      <c r="I516" s="49" t="e">
        <v>#REF!</v>
      </c>
      <c r="J516" s="50"/>
    </row>
    <row r="517" outlineLevel="1" spans="1:10">
      <c r="A517" s="50">
        <v>429</v>
      </c>
      <c r="B517" s="51" t="str">
        <v>楼地面-塑料膜</v>
      </c>
      <c r="C517" s="51" t="e">
        <v>#REF!</v>
      </c>
      <c r="D517" s="51" t="str">
        <v/>
      </c>
      <c r="E517" s="51" t="str">
        <v/>
      </c>
      <c r="F517" s="52" t="e">
        <v>#REF!</v>
      </c>
      <c r="G517" s="48" t="e">
        <v>#REF!</v>
      </c>
      <c r="H517" s="49">
        <v>1</v>
      </c>
      <c r="I517" s="49" t="e">
        <v>#REF!</v>
      </c>
      <c r="J517" s="50"/>
    </row>
    <row r="518" outlineLevel="1" spans="1:10">
      <c r="A518" s="50">
        <v>430</v>
      </c>
      <c r="B518" s="51" t="str">
        <v>楼地面-150厚3:7灰土夯实</v>
      </c>
      <c r="C518" s="51" t="e">
        <v>#REF!</v>
      </c>
      <c r="D518" s="51" t="str">
        <v/>
      </c>
      <c r="E518" s="51" t="str">
        <v/>
      </c>
      <c r="F518" s="52" t="e">
        <v>#REF!</v>
      </c>
      <c r="G518" s="48" t="e">
        <v>#REF!</v>
      </c>
      <c r="H518" s="49">
        <v>1</v>
      </c>
      <c r="I518" s="49" t="e">
        <v>#REF!</v>
      </c>
      <c r="J518" s="50"/>
    </row>
    <row r="519" outlineLevel="1" spans="1:10">
      <c r="A519" s="50">
        <v>431</v>
      </c>
      <c r="B519" s="51" t="str">
        <v>楼地面-素土夯实</v>
      </c>
      <c r="C519" s="51" t="e">
        <v>#REF!</v>
      </c>
      <c r="D519" s="51" t="str">
        <v/>
      </c>
      <c r="E519" s="51" t="str">
        <v/>
      </c>
      <c r="F519" s="52" t="e">
        <v>#REF!</v>
      </c>
      <c r="G519" s="48" t="e">
        <v>#REF!</v>
      </c>
      <c r="H519" s="49">
        <v>1</v>
      </c>
      <c r="I519" s="49" t="e">
        <v>#REF!</v>
      </c>
      <c r="J519" s="50"/>
    </row>
    <row r="520" outlineLevel="1" spans="1:10">
      <c r="A520" s="50" t="str">
        <v/>
      </c>
      <c r="B520" s="51" t="str">
        <v>卫生间地面（有覆土）</v>
      </c>
      <c r="C520" s="51" t="str">
        <v/>
      </c>
      <c r="D520" s="51" t="str">
        <v/>
      </c>
      <c r="E520" s="51" t="str">
        <v/>
      </c>
      <c r="F520" s="52" t="str">
        <v/>
      </c>
      <c r="G520" s="48" t="str">
        <v/>
      </c>
      <c r="H520" s="49">
        <v>0</v>
      </c>
      <c r="I520" s="49">
        <v>0</v>
      </c>
      <c r="J520" s="50"/>
    </row>
    <row r="521" outlineLevel="1" spans="1:10">
      <c r="A521" s="50">
        <v>432</v>
      </c>
      <c r="B521" s="51" t="str">
        <v>楼地面-60厚C15豆石砼找坡</v>
      </c>
      <c r="C521" s="51" t="e">
        <v>#REF!</v>
      </c>
      <c r="D521" s="51" t="str">
        <v/>
      </c>
      <c r="E521" s="51" t="str">
        <v/>
      </c>
      <c r="F521" s="52" t="e">
        <v>#REF!</v>
      </c>
      <c r="G521" s="48" t="e">
        <v>#REF!</v>
      </c>
      <c r="H521" s="49">
        <v>1</v>
      </c>
      <c r="I521" s="49" t="e">
        <v>#REF!</v>
      </c>
      <c r="J521" s="50"/>
    </row>
    <row r="522" outlineLevel="1" spans="1:10">
      <c r="A522" s="50">
        <v>433</v>
      </c>
      <c r="B522" s="51" t="str">
        <v>楼地面-60厚C15细石砼</v>
      </c>
      <c r="C522" s="51" t="e">
        <v>#REF!</v>
      </c>
      <c r="D522" s="51" t="str">
        <v/>
      </c>
      <c r="E522" s="51" t="str">
        <v/>
      </c>
      <c r="F522" s="52" t="e">
        <v>#REF!</v>
      </c>
      <c r="G522" s="48" t="e">
        <v>#REF!</v>
      </c>
      <c r="H522" s="49">
        <v>1</v>
      </c>
      <c r="I522" s="49" t="e">
        <v>#REF!</v>
      </c>
      <c r="J522" s="50"/>
    </row>
    <row r="523" outlineLevel="1" spans="1:10">
      <c r="A523" s="50">
        <v>434</v>
      </c>
      <c r="B523" s="51" t="str">
        <v>楼地面-塑料膜</v>
      </c>
      <c r="C523" s="51" t="e">
        <v>#REF!</v>
      </c>
      <c r="D523" s="51" t="str">
        <v/>
      </c>
      <c r="E523" s="51" t="str">
        <v/>
      </c>
      <c r="F523" s="52" t="e">
        <v>#REF!</v>
      </c>
      <c r="G523" s="48" t="e">
        <v>#REF!</v>
      </c>
      <c r="H523" s="49">
        <v>1</v>
      </c>
      <c r="I523" s="49" t="e">
        <v>#REF!</v>
      </c>
      <c r="J523" s="50"/>
    </row>
    <row r="524" outlineLevel="1" spans="1:10">
      <c r="A524" s="50">
        <v>435</v>
      </c>
      <c r="B524" s="51" t="str">
        <v>楼地面-150厚3:7灰土夯实</v>
      </c>
      <c r="C524" s="51" t="e">
        <v>#REF!</v>
      </c>
      <c r="D524" s="51" t="str">
        <v/>
      </c>
      <c r="E524" s="51" t="str">
        <v/>
      </c>
      <c r="F524" s="52" t="e">
        <v>#REF!</v>
      </c>
      <c r="G524" s="48" t="e">
        <v>#REF!</v>
      </c>
      <c r="H524" s="49">
        <v>1</v>
      </c>
      <c r="I524" s="49" t="e">
        <v>#REF!</v>
      </c>
      <c r="J524" s="50"/>
    </row>
    <row r="525" outlineLevel="1" spans="1:10">
      <c r="A525" s="50">
        <v>436</v>
      </c>
      <c r="B525" s="51" t="str">
        <v>楼地面-素土夯实</v>
      </c>
      <c r="C525" s="51" t="e">
        <v>#REF!</v>
      </c>
      <c r="D525" s="51" t="str">
        <v/>
      </c>
      <c r="E525" s="51" t="str">
        <v/>
      </c>
      <c r="F525" s="52" t="e">
        <v>#REF!</v>
      </c>
      <c r="G525" s="48" t="e">
        <v>#REF!</v>
      </c>
      <c r="H525" s="49">
        <v>1</v>
      </c>
      <c r="I525" s="49" t="e">
        <v>#REF!</v>
      </c>
      <c r="J525" s="50"/>
    </row>
    <row r="526" outlineLevel="1" spans="1:10">
      <c r="A526" s="50" t="str">
        <v/>
      </c>
      <c r="B526" s="51" t="str">
        <v>卫生间地面（无覆土）</v>
      </c>
      <c r="C526" s="51" t="str">
        <v/>
      </c>
      <c r="D526" s="51" t="str">
        <v/>
      </c>
      <c r="E526" s="51" t="str">
        <v/>
      </c>
      <c r="F526" s="52" t="str">
        <v/>
      </c>
      <c r="G526" s="48" t="str">
        <v/>
      </c>
      <c r="H526" s="49">
        <v>0</v>
      </c>
      <c r="I526" s="49">
        <v>0</v>
      </c>
      <c r="J526" s="50"/>
    </row>
    <row r="527" outlineLevel="1" spans="1:10">
      <c r="A527" s="50">
        <v>437</v>
      </c>
      <c r="B527" s="51" t="str">
        <v>楼地面-60厚C15细石砼</v>
      </c>
      <c r="C527" s="51" t="e">
        <v>#REF!</v>
      </c>
      <c r="D527" s="51" t="str">
        <v/>
      </c>
      <c r="E527" s="51" t="str">
        <v/>
      </c>
      <c r="F527" s="52" t="e">
        <v>#REF!</v>
      </c>
      <c r="G527" s="48" t="e">
        <v>#REF!</v>
      </c>
      <c r="H527" s="49">
        <v>1</v>
      </c>
      <c r="I527" s="49" t="e">
        <v>#REF!</v>
      </c>
      <c r="J527" s="50"/>
    </row>
    <row r="528" outlineLevel="1" spans="1:10">
      <c r="A528" s="50" t="str">
        <v/>
      </c>
      <c r="B528" s="51" t="str">
        <v>卫生间地面（无覆土）</v>
      </c>
      <c r="C528" s="51" t="str">
        <v/>
      </c>
      <c r="D528" s="51" t="str">
        <v/>
      </c>
      <c r="E528" s="51" t="str">
        <v/>
      </c>
      <c r="F528" s="52" t="str">
        <v/>
      </c>
      <c r="G528" s="48" t="str">
        <v/>
      </c>
      <c r="H528" s="49">
        <v>0</v>
      </c>
      <c r="I528" s="49">
        <v>0</v>
      </c>
      <c r="J528" s="50"/>
    </row>
    <row r="529" outlineLevel="1" spans="1:10">
      <c r="A529" s="50">
        <v>438</v>
      </c>
      <c r="B529" s="51" t="str">
        <v>楼地面-65厚C15豆石砼找坡</v>
      </c>
      <c r="C529" s="51" t="e">
        <v>#REF!</v>
      </c>
      <c r="D529" s="51" t="str">
        <v/>
      </c>
      <c r="E529" s="51" t="str">
        <v/>
      </c>
      <c r="F529" s="52" t="e">
        <v>#REF!</v>
      </c>
      <c r="G529" s="48" t="e">
        <v>#REF!</v>
      </c>
      <c r="H529" s="49">
        <v>1</v>
      </c>
      <c r="I529" s="49" t="e">
        <v>#REF!</v>
      </c>
      <c r="J529" s="50"/>
    </row>
    <row r="530" outlineLevel="1" spans="1:10">
      <c r="A530" s="50">
        <v>439</v>
      </c>
      <c r="B530" s="51" t="str">
        <v>楼地面-玻纤网</v>
      </c>
      <c r="C530" s="51" t="e">
        <v>#REF!</v>
      </c>
      <c r="D530" s="51" t="str">
        <v/>
      </c>
      <c r="E530" s="51" t="str">
        <v/>
      </c>
      <c r="F530" s="52" t="e">
        <v>#REF!</v>
      </c>
      <c r="G530" s="48" t="e">
        <v>#REF!</v>
      </c>
      <c r="H530" s="49">
        <v>1</v>
      </c>
      <c r="I530" s="49" t="e">
        <v>#REF!</v>
      </c>
      <c r="J530" s="50"/>
    </row>
    <row r="531" outlineLevel="1" spans="1:10">
      <c r="A531" s="50">
        <v>440</v>
      </c>
      <c r="B531" s="51" t="str">
        <v>楼地面-15厚M20水泥砂浆</v>
      </c>
      <c r="C531" s="51" t="e">
        <v>#REF!</v>
      </c>
      <c r="D531" s="51" t="str">
        <v/>
      </c>
      <c r="E531" s="51" t="str">
        <v/>
      </c>
      <c r="F531" s="52" t="e">
        <v>#REF!</v>
      </c>
      <c r="G531" s="48" t="e">
        <v>#REF!</v>
      </c>
      <c r="H531" s="49">
        <v>0</v>
      </c>
      <c r="I531" s="49" t="e">
        <v>#REF!</v>
      </c>
      <c r="J531" s="50"/>
    </row>
    <row r="532" ht="28.8" outlineLevel="1" spans="1:10">
      <c r="A532" s="50" t="str">
        <v/>
      </c>
      <c r="B532" s="51" t="str">
        <v>户内除卫生间楼面（有覆土）</v>
      </c>
      <c r="C532" s="51" t="str">
        <v/>
      </c>
      <c r="D532" s="51" t="str">
        <v/>
      </c>
      <c r="E532" s="51" t="str">
        <v/>
      </c>
      <c r="F532" s="52" t="str">
        <v/>
      </c>
      <c r="G532" s="48" t="str">
        <v/>
      </c>
      <c r="H532" s="49">
        <v>0</v>
      </c>
      <c r="I532" s="49">
        <v>0</v>
      </c>
      <c r="J532" s="50"/>
    </row>
    <row r="533" ht="28.8" outlineLevel="1" spans="1:10">
      <c r="A533" s="50">
        <v>441</v>
      </c>
      <c r="B533" s="51" t="str">
        <v>楼地面-50厚C15细石砼（毛坯）</v>
      </c>
      <c r="C533" s="51" t="e">
        <v>#REF!</v>
      </c>
      <c r="D533" s="51" t="str">
        <v/>
      </c>
      <c r="E533" s="51" t="str">
        <v/>
      </c>
      <c r="F533" s="52" t="e">
        <v>#REF!</v>
      </c>
      <c r="G533" s="48" t="e">
        <v>#REF!</v>
      </c>
      <c r="H533" s="49">
        <v>625.48</v>
      </c>
      <c r="I533" s="49" t="e">
        <v>#REF!</v>
      </c>
      <c r="J533" s="50"/>
    </row>
    <row r="534" outlineLevel="1" spans="1:10">
      <c r="A534" s="50">
        <v>442</v>
      </c>
      <c r="B534" s="51" t="str">
        <v>楼地面-60厚C15砼</v>
      </c>
      <c r="C534" s="51" t="e">
        <v>#REF!</v>
      </c>
      <c r="D534" s="51" t="str">
        <v/>
      </c>
      <c r="E534" s="51" t="str">
        <v/>
      </c>
      <c r="F534" s="52" t="e">
        <v>#REF!</v>
      </c>
      <c r="G534" s="48" t="e">
        <v>#REF!</v>
      </c>
      <c r="H534" s="49">
        <v>625.48</v>
      </c>
      <c r="I534" s="49" t="e">
        <v>#REF!</v>
      </c>
      <c r="J534" s="50"/>
    </row>
    <row r="535" outlineLevel="1" spans="1:10">
      <c r="A535" s="50">
        <v>443</v>
      </c>
      <c r="B535" s="51" t="str">
        <v>楼地面-双层Φ3@50钢筋网</v>
      </c>
      <c r="C535" s="51" t="e">
        <v>#REF!</v>
      </c>
      <c r="D535" s="51" t="str">
        <v/>
      </c>
      <c r="E535" s="51" t="str">
        <v/>
      </c>
      <c r="F535" s="52" t="e">
        <v>#REF!</v>
      </c>
      <c r="G535" s="48" t="e">
        <v>#REF!</v>
      </c>
      <c r="H535" s="49">
        <v>625.48</v>
      </c>
      <c r="I535" s="49" t="e">
        <v>#REF!</v>
      </c>
      <c r="J535" s="50"/>
    </row>
    <row r="536" outlineLevel="1" spans="1:10">
      <c r="A536" s="50">
        <v>444</v>
      </c>
      <c r="B536" s="51" t="str">
        <v>楼地面-塑料膜</v>
      </c>
      <c r="C536" s="51" t="e">
        <v>#REF!</v>
      </c>
      <c r="D536" s="51" t="str">
        <v/>
      </c>
      <c r="E536" s="51" t="str">
        <v/>
      </c>
      <c r="F536" s="52" t="e">
        <v>#REF!</v>
      </c>
      <c r="G536" s="48" t="e">
        <v>#REF!</v>
      </c>
      <c r="H536" s="49">
        <v>625.48</v>
      </c>
      <c r="I536" s="49" t="e">
        <v>#REF!</v>
      </c>
      <c r="J536" s="50"/>
    </row>
    <row r="537" outlineLevel="1" spans="1:10">
      <c r="A537" s="50">
        <v>445</v>
      </c>
      <c r="B537" s="51" t="str">
        <v>楼地面-150厚3:7灰土夯实</v>
      </c>
      <c r="C537" s="51" t="e">
        <v>#REF!</v>
      </c>
      <c r="D537" s="51" t="str">
        <v/>
      </c>
      <c r="E537" s="51" t="str">
        <v/>
      </c>
      <c r="F537" s="52" t="e">
        <v>#REF!</v>
      </c>
      <c r="G537" s="48" t="e">
        <v>#REF!</v>
      </c>
      <c r="H537" s="49">
        <v>625.48</v>
      </c>
      <c r="I537" s="49" t="e">
        <v>#REF!</v>
      </c>
      <c r="J537" s="50"/>
    </row>
    <row r="538" outlineLevel="1" spans="1:10">
      <c r="A538" s="50">
        <v>446</v>
      </c>
      <c r="B538" s="51" t="str">
        <v>楼地面-素土夯实</v>
      </c>
      <c r="C538" s="51" t="e">
        <v>#REF!</v>
      </c>
      <c r="D538" s="51" t="str">
        <v/>
      </c>
      <c r="E538" s="51" t="str">
        <v/>
      </c>
      <c r="F538" s="52" t="e">
        <v>#REF!</v>
      </c>
      <c r="G538" s="48" t="e">
        <v>#REF!</v>
      </c>
      <c r="H538" s="49">
        <v>625.48</v>
      </c>
      <c r="I538" s="49" t="e">
        <v>#REF!</v>
      </c>
      <c r="J538" s="50"/>
    </row>
    <row r="539" ht="28.8" outlineLevel="1" spans="1:10">
      <c r="A539" s="50" t="str">
        <v/>
      </c>
      <c r="B539" s="51" t="str">
        <v>户内除卫生间楼面（有覆土）</v>
      </c>
      <c r="C539" s="51" t="str">
        <v/>
      </c>
      <c r="D539" s="51" t="str">
        <v/>
      </c>
      <c r="E539" s="51" t="str">
        <v/>
      </c>
      <c r="F539" s="52" t="str">
        <v/>
      </c>
      <c r="G539" s="48" t="str">
        <v/>
      </c>
      <c r="H539" s="49">
        <v>0</v>
      </c>
      <c r="I539" s="49">
        <v>0</v>
      </c>
      <c r="J539" s="50"/>
    </row>
    <row r="540" outlineLevel="1" spans="1:10">
      <c r="A540" s="50">
        <v>447</v>
      </c>
      <c r="B540" s="51" t="str">
        <v>楼地面-60厚C15细石砼</v>
      </c>
      <c r="C540" s="51" t="e">
        <v>#REF!</v>
      </c>
      <c r="D540" s="51" t="str">
        <v/>
      </c>
      <c r="E540" s="51" t="str">
        <v/>
      </c>
      <c r="F540" s="52" t="e">
        <v>#REF!</v>
      </c>
      <c r="G540" s="48" t="e">
        <v>#REF!</v>
      </c>
      <c r="H540" s="49">
        <v>0</v>
      </c>
      <c r="I540" s="49" t="e">
        <v>#REF!</v>
      </c>
      <c r="J540" s="50"/>
    </row>
    <row r="541" outlineLevel="1" spans="1:10">
      <c r="A541" s="50">
        <v>448</v>
      </c>
      <c r="B541" s="51" t="str">
        <v>楼地面-塑料膜</v>
      </c>
      <c r="C541" s="51" t="e">
        <v>#REF!</v>
      </c>
      <c r="D541" s="51" t="str">
        <v/>
      </c>
      <c r="E541" s="51" t="str">
        <v/>
      </c>
      <c r="F541" s="52" t="e">
        <v>#REF!</v>
      </c>
      <c r="G541" s="48" t="e">
        <v>#REF!</v>
      </c>
      <c r="H541" s="49">
        <v>0</v>
      </c>
      <c r="I541" s="49" t="e">
        <v>#REF!</v>
      </c>
      <c r="J541" s="50"/>
    </row>
    <row r="542" outlineLevel="1" spans="1:10">
      <c r="A542" s="50">
        <v>449</v>
      </c>
      <c r="B542" s="51" t="str">
        <v>楼地面-150厚3:7灰土夯实</v>
      </c>
      <c r="C542" s="51" t="e">
        <v>#REF!</v>
      </c>
      <c r="D542" s="51" t="str">
        <v/>
      </c>
      <c r="E542" s="51" t="str">
        <v/>
      </c>
      <c r="F542" s="52" t="e">
        <v>#REF!</v>
      </c>
      <c r="G542" s="48" t="e">
        <v>#REF!</v>
      </c>
      <c r="H542" s="49">
        <v>0</v>
      </c>
      <c r="I542" s="49" t="e">
        <v>#REF!</v>
      </c>
      <c r="J542" s="50"/>
    </row>
    <row r="543" outlineLevel="1" spans="1:10">
      <c r="A543" s="50">
        <v>450</v>
      </c>
      <c r="B543" s="51" t="str">
        <v>楼地面-素土夯实</v>
      </c>
      <c r="C543" s="51" t="e">
        <v>#REF!</v>
      </c>
      <c r="D543" s="51" t="str">
        <v/>
      </c>
      <c r="E543" s="51" t="str">
        <v/>
      </c>
      <c r="F543" s="52" t="e">
        <v>#REF!</v>
      </c>
      <c r="G543" s="48" t="e">
        <v>#REF!</v>
      </c>
      <c r="H543" s="49">
        <v>0</v>
      </c>
      <c r="I543" s="49" t="e">
        <v>#REF!</v>
      </c>
      <c r="J543" s="50"/>
    </row>
    <row r="544" ht="28.8" outlineLevel="1" spans="1:10">
      <c r="A544" s="50" t="str">
        <v/>
      </c>
      <c r="B544" s="51" t="str">
        <v>卫生间楼面（有覆土）用于售楼部</v>
      </c>
      <c r="C544" s="51" t="str">
        <v/>
      </c>
      <c r="D544" s="51" t="str">
        <v/>
      </c>
      <c r="E544" s="51" t="str">
        <v/>
      </c>
      <c r="F544" s="52" t="str">
        <v/>
      </c>
      <c r="G544" s="48" t="str">
        <v/>
      </c>
      <c r="H544" s="49">
        <v>0</v>
      </c>
      <c r="I544" s="49">
        <v>0</v>
      </c>
      <c r="J544" s="50"/>
    </row>
    <row r="545" outlineLevel="1" spans="1:10">
      <c r="A545" s="50">
        <v>451</v>
      </c>
      <c r="B545" s="51" t="str">
        <v>楼地面-65厚C15豆石砼找坡</v>
      </c>
      <c r="C545" s="51" t="e">
        <v>#REF!</v>
      </c>
      <c r="D545" s="51" t="str">
        <v/>
      </c>
      <c r="E545" s="51" t="str">
        <v/>
      </c>
      <c r="F545" s="52" t="e">
        <v>#REF!</v>
      </c>
      <c r="G545" s="48" t="e">
        <v>#REF!</v>
      </c>
      <c r="H545" s="49">
        <v>1</v>
      </c>
      <c r="I545" s="49" t="e">
        <v>#REF!</v>
      </c>
      <c r="J545" s="50"/>
    </row>
    <row r="546" outlineLevel="1" spans="1:10">
      <c r="A546" s="50">
        <v>452</v>
      </c>
      <c r="B546" s="51" t="str">
        <v>楼地面-玻纤网</v>
      </c>
      <c r="C546" s="51" t="e">
        <v>#REF!</v>
      </c>
      <c r="D546" s="51" t="str">
        <v/>
      </c>
      <c r="E546" s="51" t="str">
        <v/>
      </c>
      <c r="F546" s="52" t="e">
        <v>#REF!</v>
      </c>
      <c r="G546" s="48" t="e">
        <v>#REF!</v>
      </c>
      <c r="H546" s="49">
        <v>1</v>
      </c>
      <c r="I546" s="49" t="e">
        <v>#REF!</v>
      </c>
      <c r="J546" s="50"/>
    </row>
    <row r="547" outlineLevel="1" spans="1:10">
      <c r="A547" s="50">
        <v>453</v>
      </c>
      <c r="B547" s="51" t="str">
        <v>楼地面-100厚C20砼</v>
      </c>
      <c r="C547" s="51" t="e">
        <v>#REF!</v>
      </c>
      <c r="D547" s="51" t="str">
        <v/>
      </c>
      <c r="E547" s="51" t="str">
        <v/>
      </c>
      <c r="F547" s="52" t="e">
        <v>#REF!</v>
      </c>
      <c r="G547" s="48" t="e">
        <v>#REF!</v>
      </c>
      <c r="H547" s="49">
        <v>1</v>
      </c>
      <c r="I547" s="49" t="e">
        <v>#REF!</v>
      </c>
      <c r="J547" s="50"/>
    </row>
    <row r="548" outlineLevel="1" spans="1:10">
      <c r="A548" s="50">
        <v>454</v>
      </c>
      <c r="B548" s="51" t="str">
        <v>楼地面-塑料膜</v>
      </c>
      <c r="C548" s="51" t="e">
        <v>#REF!</v>
      </c>
      <c r="D548" s="51" t="str">
        <v/>
      </c>
      <c r="E548" s="51" t="str">
        <v/>
      </c>
      <c r="F548" s="52" t="e">
        <v>#REF!</v>
      </c>
      <c r="G548" s="48" t="e">
        <v>#REF!</v>
      </c>
      <c r="H548" s="49">
        <v>1</v>
      </c>
      <c r="I548" s="49" t="e">
        <v>#REF!</v>
      </c>
      <c r="J548" s="50"/>
    </row>
    <row r="549" outlineLevel="1" spans="1:10">
      <c r="A549" s="50">
        <v>455</v>
      </c>
      <c r="B549" s="51" t="str">
        <v>楼地面-150厚3:7灰土夯实</v>
      </c>
      <c r="C549" s="51" t="e">
        <v>#REF!</v>
      </c>
      <c r="D549" s="51" t="str">
        <v/>
      </c>
      <c r="E549" s="51" t="str">
        <v/>
      </c>
      <c r="F549" s="52" t="e">
        <v>#REF!</v>
      </c>
      <c r="G549" s="48" t="e">
        <v>#REF!</v>
      </c>
      <c r="H549" s="49">
        <v>1</v>
      </c>
      <c r="I549" s="49" t="e">
        <v>#REF!</v>
      </c>
      <c r="J549" s="50"/>
    </row>
    <row r="550" outlineLevel="1" spans="1:10">
      <c r="A550" s="50">
        <v>456</v>
      </c>
      <c r="B550" s="51" t="str">
        <v>楼地面-素土夯实</v>
      </c>
      <c r="C550" s="51" t="e">
        <v>#REF!</v>
      </c>
      <c r="D550" s="51" t="str">
        <v/>
      </c>
      <c r="E550" s="51" t="str">
        <v/>
      </c>
      <c r="F550" s="52" t="e">
        <v>#REF!</v>
      </c>
      <c r="G550" s="48" t="e">
        <v>#REF!</v>
      </c>
      <c r="H550" s="49">
        <v>1</v>
      </c>
      <c r="I550" s="49" t="e">
        <v>#REF!</v>
      </c>
      <c r="J550" s="50"/>
    </row>
    <row r="551" ht="28.8" outlineLevel="1" spans="1:10">
      <c r="A551" s="50" t="str">
        <v/>
      </c>
      <c r="B551" s="51" t="str">
        <v>户内除卫生间楼面（有覆土）</v>
      </c>
      <c r="C551" s="51" t="str">
        <v/>
      </c>
      <c r="D551" s="51" t="str">
        <v/>
      </c>
      <c r="E551" s="51" t="str">
        <v/>
      </c>
      <c r="F551" s="52" t="str">
        <v/>
      </c>
      <c r="G551" s="48" t="str">
        <v/>
      </c>
      <c r="H551" s="49">
        <v>0</v>
      </c>
      <c r="I551" s="49">
        <v>0</v>
      </c>
      <c r="J551" s="50"/>
    </row>
    <row r="552" outlineLevel="1" spans="1:10">
      <c r="A552" s="50">
        <v>457</v>
      </c>
      <c r="B552" s="51" t="str">
        <v>楼地面-50厚C15豆石砼</v>
      </c>
      <c r="C552" s="51" t="e">
        <v>#REF!</v>
      </c>
      <c r="D552" s="51" t="str">
        <v/>
      </c>
      <c r="E552" s="51" t="str">
        <v/>
      </c>
      <c r="F552" s="52" t="e">
        <v>#REF!</v>
      </c>
      <c r="G552" s="48" t="e">
        <v>#REF!</v>
      </c>
      <c r="H552" s="49">
        <v>1</v>
      </c>
      <c r="I552" s="49" t="e">
        <v>#REF!</v>
      </c>
      <c r="J552" s="50"/>
    </row>
    <row r="553" outlineLevel="1" spans="1:10">
      <c r="A553" s="50">
        <v>458</v>
      </c>
      <c r="B553" s="51" t="str">
        <v>楼地面-玻纤网</v>
      </c>
      <c r="C553" s="51" t="e">
        <v>#REF!</v>
      </c>
      <c r="D553" s="51" t="str">
        <v/>
      </c>
      <c r="E553" s="51" t="str">
        <v/>
      </c>
      <c r="F553" s="52" t="e">
        <v>#REF!</v>
      </c>
      <c r="G553" s="48" t="e">
        <v>#REF!</v>
      </c>
      <c r="H553" s="49">
        <v>1</v>
      </c>
      <c r="I553" s="49" t="e">
        <v>#REF!</v>
      </c>
      <c r="J553" s="50"/>
    </row>
    <row r="554" outlineLevel="1" spans="1:10">
      <c r="A554" s="50">
        <v>459</v>
      </c>
      <c r="B554" s="51" t="str">
        <v>楼地面-15厚M20水泥砂浆</v>
      </c>
      <c r="C554" s="51" t="e">
        <v>#REF!</v>
      </c>
      <c r="D554" s="51" t="str">
        <v/>
      </c>
      <c r="E554" s="51" t="str">
        <v/>
      </c>
      <c r="F554" s="52" t="e">
        <v>#REF!</v>
      </c>
      <c r="G554" s="48" t="e">
        <v>#REF!</v>
      </c>
      <c r="H554" s="49">
        <v>1</v>
      </c>
      <c r="I554" s="49" t="e">
        <v>#REF!</v>
      </c>
      <c r="J554" s="50"/>
    </row>
    <row r="555" outlineLevel="1" spans="1:10">
      <c r="A555" s="50">
        <v>460</v>
      </c>
      <c r="B555" s="51" t="str">
        <v>楼地面-60厚C15细石砼</v>
      </c>
      <c r="C555" s="51" t="e">
        <v>#REF!</v>
      </c>
      <c r="D555" s="51" t="str">
        <v/>
      </c>
      <c r="E555" s="51" t="str">
        <v/>
      </c>
      <c r="F555" s="52" t="e">
        <v>#REF!</v>
      </c>
      <c r="G555" s="48" t="e">
        <v>#REF!</v>
      </c>
      <c r="H555" s="49">
        <v>1</v>
      </c>
      <c r="I555" s="49" t="e">
        <v>#REF!</v>
      </c>
      <c r="J555" s="50"/>
    </row>
    <row r="556" outlineLevel="1" spans="1:10">
      <c r="A556" s="50">
        <v>461</v>
      </c>
      <c r="B556" s="51" t="str">
        <v>楼地面-塑料膜</v>
      </c>
      <c r="C556" s="51" t="e">
        <v>#REF!</v>
      </c>
      <c r="D556" s="51" t="str">
        <v/>
      </c>
      <c r="E556" s="51" t="str">
        <v/>
      </c>
      <c r="F556" s="52" t="e">
        <v>#REF!</v>
      </c>
      <c r="G556" s="48" t="e">
        <v>#REF!</v>
      </c>
      <c r="H556" s="49">
        <v>1</v>
      </c>
      <c r="I556" s="49" t="e">
        <v>#REF!</v>
      </c>
      <c r="J556" s="50"/>
    </row>
    <row r="557" outlineLevel="1" spans="1:10">
      <c r="A557" s="50">
        <v>462</v>
      </c>
      <c r="B557" s="51" t="str">
        <v>楼地面-150厚3:7灰土夯实</v>
      </c>
      <c r="C557" s="51" t="e">
        <v>#REF!</v>
      </c>
      <c r="D557" s="51" t="str">
        <v/>
      </c>
      <c r="E557" s="51" t="str">
        <v/>
      </c>
      <c r="F557" s="52" t="e">
        <v>#REF!</v>
      </c>
      <c r="G557" s="48" t="e">
        <v>#REF!</v>
      </c>
      <c r="H557" s="49">
        <v>1</v>
      </c>
      <c r="I557" s="49" t="e">
        <v>#REF!</v>
      </c>
      <c r="J557" s="50"/>
    </row>
    <row r="558" outlineLevel="1" spans="1:10">
      <c r="A558" s="50">
        <v>463</v>
      </c>
      <c r="B558" s="51" t="str">
        <v>楼地面-素土夯实</v>
      </c>
      <c r="C558" s="51" t="e">
        <v>#REF!</v>
      </c>
      <c r="D558" s="51" t="str">
        <v/>
      </c>
      <c r="E558" s="51" t="str">
        <v/>
      </c>
      <c r="F558" s="52" t="e">
        <v>#REF!</v>
      </c>
      <c r="G558" s="48" t="e">
        <v>#REF!</v>
      </c>
      <c r="H558" s="49">
        <v>1</v>
      </c>
      <c r="I558" s="49" t="e">
        <v>#REF!</v>
      </c>
      <c r="J558" s="50"/>
    </row>
    <row r="559" ht="28.8" outlineLevel="1" spans="1:10">
      <c r="A559" s="50" t="str">
        <v/>
      </c>
      <c r="B559" s="51" t="str">
        <v>有覆土房间，地库以上，地面素土以下做法</v>
      </c>
      <c r="C559" s="51" t="str">
        <v/>
      </c>
      <c r="D559" s="51" t="str">
        <v/>
      </c>
      <c r="E559" s="51" t="str">
        <v/>
      </c>
      <c r="F559" s="52" t="str">
        <v/>
      </c>
      <c r="G559" s="48" t="str">
        <v/>
      </c>
      <c r="H559" s="49">
        <v>0</v>
      </c>
      <c r="I559" s="49">
        <v>0</v>
      </c>
      <c r="J559" s="50"/>
    </row>
    <row r="560" outlineLevel="1" spans="1:10">
      <c r="A560" s="50">
        <v>464</v>
      </c>
      <c r="B560" s="51" t="str">
        <v>楼地面-20厚M20水泥砂浆</v>
      </c>
      <c r="C560" s="51" t="e">
        <v>#REF!</v>
      </c>
      <c r="D560" s="51" t="str">
        <v/>
      </c>
      <c r="E560" s="51" t="str">
        <v/>
      </c>
      <c r="F560" s="52" t="e">
        <v>#REF!</v>
      </c>
      <c r="G560" s="48" t="e">
        <v>#REF!</v>
      </c>
      <c r="H560" s="49">
        <v>0</v>
      </c>
      <c r="I560" s="49" t="e">
        <v>#REF!</v>
      </c>
      <c r="J560" s="50"/>
    </row>
    <row r="561" outlineLevel="1" spans="1:10">
      <c r="A561" s="50">
        <v>465</v>
      </c>
      <c r="B561" s="51" t="str">
        <v>楼地面-聚氨酯防水涂料</v>
      </c>
      <c r="C561" s="51" t="e">
        <v>#REF!</v>
      </c>
      <c r="D561" s="51" t="str">
        <v/>
      </c>
      <c r="E561" s="51" t="str">
        <v/>
      </c>
      <c r="F561" s="52" t="e">
        <v>#REF!</v>
      </c>
      <c r="G561" s="48" t="e">
        <v>#REF!</v>
      </c>
      <c r="H561" s="49">
        <v>0</v>
      </c>
      <c r="I561" s="49" t="e">
        <v>#REF!</v>
      </c>
      <c r="J561" s="50"/>
    </row>
    <row r="562" outlineLevel="1" spans="1:10">
      <c r="A562" s="50">
        <v>466</v>
      </c>
      <c r="B562" s="51" t="str">
        <v>楼地面-20厚M20水泥砂浆</v>
      </c>
      <c r="C562" s="51" t="e">
        <v>#REF!</v>
      </c>
      <c r="D562" s="51" t="str">
        <v/>
      </c>
      <c r="E562" s="51" t="str">
        <v/>
      </c>
      <c r="F562" s="52" t="e">
        <v>#REF!</v>
      </c>
      <c r="G562" s="48" t="e">
        <v>#REF!</v>
      </c>
      <c r="H562" s="49">
        <v>0</v>
      </c>
      <c r="I562" s="49" t="e">
        <v>#REF!</v>
      </c>
      <c r="J562" s="50"/>
    </row>
    <row r="563" outlineLevel="1" spans="1:10">
      <c r="A563" s="50">
        <v>467</v>
      </c>
      <c r="B563" s="51" t="str">
        <v>楼地面-15厚水泥基自流平</v>
      </c>
      <c r="C563" s="51" t="e">
        <v>#REF!</v>
      </c>
      <c r="D563" s="51" t="str">
        <v/>
      </c>
      <c r="E563" s="51" t="str">
        <v/>
      </c>
      <c r="F563" s="52" t="e">
        <v>#REF!</v>
      </c>
      <c r="G563" s="48" t="e">
        <v>#REF!</v>
      </c>
      <c r="H563" s="49">
        <v>0</v>
      </c>
      <c r="I563" s="49" t="e">
        <v>#REF!</v>
      </c>
      <c r="J563" s="50"/>
    </row>
    <row r="564" outlineLevel="1" spans="1:10">
      <c r="A564" s="50">
        <v>468</v>
      </c>
      <c r="B564" s="51" t="str">
        <v>楼地面-20厚水泥基自流平</v>
      </c>
      <c r="C564" s="51" t="e">
        <v>#REF!</v>
      </c>
      <c r="D564" s="51" t="str">
        <v/>
      </c>
      <c r="E564" s="51" t="str">
        <v/>
      </c>
      <c r="F564" s="52" t="e">
        <v>#REF!</v>
      </c>
      <c r="G564" s="48" t="e">
        <v>#REF!</v>
      </c>
      <c r="H564" s="49">
        <v>0</v>
      </c>
      <c r="I564" s="49" t="e">
        <v>#REF!</v>
      </c>
      <c r="J564" s="50"/>
    </row>
    <row r="565" outlineLevel="1" spans="1:10">
      <c r="A565" s="50">
        <v>469</v>
      </c>
      <c r="B565" s="51" t="str">
        <v>楼地面-15厚石膏基自流平</v>
      </c>
      <c r="C565" s="51" t="e">
        <v>#REF!</v>
      </c>
      <c r="D565" s="51" t="str">
        <v/>
      </c>
      <c r="E565" s="51" t="str">
        <v/>
      </c>
      <c r="F565" s="52" t="e">
        <v>#REF!</v>
      </c>
      <c r="G565" s="48" t="e">
        <v>#REF!</v>
      </c>
      <c r="H565" s="49">
        <v>0</v>
      </c>
      <c r="I565" s="49" t="e">
        <v>#REF!</v>
      </c>
      <c r="J565" s="50"/>
    </row>
    <row r="566" outlineLevel="1" spans="1:10">
      <c r="A566" s="50">
        <v>470</v>
      </c>
      <c r="B566" s="51" t="str">
        <v>楼地面-20厚石膏基自流平</v>
      </c>
      <c r="C566" s="51" t="e">
        <v>#REF!</v>
      </c>
      <c r="D566" s="51" t="str">
        <v/>
      </c>
      <c r="E566" s="51" t="str">
        <v/>
      </c>
      <c r="F566" s="52" t="e">
        <v>#REF!</v>
      </c>
      <c r="G566" s="48" t="e">
        <v>#REF!</v>
      </c>
      <c r="H566" s="49">
        <v>0</v>
      </c>
      <c r="I566" s="49" t="e">
        <v>#REF!</v>
      </c>
      <c r="J566" s="50"/>
    </row>
    <row r="567" outlineLevel="1" spans="1:10">
      <c r="A567" s="50" t="str">
        <v/>
      </c>
      <c r="B567" s="51" t="str">
        <v>其他房间</v>
      </c>
      <c r="C567" s="51" t="str">
        <v/>
      </c>
      <c r="D567" s="51" t="str">
        <v/>
      </c>
      <c r="E567" s="51" t="str">
        <v/>
      </c>
      <c r="F567" s="52" t="str">
        <v/>
      </c>
      <c r="G567" s="48" t="str">
        <v/>
      </c>
      <c r="H567" s="49">
        <v>0</v>
      </c>
      <c r="I567" s="49">
        <v>0</v>
      </c>
      <c r="J567" s="50"/>
    </row>
    <row r="568" outlineLevel="1" spans="1:10">
      <c r="A568" s="50">
        <v>471</v>
      </c>
      <c r="B568" s="51" t="str">
        <v>楼地面-50厚C20细石砼</v>
      </c>
      <c r="C568" s="51" t="e">
        <v>#REF!</v>
      </c>
      <c r="D568" s="51" t="str">
        <v/>
      </c>
      <c r="E568" s="51" t="str">
        <v/>
      </c>
      <c r="F568" s="52" t="e">
        <v>#REF!</v>
      </c>
      <c r="G568" s="48" t="e">
        <v>#REF!</v>
      </c>
      <c r="H568" s="49">
        <v>0</v>
      </c>
      <c r="I568" s="49" t="e">
        <v>#REF!</v>
      </c>
      <c r="J568" s="50"/>
    </row>
    <row r="569" outlineLevel="1" spans="1:10">
      <c r="A569" s="50">
        <v>472</v>
      </c>
      <c r="B569" s="51" t="str">
        <v>楼地面-聚氨酯防水涂料</v>
      </c>
      <c r="C569" s="51" t="e">
        <v>#REF!</v>
      </c>
      <c r="D569" s="51" t="str">
        <v/>
      </c>
      <c r="E569" s="51" t="str">
        <v/>
      </c>
      <c r="F569" s="52" t="e">
        <v>#REF!</v>
      </c>
      <c r="G569" s="48" t="e">
        <v>#REF!</v>
      </c>
      <c r="H569" s="49">
        <v>0</v>
      </c>
      <c r="I569" s="49" t="e">
        <v>#REF!</v>
      </c>
      <c r="J569" s="50"/>
    </row>
    <row r="570" outlineLevel="1" spans="1:10">
      <c r="A570" s="50">
        <v>473</v>
      </c>
      <c r="B570" s="51" t="str">
        <v>楼地面-15厚M20水泥砂浆</v>
      </c>
      <c r="C570" s="51" t="e">
        <v>#REF!</v>
      </c>
      <c r="D570" s="51" t="str">
        <v/>
      </c>
      <c r="E570" s="51" t="str">
        <v/>
      </c>
      <c r="F570" s="52" t="e">
        <v>#REF!</v>
      </c>
      <c r="G570" s="48" t="e">
        <v>#REF!</v>
      </c>
      <c r="H570" s="49">
        <v>0</v>
      </c>
      <c r="I570" s="49" t="e">
        <v>#REF!</v>
      </c>
      <c r="J570" s="50"/>
    </row>
    <row r="571" outlineLevel="1" spans="1:10">
      <c r="A571" s="50">
        <v>474</v>
      </c>
      <c r="B571" s="51" t="str">
        <v>楼地面-玻纤网</v>
      </c>
      <c r="C571" s="51" t="e">
        <v>#REF!</v>
      </c>
      <c r="D571" s="51" t="str">
        <v/>
      </c>
      <c r="E571" s="51" t="str">
        <v/>
      </c>
      <c r="F571" s="52" t="e">
        <v>#REF!</v>
      </c>
      <c r="G571" s="48" t="e">
        <v>#REF!</v>
      </c>
      <c r="H571" s="49">
        <v>0</v>
      </c>
      <c r="I571" s="49" t="e">
        <v>#REF!</v>
      </c>
      <c r="J571" s="50"/>
    </row>
    <row r="572" outlineLevel="1" spans="1:10">
      <c r="A572" s="50">
        <v>475</v>
      </c>
      <c r="B572" s="51" t="str">
        <v>楼地面-塑料膜</v>
      </c>
      <c r="C572" s="51" t="e">
        <v>#REF!</v>
      </c>
      <c r="D572" s="51" t="str">
        <v/>
      </c>
      <c r="E572" s="51" t="str">
        <v/>
      </c>
      <c r="F572" s="52" t="e">
        <v>#REF!</v>
      </c>
      <c r="G572" s="48" t="e">
        <v>#REF!</v>
      </c>
      <c r="H572" s="49">
        <v>0</v>
      </c>
      <c r="I572" s="49" t="e">
        <v>#REF!</v>
      </c>
      <c r="J572" s="50"/>
    </row>
    <row r="573" outlineLevel="1" spans="1:10">
      <c r="A573" s="50">
        <v>476</v>
      </c>
      <c r="B573" s="51" t="str">
        <v>楼地面-180厚XPS</v>
      </c>
      <c r="C573" s="51" t="e">
        <v>#REF!</v>
      </c>
      <c r="D573" s="51" t="str">
        <v/>
      </c>
      <c r="E573" s="51" t="str">
        <v/>
      </c>
      <c r="F573" s="52" t="e">
        <v>#REF!</v>
      </c>
      <c r="G573" s="48" t="e">
        <v>#REF!</v>
      </c>
      <c r="H573" s="49">
        <v>0</v>
      </c>
      <c r="I573" s="49" t="e">
        <v>#REF!</v>
      </c>
      <c r="J573" s="50"/>
    </row>
    <row r="574" outlineLevel="1" spans="1:10">
      <c r="A574" s="50">
        <v>477</v>
      </c>
      <c r="B574" s="51" t="str">
        <v>楼地面-15厚M20水泥砂浆</v>
      </c>
      <c r="C574" s="51" t="e">
        <v>#REF!</v>
      </c>
      <c r="D574" s="51" t="str">
        <v/>
      </c>
      <c r="E574" s="51" t="str">
        <v/>
      </c>
      <c r="F574" s="52" t="e">
        <v>#REF!</v>
      </c>
      <c r="G574" s="48" t="e">
        <v>#REF!</v>
      </c>
      <c r="H574" s="49">
        <v>0</v>
      </c>
      <c r="I574" s="49" t="e">
        <v>#REF!</v>
      </c>
      <c r="J574" s="50"/>
    </row>
    <row r="575" outlineLevel="1" spans="1:10">
      <c r="A575" s="50">
        <v>478</v>
      </c>
      <c r="B575" s="51" t="str">
        <v>楼地面-60厚C15细石砼</v>
      </c>
      <c r="C575" s="51" t="e">
        <v>#REF!</v>
      </c>
      <c r="D575" s="51" t="str">
        <v/>
      </c>
      <c r="E575" s="51" t="str">
        <v/>
      </c>
      <c r="F575" s="52" t="e">
        <v>#REF!</v>
      </c>
      <c r="G575" s="48" t="e">
        <v>#REF!</v>
      </c>
      <c r="H575" s="49">
        <v>0</v>
      </c>
      <c r="I575" s="49" t="e">
        <v>#REF!</v>
      </c>
      <c r="J575" s="50"/>
    </row>
    <row r="576" outlineLevel="1" spans="1:10">
      <c r="A576" s="50">
        <v>479</v>
      </c>
      <c r="B576" s="51" t="str">
        <v>楼地面-双层Φ3@50钢筋网</v>
      </c>
      <c r="C576" s="51" t="e">
        <v>#REF!</v>
      </c>
      <c r="D576" s="51" t="str">
        <v/>
      </c>
      <c r="E576" s="51" t="str">
        <v/>
      </c>
      <c r="F576" s="52" t="e">
        <v>#REF!</v>
      </c>
      <c r="G576" s="48" t="e">
        <v>#REF!</v>
      </c>
      <c r="H576" s="49">
        <v>0</v>
      </c>
      <c r="I576" s="49" t="e">
        <v>#REF!</v>
      </c>
      <c r="J576" s="50"/>
    </row>
    <row r="577" outlineLevel="1" spans="1:10">
      <c r="A577" s="50">
        <v>480</v>
      </c>
      <c r="B577" s="51" t="str">
        <v>楼地面-塑料膜</v>
      </c>
      <c r="C577" s="51" t="e">
        <v>#REF!</v>
      </c>
      <c r="D577" s="51" t="str">
        <v/>
      </c>
      <c r="E577" s="51" t="str">
        <v/>
      </c>
      <c r="F577" s="52" t="e">
        <v>#REF!</v>
      </c>
      <c r="G577" s="48" t="e">
        <v>#REF!</v>
      </c>
      <c r="H577" s="49">
        <v>0</v>
      </c>
      <c r="I577" s="49" t="e">
        <v>#REF!</v>
      </c>
      <c r="J577" s="50"/>
    </row>
    <row r="578" outlineLevel="1" spans="1:10">
      <c r="A578" s="50">
        <v>481</v>
      </c>
      <c r="B578" s="51" t="str">
        <v>楼地面-150厚3:7灰土夯实</v>
      </c>
      <c r="C578" s="51" t="e">
        <v>#REF!</v>
      </c>
      <c r="D578" s="51" t="str">
        <v/>
      </c>
      <c r="E578" s="51" t="str">
        <v/>
      </c>
      <c r="F578" s="52" t="e">
        <v>#REF!</v>
      </c>
      <c r="G578" s="48" t="e">
        <v>#REF!</v>
      </c>
      <c r="H578" s="49">
        <v>0</v>
      </c>
      <c r="I578" s="49" t="e">
        <v>#REF!</v>
      </c>
      <c r="J578" s="50"/>
    </row>
    <row r="579" outlineLevel="1" spans="1:10">
      <c r="A579" s="50">
        <v>482</v>
      </c>
      <c r="B579" s="51" t="str">
        <v>楼地面-素土夯实</v>
      </c>
      <c r="C579" s="51" t="e">
        <v>#REF!</v>
      </c>
      <c r="D579" s="51" t="str">
        <v/>
      </c>
      <c r="E579" s="51" t="str">
        <v/>
      </c>
      <c r="F579" s="52" t="e">
        <v>#REF!</v>
      </c>
      <c r="G579" s="48" t="e">
        <v>#REF!</v>
      </c>
      <c r="H579" s="49">
        <v>0</v>
      </c>
      <c r="I579" s="49" t="e">
        <v>#REF!</v>
      </c>
      <c r="J579" s="50"/>
    </row>
    <row r="580" ht="28.8" outlineLevel="1" spans="1:10">
      <c r="A580" s="50">
        <v>483</v>
      </c>
      <c r="B580" s="51" t="str">
        <v>楼地面-50厚C15细石砼（毛坯）</v>
      </c>
      <c r="C580" s="51" t="e">
        <v>#REF!</v>
      </c>
      <c r="D580" s="51" t="str">
        <v/>
      </c>
      <c r="E580" s="51" t="str">
        <v/>
      </c>
      <c r="F580" s="52" t="e">
        <v>#REF!</v>
      </c>
      <c r="G580" s="48" t="e">
        <v>#REF!</v>
      </c>
      <c r="H580" s="49">
        <v>229.78</v>
      </c>
      <c r="I580" s="49" t="e">
        <v>#REF!</v>
      </c>
      <c r="J580" s="50"/>
    </row>
    <row r="581" ht="28.8" outlineLevel="1" spans="1:10">
      <c r="A581" s="50">
        <v>484</v>
      </c>
      <c r="B581" s="51" t="str">
        <v>楼地面-50厚C15细石砼（毛坯）</v>
      </c>
      <c r="C581" s="51" t="e">
        <v>#REF!</v>
      </c>
      <c r="D581" s="51" t="str">
        <v/>
      </c>
      <c r="E581" s="51" t="str">
        <v/>
      </c>
      <c r="F581" s="52" t="e">
        <v>#REF!</v>
      </c>
      <c r="G581" s="48" t="e">
        <v>#REF!</v>
      </c>
      <c r="H581" s="49">
        <v>0</v>
      </c>
      <c r="I581" s="49" t="e">
        <v>#REF!</v>
      </c>
      <c r="J581" s="50"/>
    </row>
    <row r="582" outlineLevel="1" spans="1:10">
      <c r="A582" s="50" t="str">
        <v/>
      </c>
      <c r="B582" s="51" t="str">
        <v>阳台楼面（无覆土）</v>
      </c>
      <c r="C582" s="51" t="str">
        <v/>
      </c>
      <c r="D582" s="51" t="str">
        <v/>
      </c>
      <c r="E582" s="51" t="str">
        <v/>
      </c>
      <c r="F582" s="52" t="str">
        <v/>
      </c>
      <c r="G582" s="48" t="str">
        <v/>
      </c>
      <c r="H582" s="49">
        <v>0</v>
      </c>
      <c r="I582" s="49">
        <v>0</v>
      </c>
      <c r="J582" s="50"/>
    </row>
    <row r="583" outlineLevel="1" spans="1:10">
      <c r="A583" s="50">
        <v>485</v>
      </c>
      <c r="B583" s="51" t="str">
        <v>楼地面-50厚C15豆石砼找坡</v>
      </c>
      <c r="C583" s="51" t="e">
        <v>#REF!</v>
      </c>
      <c r="D583" s="51" t="str">
        <v/>
      </c>
      <c r="E583" s="51" t="str">
        <v/>
      </c>
      <c r="F583" s="52" t="e">
        <v>#REF!</v>
      </c>
      <c r="G583" s="48" t="e">
        <v>#REF!</v>
      </c>
      <c r="H583" s="49">
        <v>0</v>
      </c>
      <c r="I583" s="49" t="e">
        <v>#REF!</v>
      </c>
      <c r="J583" s="50"/>
    </row>
    <row r="584" outlineLevel="1" spans="1:10">
      <c r="A584" s="50">
        <v>486</v>
      </c>
      <c r="B584" s="51" t="str">
        <v>楼地面-玻纤网</v>
      </c>
      <c r="C584" s="51" t="e">
        <v>#REF!</v>
      </c>
      <c r="D584" s="51" t="str">
        <v/>
      </c>
      <c r="E584" s="51" t="str">
        <v/>
      </c>
      <c r="F584" s="52" t="e">
        <v>#REF!</v>
      </c>
      <c r="G584" s="48" t="e">
        <v>#REF!</v>
      </c>
      <c r="H584" s="49">
        <v>0</v>
      </c>
      <c r="I584" s="49" t="e">
        <v>#REF!</v>
      </c>
      <c r="J584" s="50"/>
    </row>
    <row r="585" outlineLevel="1" spans="1:10">
      <c r="A585" s="50">
        <v>487</v>
      </c>
      <c r="B585" s="51" t="str">
        <v>阳台地面-聚氨酯防水涂料</v>
      </c>
      <c r="C585" s="51" t="e">
        <v>#REF!</v>
      </c>
      <c r="D585" s="51" t="str">
        <v/>
      </c>
      <c r="E585" s="51" t="str">
        <v/>
      </c>
      <c r="F585" s="52" t="e">
        <v>#REF!</v>
      </c>
      <c r="G585" s="48" t="e">
        <v>#REF!</v>
      </c>
      <c r="H585" s="49">
        <v>0</v>
      </c>
      <c r="I585" s="49" t="e">
        <v>#REF!</v>
      </c>
      <c r="J585" s="50"/>
    </row>
    <row r="586" outlineLevel="1" spans="1:10">
      <c r="A586" s="50">
        <v>488</v>
      </c>
      <c r="B586" s="51" t="str">
        <v>楼地面-30厚C15豆石砼找坡</v>
      </c>
      <c r="C586" s="51" t="e">
        <v>#REF!</v>
      </c>
      <c r="D586" s="51" t="str">
        <v/>
      </c>
      <c r="E586" s="51" t="str">
        <v/>
      </c>
      <c r="F586" s="52" t="e">
        <v>#REF!</v>
      </c>
      <c r="G586" s="48" t="e">
        <v>#REF!</v>
      </c>
      <c r="H586" s="49">
        <v>0</v>
      </c>
      <c r="I586" s="49" t="e">
        <v>#REF!</v>
      </c>
      <c r="J586" s="50"/>
    </row>
    <row r="587" ht="28.8" outlineLevel="1" spans="1:10">
      <c r="A587" s="50" t="str">
        <v/>
      </c>
      <c r="B587" s="51" t="str">
        <v>一层有覆土的阳台地漏一米范围内</v>
      </c>
      <c r="C587" s="51" t="str">
        <v/>
      </c>
      <c r="D587" s="51" t="str">
        <v/>
      </c>
      <c r="E587" s="51" t="str">
        <v/>
      </c>
      <c r="F587" s="52" t="str">
        <v/>
      </c>
      <c r="G587" s="48" t="str">
        <v/>
      </c>
      <c r="H587" s="49">
        <v>0</v>
      </c>
      <c r="I587" s="49">
        <v>0</v>
      </c>
      <c r="J587" s="50"/>
    </row>
    <row r="588" outlineLevel="1" spans="1:10">
      <c r="A588" s="50">
        <v>489</v>
      </c>
      <c r="B588" s="51" t="str">
        <v>楼地面-30厚C15豆石砼找坡</v>
      </c>
      <c r="C588" s="51" t="e">
        <v>#REF!</v>
      </c>
      <c r="D588" s="51" t="str">
        <v/>
      </c>
      <c r="E588" s="51" t="str">
        <v/>
      </c>
      <c r="F588" s="52" t="e">
        <v>#REF!</v>
      </c>
      <c r="G588" s="48" t="e">
        <v>#REF!</v>
      </c>
      <c r="H588" s="49">
        <v>0</v>
      </c>
      <c r="I588" s="49" t="e">
        <v>#REF!</v>
      </c>
      <c r="J588" s="50"/>
    </row>
    <row r="589" outlineLevel="1" spans="1:10">
      <c r="A589" s="50">
        <v>490</v>
      </c>
      <c r="B589" s="51" t="str">
        <v>阳台地面-聚氨酯防水涂料</v>
      </c>
      <c r="C589" s="51" t="e">
        <v>#REF!</v>
      </c>
      <c r="D589" s="51" t="str">
        <v/>
      </c>
      <c r="E589" s="51" t="str">
        <v/>
      </c>
      <c r="F589" s="52" t="e">
        <v>#REF!</v>
      </c>
      <c r="G589" s="48" t="e">
        <v>#REF!</v>
      </c>
      <c r="H589" s="49">
        <v>0</v>
      </c>
      <c r="I589" s="49" t="e">
        <v>#REF!</v>
      </c>
      <c r="J589" s="50"/>
    </row>
    <row r="590" outlineLevel="1" spans="1:10">
      <c r="A590" s="50">
        <v>491</v>
      </c>
      <c r="B590" s="51" t="str">
        <v>楼地面-60厚C15细石砼</v>
      </c>
      <c r="C590" s="51" t="e">
        <v>#REF!</v>
      </c>
      <c r="D590" s="51" t="str">
        <v/>
      </c>
      <c r="E590" s="51" t="str">
        <v/>
      </c>
      <c r="F590" s="52" t="e">
        <v>#REF!</v>
      </c>
      <c r="G590" s="48" t="e">
        <v>#REF!</v>
      </c>
      <c r="H590" s="49">
        <v>0</v>
      </c>
      <c r="I590" s="49" t="e">
        <v>#REF!</v>
      </c>
      <c r="J590" s="50"/>
    </row>
    <row r="591" outlineLevel="1" spans="1:10">
      <c r="A591" s="50">
        <v>492</v>
      </c>
      <c r="B591" s="51" t="str">
        <v>楼地面-塑料膜</v>
      </c>
      <c r="C591" s="51" t="e">
        <v>#REF!</v>
      </c>
      <c r="D591" s="51" t="str">
        <v/>
      </c>
      <c r="E591" s="51" t="str">
        <v/>
      </c>
      <c r="F591" s="52" t="e">
        <v>#REF!</v>
      </c>
      <c r="G591" s="48" t="e">
        <v>#REF!</v>
      </c>
      <c r="H591" s="49">
        <v>0</v>
      </c>
      <c r="I591" s="49" t="e">
        <v>#REF!</v>
      </c>
      <c r="J591" s="50"/>
    </row>
    <row r="592" outlineLevel="1" spans="1:10">
      <c r="A592" s="50">
        <v>493</v>
      </c>
      <c r="B592" s="51" t="str">
        <v>楼地面-150厚3:7灰土夯实</v>
      </c>
      <c r="C592" s="51" t="e">
        <v>#REF!</v>
      </c>
      <c r="D592" s="51" t="str">
        <v/>
      </c>
      <c r="E592" s="51" t="str">
        <v/>
      </c>
      <c r="F592" s="52" t="e">
        <v>#REF!</v>
      </c>
      <c r="G592" s="48" t="e">
        <v>#REF!</v>
      </c>
      <c r="H592" s="49">
        <v>0</v>
      </c>
      <c r="I592" s="49" t="e">
        <v>#REF!</v>
      </c>
      <c r="J592" s="50"/>
    </row>
    <row r="593" outlineLevel="1" spans="1:10">
      <c r="A593" s="50">
        <v>494</v>
      </c>
      <c r="B593" s="51" t="str">
        <v>楼地面-水暖电井</v>
      </c>
      <c r="C593" s="51" t="e">
        <v>#REF!</v>
      </c>
      <c r="D593" s="51" t="str">
        <v/>
      </c>
      <c r="E593" s="51" t="str">
        <v/>
      </c>
      <c r="F593" s="52" t="e">
        <v>#REF!</v>
      </c>
      <c r="G593" s="48" t="e">
        <v>#REF!</v>
      </c>
      <c r="H593" s="49">
        <v>1</v>
      </c>
      <c r="I593" s="49" t="e">
        <v>#REF!</v>
      </c>
      <c r="J593" s="50"/>
    </row>
    <row r="594" outlineLevel="1" spans="1:10">
      <c r="A594" s="50" t="str">
        <v/>
      </c>
      <c r="B594" s="51" t="str">
        <v>厨房楼面（有覆土）</v>
      </c>
      <c r="C594" s="51" t="str">
        <v/>
      </c>
      <c r="D594" s="51" t="str">
        <v/>
      </c>
      <c r="E594" s="51" t="str">
        <v/>
      </c>
      <c r="F594" s="52" t="str">
        <v/>
      </c>
      <c r="G594" s="48" t="str">
        <v/>
      </c>
      <c r="H594" s="49">
        <v>0</v>
      </c>
      <c r="I594" s="49">
        <v>0</v>
      </c>
      <c r="J594" s="50"/>
    </row>
    <row r="595" outlineLevel="1" spans="1:10">
      <c r="A595" s="50">
        <v>495</v>
      </c>
      <c r="B595" s="51" t="str">
        <v>楼地面-60厚C15细石砼</v>
      </c>
      <c r="C595" s="51" t="e">
        <v>#REF!</v>
      </c>
      <c r="D595" s="51" t="str">
        <v/>
      </c>
      <c r="E595" s="51" t="str">
        <v/>
      </c>
      <c r="F595" s="52" t="e">
        <v>#REF!</v>
      </c>
      <c r="G595" s="48" t="e">
        <v>#REF!</v>
      </c>
      <c r="H595" s="49">
        <v>0</v>
      </c>
      <c r="I595" s="49" t="e">
        <v>#REF!</v>
      </c>
      <c r="J595" s="50"/>
    </row>
    <row r="596" outlineLevel="1" spans="1:10">
      <c r="A596" s="50">
        <v>496</v>
      </c>
      <c r="B596" s="51" t="str">
        <v>楼地面-玻纤网</v>
      </c>
      <c r="C596" s="51" t="e">
        <v>#REF!</v>
      </c>
      <c r="D596" s="51" t="str">
        <v/>
      </c>
      <c r="E596" s="51" t="str">
        <v/>
      </c>
      <c r="F596" s="52" t="e">
        <v>#REF!</v>
      </c>
      <c r="G596" s="48" t="e">
        <v>#REF!</v>
      </c>
      <c r="H596" s="49">
        <v>0</v>
      </c>
      <c r="I596" s="49" t="e">
        <v>#REF!</v>
      </c>
      <c r="J596" s="50"/>
    </row>
    <row r="597" outlineLevel="1" spans="1:10">
      <c r="A597" s="50">
        <v>497</v>
      </c>
      <c r="B597" s="51" t="str">
        <v>楼地面-塑料膜</v>
      </c>
      <c r="C597" s="51" t="e">
        <v>#REF!</v>
      </c>
      <c r="D597" s="51" t="str">
        <v/>
      </c>
      <c r="E597" s="51" t="str">
        <v/>
      </c>
      <c r="F597" s="52" t="e">
        <v>#REF!</v>
      </c>
      <c r="G597" s="48" t="e">
        <v>#REF!</v>
      </c>
      <c r="H597" s="49">
        <v>0</v>
      </c>
      <c r="I597" s="49" t="e">
        <v>#REF!</v>
      </c>
      <c r="J597" s="50"/>
    </row>
    <row r="598" outlineLevel="1" spans="1:10">
      <c r="A598" s="50">
        <v>498</v>
      </c>
      <c r="B598" s="51" t="str">
        <v>楼地面-150厚3:7灰土夯实</v>
      </c>
      <c r="C598" s="51" t="e">
        <v>#REF!</v>
      </c>
      <c r="D598" s="51" t="str">
        <v/>
      </c>
      <c r="E598" s="51" t="str">
        <v/>
      </c>
      <c r="F598" s="52" t="e">
        <v>#REF!</v>
      </c>
      <c r="G598" s="48" t="e">
        <v>#REF!</v>
      </c>
      <c r="H598" s="49">
        <v>0</v>
      </c>
      <c r="I598" s="49" t="e">
        <v>#REF!</v>
      </c>
      <c r="J598" s="50"/>
    </row>
    <row r="599" outlineLevel="1" spans="1:10">
      <c r="A599" s="50">
        <v>499</v>
      </c>
      <c r="B599" s="51" t="str">
        <v>楼地面-素土夯实</v>
      </c>
      <c r="C599" s="51" t="e">
        <v>#REF!</v>
      </c>
      <c r="D599" s="51" t="str">
        <v/>
      </c>
      <c r="E599" s="51" t="str">
        <v/>
      </c>
      <c r="F599" s="52" t="e">
        <v>#REF!</v>
      </c>
      <c r="G599" s="48" t="e">
        <v>#REF!</v>
      </c>
      <c r="H599" s="49">
        <v>0</v>
      </c>
      <c r="I599" s="49" t="e">
        <v>#REF!</v>
      </c>
      <c r="J599" s="50"/>
    </row>
    <row r="600" outlineLevel="1" spans="1:10">
      <c r="A600" s="50" t="str">
        <v/>
      </c>
      <c r="B600" s="51" t="str">
        <v>厨房、阳台楼面（有覆土）</v>
      </c>
      <c r="C600" s="51" t="str">
        <v/>
      </c>
      <c r="D600" s="51" t="str">
        <v/>
      </c>
      <c r="E600" s="51" t="str">
        <v/>
      </c>
      <c r="F600" s="52" t="str">
        <v/>
      </c>
      <c r="G600" s="48" t="str">
        <v/>
      </c>
      <c r="H600" s="49">
        <v>0</v>
      </c>
      <c r="I600" s="49">
        <v>0</v>
      </c>
      <c r="J600" s="50"/>
    </row>
    <row r="601" outlineLevel="1" spans="1:10">
      <c r="A601" s="50">
        <v>500</v>
      </c>
      <c r="B601" s="51" t="str">
        <v>楼地面-50厚C15豆石砼</v>
      </c>
      <c r="C601" s="51" t="e">
        <v>#REF!</v>
      </c>
      <c r="D601" s="51" t="str">
        <v/>
      </c>
      <c r="E601" s="51" t="str">
        <v/>
      </c>
      <c r="F601" s="52" t="e">
        <v>#REF!</v>
      </c>
      <c r="G601" s="48" t="e">
        <v>#REF!</v>
      </c>
      <c r="H601" s="49">
        <v>0</v>
      </c>
      <c r="I601" s="49" t="e">
        <v>#REF!</v>
      </c>
      <c r="J601" s="50"/>
    </row>
    <row r="602" outlineLevel="1" spans="1:10">
      <c r="A602" s="50">
        <v>501</v>
      </c>
      <c r="B602" s="51" t="str">
        <v>楼地面-60厚C15细石砼</v>
      </c>
      <c r="C602" s="51" t="e">
        <v>#REF!</v>
      </c>
      <c r="D602" s="51" t="str">
        <v/>
      </c>
      <c r="E602" s="51" t="str">
        <v/>
      </c>
      <c r="F602" s="52" t="e">
        <v>#REF!</v>
      </c>
      <c r="G602" s="48" t="e">
        <v>#REF!</v>
      </c>
      <c r="H602" s="49">
        <v>0</v>
      </c>
      <c r="I602" s="49" t="e">
        <v>#REF!</v>
      </c>
      <c r="J602" s="50"/>
    </row>
    <row r="603" outlineLevel="1" spans="1:10">
      <c r="A603" s="50">
        <v>502</v>
      </c>
      <c r="B603" s="51" t="str">
        <v>楼地面-玻纤网</v>
      </c>
      <c r="C603" s="51" t="e">
        <v>#REF!</v>
      </c>
      <c r="D603" s="51" t="str">
        <v/>
      </c>
      <c r="E603" s="51" t="str">
        <v/>
      </c>
      <c r="F603" s="52" t="e">
        <v>#REF!</v>
      </c>
      <c r="G603" s="48" t="e">
        <v>#REF!</v>
      </c>
      <c r="H603" s="49">
        <v>0</v>
      </c>
      <c r="I603" s="49" t="e">
        <v>#REF!</v>
      </c>
      <c r="J603" s="50"/>
    </row>
    <row r="604" outlineLevel="1" spans="1:10">
      <c r="A604" s="50">
        <v>503</v>
      </c>
      <c r="B604" s="51" t="str">
        <v>楼地面-塑料膜</v>
      </c>
      <c r="C604" s="51" t="e">
        <v>#REF!</v>
      </c>
      <c r="D604" s="51" t="str">
        <v/>
      </c>
      <c r="E604" s="51" t="str">
        <v/>
      </c>
      <c r="F604" s="52" t="e">
        <v>#REF!</v>
      </c>
      <c r="G604" s="48" t="e">
        <v>#REF!</v>
      </c>
      <c r="H604" s="49">
        <v>0</v>
      </c>
      <c r="I604" s="49" t="e">
        <v>#REF!</v>
      </c>
      <c r="J604" s="50"/>
    </row>
    <row r="605" outlineLevel="1" spans="1:10">
      <c r="A605" s="50">
        <v>504</v>
      </c>
      <c r="B605" s="51" t="str">
        <v>楼地面-150厚3:7灰土夯实</v>
      </c>
      <c r="C605" s="51" t="e">
        <v>#REF!</v>
      </c>
      <c r="D605" s="51" t="str">
        <v/>
      </c>
      <c r="E605" s="51" t="str">
        <v/>
      </c>
      <c r="F605" s="52" t="e">
        <v>#REF!</v>
      </c>
      <c r="G605" s="48" t="e">
        <v>#REF!</v>
      </c>
      <c r="H605" s="49">
        <v>0</v>
      </c>
      <c r="I605" s="49" t="e">
        <v>#REF!</v>
      </c>
      <c r="J605" s="50"/>
    </row>
    <row r="606" outlineLevel="1" spans="1:10">
      <c r="A606" s="50">
        <v>505</v>
      </c>
      <c r="B606" s="51" t="str">
        <v>楼地面-素土夯实</v>
      </c>
      <c r="C606" s="51" t="e">
        <v>#REF!</v>
      </c>
      <c r="D606" s="51" t="str">
        <v/>
      </c>
      <c r="E606" s="51" t="str">
        <v/>
      </c>
      <c r="F606" s="52" t="e">
        <v>#REF!</v>
      </c>
      <c r="G606" s="48" t="e">
        <v>#REF!</v>
      </c>
      <c r="H606" s="49">
        <v>0</v>
      </c>
      <c r="I606" s="49" t="e">
        <v>#REF!</v>
      </c>
      <c r="J606" s="50"/>
    </row>
    <row r="607" ht="28.8" outlineLevel="1" spans="1:10">
      <c r="A607" s="50">
        <v>506</v>
      </c>
      <c r="B607" s="51" t="str">
        <v>楼地面-50厚C15细石砼（毛坯）</v>
      </c>
      <c r="C607" s="51" t="e">
        <v>#REF!</v>
      </c>
      <c r="D607" s="51" t="str">
        <v/>
      </c>
      <c r="E607" s="51" t="str">
        <v/>
      </c>
      <c r="F607" s="52" t="e">
        <v>#REF!</v>
      </c>
      <c r="G607" s="48" t="e">
        <v>#REF!</v>
      </c>
      <c r="H607" s="49">
        <v>0</v>
      </c>
      <c r="I607" s="49" t="e">
        <v>#REF!</v>
      </c>
      <c r="J607" s="50"/>
    </row>
    <row r="608" outlineLevel="1" spans="1:10">
      <c r="A608" s="50" t="str">
        <v/>
      </c>
      <c r="B608" s="51" t="str">
        <v>厨房楼面（无覆土）</v>
      </c>
      <c r="C608" s="51" t="str">
        <v/>
      </c>
      <c r="D608" s="51" t="str">
        <v/>
      </c>
      <c r="E608" s="51" t="str">
        <v/>
      </c>
      <c r="F608" s="52" t="str">
        <v/>
      </c>
      <c r="G608" s="48" t="str">
        <v/>
      </c>
      <c r="H608" s="49">
        <v>0</v>
      </c>
      <c r="I608" s="49">
        <v>0</v>
      </c>
      <c r="J608" s="50"/>
    </row>
    <row r="609" outlineLevel="1" spans="1:10">
      <c r="A609" s="50">
        <v>507</v>
      </c>
      <c r="B609" s="51" t="str">
        <v>楼地面-50厚C15豆石砼</v>
      </c>
      <c r="C609" s="51" t="e">
        <v>#REF!</v>
      </c>
      <c r="D609" s="51" t="str">
        <v/>
      </c>
      <c r="E609" s="51" t="str">
        <v/>
      </c>
      <c r="F609" s="52" t="e">
        <v>#REF!</v>
      </c>
      <c r="G609" s="48" t="e">
        <v>#REF!</v>
      </c>
      <c r="H609" s="49">
        <v>0</v>
      </c>
      <c r="I609" s="49" t="e">
        <v>#REF!</v>
      </c>
      <c r="J609" s="50"/>
    </row>
    <row r="610" outlineLevel="1" spans="1:10">
      <c r="A610" s="50">
        <v>508</v>
      </c>
      <c r="B610" s="51" t="str">
        <v>楼地面-玻纤网</v>
      </c>
      <c r="C610" s="51" t="e">
        <v>#REF!</v>
      </c>
      <c r="D610" s="51" t="str">
        <v/>
      </c>
      <c r="E610" s="51" t="str">
        <v/>
      </c>
      <c r="F610" s="52" t="e">
        <v>#REF!</v>
      </c>
      <c r="G610" s="48" t="e">
        <v>#REF!</v>
      </c>
      <c r="H610" s="49">
        <v>0</v>
      </c>
      <c r="I610" s="49" t="e">
        <v>#REF!</v>
      </c>
      <c r="J610" s="50"/>
    </row>
    <row r="611" outlineLevel="1" spans="1:10">
      <c r="A611" s="50" t="str">
        <v/>
      </c>
      <c r="B611" s="51" t="str">
        <v>其他房间-用于其他配套</v>
      </c>
      <c r="C611" s="51" t="str">
        <v/>
      </c>
      <c r="D611" s="51" t="str">
        <v/>
      </c>
      <c r="E611" s="51" t="str">
        <v/>
      </c>
      <c r="F611" s="52" t="str">
        <v/>
      </c>
      <c r="G611" s="48" t="str">
        <v/>
      </c>
      <c r="H611" s="49">
        <v>0</v>
      </c>
      <c r="I611" s="49">
        <v>0</v>
      </c>
      <c r="J611" s="50"/>
    </row>
    <row r="612" outlineLevel="1" spans="1:10">
      <c r="A612" s="50">
        <v>509</v>
      </c>
      <c r="B612" s="51" t="str">
        <v>楼地面-50厚C15豆石砼</v>
      </c>
      <c r="C612" s="51" t="e">
        <v>#REF!</v>
      </c>
      <c r="D612" s="51" t="str">
        <v/>
      </c>
      <c r="E612" s="51" t="str">
        <v/>
      </c>
      <c r="F612" s="52" t="e">
        <v>#REF!</v>
      </c>
      <c r="G612" s="48" t="e">
        <v>#REF!</v>
      </c>
      <c r="H612" s="49">
        <v>1</v>
      </c>
      <c r="I612" s="49" t="e">
        <v>#REF!</v>
      </c>
      <c r="J612" s="50"/>
    </row>
    <row r="613" outlineLevel="1" spans="1:10">
      <c r="A613" s="50">
        <v>510</v>
      </c>
      <c r="B613" s="51" t="str">
        <v>楼地面-玻纤网</v>
      </c>
      <c r="C613" s="51" t="e">
        <v>#REF!</v>
      </c>
      <c r="D613" s="51" t="str">
        <v/>
      </c>
      <c r="E613" s="51" t="str">
        <v/>
      </c>
      <c r="F613" s="52" t="e">
        <v>#REF!</v>
      </c>
      <c r="G613" s="48" t="e">
        <v>#REF!</v>
      </c>
      <c r="H613" s="49">
        <v>1</v>
      </c>
      <c r="I613" s="49" t="e">
        <v>#REF!</v>
      </c>
      <c r="J613" s="50"/>
    </row>
    <row r="614" outlineLevel="1" spans="1:10">
      <c r="A614" s="50">
        <v>511</v>
      </c>
      <c r="B614" s="51" t="str">
        <v>楼地面-60厚C15细石砼</v>
      </c>
      <c r="C614" s="51" t="e">
        <v>#REF!</v>
      </c>
      <c r="D614" s="51" t="str">
        <v/>
      </c>
      <c r="E614" s="51" t="str">
        <v/>
      </c>
      <c r="F614" s="52" t="e">
        <v>#REF!</v>
      </c>
      <c r="G614" s="48" t="e">
        <v>#REF!</v>
      </c>
      <c r="H614" s="49">
        <v>1</v>
      </c>
      <c r="I614" s="49" t="e">
        <v>#REF!</v>
      </c>
      <c r="J614" s="50"/>
    </row>
    <row r="615" outlineLevel="1" spans="1:10">
      <c r="A615" s="50">
        <v>512</v>
      </c>
      <c r="B615" s="51" t="str">
        <v>楼地面-塑料膜</v>
      </c>
      <c r="C615" s="51" t="e">
        <v>#REF!</v>
      </c>
      <c r="D615" s="51" t="str">
        <v/>
      </c>
      <c r="E615" s="51" t="str">
        <v/>
      </c>
      <c r="F615" s="52" t="e">
        <v>#REF!</v>
      </c>
      <c r="G615" s="48" t="e">
        <v>#REF!</v>
      </c>
      <c r="H615" s="49">
        <v>1</v>
      </c>
      <c r="I615" s="49" t="e">
        <v>#REF!</v>
      </c>
      <c r="J615" s="50"/>
    </row>
    <row r="616" outlineLevel="1" spans="1:10">
      <c r="A616" s="50">
        <v>513</v>
      </c>
      <c r="B616" s="51" t="str">
        <v>楼地面-150厚3:7灰土夯实</v>
      </c>
      <c r="C616" s="51" t="e">
        <v>#REF!</v>
      </c>
      <c r="D616" s="51" t="str">
        <v/>
      </c>
      <c r="E616" s="51" t="str">
        <v/>
      </c>
      <c r="F616" s="52" t="e">
        <v>#REF!</v>
      </c>
      <c r="G616" s="48" t="e">
        <v>#REF!</v>
      </c>
      <c r="H616" s="49">
        <v>1</v>
      </c>
      <c r="I616" s="49" t="e">
        <v>#REF!</v>
      </c>
      <c r="J616" s="50"/>
    </row>
    <row r="617" outlineLevel="1" spans="1:10">
      <c r="A617" s="50">
        <v>514</v>
      </c>
      <c r="B617" s="51" t="str">
        <v>楼地面-素土夯实</v>
      </c>
      <c r="C617" s="51" t="e">
        <v>#REF!</v>
      </c>
      <c r="D617" s="51" t="str">
        <v/>
      </c>
      <c r="E617" s="51" t="str">
        <v/>
      </c>
      <c r="F617" s="52" t="e">
        <v>#REF!</v>
      </c>
      <c r="G617" s="48" t="e">
        <v>#REF!</v>
      </c>
      <c r="H617" s="49">
        <v>1</v>
      </c>
      <c r="I617" s="49" t="e">
        <v>#REF!</v>
      </c>
      <c r="J617" s="50"/>
    </row>
    <row r="618" outlineLevel="1" spans="1:10">
      <c r="A618" s="50" t="str">
        <v/>
      </c>
      <c r="B618" s="51" t="str">
        <v>其他房间-用于售楼处</v>
      </c>
      <c r="C618" s="51" t="str">
        <v/>
      </c>
      <c r="D618" s="51" t="str">
        <v/>
      </c>
      <c r="E618" s="51" t="str">
        <v/>
      </c>
      <c r="F618" s="52" t="str">
        <v/>
      </c>
      <c r="G618" s="48" t="str">
        <v/>
      </c>
      <c r="H618" s="49">
        <v>0</v>
      </c>
      <c r="I618" s="49">
        <v>0</v>
      </c>
      <c r="J618" s="50"/>
    </row>
    <row r="619" outlineLevel="1" spans="1:10">
      <c r="A619" s="50">
        <v>515</v>
      </c>
      <c r="B619" s="51" t="str">
        <v>楼地面-50厚C15豆石砼</v>
      </c>
      <c r="C619" s="51" t="e">
        <v>#REF!</v>
      </c>
      <c r="D619" s="51" t="str">
        <v/>
      </c>
      <c r="E619" s="51" t="str">
        <v/>
      </c>
      <c r="F619" s="52" t="e">
        <v>#REF!</v>
      </c>
      <c r="G619" s="48" t="e">
        <v>#REF!</v>
      </c>
      <c r="H619" s="49">
        <v>1</v>
      </c>
      <c r="I619" s="49" t="e">
        <v>#REF!</v>
      </c>
      <c r="J619" s="50"/>
    </row>
    <row r="620" outlineLevel="1" spans="1:10">
      <c r="A620" s="50">
        <v>516</v>
      </c>
      <c r="B620" s="51" t="str">
        <v>楼地面-70厚C15豆石砼</v>
      </c>
      <c r="C620" s="51" t="e">
        <v>#REF!</v>
      </c>
      <c r="D620" s="51" t="str">
        <v/>
      </c>
      <c r="E620" s="51" t="str">
        <v/>
      </c>
      <c r="F620" s="52" t="e">
        <v>#REF!</v>
      </c>
      <c r="G620" s="48" t="e">
        <v>#REF!</v>
      </c>
      <c r="H620" s="49">
        <v>0</v>
      </c>
      <c r="I620" s="49" t="e">
        <v>#REF!</v>
      </c>
      <c r="J620" s="50"/>
    </row>
    <row r="621" outlineLevel="1" spans="1:10">
      <c r="A621" s="50">
        <v>517</v>
      </c>
      <c r="B621" s="51" t="str">
        <v>楼地面-玻纤网</v>
      </c>
      <c r="C621" s="51" t="e">
        <v>#REF!</v>
      </c>
      <c r="D621" s="51" t="str">
        <v/>
      </c>
      <c r="E621" s="51" t="str">
        <v/>
      </c>
      <c r="F621" s="52" t="e">
        <v>#REF!</v>
      </c>
      <c r="G621" s="48" t="e">
        <v>#REF!</v>
      </c>
      <c r="H621" s="49">
        <v>1</v>
      </c>
      <c r="I621" s="49" t="e">
        <v>#REF!</v>
      </c>
      <c r="J621" s="50"/>
    </row>
    <row r="622" outlineLevel="1" spans="1:10">
      <c r="A622" s="50">
        <v>518</v>
      </c>
      <c r="B622" s="51" t="str">
        <v>楼地面-100厚C20砼</v>
      </c>
      <c r="C622" s="51" t="e">
        <v>#REF!</v>
      </c>
      <c r="D622" s="51" t="str">
        <v/>
      </c>
      <c r="E622" s="51" t="str">
        <v/>
      </c>
      <c r="F622" s="52" t="e">
        <v>#REF!</v>
      </c>
      <c r="G622" s="48" t="e">
        <v>#REF!</v>
      </c>
      <c r="H622" s="49">
        <v>1</v>
      </c>
      <c r="I622" s="49" t="e">
        <v>#REF!</v>
      </c>
      <c r="J622" s="50"/>
    </row>
    <row r="623" outlineLevel="1" spans="1:10">
      <c r="A623" s="50">
        <v>519</v>
      </c>
      <c r="B623" s="51" t="str">
        <v>楼地面-塑料膜</v>
      </c>
      <c r="C623" s="51" t="e">
        <v>#REF!</v>
      </c>
      <c r="D623" s="51" t="str">
        <v/>
      </c>
      <c r="E623" s="51" t="str">
        <v/>
      </c>
      <c r="F623" s="52" t="e">
        <v>#REF!</v>
      </c>
      <c r="G623" s="48" t="e">
        <v>#REF!</v>
      </c>
      <c r="H623" s="49">
        <v>1</v>
      </c>
      <c r="I623" s="49" t="e">
        <v>#REF!</v>
      </c>
      <c r="J623" s="50"/>
    </row>
    <row r="624" outlineLevel="1" spans="1:10">
      <c r="A624" s="50">
        <v>520</v>
      </c>
      <c r="B624" s="51" t="str">
        <v>楼地面-150厚3:7灰土夯实</v>
      </c>
      <c r="C624" s="51" t="e">
        <v>#REF!</v>
      </c>
      <c r="D624" s="51" t="str">
        <v/>
      </c>
      <c r="E624" s="51" t="str">
        <v/>
      </c>
      <c r="F624" s="52" t="e">
        <v>#REF!</v>
      </c>
      <c r="G624" s="48" t="e">
        <v>#REF!</v>
      </c>
      <c r="H624" s="49">
        <v>1</v>
      </c>
      <c r="I624" s="49" t="e">
        <v>#REF!</v>
      </c>
      <c r="J624" s="50"/>
    </row>
    <row r="625" outlineLevel="1" spans="1:10">
      <c r="A625" s="50">
        <v>521</v>
      </c>
      <c r="B625" s="51" t="str">
        <v>楼地面-素土夯实</v>
      </c>
      <c r="C625" s="51" t="e">
        <v>#REF!</v>
      </c>
      <c r="D625" s="51" t="str">
        <v/>
      </c>
      <c r="E625" s="51" t="str">
        <v/>
      </c>
      <c r="F625" s="52" t="e">
        <v>#REF!</v>
      </c>
      <c r="G625" s="48" t="e">
        <v>#REF!</v>
      </c>
      <c r="H625" s="49">
        <v>1</v>
      </c>
      <c r="I625" s="49" t="e">
        <v>#REF!</v>
      </c>
      <c r="J625" s="50"/>
    </row>
    <row r="626" outlineLevel="1" spans="1:10">
      <c r="A626" s="50" t="str">
        <v/>
      </c>
      <c r="B626" s="51" t="str">
        <v>电井、进线间、热计量间</v>
      </c>
      <c r="C626" s="51" t="str">
        <v/>
      </c>
      <c r="D626" s="51" t="str">
        <v/>
      </c>
      <c r="E626" s="51" t="str">
        <v/>
      </c>
      <c r="F626" s="52" t="str">
        <v/>
      </c>
      <c r="G626" s="48" t="str">
        <v/>
      </c>
      <c r="H626" s="49">
        <v>0</v>
      </c>
      <c r="I626" s="49">
        <v>0</v>
      </c>
      <c r="J626" s="50"/>
    </row>
    <row r="627" outlineLevel="1" spans="1:10">
      <c r="A627" s="50">
        <v>522</v>
      </c>
      <c r="B627" s="51" t="str">
        <v>楼地面-60厚C15细石砼</v>
      </c>
      <c r="C627" s="51" t="e">
        <v>#REF!</v>
      </c>
      <c r="D627" s="51" t="str">
        <v/>
      </c>
      <c r="E627" s="51" t="str">
        <v/>
      </c>
      <c r="F627" s="52" t="e">
        <v>#REF!</v>
      </c>
      <c r="G627" s="48" t="e">
        <v>#REF!</v>
      </c>
      <c r="H627" s="49">
        <v>1</v>
      </c>
      <c r="I627" s="49" t="e">
        <v>#REF!</v>
      </c>
      <c r="J627" s="50"/>
    </row>
    <row r="628" outlineLevel="1" spans="1:10">
      <c r="A628" s="50">
        <v>523</v>
      </c>
      <c r="B628" s="51" t="str">
        <v>楼地面</v>
      </c>
      <c r="C628" s="51" t="e">
        <v>#REF!</v>
      </c>
      <c r="D628" s="51" t="str">
        <v/>
      </c>
      <c r="E628" s="51" t="str">
        <v/>
      </c>
      <c r="F628" s="52" t="e">
        <v>#REF!</v>
      </c>
      <c r="G628" s="48" t="e">
        <v>#REF!</v>
      </c>
      <c r="H628" s="49">
        <v>0</v>
      </c>
      <c r="I628" s="49" t="e">
        <v>#REF!</v>
      </c>
      <c r="J628" s="50"/>
    </row>
    <row r="629" outlineLevel="1" spans="1:10">
      <c r="A629" s="50">
        <v>524</v>
      </c>
      <c r="B629" s="51" t="str">
        <v>楼地面-塑料膜</v>
      </c>
      <c r="C629" s="51" t="e">
        <v>#REF!</v>
      </c>
      <c r="D629" s="51" t="str">
        <v/>
      </c>
      <c r="E629" s="51" t="str">
        <v/>
      </c>
      <c r="F629" s="52" t="e">
        <v>#REF!</v>
      </c>
      <c r="G629" s="48" t="e">
        <v>#REF!</v>
      </c>
      <c r="H629" s="49">
        <v>1</v>
      </c>
      <c r="I629" s="49" t="e">
        <v>#REF!</v>
      </c>
      <c r="J629" s="50"/>
    </row>
    <row r="630" outlineLevel="1" spans="1:10">
      <c r="A630" s="50">
        <v>525</v>
      </c>
      <c r="B630" s="51" t="str">
        <v>楼地面-150厚3:7灰土夯实</v>
      </c>
      <c r="C630" s="51" t="e">
        <v>#REF!</v>
      </c>
      <c r="D630" s="51" t="str">
        <v/>
      </c>
      <c r="E630" s="51" t="str">
        <v/>
      </c>
      <c r="F630" s="52" t="e">
        <v>#REF!</v>
      </c>
      <c r="G630" s="48" t="e">
        <v>#REF!</v>
      </c>
      <c r="H630" s="49">
        <v>1</v>
      </c>
      <c r="I630" s="49" t="e">
        <v>#REF!</v>
      </c>
      <c r="J630" s="50"/>
    </row>
    <row r="631" outlineLevel="1" spans="1:10">
      <c r="A631" s="50">
        <v>526</v>
      </c>
      <c r="B631" s="51" t="str">
        <v>楼地面-素土夯实</v>
      </c>
      <c r="C631" s="51" t="e">
        <v>#REF!</v>
      </c>
      <c r="D631" s="51" t="str">
        <v/>
      </c>
      <c r="E631" s="51" t="str">
        <v/>
      </c>
      <c r="F631" s="52" t="e">
        <v>#REF!</v>
      </c>
      <c r="G631" s="48" t="e">
        <v>#REF!</v>
      </c>
      <c r="H631" s="49">
        <v>1</v>
      </c>
      <c r="I631" s="49" t="e">
        <v>#REF!</v>
      </c>
      <c r="J631" s="50"/>
    </row>
    <row r="632" outlineLevel="1" spans="1:10">
      <c r="A632" s="50" t="str">
        <v/>
      </c>
      <c r="B632" s="51" t="str">
        <v>住宅室外连廊楼面</v>
      </c>
      <c r="C632" s="51" t="str">
        <v/>
      </c>
      <c r="D632" s="51" t="str">
        <v/>
      </c>
      <c r="E632" s="51" t="str">
        <v/>
      </c>
      <c r="F632" s="52" t="str">
        <v/>
      </c>
      <c r="G632" s="48" t="str">
        <v/>
      </c>
      <c r="H632" s="49">
        <v>0</v>
      </c>
      <c r="I632" s="49">
        <v>0</v>
      </c>
      <c r="J632" s="50"/>
    </row>
    <row r="633" outlineLevel="1" spans="1:10">
      <c r="A633" s="50">
        <v>527</v>
      </c>
      <c r="B633" s="51" t="str">
        <v>楼地面-30厚水泥砂浆找坡</v>
      </c>
      <c r="C633" s="51" t="e">
        <v>#REF!</v>
      </c>
      <c r="D633" s="51" t="str">
        <v/>
      </c>
      <c r="E633" s="51" t="str">
        <v/>
      </c>
      <c r="F633" s="52" t="e">
        <v>#REF!</v>
      </c>
      <c r="G633" s="48" t="e">
        <v>#REF!</v>
      </c>
      <c r="H633" s="49">
        <v>0</v>
      </c>
      <c r="I633" s="49" t="e">
        <v>#REF!</v>
      </c>
      <c r="J633" s="50"/>
    </row>
    <row r="634" outlineLevel="1" spans="1:10">
      <c r="A634" s="50">
        <v>528</v>
      </c>
      <c r="B634" s="51" t="str">
        <v>楼地面-电梯机房地面</v>
      </c>
      <c r="C634" s="51" t="e">
        <v>#REF!</v>
      </c>
      <c r="D634" s="51" t="str">
        <v/>
      </c>
      <c r="E634" s="51" t="str">
        <v/>
      </c>
      <c r="F634" s="52" t="e">
        <v>#REF!</v>
      </c>
      <c r="G634" s="48" t="e">
        <v>#REF!</v>
      </c>
      <c r="H634" s="49">
        <v>0</v>
      </c>
      <c r="I634" s="49" t="e">
        <v>#REF!</v>
      </c>
      <c r="J634" s="50"/>
    </row>
    <row r="635" outlineLevel="1" spans="1:10">
      <c r="A635" s="50" t="str">
        <v/>
      </c>
      <c r="B635" s="51" t="str">
        <v>屋顶加压送风机房地面</v>
      </c>
      <c r="C635" s="51" t="str">
        <v/>
      </c>
      <c r="D635" s="51" t="str">
        <v/>
      </c>
      <c r="E635" s="51" t="str">
        <v/>
      </c>
      <c r="F635" s="52" t="str">
        <v/>
      </c>
      <c r="G635" s="48" t="str">
        <v/>
      </c>
      <c r="H635" s="49">
        <v>0</v>
      </c>
      <c r="I635" s="49">
        <v>0</v>
      </c>
      <c r="J635" s="50"/>
    </row>
    <row r="636" outlineLevel="1" spans="1:10">
      <c r="A636" s="50">
        <v>529</v>
      </c>
      <c r="B636" s="51" t="str">
        <v>楼地面-50厚C20砼</v>
      </c>
      <c r="C636" s="51" t="e">
        <v>#REF!</v>
      </c>
      <c r="D636" s="51" t="str">
        <v/>
      </c>
      <c r="E636" s="51" t="str">
        <v/>
      </c>
      <c r="F636" s="52" t="e">
        <v>#REF!</v>
      </c>
      <c r="G636" s="48" t="e">
        <v>#REF!</v>
      </c>
      <c r="H636" s="49">
        <v>0</v>
      </c>
      <c r="I636" s="49" t="e">
        <v>#REF!</v>
      </c>
      <c r="J636" s="50"/>
    </row>
    <row r="637" outlineLevel="1" spans="1:10">
      <c r="A637" s="50">
        <v>530</v>
      </c>
      <c r="B637" s="51" t="str">
        <v>楼地面-玻纤网</v>
      </c>
      <c r="C637" s="51" t="e">
        <v>#REF!</v>
      </c>
      <c r="D637" s="51" t="str">
        <v/>
      </c>
      <c r="E637" s="51" t="str">
        <v/>
      </c>
      <c r="F637" s="52" t="e">
        <v>#REF!</v>
      </c>
      <c r="G637" s="48" t="e">
        <v>#REF!</v>
      </c>
      <c r="H637" s="49">
        <v>0</v>
      </c>
      <c r="I637" s="49" t="e">
        <v>#REF!</v>
      </c>
      <c r="J637" s="50"/>
    </row>
    <row r="638" outlineLevel="1" spans="1:10">
      <c r="A638" s="50">
        <v>531</v>
      </c>
      <c r="B638" s="51" t="str">
        <v>楼地面-190厚EPS</v>
      </c>
      <c r="C638" s="51" t="e">
        <v>#REF!</v>
      </c>
      <c r="D638" s="51" t="str">
        <v/>
      </c>
      <c r="E638" s="51" t="str">
        <v/>
      </c>
      <c r="F638" s="52" t="e">
        <v>#REF!</v>
      </c>
      <c r="G638" s="48" t="e">
        <v>#REF!</v>
      </c>
      <c r="H638" s="49">
        <v>0</v>
      </c>
      <c r="I638" s="49" t="e">
        <v>#REF!</v>
      </c>
      <c r="J638" s="50"/>
    </row>
    <row r="639" outlineLevel="1" spans="1:10">
      <c r="A639" s="50" t="str">
        <v/>
      </c>
      <c r="B639" s="51" t="str">
        <v>水箱间地面</v>
      </c>
      <c r="C639" s="51" t="str">
        <v/>
      </c>
      <c r="D639" s="51" t="str">
        <v/>
      </c>
      <c r="E639" s="51" t="str">
        <v/>
      </c>
      <c r="F639" s="52" t="str">
        <v/>
      </c>
      <c r="G639" s="48" t="str">
        <v/>
      </c>
      <c r="H639" s="49">
        <v>0</v>
      </c>
      <c r="I639" s="49">
        <v>0</v>
      </c>
      <c r="J639" s="50"/>
    </row>
    <row r="640" outlineLevel="1" spans="1:10">
      <c r="A640" s="50">
        <v>532</v>
      </c>
      <c r="B640" s="51" t="str">
        <v>楼地面-40厚C20细石砼</v>
      </c>
      <c r="C640" s="51" t="e">
        <v>#REF!</v>
      </c>
      <c r="D640" s="51" t="str">
        <v/>
      </c>
      <c r="E640" s="51" t="str">
        <v/>
      </c>
      <c r="F640" s="52" t="e">
        <v>#REF!</v>
      </c>
      <c r="G640" s="48" t="e">
        <v>#REF!</v>
      </c>
      <c r="H640" s="49">
        <v>0</v>
      </c>
      <c r="I640" s="49" t="e">
        <v>#REF!</v>
      </c>
      <c r="J640" s="50"/>
    </row>
    <row r="641" outlineLevel="1" spans="1:10">
      <c r="A641" s="50">
        <v>533</v>
      </c>
      <c r="B641" s="51" t="str">
        <v>楼地面-土工布</v>
      </c>
      <c r="C641" s="51" t="e">
        <v>#REF!</v>
      </c>
      <c r="D641" s="51" t="str">
        <v/>
      </c>
      <c r="E641" s="51" t="str">
        <v/>
      </c>
      <c r="F641" s="52" t="e">
        <v>#REF!</v>
      </c>
      <c r="G641" s="48" t="e">
        <v>#REF!</v>
      </c>
      <c r="H641" s="49">
        <v>0</v>
      </c>
      <c r="I641" s="49" t="e">
        <v>#REF!</v>
      </c>
      <c r="J641" s="50"/>
    </row>
    <row r="642" outlineLevel="1" spans="1:10">
      <c r="A642" s="50">
        <v>534</v>
      </c>
      <c r="B642" s="51" t="str">
        <v>楼地面-3+3厚SBS</v>
      </c>
      <c r="C642" s="51" t="e">
        <v>#REF!</v>
      </c>
      <c r="D642" s="51" t="str">
        <v/>
      </c>
      <c r="E642" s="51" t="str">
        <v/>
      </c>
      <c r="F642" s="52" t="e">
        <v>#REF!</v>
      </c>
      <c r="G642" s="48" t="e">
        <v>#REF!</v>
      </c>
      <c r="H642" s="49">
        <v>0</v>
      </c>
      <c r="I642" s="49" t="e">
        <v>#REF!</v>
      </c>
      <c r="J642" s="50"/>
    </row>
    <row r="643" outlineLevel="1" spans="1:10">
      <c r="A643" s="50">
        <v>535</v>
      </c>
      <c r="B643" s="51" t="str">
        <v>楼地面-20厚M15水泥砂浆</v>
      </c>
      <c r="C643" s="51" t="e">
        <v>#REF!</v>
      </c>
      <c r="D643" s="51" t="str">
        <v/>
      </c>
      <c r="E643" s="51" t="str">
        <v/>
      </c>
      <c r="F643" s="52" t="e">
        <v>#REF!</v>
      </c>
      <c r="G643" s="48" t="e">
        <v>#REF!</v>
      </c>
      <c r="H643" s="49">
        <v>0</v>
      </c>
      <c r="I643" s="49" t="e">
        <v>#REF!</v>
      </c>
      <c r="J643" s="50"/>
    </row>
    <row r="644" outlineLevel="1" spans="1:10">
      <c r="A644" s="50" t="str">
        <v/>
      </c>
      <c r="B644" s="51" t="str">
        <v>消防控制室</v>
      </c>
      <c r="C644" s="51" t="str">
        <v/>
      </c>
      <c r="D644" s="51" t="str">
        <v/>
      </c>
      <c r="E644" s="51" t="str">
        <v/>
      </c>
      <c r="F644" s="52" t="str">
        <v/>
      </c>
      <c r="G644" s="48" t="str">
        <v/>
      </c>
      <c r="H644" s="49">
        <v>0</v>
      </c>
      <c r="I644" s="49">
        <v>0</v>
      </c>
      <c r="J644" s="50"/>
    </row>
    <row r="645" outlineLevel="1" spans="1:10">
      <c r="A645" s="50">
        <v>536</v>
      </c>
      <c r="B645" s="51" t="str">
        <v>楼地面-60厚C15砼</v>
      </c>
      <c r="C645" s="51" t="e">
        <v>#REF!</v>
      </c>
      <c r="D645" s="51" t="str">
        <v/>
      </c>
      <c r="E645" s="51" t="str">
        <v/>
      </c>
      <c r="F645" s="52" t="e">
        <v>#REF!</v>
      </c>
      <c r="G645" s="48" t="e">
        <v>#REF!</v>
      </c>
      <c r="H645" s="49">
        <v>1</v>
      </c>
      <c r="I645" s="49" t="e">
        <v>#REF!</v>
      </c>
      <c r="J645" s="50"/>
    </row>
    <row r="646" outlineLevel="1" spans="1:10">
      <c r="A646" s="50">
        <v>537</v>
      </c>
      <c r="B646" s="51" t="str">
        <v>楼地面-塑料膜</v>
      </c>
      <c r="C646" s="51" t="e">
        <v>#REF!</v>
      </c>
      <c r="D646" s="51" t="str">
        <v/>
      </c>
      <c r="E646" s="51" t="str">
        <v/>
      </c>
      <c r="F646" s="52" t="e">
        <v>#REF!</v>
      </c>
      <c r="G646" s="48" t="e">
        <v>#REF!</v>
      </c>
      <c r="H646" s="49">
        <v>1</v>
      </c>
      <c r="I646" s="49" t="e">
        <v>#REF!</v>
      </c>
      <c r="J646" s="50"/>
    </row>
    <row r="647" outlineLevel="1" spans="1:10">
      <c r="A647" s="50">
        <v>538</v>
      </c>
      <c r="B647" s="51" t="str">
        <v>楼地面-150厚3:7灰土夯实</v>
      </c>
      <c r="C647" s="51" t="e">
        <v>#REF!</v>
      </c>
      <c r="D647" s="51" t="str">
        <v/>
      </c>
      <c r="E647" s="51" t="str">
        <v/>
      </c>
      <c r="F647" s="52" t="e">
        <v>#REF!</v>
      </c>
      <c r="G647" s="48" t="e">
        <v>#REF!</v>
      </c>
      <c r="H647" s="49">
        <v>1</v>
      </c>
      <c r="I647" s="49" t="e">
        <v>#REF!</v>
      </c>
      <c r="J647" s="50"/>
    </row>
    <row r="648" outlineLevel="1" spans="1:10">
      <c r="A648" s="50">
        <v>539</v>
      </c>
      <c r="B648" s="51" t="str">
        <v>楼地面-素土夯实</v>
      </c>
      <c r="C648" s="51" t="e">
        <v>#REF!</v>
      </c>
      <c r="D648" s="51" t="str">
        <v/>
      </c>
      <c r="E648" s="51" t="str">
        <v/>
      </c>
      <c r="F648" s="52" t="e">
        <v>#REF!</v>
      </c>
      <c r="G648" s="48" t="e">
        <v>#REF!</v>
      </c>
      <c r="H648" s="49">
        <v>1</v>
      </c>
      <c r="I648" s="49" t="e">
        <v>#REF!</v>
      </c>
      <c r="J648" s="50"/>
    </row>
    <row r="649" outlineLevel="1" spans="1:10">
      <c r="A649" s="50">
        <v>540</v>
      </c>
      <c r="B649" s="51" t="str">
        <v>踢脚线-100mm灰色涂料</v>
      </c>
      <c r="C649" s="51" t="e">
        <v>#REF!</v>
      </c>
      <c r="D649" s="51" t="str">
        <v/>
      </c>
      <c r="E649" s="51" t="str">
        <v/>
      </c>
      <c r="F649" s="52" t="e">
        <v>#REF!</v>
      </c>
      <c r="G649" s="48" t="e">
        <v>#REF!</v>
      </c>
      <c r="H649" s="49">
        <v>0</v>
      </c>
      <c r="I649" s="49" t="e">
        <v>#REF!</v>
      </c>
      <c r="J649" s="50"/>
    </row>
    <row r="650" outlineLevel="1" spans="1:10">
      <c r="A650" s="50">
        <v>541</v>
      </c>
      <c r="B650" s="51" t="str">
        <v>楼地面-聚氨酯防水涂料</v>
      </c>
      <c r="C650" s="51" t="e">
        <v>#REF!</v>
      </c>
      <c r="D650" s="51" t="str">
        <v/>
      </c>
      <c r="E650" s="51" t="str">
        <v/>
      </c>
      <c r="F650" s="52" t="e">
        <v>#REF!</v>
      </c>
      <c r="G650" s="48" t="e">
        <v>#REF!</v>
      </c>
      <c r="H650" s="49">
        <v>0</v>
      </c>
      <c r="I650" s="49" t="e">
        <v>#REF!</v>
      </c>
      <c r="J650" s="50"/>
    </row>
    <row r="651" outlineLevel="1" spans="1:10">
      <c r="A651" s="50" t="str">
        <v/>
      </c>
      <c r="B651" s="51" t="str">
        <v>A.05.02墙柱装饰工程</v>
      </c>
      <c r="C651" s="51" t="str">
        <v/>
      </c>
      <c r="D651" s="51" t="str">
        <v/>
      </c>
      <c r="E651" s="51" t="str">
        <v/>
      </c>
      <c r="F651" s="52" t="str">
        <v/>
      </c>
      <c r="G651" s="48" t="str">
        <v/>
      </c>
      <c r="H651" s="49">
        <v>0</v>
      </c>
      <c r="I651" s="49" t="e">
        <v>#REF!</v>
      </c>
      <c r="J651" s="50"/>
    </row>
    <row r="652" outlineLevel="1" spans="1:10">
      <c r="A652" s="50" t="str">
        <v/>
      </c>
      <c r="B652" s="51" t="str">
        <v>分户墙(其他）</v>
      </c>
      <c r="C652" s="51" t="str">
        <v/>
      </c>
      <c r="D652" s="51" t="str">
        <v/>
      </c>
      <c r="E652" s="51" t="str">
        <v/>
      </c>
      <c r="F652" s="52" t="str">
        <v/>
      </c>
      <c r="G652" s="48" t="str">
        <v/>
      </c>
      <c r="H652" s="49">
        <v>0</v>
      </c>
      <c r="I652" s="49">
        <v>0</v>
      </c>
      <c r="J652" s="50"/>
    </row>
    <row r="653" outlineLevel="1" spans="1:10">
      <c r="A653" s="50">
        <v>542</v>
      </c>
      <c r="B653" s="51" t="str">
        <v>内墙面-界面剂</v>
      </c>
      <c r="C653" s="51" t="e">
        <v>#REF!</v>
      </c>
      <c r="D653" s="51" t="str">
        <v/>
      </c>
      <c r="E653" s="51" t="str">
        <v/>
      </c>
      <c r="F653" s="52" t="e">
        <v>#REF!</v>
      </c>
      <c r="G653" s="48" t="e">
        <v>#REF!</v>
      </c>
      <c r="H653" s="49">
        <v>0</v>
      </c>
      <c r="I653" s="49" t="e">
        <v>#REF!</v>
      </c>
      <c r="J653" s="50"/>
    </row>
    <row r="654" outlineLevel="1" spans="1:10">
      <c r="A654" s="50">
        <v>543</v>
      </c>
      <c r="B654" s="51" t="str">
        <v>内墙面-15厚无机保温砂浆</v>
      </c>
      <c r="C654" s="51" t="e">
        <v>#REF!</v>
      </c>
      <c r="D654" s="51" t="str">
        <v/>
      </c>
      <c r="E654" s="51" t="str">
        <v/>
      </c>
      <c r="F654" s="52" t="e">
        <v>#REF!</v>
      </c>
      <c r="G654" s="48" t="e">
        <v>#REF!</v>
      </c>
      <c r="H654" s="49">
        <v>0</v>
      </c>
      <c r="I654" s="49" t="e">
        <v>#REF!</v>
      </c>
      <c r="J654" s="50"/>
    </row>
    <row r="655" outlineLevel="1" spans="1:10">
      <c r="A655" s="50">
        <v>544</v>
      </c>
      <c r="B655" s="51" t="str">
        <v>内墙面-10厚无机保温砂浆</v>
      </c>
      <c r="C655" s="51" t="e">
        <v>#REF!</v>
      </c>
      <c r="D655" s="51" t="str">
        <v/>
      </c>
      <c r="E655" s="51" t="str">
        <v/>
      </c>
      <c r="F655" s="52" t="e">
        <v>#REF!</v>
      </c>
      <c r="G655" s="48" t="e">
        <v>#REF!</v>
      </c>
      <c r="H655" s="49">
        <v>0</v>
      </c>
      <c r="I655" s="49" t="e">
        <v>#REF!</v>
      </c>
      <c r="J655" s="50"/>
    </row>
    <row r="656" outlineLevel="1" spans="1:10">
      <c r="A656" s="50">
        <v>545</v>
      </c>
      <c r="B656" s="51" t="str">
        <v>内墙面-3厚抗裂砂浆</v>
      </c>
      <c r="C656" s="51" t="e">
        <v>#REF!</v>
      </c>
      <c r="D656" s="51" t="str">
        <v/>
      </c>
      <c r="E656" s="51" t="str">
        <v/>
      </c>
      <c r="F656" s="52" t="e">
        <v>#REF!</v>
      </c>
      <c r="G656" s="48" t="e">
        <v>#REF!</v>
      </c>
      <c r="H656" s="49">
        <v>0</v>
      </c>
      <c r="I656" s="49" t="e">
        <v>#REF!</v>
      </c>
      <c r="J656" s="50"/>
    </row>
    <row r="657" outlineLevel="1" spans="1:10">
      <c r="A657" s="50">
        <v>546</v>
      </c>
      <c r="B657" s="51" t="str">
        <v>内墙面-玻纤网</v>
      </c>
      <c r="C657" s="51" t="e">
        <v>#REF!</v>
      </c>
      <c r="D657" s="51" t="str">
        <v/>
      </c>
      <c r="E657" s="51" t="str">
        <v/>
      </c>
      <c r="F657" s="52" t="e">
        <v>#REF!</v>
      </c>
      <c r="G657" s="48" t="e">
        <v>#REF!</v>
      </c>
      <c r="H657" s="49">
        <v>0</v>
      </c>
      <c r="I657" s="49" t="e">
        <v>#REF!</v>
      </c>
      <c r="J657" s="50"/>
    </row>
    <row r="658" outlineLevel="1" spans="1:10">
      <c r="A658" s="50">
        <v>547</v>
      </c>
      <c r="B658" s="51" t="str">
        <v>内墙面-交接处玻纤网</v>
      </c>
      <c r="C658" s="51" t="e">
        <v>#REF!</v>
      </c>
      <c r="D658" s="51" t="str">
        <v/>
      </c>
      <c r="E658" s="51" t="str">
        <v/>
      </c>
      <c r="F658" s="52" t="e">
        <v>#REF!</v>
      </c>
      <c r="G658" s="48" t="e">
        <v>#REF!</v>
      </c>
      <c r="H658" s="49">
        <v>0</v>
      </c>
      <c r="I658" s="49" t="e">
        <v>#REF!</v>
      </c>
      <c r="J658" s="50"/>
    </row>
    <row r="659" outlineLevel="1" spans="1:10">
      <c r="A659" s="50" t="str">
        <v/>
      </c>
      <c r="B659" s="51" t="str">
        <v>采暖与不采暖房间的隔墙</v>
      </c>
      <c r="C659" s="51" t="str">
        <v/>
      </c>
      <c r="D659" s="51" t="str">
        <v/>
      </c>
      <c r="E659" s="51" t="str">
        <v/>
      </c>
      <c r="F659" s="52" t="str">
        <v/>
      </c>
      <c r="G659" s="48" t="str">
        <v/>
      </c>
      <c r="H659" s="49">
        <v>0</v>
      </c>
      <c r="I659" s="49">
        <v>0</v>
      </c>
      <c r="J659" s="50"/>
    </row>
    <row r="660" outlineLevel="1" spans="1:10">
      <c r="A660" s="50">
        <v>548</v>
      </c>
      <c r="B660" s="51" t="str">
        <v>内墙面-界面剂</v>
      </c>
      <c r="C660" s="51" t="e">
        <v>#REF!</v>
      </c>
      <c r="D660" s="51" t="str">
        <v/>
      </c>
      <c r="E660" s="51" t="str">
        <v/>
      </c>
      <c r="F660" s="52" t="e">
        <v>#REF!</v>
      </c>
      <c r="G660" s="48" t="e">
        <v>#REF!</v>
      </c>
      <c r="H660" s="49">
        <v>1</v>
      </c>
      <c r="I660" s="49" t="e">
        <v>#REF!</v>
      </c>
      <c r="J660" s="50"/>
    </row>
    <row r="661" outlineLevel="1" spans="1:10">
      <c r="A661" s="50">
        <v>549</v>
      </c>
      <c r="B661" s="51" t="str">
        <v>内墙面-20厚无机保温砂浆</v>
      </c>
      <c r="C661" s="51" t="e">
        <v>#REF!</v>
      </c>
      <c r="D661" s="51" t="str">
        <v/>
      </c>
      <c r="E661" s="51" t="str">
        <v/>
      </c>
      <c r="F661" s="52" t="e">
        <v>#REF!</v>
      </c>
      <c r="G661" s="48" t="e">
        <v>#REF!</v>
      </c>
      <c r="H661" s="49">
        <v>1</v>
      </c>
      <c r="I661" s="49" t="e">
        <v>#REF!</v>
      </c>
      <c r="J661" s="50"/>
    </row>
    <row r="662" outlineLevel="1" spans="1:10">
      <c r="A662" s="50">
        <v>550</v>
      </c>
      <c r="B662" s="51" t="str">
        <v>内墙面-3厚抗裂砂浆</v>
      </c>
      <c r="C662" s="51" t="e">
        <v>#REF!</v>
      </c>
      <c r="D662" s="51" t="str">
        <v/>
      </c>
      <c r="E662" s="51" t="str">
        <v/>
      </c>
      <c r="F662" s="52" t="e">
        <v>#REF!</v>
      </c>
      <c r="G662" s="48" t="e">
        <v>#REF!</v>
      </c>
      <c r="H662" s="49">
        <v>1</v>
      </c>
      <c r="I662" s="49" t="e">
        <v>#REF!</v>
      </c>
      <c r="J662" s="50"/>
    </row>
    <row r="663" outlineLevel="1" spans="1:10">
      <c r="A663" s="50">
        <v>551</v>
      </c>
      <c r="B663" s="51" t="str">
        <v>内墙面-玻纤网</v>
      </c>
      <c r="C663" s="51" t="e">
        <v>#REF!</v>
      </c>
      <c r="D663" s="51" t="str">
        <v/>
      </c>
      <c r="E663" s="51" t="str">
        <v/>
      </c>
      <c r="F663" s="52" t="e">
        <v>#REF!</v>
      </c>
      <c r="G663" s="48" t="e">
        <v>#REF!</v>
      </c>
      <c r="H663" s="49">
        <v>1</v>
      </c>
      <c r="I663" s="49" t="e">
        <v>#REF!</v>
      </c>
      <c r="J663" s="50"/>
    </row>
    <row r="664" outlineLevel="1" spans="1:10">
      <c r="A664" s="50" t="str">
        <v/>
      </c>
      <c r="B664" s="51" t="str">
        <v>分户墙处卫生间内墙</v>
      </c>
      <c r="C664" s="51" t="str">
        <v/>
      </c>
      <c r="D664" s="51" t="str">
        <v/>
      </c>
      <c r="E664" s="51" t="str">
        <v/>
      </c>
      <c r="F664" s="52" t="str">
        <v/>
      </c>
      <c r="G664" s="48" t="str">
        <v/>
      </c>
      <c r="H664" s="49">
        <v>0</v>
      </c>
      <c r="I664" s="49">
        <v>0</v>
      </c>
      <c r="J664" s="50"/>
    </row>
    <row r="665" outlineLevel="1" spans="1:10">
      <c r="A665" s="50">
        <v>552</v>
      </c>
      <c r="B665" s="51" t="str">
        <v>内墙面-界面剂</v>
      </c>
      <c r="C665" s="51" t="e">
        <v>#REF!</v>
      </c>
      <c r="D665" s="51" t="str">
        <v/>
      </c>
      <c r="E665" s="51" t="str">
        <v/>
      </c>
      <c r="F665" s="52" t="e">
        <v>#REF!</v>
      </c>
      <c r="G665" s="48" t="e">
        <v>#REF!</v>
      </c>
      <c r="H665" s="49">
        <v>0</v>
      </c>
      <c r="I665" s="49" t="e">
        <v>#REF!</v>
      </c>
      <c r="J665" s="50"/>
    </row>
    <row r="666" outlineLevel="1" spans="1:10">
      <c r="A666" s="50">
        <v>553</v>
      </c>
      <c r="B666" s="51" t="str">
        <v>内墙面-15厚无机保温砂浆</v>
      </c>
      <c r="C666" s="51" t="e">
        <v>#REF!</v>
      </c>
      <c r="D666" s="51" t="str">
        <v/>
      </c>
      <c r="E666" s="51" t="str">
        <v/>
      </c>
      <c r="F666" s="52" t="e">
        <v>#REF!</v>
      </c>
      <c r="G666" s="48" t="e">
        <v>#REF!</v>
      </c>
      <c r="H666" s="49">
        <v>0</v>
      </c>
      <c r="I666" s="49" t="e">
        <v>#REF!</v>
      </c>
      <c r="J666" s="50"/>
    </row>
    <row r="667" outlineLevel="1" spans="1:10">
      <c r="A667" s="50">
        <v>554</v>
      </c>
      <c r="B667" s="51" t="str">
        <v>内墙面-10厚无机保温砂浆</v>
      </c>
      <c r="C667" s="51" t="e">
        <v>#REF!</v>
      </c>
      <c r="D667" s="51" t="str">
        <v/>
      </c>
      <c r="E667" s="51" t="str">
        <v/>
      </c>
      <c r="F667" s="52" t="e">
        <v>#REF!</v>
      </c>
      <c r="G667" s="48" t="e">
        <v>#REF!</v>
      </c>
      <c r="H667" s="49">
        <v>0</v>
      </c>
      <c r="I667" s="49" t="e">
        <v>#REF!</v>
      </c>
      <c r="J667" s="50"/>
    </row>
    <row r="668" outlineLevel="1" spans="1:10">
      <c r="A668" s="50">
        <v>555</v>
      </c>
      <c r="B668" s="51" t="str">
        <v>内墙面-3厚抗裂砂浆</v>
      </c>
      <c r="C668" s="51" t="e">
        <v>#REF!</v>
      </c>
      <c r="D668" s="51" t="str">
        <v/>
      </c>
      <c r="E668" s="51" t="str">
        <v/>
      </c>
      <c r="F668" s="52" t="e">
        <v>#REF!</v>
      </c>
      <c r="G668" s="48" t="e">
        <v>#REF!</v>
      </c>
      <c r="H668" s="49">
        <v>0</v>
      </c>
      <c r="I668" s="49" t="e">
        <v>#REF!</v>
      </c>
      <c r="J668" s="50"/>
    </row>
    <row r="669" outlineLevel="1" spans="1:10">
      <c r="A669" s="50">
        <v>556</v>
      </c>
      <c r="B669" s="51" t="str">
        <v>内墙面-镀锌钢丝网</v>
      </c>
      <c r="C669" s="51" t="e">
        <v>#REF!</v>
      </c>
      <c r="D669" s="51" t="str">
        <v/>
      </c>
      <c r="E669" s="51" t="str">
        <v/>
      </c>
      <c r="F669" s="52" t="e">
        <v>#REF!</v>
      </c>
      <c r="G669" s="48" t="e">
        <v>#REF!</v>
      </c>
      <c r="H669" s="49">
        <v>0</v>
      </c>
      <c r="I669" s="49" t="e">
        <v>#REF!</v>
      </c>
      <c r="J669" s="50"/>
    </row>
    <row r="670" ht="28.8" outlineLevel="1" spans="1:10">
      <c r="A670" s="50" t="str">
        <v/>
      </c>
      <c r="B670" s="51" t="str">
        <v>交通核非精装区域与住宅相邻内墙（交通核侧）</v>
      </c>
      <c r="C670" s="51" t="str">
        <v/>
      </c>
      <c r="D670" s="51" t="str">
        <v/>
      </c>
      <c r="E670" s="51" t="str">
        <v/>
      </c>
      <c r="F670" s="52" t="str">
        <v/>
      </c>
      <c r="G670" s="48" t="str">
        <v/>
      </c>
      <c r="H670" s="49">
        <v>0</v>
      </c>
      <c r="I670" s="49">
        <v>0</v>
      </c>
      <c r="J670" s="50"/>
    </row>
    <row r="671" outlineLevel="1" spans="1:10">
      <c r="A671" s="50">
        <v>557</v>
      </c>
      <c r="B671" s="51" t="str">
        <v>内墙面-30厚MPC</v>
      </c>
      <c r="C671" s="51" t="e">
        <v>#REF!</v>
      </c>
      <c r="D671" s="51" t="str">
        <v/>
      </c>
      <c r="E671" s="51" t="str">
        <v/>
      </c>
      <c r="F671" s="52" t="e">
        <v>#REF!</v>
      </c>
      <c r="G671" s="48" t="e">
        <v>#REF!</v>
      </c>
      <c r="H671" s="49">
        <v>0</v>
      </c>
      <c r="I671" s="49" t="e">
        <v>#REF!</v>
      </c>
      <c r="J671" s="50"/>
    </row>
    <row r="672" outlineLevel="1" spans="1:10">
      <c r="A672" s="50">
        <v>558</v>
      </c>
      <c r="B672" s="51" t="str">
        <v>内墙面-玻纤网</v>
      </c>
      <c r="C672" s="51" t="e">
        <v>#REF!</v>
      </c>
      <c r="D672" s="51" t="str">
        <v/>
      </c>
      <c r="E672" s="51" t="str">
        <v/>
      </c>
      <c r="F672" s="52" t="e">
        <v>#REF!</v>
      </c>
      <c r="G672" s="48" t="e">
        <v>#REF!</v>
      </c>
      <c r="H672" s="49">
        <v>0</v>
      </c>
      <c r="I672" s="49" t="e">
        <v>#REF!</v>
      </c>
      <c r="J672" s="50"/>
    </row>
    <row r="673" ht="28.8" outlineLevel="1" spans="1:10">
      <c r="A673" s="50" t="str">
        <v/>
      </c>
      <c r="B673" s="51" t="str">
        <v>交通核非精装区域不与住宅相邻内墙（交通核侧）</v>
      </c>
      <c r="C673" s="51" t="str">
        <v/>
      </c>
      <c r="D673" s="51" t="str">
        <v/>
      </c>
      <c r="E673" s="51" t="str">
        <v/>
      </c>
      <c r="F673" s="52" t="str">
        <v/>
      </c>
      <c r="G673" s="48" t="str">
        <v/>
      </c>
      <c r="H673" s="49">
        <v>0</v>
      </c>
      <c r="I673" s="49">
        <v>0</v>
      </c>
      <c r="J673" s="50"/>
    </row>
    <row r="674" outlineLevel="1" spans="1:10">
      <c r="A674" s="50">
        <v>559</v>
      </c>
      <c r="B674" s="51" t="str">
        <v>内墙面-15厚M20水泥砂浆</v>
      </c>
      <c r="C674" s="51" t="e">
        <v>#REF!</v>
      </c>
      <c r="D674" s="51" t="str">
        <v/>
      </c>
      <c r="E674" s="51" t="str">
        <v/>
      </c>
      <c r="F674" s="52" t="e">
        <v>#REF!</v>
      </c>
      <c r="G674" s="48" t="e">
        <v>#REF!</v>
      </c>
      <c r="H674" s="49">
        <v>0</v>
      </c>
      <c r="I674" s="49" t="e">
        <v>#REF!</v>
      </c>
      <c r="J674" s="50"/>
    </row>
    <row r="675" outlineLevel="1" spans="1:10">
      <c r="A675" s="50">
        <v>560</v>
      </c>
      <c r="B675" s="51" t="str">
        <v>内墙面-玻纤网</v>
      </c>
      <c r="C675" s="51" t="e">
        <v>#REF!</v>
      </c>
      <c r="D675" s="51" t="str">
        <v/>
      </c>
      <c r="E675" s="51" t="str">
        <v/>
      </c>
      <c r="F675" s="52" t="e">
        <v>#REF!</v>
      </c>
      <c r="G675" s="48" t="e">
        <v>#REF!</v>
      </c>
      <c r="H675" s="49">
        <v>0</v>
      </c>
      <c r="I675" s="49" t="e">
        <v>#REF!</v>
      </c>
      <c r="J675" s="50"/>
    </row>
    <row r="676" ht="43.2" outlineLevel="1" spans="1:10">
      <c r="A676" s="50" t="str">
        <v/>
      </c>
      <c r="B676" s="51" t="str">
        <v>一层与户内相邻的门厅.合用前室的隔墙的一侧,及一层楼梯间</v>
      </c>
      <c r="C676" s="51" t="str">
        <v/>
      </c>
      <c r="D676" s="51" t="str">
        <v/>
      </c>
      <c r="E676" s="51" t="str">
        <v/>
      </c>
      <c r="F676" s="52" t="str">
        <v/>
      </c>
      <c r="G676" s="48" t="str">
        <v/>
      </c>
      <c r="H676" s="49">
        <v>0</v>
      </c>
      <c r="I676" s="49">
        <v>0</v>
      </c>
      <c r="J676" s="50"/>
    </row>
    <row r="677" outlineLevel="1" spans="1:10">
      <c r="A677" s="50">
        <v>561</v>
      </c>
      <c r="B677" s="51" t="str">
        <v>内墙面-界面剂</v>
      </c>
      <c r="C677" s="51" t="e">
        <v>#REF!</v>
      </c>
      <c r="D677" s="51" t="str">
        <v/>
      </c>
      <c r="E677" s="51" t="str">
        <v/>
      </c>
      <c r="F677" s="52" t="e">
        <v>#REF!</v>
      </c>
      <c r="G677" s="48" t="e">
        <v>#REF!</v>
      </c>
      <c r="H677" s="49">
        <v>0</v>
      </c>
      <c r="I677" s="49" t="e">
        <v>#REF!</v>
      </c>
      <c r="J677" s="50"/>
    </row>
    <row r="678" outlineLevel="1" spans="1:10">
      <c r="A678" s="50">
        <v>562</v>
      </c>
      <c r="B678" s="51" t="str">
        <v>内墙面-20厚无机保温砂浆</v>
      </c>
      <c r="C678" s="51" t="e">
        <v>#REF!</v>
      </c>
      <c r="D678" s="51" t="str">
        <v/>
      </c>
      <c r="E678" s="51" t="str">
        <v/>
      </c>
      <c r="F678" s="52" t="e">
        <v>#REF!</v>
      </c>
      <c r="G678" s="48" t="e">
        <v>#REF!</v>
      </c>
      <c r="H678" s="49">
        <v>0</v>
      </c>
      <c r="I678" s="49" t="e">
        <v>#REF!</v>
      </c>
      <c r="J678" s="50"/>
    </row>
    <row r="679" ht="28.8" outlineLevel="1" spans="1:10">
      <c r="A679" s="50" t="str">
        <v/>
      </c>
      <c r="B679" s="51" t="str">
        <v>不与户内相邻的门厅.合用前室的隔墙的一侧</v>
      </c>
      <c r="C679" s="51" t="str">
        <v/>
      </c>
      <c r="D679" s="51" t="str">
        <v/>
      </c>
      <c r="E679" s="51" t="str">
        <v/>
      </c>
      <c r="F679" s="52" t="str">
        <v/>
      </c>
      <c r="G679" s="48" t="str">
        <v/>
      </c>
      <c r="H679" s="49">
        <v>0</v>
      </c>
      <c r="I679" s="49">
        <v>0</v>
      </c>
      <c r="J679" s="50"/>
    </row>
    <row r="680" outlineLevel="1" spans="1:10">
      <c r="A680" s="50">
        <v>563</v>
      </c>
      <c r="B680" s="51" t="str">
        <v>内墙面-界面剂</v>
      </c>
      <c r="C680" s="51" t="e">
        <v>#REF!</v>
      </c>
      <c r="D680" s="51" t="str">
        <v/>
      </c>
      <c r="E680" s="51" t="str">
        <v/>
      </c>
      <c r="F680" s="52" t="e">
        <v>#REF!</v>
      </c>
      <c r="G680" s="48" t="e">
        <v>#REF!</v>
      </c>
      <c r="H680" s="49">
        <v>0</v>
      </c>
      <c r="I680" s="49" t="e">
        <v>#REF!</v>
      </c>
      <c r="J680" s="50"/>
    </row>
    <row r="681" outlineLevel="1" spans="1:10">
      <c r="A681" s="50">
        <v>564</v>
      </c>
      <c r="B681" s="51" t="str">
        <v>内墙面-9厚M7.5水泥砂浆</v>
      </c>
      <c r="C681" s="51" t="e">
        <v>#REF!</v>
      </c>
      <c r="D681" s="51" t="str">
        <v/>
      </c>
      <c r="E681" s="51" t="str">
        <v/>
      </c>
      <c r="F681" s="52" t="e">
        <v>#REF!</v>
      </c>
      <c r="G681" s="48" t="e">
        <v>#REF!</v>
      </c>
      <c r="H681" s="49">
        <v>0</v>
      </c>
      <c r="I681" s="49" t="e">
        <v>#REF!</v>
      </c>
      <c r="J681" s="50"/>
    </row>
    <row r="682" ht="43.2" outlineLevel="1" spans="1:10">
      <c r="A682" s="50" t="str">
        <v/>
      </c>
      <c r="B682" s="51" t="str">
        <v>不与户内相邻的门厅.合用前室的隔墙的一侧/配套电井、进线间、热计量间或其他</v>
      </c>
      <c r="C682" s="51" t="str">
        <v/>
      </c>
      <c r="D682" s="51" t="str">
        <v/>
      </c>
      <c r="E682" s="51" t="str">
        <v/>
      </c>
      <c r="F682" s="52" t="str">
        <v/>
      </c>
      <c r="G682" s="48" t="str">
        <v/>
      </c>
      <c r="H682" s="49">
        <v>0</v>
      </c>
      <c r="I682" s="49">
        <v>0</v>
      </c>
      <c r="J682" s="50"/>
    </row>
    <row r="683" outlineLevel="1" spans="1:10">
      <c r="A683" s="50">
        <v>565</v>
      </c>
      <c r="B683" s="51" t="str">
        <v>内墙面-界面剂</v>
      </c>
      <c r="C683" s="51" t="e">
        <v>#REF!</v>
      </c>
      <c r="D683" s="51" t="str">
        <v/>
      </c>
      <c r="E683" s="51" t="str">
        <v/>
      </c>
      <c r="F683" s="52" t="e">
        <v>#REF!</v>
      </c>
      <c r="G683" s="48" t="e">
        <v>#REF!</v>
      </c>
      <c r="H683" s="49">
        <v>2</v>
      </c>
      <c r="I683" s="49" t="e">
        <v>#REF!</v>
      </c>
      <c r="J683" s="50"/>
    </row>
    <row r="684" outlineLevel="1" spans="1:10">
      <c r="A684" s="50">
        <v>566</v>
      </c>
      <c r="B684" s="51" t="str">
        <v>内墙面-7厚M5石灰砂浆</v>
      </c>
      <c r="C684" s="51" t="e">
        <v>#REF!</v>
      </c>
      <c r="D684" s="51" t="str">
        <v/>
      </c>
      <c r="E684" s="51" t="str">
        <v/>
      </c>
      <c r="F684" s="52" t="e">
        <v>#REF!</v>
      </c>
      <c r="G684" s="48" t="e">
        <v>#REF!</v>
      </c>
      <c r="H684" s="49">
        <v>2</v>
      </c>
      <c r="I684" s="49" t="e">
        <v>#REF!</v>
      </c>
      <c r="J684" s="50"/>
    </row>
    <row r="685" outlineLevel="1" spans="1:10">
      <c r="A685" s="50">
        <v>567</v>
      </c>
      <c r="B685" s="51" t="str">
        <v>内墙面-6厚M7.5石灰砂浆</v>
      </c>
      <c r="C685" s="51" t="e">
        <v>#REF!</v>
      </c>
      <c r="D685" s="51" t="str">
        <v/>
      </c>
      <c r="E685" s="51" t="str">
        <v/>
      </c>
      <c r="F685" s="52" t="e">
        <v>#REF!</v>
      </c>
      <c r="G685" s="48" t="e">
        <v>#REF!</v>
      </c>
      <c r="H685" s="49">
        <v>2</v>
      </c>
      <c r="I685" s="49" t="e">
        <v>#REF!</v>
      </c>
      <c r="J685" s="50"/>
    </row>
    <row r="686" ht="28.8" outlineLevel="1" spans="1:10">
      <c r="A686" s="50" t="str">
        <v/>
      </c>
      <c r="B686" s="51" t="str">
        <v>不与户内相邻的门厅.合用前室的隔墙的一侧</v>
      </c>
      <c r="C686" s="51" t="str">
        <v/>
      </c>
      <c r="D686" s="51" t="str">
        <v/>
      </c>
      <c r="E686" s="51" t="str">
        <v/>
      </c>
      <c r="F686" s="52" t="str">
        <v/>
      </c>
      <c r="G686" s="48" t="str">
        <v/>
      </c>
      <c r="H686" s="49">
        <v>0</v>
      </c>
      <c r="I686" s="49">
        <v>0</v>
      </c>
      <c r="J686" s="50"/>
    </row>
    <row r="687" outlineLevel="1" spans="1:10">
      <c r="A687" s="50">
        <v>568</v>
      </c>
      <c r="B687" s="51" t="str">
        <v>内墙面-玻纤网</v>
      </c>
      <c r="C687" s="51" t="e">
        <v>#REF!</v>
      </c>
      <c r="D687" s="51" t="str">
        <v/>
      </c>
      <c r="E687" s="51" t="str">
        <v/>
      </c>
      <c r="F687" s="52" t="e">
        <v>#REF!</v>
      </c>
      <c r="G687" s="48" t="e">
        <v>#REF!</v>
      </c>
      <c r="H687" s="49">
        <v>0</v>
      </c>
      <c r="I687" s="49" t="e">
        <v>#REF!</v>
      </c>
      <c r="J687" s="50"/>
    </row>
    <row r="688" outlineLevel="1" spans="1:10">
      <c r="A688" s="50">
        <v>569</v>
      </c>
      <c r="B688" s="51" t="str">
        <v>内墙面-界面剂</v>
      </c>
      <c r="C688" s="51" t="e">
        <v>#REF!</v>
      </c>
      <c r="D688" s="51" t="str">
        <v/>
      </c>
      <c r="E688" s="51" t="str">
        <v/>
      </c>
      <c r="F688" s="52" t="e">
        <v>#REF!</v>
      </c>
      <c r="G688" s="48" t="e">
        <v>#REF!</v>
      </c>
      <c r="H688" s="49">
        <v>0</v>
      </c>
      <c r="I688" s="49" t="e">
        <v>#REF!</v>
      </c>
      <c r="J688" s="50"/>
    </row>
    <row r="689" outlineLevel="1" spans="1:10">
      <c r="A689" s="50">
        <v>570</v>
      </c>
      <c r="B689" s="51" t="str">
        <v>内墙面-3-5厚砂浆打底</v>
      </c>
      <c r="C689" s="51" t="e">
        <v>#REF!</v>
      </c>
      <c r="D689" s="51" t="str">
        <v/>
      </c>
      <c r="E689" s="51" t="str">
        <v/>
      </c>
      <c r="F689" s="52" t="e">
        <v>#REF!</v>
      </c>
      <c r="G689" s="48" t="e">
        <v>#REF!</v>
      </c>
      <c r="H689" s="49">
        <v>0</v>
      </c>
      <c r="I689" s="49" t="e">
        <v>#REF!</v>
      </c>
      <c r="J689" s="50"/>
    </row>
    <row r="690" ht="28.8" outlineLevel="1" spans="1:10">
      <c r="A690" s="50" t="str">
        <v/>
      </c>
      <c r="B690" s="51" t="str">
        <v>二层及以上合用前室不与住宅户内相邻的隔墙</v>
      </c>
      <c r="C690" s="51" t="str">
        <v/>
      </c>
      <c r="D690" s="51" t="str">
        <v/>
      </c>
      <c r="E690" s="51" t="str">
        <v/>
      </c>
      <c r="F690" s="52" t="str">
        <v/>
      </c>
      <c r="G690" s="48" t="str">
        <v/>
      </c>
      <c r="H690" s="49">
        <v>0</v>
      </c>
      <c r="I690" s="49">
        <v>0</v>
      </c>
      <c r="J690" s="50"/>
    </row>
    <row r="691" outlineLevel="1" spans="1:10">
      <c r="A691" s="50">
        <v>571</v>
      </c>
      <c r="B691" s="51" t="str">
        <v>内墙面-玻纤网</v>
      </c>
      <c r="C691" s="51" t="e">
        <v>#REF!</v>
      </c>
      <c r="D691" s="51" t="str">
        <v/>
      </c>
      <c r="E691" s="51" t="str">
        <v/>
      </c>
      <c r="F691" s="52" t="e">
        <v>#REF!</v>
      </c>
      <c r="G691" s="48" t="e">
        <v>#REF!</v>
      </c>
      <c r="H691" s="49">
        <v>0</v>
      </c>
      <c r="I691" s="49" t="e">
        <v>#REF!</v>
      </c>
      <c r="J691" s="50"/>
    </row>
    <row r="692" outlineLevel="1" spans="1:10">
      <c r="A692" s="50">
        <v>572</v>
      </c>
      <c r="B692" s="51" t="str">
        <v>内墙面-界面剂</v>
      </c>
      <c r="C692" s="51" t="e">
        <v>#REF!</v>
      </c>
      <c r="D692" s="51" t="str">
        <v/>
      </c>
      <c r="E692" s="51" t="str">
        <v/>
      </c>
      <c r="F692" s="52" t="e">
        <v>#REF!</v>
      </c>
      <c r="G692" s="48" t="e">
        <v>#REF!</v>
      </c>
      <c r="H692" s="49">
        <v>0</v>
      </c>
      <c r="I692" s="49" t="e">
        <v>#REF!</v>
      </c>
      <c r="J692" s="50"/>
    </row>
    <row r="693" outlineLevel="1" spans="1:10">
      <c r="A693" s="50">
        <v>573</v>
      </c>
      <c r="B693" s="51" t="str">
        <v>内墙面-3-5厚砂浆打底</v>
      </c>
      <c r="C693" s="51" t="e">
        <v>#REF!</v>
      </c>
      <c r="D693" s="51" t="str">
        <v/>
      </c>
      <c r="E693" s="51" t="str">
        <v/>
      </c>
      <c r="F693" s="52" t="e">
        <v>#REF!</v>
      </c>
      <c r="G693" s="48" t="e">
        <v>#REF!</v>
      </c>
      <c r="H693" s="49">
        <v>0</v>
      </c>
      <c r="I693" s="49" t="e">
        <v>#REF!</v>
      </c>
      <c r="J693" s="50"/>
    </row>
    <row r="694" outlineLevel="1" spans="1:10">
      <c r="A694" s="50">
        <v>574</v>
      </c>
      <c r="B694" s="51" t="str">
        <v>内墙面-6厚M7.5石灰砂浆</v>
      </c>
      <c r="C694" s="51" t="e">
        <v>#REF!</v>
      </c>
      <c r="D694" s="51" t="str">
        <v/>
      </c>
      <c r="E694" s="51" t="str">
        <v/>
      </c>
      <c r="F694" s="52" t="e">
        <v>#REF!</v>
      </c>
      <c r="G694" s="48" t="e">
        <v>#REF!</v>
      </c>
      <c r="H694" s="49">
        <v>0</v>
      </c>
      <c r="I694" s="49" t="e">
        <v>#REF!</v>
      </c>
      <c r="J694" s="50"/>
    </row>
    <row r="695" ht="43.2" outlineLevel="1" spans="1:10">
      <c r="A695" s="50" t="str">
        <v/>
      </c>
      <c r="B695" s="51" t="str">
        <v>二层及以上楼梯间与住宅户内相邻的隔墙的楼梯间一侧 及一层楼梯间</v>
      </c>
      <c r="C695" s="51" t="str">
        <v/>
      </c>
      <c r="D695" s="51" t="str">
        <v/>
      </c>
      <c r="E695" s="51" t="str">
        <v/>
      </c>
      <c r="F695" s="52" t="str">
        <v/>
      </c>
      <c r="G695" s="48" t="str">
        <v/>
      </c>
      <c r="H695" s="49">
        <v>0</v>
      </c>
      <c r="I695" s="49">
        <v>0</v>
      </c>
      <c r="J695" s="50"/>
    </row>
    <row r="696" outlineLevel="1" spans="1:10">
      <c r="A696" s="50">
        <v>575</v>
      </c>
      <c r="B696" s="51" t="str">
        <v>内墙面-界面剂</v>
      </c>
      <c r="C696" s="51" t="e">
        <v>#REF!</v>
      </c>
      <c r="D696" s="51" t="str">
        <v/>
      </c>
      <c r="E696" s="51" t="str">
        <v/>
      </c>
      <c r="F696" s="52" t="e">
        <v>#REF!</v>
      </c>
      <c r="G696" s="48" t="e">
        <v>#REF!</v>
      </c>
      <c r="H696" s="49">
        <v>0</v>
      </c>
      <c r="I696" s="49" t="e">
        <v>#REF!</v>
      </c>
      <c r="J696" s="50"/>
    </row>
    <row r="697" outlineLevel="1" spans="1:10">
      <c r="A697" s="50">
        <v>576</v>
      </c>
      <c r="B697" s="51" t="str">
        <v>内墙面-20厚无机保温砂浆</v>
      </c>
      <c r="C697" s="51" t="e">
        <v>#REF!</v>
      </c>
      <c r="D697" s="51" t="str">
        <v/>
      </c>
      <c r="E697" s="51" t="str">
        <v/>
      </c>
      <c r="F697" s="52" t="e">
        <v>#REF!</v>
      </c>
      <c r="G697" s="48" t="e">
        <v>#REF!</v>
      </c>
      <c r="H697" s="49">
        <v>0</v>
      </c>
      <c r="I697" s="49" t="e">
        <v>#REF!</v>
      </c>
      <c r="J697" s="50"/>
    </row>
    <row r="698" outlineLevel="1" spans="1:10">
      <c r="A698" s="50">
        <v>577</v>
      </c>
      <c r="B698" s="51" t="str">
        <v>内墙面-3厚抗裂砂浆</v>
      </c>
      <c r="C698" s="51" t="e">
        <v>#REF!</v>
      </c>
      <c r="D698" s="51" t="str">
        <v/>
      </c>
      <c r="E698" s="51" t="str">
        <v/>
      </c>
      <c r="F698" s="52" t="e">
        <v>#REF!</v>
      </c>
      <c r="G698" s="48" t="e">
        <v>#REF!</v>
      </c>
      <c r="H698" s="49">
        <v>0</v>
      </c>
      <c r="I698" s="49" t="e">
        <v>#REF!</v>
      </c>
      <c r="J698" s="50"/>
    </row>
    <row r="699" outlineLevel="1" spans="1:10">
      <c r="A699" s="50">
        <v>578</v>
      </c>
      <c r="B699" s="51" t="str">
        <v>内墙面-玻纤网</v>
      </c>
      <c r="C699" s="51" t="e">
        <v>#REF!</v>
      </c>
      <c r="D699" s="51" t="str">
        <v/>
      </c>
      <c r="E699" s="51" t="str">
        <v/>
      </c>
      <c r="F699" s="52" t="e">
        <v>#REF!</v>
      </c>
      <c r="G699" s="48" t="e">
        <v>#REF!</v>
      </c>
      <c r="H699" s="49">
        <v>0</v>
      </c>
      <c r="I699" s="49" t="e">
        <v>#REF!</v>
      </c>
      <c r="J699" s="50"/>
    </row>
    <row r="700" ht="43.2" outlineLevel="1" spans="1:10">
      <c r="A700" s="50" t="str">
        <v/>
      </c>
      <c r="B700" s="51" t="str">
        <v>二层及以上合用前室、电梯厅不与住宅户内相邻隔墙的
合用前室、电梯厅一侧</v>
      </c>
      <c r="C700" s="51" t="str">
        <v/>
      </c>
      <c r="D700" s="51" t="str">
        <v/>
      </c>
      <c r="E700" s="51" t="str">
        <v/>
      </c>
      <c r="F700" s="52" t="str">
        <v/>
      </c>
      <c r="G700" s="48" t="str">
        <v/>
      </c>
      <c r="H700" s="49">
        <v>0</v>
      </c>
      <c r="I700" s="49">
        <v>0</v>
      </c>
      <c r="J700" s="50"/>
    </row>
    <row r="701" outlineLevel="1" spans="1:10">
      <c r="A701" s="50">
        <v>579</v>
      </c>
      <c r="B701" s="51" t="str">
        <v>内墙面-界面剂</v>
      </c>
      <c r="C701" s="51" t="e">
        <v>#REF!</v>
      </c>
      <c r="D701" s="51" t="str">
        <v/>
      </c>
      <c r="E701" s="51" t="str">
        <v/>
      </c>
      <c r="F701" s="52" t="e">
        <v>#REF!</v>
      </c>
      <c r="G701" s="48" t="e">
        <v>#REF!</v>
      </c>
      <c r="H701" s="49">
        <v>0</v>
      </c>
      <c r="I701" s="49" t="e">
        <v>#REF!</v>
      </c>
      <c r="J701" s="50"/>
    </row>
    <row r="702" outlineLevel="1" spans="1:10">
      <c r="A702" s="50">
        <v>580</v>
      </c>
      <c r="B702" s="51" t="str">
        <v>内墙面-7厚M5石灰砂浆</v>
      </c>
      <c r="C702" s="51" t="e">
        <v>#REF!</v>
      </c>
      <c r="D702" s="51" t="str">
        <v/>
      </c>
      <c r="E702" s="51" t="str">
        <v/>
      </c>
      <c r="F702" s="52" t="e">
        <v>#REF!</v>
      </c>
      <c r="G702" s="48" t="e">
        <v>#REF!</v>
      </c>
      <c r="H702" s="49">
        <v>0</v>
      </c>
      <c r="I702" s="49" t="e">
        <v>#REF!</v>
      </c>
      <c r="J702" s="50"/>
    </row>
    <row r="703" outlineLevel="1" spans="1:10">
      <c r="A703" s="50">
        <v>581</v>
      </c>
      <c r="B703" s="51" t="str">
        <v>内墙面-6厚M7.5石灰砂浆</v>
      </c>
      <c r="C703" s="51" t="e">
        <v>#REF!</v>
      </c>
      <c r="D703" s="51" t="str">
        <v/>
      </c>
      <c r="E703" s="51" t="str">
        <v/>
      </c>
      <c r="F703" s="52" t="e">
        <v>#REF!</v>
      </c>
      <c r="G703" s="48" t="e">
        <v>#REF!</v>
      </c>
      <c r="H703" s="49">
        <v>0</v>
      </c>
      <c r="I703" s="49" t="e">
        <v>#REF!</v>
      </c>
      <c r="J703" s="50"/>
    </row>
    <row r="704" outlineLevel="1" spans="1:10">
      <c r="A704" s="50" t="str">
        <v/>
      </c>
      <c r="B704" s="51" t="str">
        <v>卫生间.厨房内墙</v>
      </c>
      <c r="C704" s="51" t="str">
        <v/>
      </c>
      <c r="D704" s="51" t="str">
        <v/>
      </c>
      <c r="E704" s="51" t="str">
        <v/>
      </c>
      <c r="F704" s="52" t="str">
        <v/>
      </c>
      <c r="G704" s="48" t="str">
        <v/>
      </c>
      <c r="H704" s="49">
        <v>0</v>
      </c>
      <c r="I704" s="49">
        <v>0</v>
      </c>
      <c r="J704" s="50"/>
    </row>
    <row r="705" outlineLevel="1" spans="1:10">
      <c r="A705" s="50">
        <v>582</v>
      </c>
      <c r="B705" s="51" t="str">
        <v>内墙面-10厚M20水泥砂浆</v>
      </c>
      <c r="C705" s="51" t="e">
        <v>#REF!</v>
      </c>
      <c r="D705" s="51" t="str">
        <v/>
      </c>
      <c r="E705" s="51" t="str">
        <v/>
      </c>
      <c r="F705" s="52" t="e">
        <v>#REF!</v>
      </c>
      <c r="G705" s="48" t="e">
        <v>#REF!</v>
      </c>
      <c r="H705" s="49">
        <v>0</v>
      </c>
      <c r="I705" s="49" t="e">
        <v>#REF!</v>
      </c>
      <c r="J705" s="50"/>
    </row>
    <row r="706" outlineLevel="1" spans="1:10">
      <c r="A706" s="50">
        <v>583</v>
      </c>
      <c r="B706" s="51" t="str">
        <v>内墙面-玻纤网</v>
      </c>
      <c r="C706" s="51" t="e">
        <v>#REF!</v>
      </c>
      <c r="D706" s="51" t="str">
        <v/>
      </c>
      <c r="E706" s="51" t="str">
        <v/>
      </c>
      <c r="F706" s="52" t="e">
        <v>#REF!</v>
      </c>
      <c r="G706" s="48" t="e">
        <v>#REF!</v>
      </c>
      <c r="H706" s="49">
        <v>0</v>
      </c>
      <c r="I706" s="49" t="e">
        <v>#REF!</v>
      </c>
      <c r="J706" s="50"/>
    </row>
    <row r="707" outlineLevel="1" spans="1:10">
      <c r="A707" s="50" t="str">
        <v/>
      </c>
      <c r="B707" s="51" t="str">
        <v>卫生间、厨房内墙</v>
      </c>
      <c r="C707" s="51" t="str">
        <v/>
      </c>
      <c r="D707" s="51" t="str">
        <v/>
      </c>
      <c r="E707" s="51" t="str">
        <v/>
      </c>
      <c r="F707" s="52" t="str">
        <v/>
      </c>
      <c r="G707" s="48" t="str">
        <v/>
      </c>
      <c r="H707" s="49">
        <v>0</v>
      </c>
      <c r="I707" s="49">
        <v>0</v>
      </c>
      <c r="J707" s="50"/>
    </row>
    <row r="708" outlineLevel="1" spans="1:10">
      <c r="A708" s="50">
        <v>584</v>
      </c>
      <c r="B708" s="51" t="str">
        <v>内墙面-界面剂</v>
      </c>
      <c r="C708" s="51" t="e">
        <v>#REF!</v>
      </c>
      <c r="D708" s="51" t="str">
        <v/>
      </c>
      <c r="E708" s="51" t="str">
        <v/>
      </c>
      <c r="F708" s="52" t="e">
        <v>#REF!</v>
      </c>
      <c r="G708" s="48" t="e">
        <v>#REF!</v>
      </c>
      <c r="H708" s="49">
        <v>1</v>
      </c>
      <c r="I708" s="49" t="e">
        <v>#REF!</v>
      </c>
      <c r="J708" s="50"/>
    </row>
    <row r="709" outlineLevel="1" spans="1:10">
      <c r="A709" s="50">
        <v>585</v>
      </c>
      <c r="B709" s="51" t="str">
        <v>内墙面-15厚M7.5水泥砂浆</v>
      </c>
      <c r="C709" s="51" t="e">
        <v>#REF!</v>
      </c>
      <c r="D709" s="51" t="str">
        <v/>
      </c>
      <c r="E709" s="51" t="str">
        <v/>
      </c>
      <c r="F709" s="52" t="e">
        <v>#REF!</v>
      </c>
      <c r="G709" s="48" t="e">
        <v>#REF!</v>
      </c>
      <c r="H709" s="49">
        <v>1</v>
      </c>
      <c r="I709" s="49" t="e">
        <v>#REF!</v>
      </c>
      <c r="J709" s="50"/>
    </row>
    <row r="710" outlineLevel="1" spans="1:10">
      <c r="A710" s="50" t="str">
        <v/>
      </c>
      <c r="B710" s="51" t="str">
        <v>卫生间.厨房内墙</v>
      </c>
      <c r="C710" s="51" t="str">
        <v/>
      </c>
      <c r="D710" s="51" t="str">
        <v/>
      </c>
      <c r="E710" s="51" t="str">
        <v/>
      </c>
      <c r="F710" s="52" t="str">
        <v/>
      </c>
      <c r="G710" s="48" t="str">
        <v/>
      </c>
      <c r="H710" s="49">
        <v>0</v>
      </c>
      <c r="I710" s="49">
        <v>0</v>
      </c>
      <c r="J710" s="50"/>
    </row>
    <row r="711" outlineLevel="1" spans="1:10">
      <c r="A711" s="50">
        <v>586</v>
      </c>
      <c r="B711" s="51" t="str">
        <v>内墙面-玻纤网</v>
      </c>
      <c r="C711" s="51" t="e">
        <v>#REF!</v>
      </c>
      <c r="D711" s="51" t="str">
        <v/>
      </c>
      <c r="E711" s="51" t="str">
        <v/>
      </c>
      <c r="F711" s="52" t="e">
        <v>#REF!</v>
      </c>
      <c r="G711" s="48" t="e">
        <v>#REF!</v>
      </c>
      <c r="H711" s="49">
        <v>0</v>
      </c>
      <c r="I711" s="49" t="e">
        <v>#REF!</v>
      </c>
      <c r="J711" s="50"/>
    </row>
    <row r="712" outlineLevel="1" spans="1:10">
      <c r="A712" s="50">
        <v>587</v>
      </c>
      <c r="B712" s="51" t="str">
        <v>内墙面-界面剂</v>
      </c>
      <c r="C712" s="51" t="e">
        <v>#REF!</v>
      </c>
      <c r="D712" s="51" t="str">
        <v/>
      </c>
      <c r="E712" s="51" t="str">
        <v/>
      </c>
      <c r="F712" s="52" t="e">
        <v>#REF!</v>
      </c>
      <c r="G712" s="48" t="e">
        <v>#REF!</v>
      </c>
      <c r="H712" s="49">
        <v>0</v>
      </c>
      <c r="I712" s="49" t="e">
        <v>#REF!</v>
      </c>
      <c r="J712" s="50"/>
    </row>
    <row r="713" outlineLevel="1" spans="1:10">
      <c r="A713" s="50">
        <v>588</v>
      </c>
      <c r="B713" s="51" t="str">
        <v>内墙面-3-5厚砂浆打底</v>
      </c>
      <c r="C713" s="51" t="e">
        <v>#REF!</v>
      </c>
      <c r="D713" s="51" t="str">
        <v/>
      </c>
      <c r="E713" s="51" t="str">
        <v/>
      </c>
      <c r="F713" s="52" t="e">
        <v>#REF!</v>
      </c>
      <c r="G713" s="48" t="e">
        <v>#REF!</v>
      </c>
      <c r="H713" s="49">
        <v>0</v>
      </c>
      <c r="I713" s="49" t="e">
        <v>#REF!</v>
      </c>
      <c r="J713" s="50"/>
    </row>
    <row r="714" outlineLevel="1" spans="1:10">
      <c r="A714" s="50" t="str">
        <v/>
      </c>
      <c r="B714" s="51" t="str">
        <v>卫生间.厨房内墙</v>
      </c>
      <c r="C714" s="51" t="str">
        <v/>
      </c>
      <c r="D714" s="51" t="str">
        <v/>
      </c>
      <c r="E714" s="51" t="str">
        <v/>
      </c>
      <c r="F714" s="52" t="str">
        <v/>
      </c>
      <c r="G714" s="48" t="str">
        <v/>
      </c>
      <c r="H714" s="49">
        <v>0</v>
      </c>
      <c r="I714" s="49">
        <v>0</v>
      </c>
      <c r="J714" s="50"/>
    </row>
    <row r="715" outlineLevel="1" spans="1:10">
      <c r="A715" s="50">
        <v>589</v>
      </c>
      <c r="B715" s="51" t="str">
        <v>内墙面-界面剂</v>
      </c>
      <c r="C715" s="51" t="e">
        <v>#REF!</v>
      </c>
      <c r="D715" s="51" t="str">
        <v/>
      </c>
      <c r="E715" s="51" t="str">
        <v/>
      </c>
      <c r="F715" s="52" t="e">
        <v>#REF!</v>
      </c>
      <c r="G715" s="48" t="e">
        <v>#REF!</v>
      </c>
      <c r="H715" s="49">
        <v>1</v>
      </c>
      <c r="I715" s="49" t="e">
        <v>#REF!</v>
      </c>
      <c r="J715" s="50"/>
    </row>
    <row r="716" outlineLevel="1" spans="1:10">
      <c r="A716" s="50">
        <v>590</v>
      </c>
      <c r="B716" s="51" t="str">
        <v>内墙面-7厚M5石灰砂浆</v>
      </c>
      <c r="C716" s="51" t="e">
        <v>#REF!</v>
      </c>
      <c r="D716" s="51" t="str">
        <v/>
      </c>
      <c r="E716" s="51" t="str">
        <v/>
      </c>
      <c r="F716" s="52" t="e">
        <v>#REF!</v>
      </c>
      <c r="G716" s="48" t="e">
        <v>#REF!</v>
      </c>
      <c r="H716" s="49">
        <v>1</v>
      </c>
      <c r="I716" s="49" t="e">
        <v>#REF!</v>
      </c>
      <c r="J716" s="50"/>
    </row>
    <row r="717" outlineLevel="1" spans="1:10">
      <c r="A717" s="50">
        <v>591</v>
      </c>
      <c r="B717" s="51" t="str">
        <v>内墙面-6厚M7.5石灰砂浆</v>
      </c>
      <c r="C717" s="51" t="e">
        <v>#REF!</v>
      </c>
      <c r="D717" s="51" t="str">
        <v/>
      </c>
      <c r="E717" s="51" t="str">
        <v/>
      </c>
      <c r="F717" s="52" t="e">
        <v>#REF!</v>
      </c>
      <c r="G717" s="48" t="e">
        <v>#REF!</v>
      </c>
      <c r="H717" s="49">
        <v>1</v>
      </c>
      <c r="I717" s="49" t="e">
        <v>#REF!</v>
      </c>
      <c r="J717" s="50"/>
    </row>
    <row r="718" ht="28.8" outlineLevel="1" spans="1:10">
      <c r="A718" s="50" t="str">
        <v/>
      </c>
      <c r="B718" s="51" t="str">
        <v>用于客厅.餐厅.卧室.书房内墙</v>
      </c>
      <c r="C718" s="51" t="str">
        <v/>
      </c>
      <c r="D718" s="51" t="str">
        <v/>
      </c>
      <c r="E718" s="51" t="str">
        <v/>
      </c>
      <c r="F718" s="52" t="str">
        <v/>
      </c>
      <c r="G718" s="48" t="str">
        <v/>
      </c>
      <c r="H718" s="49">
        <v>0</v>
      </c>
      <c r="I718" s="49">
        <v>0</v>
      </c>
      <c r="J718" s="50"/>
    </row>
    <row r="719" outlineLevel="1" spans="1:10">
      <c r="A719" s="50">
        <v>592</v>
      </c>
      <c r="B719" s="51" t="str">
        <v>内墙面-界面剂</v>
      </c>
      <c r="C719" s="51" t="e">
        <v>#REF!</v>
      </c>
      <c r="D719" s="51" t="str">
        <v/>
      </c>
      <c r="E719" s="51" t="str">
        <v/>
      </c>
      <c r="F719" s="52" t="e">
        <v>#REF!</v>
      </c>
      <c r="G719" s="48" t="e">
        <v>#REF!</v>
      </c>
      <c r="H719" s="49">
        <v>1</v>
      </c>
      <c r="I719" s="49" t="e">
        <v>#REF!</v>
      </c>
      <c r="J719" s="50"/>
    </row>
    <row r="720" outlineLevel="1" spans="1:10">
      <c r="A720" s="50">
        <v>593</v>
      </c>
      <c r="B720" s="51" t="str">
        <v>内墙面-9厚M5石灰砂浆</v>
      </c>
      <c r="C720" s="51" t="e">
        <v>#REF!</v>
      </c>
      <c r="D720" s="51" t="str">
        <v/>
      </c>
      <c r="E720" s="51" t="str">
        <v/>
      </c>
      <c r="F720" s="52" t="e">
        <v>#REF!</v>
      </c>
      <c r="G720" s="48" t="e">
        <v>#REF!</v>
      </c>
      <c r="H720" s="49">
        <v>1</v>
      </c>
      <c r="I720" s="49" t="e">
        <v>#REF!</v>
      </c>
      <c r="J720" s="50"/>
    </row>
    <row r="721" outlineLevel="1" spans="1:10">
      <c r="A721" s="50">
        <v>594</v>
      </c>
      <c r="B721" s="51" t="str">
        <v>内墙面-6厚M7.5石灰砂浆</v>
      </c>
      <c r="C721" s="51" t="e">
        <v>#REF!</v>
      </c>
      <c r="D721" s="51" t="str">
        <v/>
      </c>
      <c r="E721" s="51" t="str">
        <v/>
      </c>
      <c r="F721" s="52" t="e">
        <v>#REF!</v>
      </c>
      <c r="G721" s="48" t="e">
        <v>#REF!</v>
      </c>
      <c r="H721" s="49">
        <v>1</v>
      </c>
      <c r="I721" s="49" t="e">
        <v>#REF!</v>
      </c>
      <c r="J721" s="50"/>
    </row>
    <row r="722" outlineLevel="1" spans="1:10">
      <c r="A722" s="50">
        <v>595</v>
      </c>
      <c r="B722" s="51" t="str">
        <v>内墙面-玻纤网</v>
      </c>
      <c r="C722" s="51" t="e">
        <v>#REF!</v>
      </c>
      <c r="D722" s="51" t="str">
        <v/>
      </c>
      <c r="E722" s="51" t="str">
        <v/>
      </c>
      <c r="F722" s="52" t="e">
        <v>#REF!</v>
      </c>
      <c r="G722" s="48" t="e">
        <v>#REF!</v>
      </c>
      <c r="H722" s="49">
        <v>1</v>
      </c>
      <c r="I722" s="49" t="e">
        <v>#REF!</v>
      </c>
      <c r="J722" s="50"/>
    </row>
    <row r="723" outlineLevel="1" spans="1:10">
      <c r="A723" s="50" t="str">
        <v/>
      </c>
      <c r="B723" s="51" t="str">
        <v>户内除厨房.卫生间外的房间</v>
      </c>
      <c r="C723" s="51" t="str">
        <v/>
      </c>
      <c r="D723" s="51" t="str">
        <v/>
      </c>
      <c r="E723" s="51" t="str">
        <v/>
      </c>
      <c r="F723" s="52" t="str">
        <v/>
      </c>
      <c r="G723" s="48" t="str">
        <v/>
      </c>
      <c r="H723" s="49">
        <v>0</v>
      </c>
      <c r="I723" s="49">
        <v>0</v>
      </c>
      <c r="J723" s="50"/>
    </row>
    <row r="724" outlineLevel="1" spans="1:10">
      <c r="A724" s="50">
        <v>596</v>
      </c>
      <c r="B724" s="51" t="str">
        <v>内墙面-界面剂</v>
      </c>
      <c r="C724" s="51" t="e">
        <v>#REF!</v>
      </c>
      <c r="D724" s="51" t="str">
        <v/>
      </c>
      <c r="E724" s="51" t="str">
        <v/>
      </c>
      <c r="F724" s="52" t="e">
        <v>#REF!</v>
      </c>
      <c r="G724" s="48" t="e">
        <v>#REF!</v>
      </c>
      <c r="H724" s="49">
        <v>0</v>
      </c>
      <c r="I724" s="49" t="e">
        <v>#REF!</v>
      </c>
      <c r="J724" s="50"/>
    </row>
    <row r="725" outlineLevel="1" spans="1:10">
      <c r="A725" s="50">
        <v>597</v>
      </c>
      <c r="B725" s="51" t="str">
        <v>内墙面-7厚M5石灰砂浆</v>
      </c>
      <c r="C725" s="51" t="e">
        <v>#REF!</v>
      </c>
      <c r="D725" s="51" t="str">
        <v/>
      </c>
      <c r="E725" s="51" t="str">
        <v/>
      </c>
      <c r="F725" s="52" t="e">
        <v>#REF!</v>
      </c>
      <c r="G725" s="48" t="e">
        <v>#REF!</v>
      </c>
      <c r="H725" s="49">
        <v>0</v>
      </c>
      <c r="I725" s="49" t="e">
        <v>#REF!</v>
      </c>
      <c r="J725" s="50"/>
    </row>
    <row r="726" outlineLevel="1" spans="1:10">
      <c r="A726" s="50">
        <v>598</v>
      </c>
      <c r="B726" s="51" t="str">
        <v>内墙面-6厚M7.5石灰砂浆</v>
      </c>
      <c r="C726" s="51" t="e">
        <v>#REF!</v>
      </c>
      <c r="D726" s="51" t="str">
        <v/>
      </c>
      <c r="E726" s="51" t="str">
        <v/>
      </c>
      <c r="F726" s="52" t="e">
        <v>#REF!</v>
      </c>
      <c r="G726" s="48" t="e">
        <v>#REF!</v>
      </c>
      <c r="H726" s="49">
        <v>0</v>
      </c>
      <c r="I726" s="49" t="e">
        <v>#REF!</v>
      </c>
      <c r="J726" s="50"/>
    </row>
    <row r="727" outlineLevel="1" spans="1:10">
      <c r="A727" s="50">
        <v>599</v>
      </c>
      <c r="B727" s="51" t="str">
        <v>内墙面-15厚粉刷石膏</v>
      </c>
      <c r="C727" s="51" t="e">
        <v>#REF!</v>
      </c>
      <c r="D727" s="51" t="str">
        <v/>
      </c>
      <c r="E727" s="51" t="str">
        <v/>
      </c>
      <c r="F727" s="52" t="e">
        <v>#REF!</v>
      </c>
      <c r="G727" s="48" t="e">
        <v>#REF!</v>
      </c>
      <c r="H727" s="49">
        <v>0</v>
      </c>
      <c r="I727" s="49" t="e">
        <v>#REF!</v>
      </c>
      <c r="J727" s="50"/>
    </row>
    <row r="728" outlineLevel="1" spans="1:10">
      <c r="A728" s="50">
        <v>600</v>
      </c>
      <c r="B728" s="51" t="str">
        <v>内墙面-玻纤网</v>
      </c>
      <c r="C728" s="51" t="e">
        <v>#REF!</v>
      </c>
      <c r="D728" s="51" t="str">
        <v/>
      </c>
      <c r="E728" s="51" t="str">
        <v/>
      </c>
      <c r="F728" s="52" t="e">
        <v>#REF!</v>
      </c>
      <c r="G728" s="48" t="e">
        <v>#REF!</v>
      </c>
      <c r="H728" s="49">
        <v>0</v>
      </c>
      <c r="I728" s="49" t="e">
        <v>#REF!</v>
      </c>
      <c r="J728" s="50"/>
    </row>
    <row r="729" outlineLevel="1" spans="1:10">
      <c r="A729" s="50" t="str">
        <v/>
      </c>
      <c r="B729" s="51" t="str">
        <v>户内除厨房.卫生间外的房间</v>
      </c>
      <c r="C729" s="51" t="str">
        <v/>
      </c>
      <c r="D729" s="51" t="str">
        <v/>
      </c>
      <c r="E729" s="51" t="str">
        <v/>
      </c>
      <c r="F729" s="52" t="str">
        <v/>
      </c>
      <c r="G729" s="48" t="str">
        <v/>
      </c>
      <c r="H729" s="49">
        <v>0</v>
      </c>
      <c r="I729" s="49">
        <v>0</v>
      </c>
      <c r="J729" s="50"/>
    </row>
    <row r="730" outlineLevel="1" spans="1:10">
      <c r="A730" s="50">
        <v>601</v>
      </c>
      <c r="B730" s="51" t="str">
        <v>内墙面-6厚M7.5石灰砂浆</v>
      </c>
      <c r="C730" s="51" t="e">
        <v>#REF!</v>
      </c>
      <c r="D730" s="51" t="str">
        <v/>
      </c>
      <c r="E730" s="51" t="str">
        <v/>
      </c>
      <c r="F730" s="52" t="e">
        <v>#REF!</v>
      </c>
      <c r="G730" s="48" t="e">
        <v>#REF!</v>
      </c>
      <c r="H730" s="49">
        <v>0</v>
      </c>
      <c r="I730" s="49" t="e">
        <v>#REF!</v>
      </c>
      <c r="J730" s="50"/>
    </row>
    <row r="731" outlineLevel="1" spans="1:10">
      <c r="A731" s="50">
        <v>602</v>
      </c>
      <c r="B731" s="51" t="str">
        <v>内墙面-玻纤网</v>
      </c>
      <c r="C731" s="51" t="e">
        <v>#REF!</v>
      </c>
      <c r="D731" s="51" t="str">
        <v/>
      </c>
      <c r="E731" s="51" t="str">
        <v/>
      </c>
      <c r="F731" s="52" t="e">
        <v>#REF!</v>
      </c>
      <c r="G731" s="48" t="e">
        <v>#REF!</v>
      </c>
      <c r="H731" s="49">
        <v>0</v>
      </c>
      <c r="I731" s="49" t="e">
        <v>#REF!</v>
      </c>
      <c r="J731" s="50"/>
    </row>
    <row r="732" outlineLevel="1" spans="1:10">
      <c r="A732" s="50">
        <v>603</v>
      </c>
      <c r="B732" s="51" t="str">
        <v>内墙面-界面剂</v>
      </c>
      <c r="C732" s="51" t="e">
        <v>#REF!</v>
      </c>
      <c r="D732" s="51" t="str">
        <v/>
      </c>
      <c r="E732" s="51" t="str">
        <v/>
      </c>
      <c r="F732" s="52" t="e">
        <v>#REF!</v>
      </c>
      <c r="G732" s="48" t="e">
        <v>#REF!</v>
      </c>
      <c r="H732" s="49">
        <v>0</v>
      </c>
      <c r="I732" s="49" t="e">
        <v>#REF!</v>
      </c>
      <c r="J732" s="50"/>
    </row>
    <row r="733" outlineLevel="1" spans="1:10">
      <c r="A733" s="50">
        <v>604</v>
      </c>
      <c r="B733" s="51" t="str">
        <v>内墙面-3-5厚砂浆打底</v>
      </c>
      <c r="C733" s="51" t="e">
        <v>#REF!</v>
      </c>
      <c r="D733" s="51" t="str">
        <v/>
      </c>
      <c r="E733" s="51" t="str">
        <v/>
      </c>
      <c r="F733" s="52" t="e">
        <v>#REF!</v>
      </c>
      <c r="G733" s="48" t="e">
        <v>#REF!</v>
      </c>
      <c r="H733" s="49">
        <v>0</v>
      </c>
      <c r="I733" s="49" t="e">
        <v>#REF!</v>
      </c>
      <c r="J733" s="50"/>
    </row>
    <row r="734" outlineLevel="1" spans="1:10">
      <c r="A734" s="50">
        <v>605</v>
      </c>
      <c r="B734" s="51" t="str">
        <v>内墙面-6厚M7.5石灰砂浆</v>
      </c>
      <c r="C734" s="51" t="e">
        <v>#REF!</v>
      </c>
      <c r="D734" s="51" t="str">
        <v/>
      </c>
      <c r="E734" s="51" t="str">
        <v/>
      </c>
      <c r="F734" s="52" t="e">
        <v>#REF!</v>
      </c>
      <c r="G734" s="48" t="e">
        <v>#REF!</v>
      </c>
      <c r="H734" s="49">
        <v>0</v>
      </c>
      <c r="I734" s="49" t="e">
        <v>#REF!</v>
      </c>
      <c r="J734" s="50"/>
    </row>
    <row r="735" outlineLevel="1" spans="1:10">
      <c r="A735" s="50">
        <v>606</v>
      </c>
      <c r="B735" s="51" t="str">
        <v>通风道真空绝热板</v>
      </c>
      <c r="C735" s="51" t="e">
        <v>#REF!</v>
      </c>
      <c r="D735" s="51" t="str">
        <v/>
      </c>
      <c r="E735" s="51" t="str">
        <v/>
      </c>
      <c r="F735" s="52" t="e">
        <v>#REF!</v>
      </c>
      <c r="G735" s="48" t="e">
        <v>#REF!</v>
      </c>
      <c r="H735" s="49">
        <v>0</v>
      </c>
      <c r="I735" s="49" t="e">
        <v>#REF!</v>
      </c>
      <c r="J735" s="50"/>
    </row>
    <row r="736" outlineLevel="1" spans="1:10">
      <c r="A736" s="50">
        <v>607</v>
      </c>
      <c r="B736" s="51" t="str">
        <v>砌块墙钢丝网满挂</v>
      </c>
      <c r="C736" s="51" t="e">
        <v>#REF!</v>
      </c>
      <c r="D736" s="51" t="str">
        <v/>
      </c>
      <c r="E736" s="51" t="str">
        <v/>
      </c>
      <c r="F736" s="52" t="e">
        <v>#REF!</v>
      </c>
      <c r="G736" s="48" t="e">
        <v>#REF!</v>
      </c>
      <c r="H736" s="49">
        <v>0</v>
      </c>
      <c r="I736" s="49" t="e">
        <v>#REF!</v>
      </c>
      <c r="J736" s="50"/>
    </row>
    <row r="737" outlineLevel="1" spans="1:10">
      <c r="A737" s="50">
        <v>608</v>
      </c>
      <c r="B737" s="51" t="str">
        <v>内墙面-界面剂</v>
      </c>
      <c r="C737" s="51" t="e">
        <v>#REF!</v>
      </c>
      <c r="D737" s="51" t="str">
        <v/>
      </c>
      <c r="E737" s="51" t="str">
        <v/>
      </c>
      <c r="F737" s="52" t="e">
        <v>#REF!</v>
      </c>
      <c r="G737" s="48" t="e">
        <v>#REF!</v>
      </c>
      <c r="H737" s="49">
        <v>1</v>
      </c>
      <c r="I737" s="49" t="e">
        <v>#REF!</v>
      </c>
      <c r="J737" s="50"/>
    </row>
    <row r="738" outlineLevel="1" spans="1:10">
      <c r="A738" s="50">
        <v>609</v>
      </c>
      <c r="B738" s="51" t="str">
        <v>内墙面-15厚M7.5水泥砂浆</v>
      </c>
      <c r="C738" s="51" t="e">
        <v>#REF!</v>
      </c>
      <c r="D738" s="51" t="str">
        <v/>
      </c>
      <c r="E738" s="51" t="str">
        <v/>
      </c>
      <c r="F738" s="52" t="e">
        <v>#REF!</v>
      </c>
      <c r="G738" s="48" t="e">
        <v>#REF!</v>
      </c>
      <c r="H738" s="49">
        <v>1</v>
      </c>
      <c r="I738" s="49" t="e">
        <v>#REF!</v>
      </c>
      <c r="J738" s="50"/>
    </row>
    <row r="739" outlineLevel="1" spans="1:10">
      <c r="A739" s="50">
        <v>610</v>
      </c>
      <c r="B739" s="51" t="str">
        <v>内墙面-15厚M7.5石灰砂浆</v>
      </c>
      <c r="C739" s="51" t="e">
        <v>#REF!</v>
      </c>
      <c r="D739" s="51" t="str">
        <v/>
      </c>
      <c r="E739" s="51" t="str">
        <v/>
      </c>
      <c r="F739" s="52" t="e">
        <v>#REF!</v>
      </c>
      <c r="G739" s="48" t="e">
        <v>#REF!</v>
      </c>
      <c r="H739" s="49">
        <v>1</v>
      </c>
      <c r="I739" s="49" t="e">
        <v>#REF!</v>
      </c>
      <c r="J739" s="50"/>
    </row>
    <row r="740" outlineLevel="1" spans="1:10">
      <c r="A740" s="50">
        <v>611</v>
      </c>
      <c r="B740" s="51" t="str">
        <v>内墙面-13厚M7.5石灰砂浆</v>
      </c>
      <c r="C740" s="51" t="e">
        <v>#REF!</v>
      </c>
      <c r="D740" s="51" t="str">
        <v/>
      </c>
      <c r="E740" s="51" t="str">
        <v/>
      </c>
      <c r="F740" s="52" t="e">
        <v>#REF!</v>
      </c>
      <c r="G740" s="48" t="e">
        <v>#REF!</v>
      </c>
      <c r="H740" s="49">
        <v>1</v>
      </c>
      <c r="I740" s="49" t="e">
        <v>#REF!</v>
      </c>
      <c r="J740" s="50"/>
    </row>
    <row r="741" outlineLevel="1" spans="1:10">
      <c r="A741" s="50">
        <v>612</v>
      </c>
      <c r="B741" s="51" t="str">
        <v>内墙面-13厚M7.5水泥砂浆</v>
      </c>
      <c r="C741" s="51" t="e">
        <v>#REF!</v>
      </c>
      <c r="D741" s="51" t="str">
        <v/>
      </c>
      <c r="E741" s="51" t="str">
        <v/>
      </c>
      <c r="F741" s="52" t="e">
        <v>#REF!</v>
      </c>
      <c r="G741" s="48" t="e">
        <v>#REF!</v>
      </c>
      <c r="H741" s="49">
        <v>1</v>
      </c>
      <c r="I741" s="49" t="e">
        <v>#REF!</v>
      </c>
      <c r="J741" s="50"/>
    </row>
    <row r="742" outlineLevel="1" spans="1:10">
      <c r="A742" s="50">
        <v>613</v>
      </c>
      <c r="B742" s="51" t="str">
        <v>内墙面-15厚M5水泥砂浆</v>
      </c>
      <c r="C742" s="51" t="e">
        <v>#REF!</v>
      </c>
      <c r="D742" s="51" t="str">
        <v/>
      </c>
      <c r="E742" s="51" t="str">
        <v/>
      </c>
      <c r="F742" s="52" t="e">
        <v>#REF!</v>
      </c>
      <c r="G742" s="48" t="e">
        <v>#REF!</v>
      </c>
      <c r="H742" s="49">
        <v>1</v>
      </c>
      <c r="I742" s="49" t="e">
        <v>#REF!</v>
      </c>
      <c r="J742" s="50"/>
    </row>
    <row r="743" outlineLevel="1" spans="1:10">
      <c r="A743" s="50">
        <v>614</v>
      </c>
      <c r="B743" s="51" t="str">
        <v>内墙面-15厚M5石灰砂浆</v>
      </c>
      <c r="C743" s="51" t="e">
        <v>#REF!</v>
      </c>
      <c r="D743" s="51" t="str">
        <v/>
      </c>
      <c r="E743" s="51" t="str">
        <v/>
      </c>
      <c r="F743" s="52" t="e">
        <v>#REF!</v>
      </c>
      <c r="G743" s="48" t="e">
        <v>#REF!</v>
      </c>
      <c r="H743" s="49">
        <v>1</v>
      </c>
      <c r="I743" s="49" t="e">
        <v>#REF!</v>
      </c>
      <c r="J743" s="50"/>
    </row>
    <row r="744" outlineLevel="1" spans="1:10">
      <c r="A744" s="50">
        <v>615</v>
      </c>
      <c r="B744" s="51" t="str">
        <v>内墙面-13厚M5水泥砂浆</v>
      </c>
      <c r="C744" s="51" t="e">
        <v>#REF!</v>
      </c>
      <c r="D744" s="51" t="str">
        <v/>
      </c>
      <c r="E744" s="51" t="str">
        <v/>
      </c>
      <c r="F744" s="52" t="e">
        <v>#REF!</v>
      </c>
      <c r="G744" s="48" t="e">
        <v>#REF!</v>
      </c>
      <c r="H744" s="49">
        <v>1</v>
      </c>
      <c r="I744" s="49" t="e">
        <v>#REF!</v>
      </c>
      <c r="J744" s="50"/>
    </row>
    <row r="745" outlineLevel="1" spans="1:10">
      <c r="A745" s="50">
        <v>616</v>
      </c>
      <c r="B745" s="51" t="str">
        <v>内墙面-13厚M5石灰砂浆</v>
      </c>
      <c r="C745" s="51" t="e">
        <v>#REF!</v>
      </c>
      <c r="D745" s="51" t="str">
        <v/>
      </c>
      <c r="E745" s="51" t="str">
        <v/>
      </c>
      <c r="F745" s="52" t="e">
        <v>#REF!</v>
      </c>
      <c r="G745" s="48" t="e">
        <v>#REF!</v>
      </c>
      <c r="H745" s="49">
        <v>1</v>
      </c>
      <c r="I745" s="49" t="e">
        <v>#REF!</v>
      </c>
      <c r="J745" s="50"/>
    </row>
    <row r="746" outlineLevel="1" spans="1:10">
      <c r="A746" s="50">
        <v>617</v>
      </c>
      <c r="B746" s="51" t="str">
        <v>内墙面-12厚M5水泥砂浆</v>
      </c>
      <c r="C746" s="51" t="e">
        <v>#REF!</v>
      </c>
      <c r="D746" s="51" t="str">
        <v/>
      </c>
      <c r="E746" s="51" t="str">
        <v/>
      </c>
      <c r="F746" s="52" t="e">
        <v>#REF!</v>
      </c>
      <c r="G746" s="48" t="e">
        <v>#REF!</v>
      </c>
      <c r="H746" s="49">
        <v>1</v>
      </c>
      <c r="I746" s="49" t="e">
        <v>#REF!</v>
      </c>
      <c r="J746" s="50"/>
    </row>
    <row r="747" outlineLevel="1" spans="1:10">
      <c r="A747" s="50">
        <v>618</v>
      </c>
      <c r="B747" s="51" t="str">
        <v>内墙面-12厚M5石灰砂浆</v>
      </c>
      <c r="C747" s="51" t="e">
        <v>#REF!</v>
      </c>
      <c r="D747" s="51" t="str">
        <v/>
      </c>
      <c r="E747" s="51" t="str">
        <v/>
      </c>
      <c r="F747" s="52" t="e">
        <v>#REF!</v>
      </c>
      <c r="G747" s="48" t="e">
        <v>#REF!</v>
      </c>
      <c r="H747" s="49">
        <v>1</v>
      </c>
      <c r="I747" s="49" t="e">
        <v>#REF!</v>
      </c>
      <c r="J747" s="50"/>
    </row>
    <row r="748" outlineLevel="1" spans="1:10">
      <c r="A748" s="50">
        <v>619</v>
      </c>
      <c r="B748" s="51" t="str">
        <v>内墙面-镀锌钢丝网</v>
      </c>
      <c r="C748" s="51" t="e">
        <v>#REF!</v>
      </c>
      <c r="D748" s="51" t="str">
        <v/>
      </c>
      <c r="E748" s="51" t="str">
        <v/>
      </c>
      <c r="F748" s="52" t="e">
        <v>#REF!</v>
      </c>
      <c r="G748" s="48" t="e">
        <v>#REF!</v>
      </c>
      <c r="H748" s="49">
        <v>1</v>
      </c>
      <c r="I748" s="49" t="e">
        <v>#REF!</v>
      </c>
      <c r="J748" s="50"/>
    </row>
    <row r="749" ht="28.8" outlineLevel="1" spans="1:10">
      <c r="A749" s="50" t="str">
        <v/>
      </c>
      <c r="B749" s="51" t="str">
        <v>水暖电井内墙（二次结构墙体）</v>
      </c>
      <c r="C749" s="51" t="str">
        <v/>
      </c>
      <c r="D749" s="51" t="str">
        <v/>
      </c>
      <c r="E749" s="51" t="str">
        <v/>
      </c>
      <c r="F749" s="52" t="str">
        <v/>
      </c>
      <c r="G749" s="48" t="str">
        <v/>
      </c>
      <c r="H749" s="49">
        <v>0</v>
      </c>
      <c r="I749" s="49">
        <v>0</v>
      </c>
      <c r="J749" s="50"/>
    </row>
    <row r="750" outlineLevel="1" spans="1:10">
      <c r="A750" s="50">
        <v>620</v>
      </c>
      <c r="B750" s="51" t="str">
        <v>内墙面-界面剂</v>
      </c>
      <c r="C750" s="51" t="e">
        <v>#REF!</v>
      </c>
      <c r="D750" s="51" t="str">
        <v/>
      </c>
      <c r="E750" s="51" t="str">
        <v/>
      </c>
      <c r="F750" s="52" t="e">
        <v>#REF!</v>
      </c>
      <c r="G750" s="48" t="e">
        <v>#REF!</v>
      </c>
      <c r="H750" s="49">
        <v>0</v>
      </c>
      <c r="I750" s="49" t="e">
        <v>#REF!</v>
      </c>
      <c r="J750" s="50"/>
    </row>
    <row r="751" outlineLevel="1" spans="1:10">
      <c r="A751" s="50">
        <v>621</v>
      </c>
      <c r="B751" s="51" t="str">
        <v>内墙面-7厚M5石灰砂浆</v>
      </c>
      <c r="C751" s="51" t="e">
        <v>#REF!</v>
      </c>
      <c r="D751" s="51" t="str">
        <v/>
      </c>
      <c r="E751" s="51" t="str">
        <v/>
      </c>
      <c r="F751" s="52" t="e">
        <v>#REF!</v>
      </c>
      <c r="G751" s="48" t="e">
        <v>#REF!</v>
      </c>
      <c r="H751" s="49">
        <v>0</v>
      </c>
      <c r="I751" s="49" t="e">
        <v>#REF!</v>
      </c>
      <c r="J751" s="50"/>
    </row>
    <row r="752" outlineLevel="1" spans="1:10">
      <c r="A752" s="50">
        <v>622</v>
      </c>
      <c r="B752" s="51" t="str">
        <v>内墙面-6厚M7.5石灰砂浆</v>
      </c>
      <c r="C752" s="51" t="e">
        <v>#REF!</v>
      </c>
      <c r="D752" s="51" t="str">
        <v/>
      </c>
      <c r="E752" s="51" t="str">
        <v/>
      </c>
      <c r="F752" s="52" t="e">
        <v>#REF!</v>
      </c>
      <c r="G752" s="48" t="e">
        <v>#REF!</v>
      </c>
      <c r="H752" s="49">
        <v>0</v>
      </c>
      <c r="I752" s="49" t="e">
        <v>#REF!</v>
      </c>
      <c r="J752" s="50"/>
    </row>
    <row r="753" ht="28.8" outlineLevel="1" spans="1:10">
      <c r="A753" s="50" t="str">
        <v/>
      </c>
      <c r="B753" s="51" t="str">
        <v>水箱间.电梯机房内墙（二次结构墙）</v>
      </c>
      <c r="C753" s="51" t="str">
        <v/>
      </c>
      <c r="D753" s="51" t="str">
        <v/>
      </c>
      <c r="E753" s="51" t="str">
        <v/>
      </c>
      <c r="F753" s="52" t="str">
        <v/>
      </c>
      <c r="G753" s="48" t="str">
        <v/>
      </c>
      <c r="H753" s="49">
        <v>0</v>
      </c>
      <c r="I753" s="49">
        <v>0</v>
      </c>
      <c r="J753" s="50"/>
    </row>
    <row r="754" outlineLevel="1" spans="1:10">
      <c r="A754" s="50">
        <v>623</v>
      </c>
      <c r="B754" s="51" t="str">
        <v>内墙面-界面剂</v>
      </c>
      <c r="C754" s="51" t="e">
        <v>#REF!</v>
      </c>
      <c r="D754" s="51" t="str">
        <v/>
      </c>
      <c r="E754" s="51" t="str">
        <v/>
      </c>
      <c r="F754" s="52" t="e">
        <v>#REF!</v>
      </c>
      <c r="G754" s="48" t="e">
        <v>#REF!</v>
      </c>
      <c r="H754" s="49">
        <v>0</v>
      </c>
      <c r="I754" s="49" t="e">
        <v>#REF!</v>
      </c>
      <c r="J754" s="50"/>
    </row>
    <row r="755" outlineLevel="1" spans="1:10">
      <c r="A755" s="50">
        <v>624</v>
      </c>
      <c r="B755" s="51" t="str">
        <v>内墙面-7厚M5石灰砂浆</v>
      </c>
      <c r="C755" s="51" t="e">
        <v>#REF!</v>
      </c>
      <c r="D755" s="51" t="str">
        <v/>
      </c>
      <c r="E755" s="51" t="str">
        <v/>
      </c>
      <c r="F755" s="52" t="e">
        <v>#REF!</v>
      </c>
      <c r="G755" s="48" t="e">
        <v>#REF!</v>
      </c>
      <c r="H755" s="49">
        <v>0</v>
      </c>
      <c r="I755" s="49" t="e">
        <v>#REF!</v>
      </c>
      <c r="J755" s="50"/>
    </row>
    <row r="756" outlineLevel="1" spans="1:10">
      <c r="A756" s="50">
        <v>625</v>
      </c>
      <c r="B756" s="51" t="str">
        <v>内墙面-6厚M7.5石灰砂浆</v>
      </c>
      <c r="C756" s="51" t="e">
        <v>#REF!</v>
      </c>
      <c r="D756" s="51" t="str">
        <v/>
      </c>
      <c r="E756" s="51" t="str">
        <v/>
      </c>
      <c r="F756" s="52" t="e">
        <v>#REF!</v>
      </c>
      <c r="G756" s="48" t="e">
        <v>#REF!</v>
      </c>
      <c r="H756" s="49">
        <v>0</v>
      </c>
      <c r="I756" s="49" t="e">
        <v>#REF!</v>
      </c>
      <c r="J756" s="50"/>
    </row>
    <row r="757" outlineLevel="1" spans="1:10">
      <c r="A757" s="50">
        <v>626</v>
      </c>
      <c r="B757" s="51" t="str">
        <v>内墙面-7厚M5水泥砂浆</v>
      </c>
      <c r="C757" s="51" t="e">
        <v>#REF!</v>
      </c>
      <c r="D757" s="51" t="str">
        <v/>
      </c>
      <c r="E757" s="51" t="str">
        <v/>
      </c>
      <c r="F757" s="52" t="e">
        <v>#REF!</v>
      </c>
      <c r="G757" s="48" t="e">
        <v>#REF!</v>
      </c>
      <c r="H757" s="49">
        <v>0</v>
      </c>
      <c r="I757" s="49" t="e">
        <v>#REF!</v>
      </c>
      <c r="J757" s="50"/>
    </row>
    <row r="758" outlineLevel="1" spans="1:10">
      <c r="A758" s="50">
        <v>627</v>
      </c>
      <c r="B758" s="51" t="str">
        <v>内墙面-6厚M7.5水泥砂浆</v>
      </c>
      <c r="C758" s="51" t="e">
        <v>#REF!</v>
      </c>
      <c r="D758" s="51" t="str">
        <v/>
      </c>
      <c r="E758" s="51" t="str">
        <v/>
      </c>
      <c r="F758" s="52" t="e">
        <v>#REF!</v>
      </c>
      <c r="G758" s="48" t="e">
        <v>#REF!</v>
      </c>
      <c r="H758" s="49">
        <v>0</v>
      </c>
      <c r="I758" s="49" t="e">
        <v>#REF!</v>
      </c>
      <c r="J758" s="50"/>
    </row>
    <row r="759" outlineLevel="1" spans="1:10">
      <c r="A759" s="50">
        <v>628</v>
      </c>
      <c r="B759" s="51" t="str">
        <v>内墙面-窗井风井</v>
      </c>
      <c r="C759" s="51" t="e">
        <v>#REF!</v>
      </c>
      <c r="D759" s="51" t="str">
        <v/>
      </c>
      <c r="E759" s="51" t="str">
        <v/>
      </c>
      <c r="F759" s="52" t="e">
        <v>#REF!</v>
      </c>
      <c r="G759" s="48" t="e">
        <v>#REF!</v>
      </c>
      <c r="H759" s="49">
        <v>0</v>
      </c>
      <c r="I759" s="49" t="e">
        <v>#REF!</v>
      </c>
      <c r="J759" s="50"/>
    </row>
    <row r="760" outlineLevel="1" spans="1:10">
      <c r="A760" s="50" t="str">
        <v/>
      </c>
      <c r="B760" s="51" t="str">
        <v>A.05.03天棚装饰工程</v>
      </c>
      <c r="C760" s="51" t="str">
        <v/>
      </c>
      <c r="D760" s="51" t="str">
        <v/>
      </c>
      <c r="E760" s="51" t="str">
        <v/>
      </c>
      <c r="F760" s="52" t="str">
        <v/>
      </c>
      <c r="G760" s="48" t="str">
        <v/>
      </c>
      <c r="H760" s="49">
        <v>0</v>
      </c>
      <c r="I760" s="49" t="e">
        <v>#REF!</v>
      </c>
      <c r="J760" s="50"/>
    </row>
    <row r="761" outlineLevel="1" spans="1:10">
      <c r="A761" s="50">
        <v>629</v>
      </c>
      <c r="B761" s="51" t="str">
        <v>天棚-腻子两遍</v>
      </c>
      <c r="C761" s="51" t="e">
        <v>#REF!</v>
      </c>
      <c r="D761" s="51" t="str">
        <v/>
      </c>
      <c r="E761" s="51" t="str">
        <v/>
      </c>
      <c r="F761" s="52" t="e">
        <v>#REF!</v>
      </c>
      <c r="G761" s="48" t="e">
        <v>#REF!</v>
      </c>
      <c r="H761" s="49">
        <v>905.44</v>
      </c>
      <c r="I761" s="49" t="e">
        <v>#REF!</v>
      </c>
      <c r="J761" s="50"/>
    </row>
    <row r="762" outlineLevel="1" spans="1:10">
      <c r="A762" s="50" t="str">
        <v/>
      </c>
      <c r="B762" s="51" t="str">
        <v>A.05.04白水泥工程</v>
      </c>
      <c r="C762" s="51" t="str">
        <v/>
      </c>
      <c r="D762" s="51" t="str">
        <v/>
      </c>
      <c r="E762" s="51" t="str">
        <v/>
      </c>
      <c r="F762" s="52" t="str">
        <v/>
      </c>
      <c r="G762" s="48" t="str">
        <v/>
      </c>
      <c r="H762" s="49">
        <v>0</v>
      </c>
      <c r="I762" s="49" t="e">
        <v>#REF!</v>
      </c>
      <c r="J762" s="50"/>
    </row>
    <row r="763" outlineLevel="1" spans="1:10">
      <c r="A763" s="50">
        <v>630</v>
      </c>
      <c r="B763" s="51" t="str">
        <v>内墙面-地上白水泥</v>
      </c>
      <c r="C763" s="51" t="e">
        <v>#REF!</v>
      </c>
      <c r="D763" s="51" t="str">
        <v/>
      </c>
      <c r="E763" s="51" t="str">
        <v/>
      </c>
      <c r="F763" s="52" t="e">
        <v>#REF!</v>
      </c>
      <c r="G763" s="48" t="e">
        <v>#REF!</v>
      </c>
      <c r="H763" s="49">
        <v>0</v>
      </c>
      <c r="I763" s="49" t="e">
        <v>#REF!</v>
      </c>
      <c r="J763" s="50"/>
    </row>
    <row r="764" outlineLevel="1" spans="1:10">
      <c r="A764" s="50">
        <v>631</v>
      </c>
      <c r="B764" s="51" t="str">
        <v>天棚-地上白水泥</v>
      </c>
      <c r="C764" s="51" t="e">
        <v>#REF!</v>
      </c>
      <c r="D764" s="51" t="str">
        <v/>
      </c>
      <c r="E764" s="51" t="str">
        <v/>
      </c>
      <c r="F764" s="52" t="e">
        <v>#REF!</v>
      </c>
      <c r="G764" s="48" t="e">
        <v>#REF!</v>
      </c>
      <c r="H764" s="49">
        <v>0</v>
      </c>
      <c r="I764" s="49" t="e">
        <v>#REF!</v>
      </c>
      <c r="J764" s="50"/>
    </row>
    <row r="765" outlineLevel="1" spans="1:10">
      <c r="A765" s="50" t="str">
        <v/>
      </c>
      <c r="B765" s="51" t="str">
        <v>A.06外墙装饰工程</v>
      </c>
      <c r="C765" s="51" t="str">
        <v/>
      </c>
      <c r="D765" s="51" t="str">
        <v/>
      </c>
      <c r="E765" s="51" t="str">
        <v/>
      </c>
      <c r="F765" s="52" t="str">
        <v/>
      </c>
      <c r="G765" s="48" t="str">
        <v/>
      </c>
      <c r="H765" s="49">
        <v>0</v>
      </c>
      <c r="I765" s="49" t="e">
        <v>#REF!</v>
      </c>
      <c r="J765" s="50"/>
    </row>
    <row r="766" outlineLevel="1" spans="1:10">
      <c r="A766" s="50" t="str">
        <v/>
      </c>
      <c r="B766" s="51" t="str">
        <v>A.06.01保温隔热工程</v>
      </c>
      <c r="C766" s="51" t="str">
        <v/>
      </c>
      <c r="D766" s="51" t="str">
        <v/>
      </c>
      <c r="E766" s="51" t="str">
        <v/>
      </c>
      <c r="F766" s="52" t="str">
        <v/>
      </c>
      <c r="G766" s="48" t="str">
        <v/>
      </c>
      <c r="H766" s="49" t="e">
        <v>#REF!</v>
      </c>
      <c r="I766" s="49" t="e">
        <v>#REF!</v>
      </c>
      <c r="J766" s="50"/>
    </row>
    <row r="767" outlineLevel="1" spans="1:10">
      <c r="A767" s="50">
        <v>632</v>
      </c>
      <c r="B767" s="51" t="str">
        <v>外墙面-3厚抗裂砂浆</v>
      </c>
      <c r="C767" s="51" t="e">
        <v>#REF!</v>
      </c>
      <c r="D767" s="51" t="str">
        <v/>
      </c>
      <c r="E767" s="51" t="str">
        <v/>
      </c>
      <c r="F767" s="52" t="e">
        <v>#REF!</v>
      </c>
      <c r="G767" s="48" t="e">
        <v>#REF!</v>
      </c>
      <c r="H767" s="49" t="e">
        <v>#REF!</v>
      </c>
      <c r="I767" s="49" t="e">
        <v>#REF!</v>
      </c>
      <c r="J767" s="50"/>
    </row>
    <row r="768" outlineLevel="1" spans="1:10">
      <c r="A768" s="50">
        <v>633</v>
      </c>
      <c r="B768" s="51" t="str">
        <v>外墙面-5厚防水抗裂砂浆</v>
      </c>
      <c r="C768" s="51" t="e">
        <v>#REF!</v>
      </c>
      <c r="D768" s="51" t="str">
        <v/>
      </c>
      <c r="E768" s="51" t="str">
        <v/>
      </c>
      <c r="F768" s="52" t="e">
        <v>#REF!</v>
      </c>
      <c r="G768" s="48" t="e">
        <v>#REF!</v>
      </c>
      <c r="H768" s="49" t="e">
        <v>#REF!</v>
      </c>
      <c r="I768" s="49" t="e">
        <v>#REF!</v>
      </c>
      <c r="J768" s="50"/>
    </row>
    <row r="769" outlineLevel="1" spans="1:10">
      <c r="A769" s="50">
        <v>634</v>
      </c>
      <c r="B769" s="51" t="str">
        <v>外墙面-网格布</v>
      </c>
      <c r="C769" s="51" t="e">
        <v>#REF!</v>
      </c>
      <c r="D769" s="51" t="str">
        <v/>
      </c>
      <c r="E769" s="51" t="str">
        <v/>
      </c>
      <c r="F769" s="52" t="e">
        <v>#REF!</v>
      </c>
      <c r="G769" s="48" t="e">
        <v>#REF!</v>
      </c>
      <c r="H769" s="49" t="e">
        <v>#REF!</v>
      </c>
      <c r="I769" s="49" t="e">
        <v>#REF!</v>
      </c>
      <c r="J769" s="50"/>
    </row>
    <row r="770" outlineLevel="1" spans="1:10">
      <c r="A770" s="50">
        <v>635</v>
      </c>
      <c r="B770" s="51" t="str">
        <v>外墙保温-200厚AEPS</v>
      </c>
      <c r="C770" s="51" t="e">
        <v>#REF!</v>
      </c>
      <c r="D770" s="51" t="str">
        <v/>
      </c>
      <c r="E770" s="51" t="str">
        <v/>
      </c>
      <c r="F770" s="52" t="e">
        <v>#REF!</v>
      </c>
      <c r="G770" s="48" t="e">
        <v>#REF!</v>
      </c>
      <c r="H770" s="49" t="e">
        <v>#REF!</v>
      </c>
      <c r="I770" s="49" t="e">
        <v>#REF!</v>
      </c>
      <c r="J770" s="50"/>
    </row>
    <row r="771" outlineLevel="1" spans="1:10">
      <c r="A771" s="50">
        <v>636</v>
      </c>
      <c r="B771" s="51" t="str">
        <v>外墙保温-100厚AEPS</v>
      </c>
      <c r="C771" s="51" t="e">
        <v>#REF!</v>
      </c>
      <c r="D771" s="51" t="str">
        <v/>
      </c>
      <c r="E771" s="51" t="str">
        <v/>
      </c>
      <c r="F771" s="52" t="e">
        <v>#REF!</v>
      </c>
      <c r="G771" s="48" t="e">
        <v>#REF!</v>
      </c>
      <c r="H771" s="49" t="e">
        <v>#REF!</v>
      </c>
      <c r="I771" s="49" t="e">
        <v>#REF!</v>
      </c>
      <c r="J771" s="50"/>
    </row>
    <row r="772" outlineLevel="1" spans="1:10">
      <c r="A772" s="50">
        <v>637</v>
      </c>
      <c r="B772" s="51" t="str">
        <v>外墙保温-20厚无机保温砂浆</v>
      </c>
      <c r="C772" s="51" t="e">
        <v>#REF!</v>
      </c>
      <c r="D772" s="51" t="str">
        <v/>
      </c>
      <c r="E772" s="51" t="str">
        <v/>
      </c>
      <c r="F772" s="52" t="e">
        <v>#REF!</v>
      </c>
      <c r="G772" s="48" t="e">
        <v>#REF!</v>
      </c>
      <c r="H772" s="49" t="e">
        <v>#REF!</v>
      </c>
      <c r="I772" s="49" t="e">
        <v>#REF!</v>
      </c>
      <c r="J772" s="50"/>
    </row>
    <row r="773" outlineLevel="1" spans="1:10">
      <c r="A773" s="50">
        <v>638</v>
      </c>
      <c r="B773" s="51" t="str">
        <v>外墙保温-20厚胶粉聚苯颗粒</v>
      </c>
      <c r="C773" s="51" t="e">
        <v>#REF!</v>
      </c>
      <c r="D773" s="51" t="str">
        <v/>
      </c>
      <c r="E773" s="51" t="str">
        <v/>
      </c>
      <c r="F773" s="52" t="e">
        <v>#REF!</v>
      </c>
      <c r="G773" s="48" t="e">
        <v>#REF!</v>
      </c>
      <c r="H773" s="49">
        <v>0</v>
      </c>
      <c r="I773" s="49" t="e">
        <v>#REF!</v>
      </c>
      <c r="J773" s="50"/>
    </row>
    <row r="774" outlineLevel="1" spans="1:10">
      <c r="A774" s="50">
        <v>639</v>
      </c>
      <c r="B774" s="51" t="str">
        <v>外墙保温-30厚无机保温砂浆</v>
      </c>
      <c r="C774" s="51" t="e">
        <v>#REF!</v>
      </c>
      <c r="D774" s="51" t="str">
        <v/>
      </c>
      <c r="E774" s="51" t="str">
        <v/>
      </c>
      <c r="F774" s="52" t="e">
        <v>#REF!</v>
      </c>
      <c r="G774" s="48" t="e">
        <v>#REF!</v>
      </c>
      <c r="H774" s="49">
        <v>0</v>
      </c>
      <c r="I774" s="49" t="e">
        <v>#REF!</v>
      </c>
      <c r="J774" s="50"/>
    </row>
    <row r="775" outlineLevel="1" spans="1:10">
      <c r="A775" s="50" t="str">
        <v/>
      </c>
      <c r="B775" s="51" t="str">
        <v>被动式墙保温</v>
      </c>
      <c r="C775" s="51" t="str">
        <v/>
      </c>
      <c r="D775" s="51" t="str">
        <v/>
      </c>
      <c r="E775" s="51" t="str">
        <v/>
      </c>
      <c r="F775" s="52" t="str">
        <v/>
      </c>
      <c r="G775" s="48" t="str">
        <v/>
      </c>
      <c r="H775" s="49">
        <v>0</v>
      </c>
      <c r="I775" s="49">
        <v>0</v>
      </c>
      <c r="J775" s="50"/>
    </row>
    <row r="776" ht="28.8" outlineLevel="1" spans="1:10">
      <c r="A776" s="50">
        <v>640</v>
      </c>
      <c r="B776" s="51" t="str">
        <v>外墙保温-320厚石墨聚苯板（双层网）</v>
      </c>
      <c r="C776" s="51" t="e">
        <v>#REF!</v>
      </c>
      <c r="D776" s="51" t="str">
        <v/>
      </c>
      <c r="E776" s="51" t="str">
        <v/>
      </c>
      <c r="F776" s="52" t="e">
        <v>#REF!</v>
      </c>
      <c r="G776" s="48" t="e">
        <v>#REF!</v>
      </c>
      <c r="H776" s="49">
        <v>0</v>
      </c>
      <c r="I776" s="49" t="e">
        <v>#REF!</v>
      </c>
      <c r="J776" s="50"/>
    </row>
    <row r="777" outlineLevel="1" spans="1:10">
      <c r="A777" s="50">
        <v>641</v>
      </c>
      <c r="B777" s="51" t="str">
        <v>自密实混凝土-50厚C30</v>
      </c>
      <c r="C777" s="51" t="e">
        <v>#REF!</v>
      </c>
      <c r="D777" s="51" t="str">
        <v/>
      </c>
      <c r="E777" s="51" t="str">
        <v/>
      </c>
      <c r="F777" s="52" t="e">
        <v>#REF!</v>
      </c>
      <c r="G777" s="48" t="e">
        <v>#REF!</v>
      </c>
      <c r="H777" s="49">
        <v>0</v>
      </c>
      <c r="I777" s="49" t="e">
        <v>#REF!</v>
      </c>
      <c r="J777" s="50"/>
    </row>
    <row r="778" outlineLevel="1" spans="1:10">
      <c r="A778" s="50">
        <v>642</v>
      </c>
      <c r="B778" s="51" t="str">
        <v>外墙保温-界面修补</v>
      </c>
      <c r="C778" s="51" t="e">
        <v>#REF!</v>
      </c>
      <c r="D778" s="51" t="str">
        <v/>
      </c>
      <c r="E778" s="51" t="str">
        <v/>
      </c>
      <c r="F778" s="52" t="e">
        <v>#REF!</v>
      </c>
      <c r="G778" s="48" t="e">
        <v>#REF!</v>
      </c>
      <c r="H778" s="49">
        <v>0</v>
      </c>
      <c r="I778" s="49" t="e">
        <v>#REF!</v>
      </c>
      <c r="J778" s="50"/>
    </row>
    <row r="779" ht="28.8" outlineLevel="1" spans="1:10">
      <c r="A779" s="50">
        <v>643</v>
      </c>
      <c r="B779" s="51" t="str">
        <v>外墙保温-5厚干粉聚合物砂浆</v>
      </c>
      <c r="C779" s="51" t="e">
        <v>#REF!</v>
      </c>
      <c r="D779" s="51" t="str">
        <v/>
      </c>
      <c r="E779" s="51" t="str">
        <v/>
      </c>
      <c r="F779" s="52" t="e">
        <v>#REF!</v>
      </c>
      <c r="G779" s="48" t="e">
        <v>#REF!</v>
      </c>
      <c r="H779" s="49">
        <v>0</v>
      </c>
      <c r="I779" s="49" t="e">
        <v>#REF!</v>
      </c>
      <c r="J779" s="50"/>
    </row>
    <row r="780" outlineLevel="1" spans="1:10">
      <c r="A780" s="50" t="str">
        <v/>
      </c>
      <c r="B780" s="51" t="str">
        <v>被动式墙保温</v>
      </c>
      <c r="C780" s="51" t="str">
        <v/>
      </c>
      <c r="D780" s="51" t="str">
        <v/>
      </c>
      <c r="E780" s="51" t="str">
        <v/>
      </c>
      <c r="F780" s="52" t="str">
        <v/>
      </c>
      <c r="G780" s="48" t="str">
        <v/>
      </c>
      <c r="H780" s="49">
        <v>0</v>
      </c>
      <c r="I780" s="49">
        <v>0</v>
      </c>
      <c r="J780" s="50"/>
    </row>
    <row r="781" ht="28.8" outlineLevel="1" spans="1:10">
      <c r="A781" s="50">
        <v>644</v>
      </c>
      <c r="B781" s="51" t="str">
        <v>外墙保温-260厚石墨聚苯板（双层网）</v>
      </c>
      <c r="C781" s="51" t="e">
        <v>#REF!</v>
      </c>
      <c r="D781" s="51" t="str">
        <v/>
      </c>
      <c r="E781" s="51" t="str">
        <v/>
      </c>
      <c r="F781" s="52" t="e">
        <v>#REF!</v>
      </c>
      <c r="G781" s="48" t="e">
        <v>#REF!</v>
      </c>
      <c r="H781" s="49">
        <v>0</v>
      </c>
      <c r="I781" s="49" t="e">
        <v>#REF!</v>
      </c>
      <c r="J781" s="50"/>
    </row>
    <row r="782" outlineLevel="1" spans="1:10">
      <c r="A782" s="50">
        <v>645</v>
      </c>
      <c r="B782" s="51" t="str">
        <v>自密实混凝土-50厚C35</v>
      </c>
      <c r="C782" s="51" t="e">
        <v>#REF!</v>
      </c>
      <c r="D782" s="51" t="str">
        <v/>
      </c>
      <c r="E782" s="51" t="str">
        <v/>
      </c>
      <c r="F782" s="52" t="e">
        <v>#REF!</v>
      </c>
      <c r="G782" s="48" t="e">
        <v>#REF!</v>
      </c>
      <c r="H782" s="49">
        <v>0</v>
      </c>
      <c r="I782" s="49" t="e">
        <v>#REF!</v>
      </c>
      <c r="J782" s="50"/>
    </row>
    <row r="783" outlineLevel="1" spans="1:10">
      <c r="A783" s="50">
        <v>646</v>
      </c>
      <c r="B783" s="51" t="str">
        <v>自密实混凝土-50厚C30</v>
      </c>
      <c r="C783" s="51" t="e">
        <v>#REF!</v>
      </c>
      <c r="D783" s="51" t="str">
        <v/>
      </c>
      <c r="E783" s="51" t="str">
        <v/>
      </c>
      <c r="F783" s="52" t="e">
        <v>#REF!</v>
      </c>
      <c r="G783" s="48" t="e">
        <v>#REF!</v>
      </c>
      <c r="H783" s="49">
        <v>0</v>
      </c>
      <c r="I783" s="49" t="e">
        <v>#REF!</v>
      </c>
      <c r="J783" s="50"/>
    </row>
    <row r="784" outlineLevel="1" spans="1:10">
      <c r="A784" s="50">
        <v>647</v>
      </c>
      <c r="B784" s="51" t="str">
        <v>外墙保温-50厚C35细石砼</v>
      </c>
      <c r="C784" s="51" t="e">
        <v>#REF!</v>
      </c>
      <c r="D784" s="51" t="str">
        <v/>
      </c>
      <c r="E784" s="51" t="str">
        <v/>
      </c>
      <c r="F784" s="52" t="e">
        <v>#REF!</v>
      </c>
      <c r="G784" s="48" t="e">
        <v>#REF!</v>
      </c>
      <c r="H784" s="49">
        <v>0</v>
      </c>
      <c r="I784" s="49" t="e">
        <v>#REF!</v>
      </c>
      <c r="J784" s="50"/>
    </row>
    <row r="785" outlineLevel="1" spans="1:10">
      <c r="A785" s="50">
        <v>648</v>
      </c>
      <c r="B785" s="51" t="str">
        <v>外墙保温-50厚C30细石砼</v>
      </c>
      <c r="C785" s="51" t="e">
        <v>#REF!</v>
      </c>
      <c r="D785" s="51" t="str">
        <v/>
      </c>
      <c r="E785" s="51" t="str">
        <v/>
      </c>
      <c r="F785" s="52" t="e">
        <v>#REF!</v>
      </c>
      <c r="G785" s="48" t="e">
        <v>#REF!</v>
      </c>
      <c r="H785" s="49">
        <v>0</v>
      </c>
      <c r="I785" s="49" t="e">
        <v>#REF!</v>
      </c>
      <c r="J785" s="50"/>
    </row>
    <row r="786" outlineLevel="1" spans="1:10">
      <c r="A786" s="50">
        <v>649</v>
      </c>
      <c r="B786" s="51" t="str">
        <v>外墙保温-50厚C25细石砼</v>
      </c>
      <c r="C786" s="51" t="e">
        <v>#REF!</v>
      </c>
      <c r="D786" s="51" t="str">
        <v/>
      </c>
      <c r="E786" s="51" t="str">
        <v/>
      </c>
      <c r="F786" s="52" t="e">
        <v>#REF!</v>
      </c>
      <c r="G786" s="48" t="e">
        <v>#REF!</v>
      </c>
      <c r="H786" s="49">
        <v>0</v>
      </c>
      <c r="I786" s="49" t="e">
        <v>#REF!</v>
      </c>
      <c r="J786" s="50"/>
    </row>
    <row r="787" outlineLevel="1" spans="1:10">
      <c r="A787" s="50">
        <v>650</v>
      </c>
      <c r="B787" s="51" t="str">
        <v>外墙保温-50厚C20细石砼</v>
      </c>
      <c r="C787" s="51" t="e">
        <v>#REF!</v>
      </c>
      <c r="D787" s="51" t="str">
        <v/>
      </c>
      <c r="E787" s="51" t="str">
        <v/>
      </c>
      <c r="F787" s="52" t="e">
        <v>#REF!</v>
      </c>
      <c r="G787" s="48" t="e">
        <v>#REF!</v>
      </c>
      <c r="H787" s="49">
        <v>0</v>
      </c>
      <c r="I787" s="49" t="e">
        <v>#REF!</v>
      </c>
      <c r="J787" s="50"/>
    </row>
    <row r="788" outlineLevel="1" spans="1:10">
      <c r="A788" s="50">
        <v>651</v>
      </c>
      <c r="B788" s="51" t="str">
        <v>外墙保温-界面修补</v>
      </c>
      <c r="C788" s="51" t="e">
        <v>#REF!</v>
      </c>
      <c r="D788" s="51" t="str">
        <v/>
      </c>
      <c r="E788" s="51" t="str">
        <v/>
      </c>
      <c r="F788" s="52" t="e">
        <v>#REF!</v>
      </c>
      <c r="G788" s="48" t="e">
        <v>#REF!</v>
      </c>
      <c r="H788" s="49">
        <v>0</v>
      </c>
      <c r="I788" s="49" t="e">
        <v>#REF!</v>
      </c>
      <c r="J788" s="50"/>
    </row>
    <row r="789" ht="28.8" outlineLevel="1" spans="1:10">
      <c r="A789" s="50">
        <v>652</v>
      </c>
      <c r="B789" s="51" t="str">
        <v>外墙保温-5厚干粉聚合物砂浆</v>
      </c>
      <c r="C789" s="51" t="e">
        <v>#REF!</v>
      </c>
      <c r="D789" s="51" t="str">
        <v/>
      </c>
      <c r="E789" s="51" t="str">
        <v/>
      </c>
      <c r="F789" s="52" t="e">
        <v>#REF!</v>
      </c>
      <c r="G789" s="48" t="e">
        <v>#REF!</v>
      </c>
      <c r="H789" s="49">
        <v>0</v>
      </c>
      <c r="I789" s="49" t="e">
        <v>#REF!</v>
      </c>
      <c r="J789" s="50"/>
    </row>
    <row r="790" outlineLevel="1" spans="1:10">
      <c r="A790" s="50">
        <v>653</v>
      </c>
      <c r="B790" s="51" t="str">
        <v>外墙保温-20厚真空绝热板</v>
      </c>
      <c r="C790" s="51" t="e">
        <v>#REF!</v>
      </c>
      <c r="D790" s="51" t="str">
        <v/>
      </c>
      <c r="E790" s="51" t="str">
        <v/>
      </c>
      <c r="F790" s="52" t="e">
        <v>#REF!</v>
      </c>
      <c r="G790" s="48" t="e">
        <v>#REF!</v>
      </c>
      <c r="H790" s="49">
        <v>0</v>
      </c>
      <c r="I790" s="49" t="e">
        <v>#REF!</v>
      </c>
      <c r="J790" s="50"/>
    </row>
    <row r="791" outlineLevel="1" spans="1:10">
      <c r="A791" s="50">
        <v>654</v>
      </c>
      <c r="B791" s="51" t="str">
        <v>外墙保温-10厚真空绝热板</v>
      </c>
      <c r="C791" s="51" t="e">
        <v>#REF!</v>
      </c>
      <c r="D791" s="51" t="str">
        <v/>
      </c>
      <c r="E791" s="51" t="str">
        <v/>
      </c>
      <c r="F791" s="52" t="e">
        <v>#REF!</v>
      </c>
      <c r="G791" s="48" t="e">
        <v>#REF!</v>
      </c>
      <c r="H791" s="49">
        <v>0</v>
      </c>
      <c r="I791" s="49" t="e">
        <v>#REF!</v>
      </c>
      <c r="J791" s="50"/>
    </row>
    <row r="792" ht="28.8" outlineLevel="1" spans="1:10">
      <c r="A792" s="50">
        <v>655</v>
      </c>
      <c r="B792" s="51" t="str">
        <v>外保温-连廊设备平台100厚岩棉保温</v>
      </c>
      <c r="C792" s="51" t="e">
        <v>#REF!</v>
      </c>
      <c r="D792" s="51" t="str">
        <v/>
      </c>
      <c r="E792" s="51" t="str">
        <v/>
      </c>
      <c r="F792" s="52" t="e">
        <v>#REF!</v>
      </c>
      <c r="G792" s="48" t="e">
        <v>#REF!</v>
      </c>
      <c r="H792" s="49">
        <v>0</v>
      </c>
      <c r="I792" s="49" t="e">
        <v>#REF!</v>
      </c>
      <c r="J792" s="50"/>
    </row>
    <row r="793" ht="28.8" outlineLevel="1" spans="1:10">
      <c r="A793" s="50">
        <v>656</v>
      </c>
      <c r="B793" s="51" t="str">
        <v>外保温-连廊设备平台100厚石墨聚苯板保温</v>
      </c>
      <c r="C793" s="51" t="e">
        <v>#REF!</v>
      </c>
      <c r="D793" s="51" t="str">
        <v/>
      </c>
      <c r="E793" s="51" t="str">
        <v/>
      </c>
      <c r="F793" s="52" t="e">
        <v>#REF!</v>
      </c>
      <c r="G793" s="48" t="e">
        <v>#REF!</v>
      </c>
      <c r="H793" s="49">
        <v>0</v>
      </c>
      <c r="I793" s="49" t="e">
        <v>#REF!</v>
      </c>
      <c r="J793" s="50"/>
    </row>
    <row r="794" outlineLevel="1" spans="1:10">
      <c r="A794" s="50" t="str">
        <v/>
      </c>
      <c r="B794" s="51" t="str">
        <v>复合岩棉板外墙保温</v>
      </c>
      <c r="C794" s="51" t="str">
        <v/>
      </c>
      <c r="D794" s="51" t="str">
        <v/>
      </c>
      <c r="E794" s="51" t="str">
        <v/>
      </c>
      <c r="F794" s="52" t="str">
        <v/>
      </c>
      <c r="G794" s="48" t="str">
        <v/>
      </c>
      <c r="H794" s="49">
        <v>0</v>
      </c>
      <c r="I794" s="49">
        <v>0</v>
      </c>
      <c r="J794" s="50"/>
    </row>
    <row r="795" outlineLevel="1" spans="1:10">
      <c r="A795" s="50">
        <v>657</v>
      </c>
      <c r="B795" s="51" t="str">
        <v>外墙面-5厚防水砂浆</v>
      </c>
      <c r="C795" s="51" t="e">
        <v>#REF!</v>
      </c>
      <c r="D795" s="51" t="str">
        <v/>
      </c>
      <c r="E795" s="51" t="str">
        <v/>
      </c>
      <c r="F795" s="52" t="e">
        <v>#REF!</v>
      </c>
      <c r="G795" s="48" t="e">
        <v>#REF!</v>
      </c>
      <c r="H795" s="49">
        <v>0</v>
      </c>
      <c r="I795" s="49" t="e">
        <v>#REF!</v>
      </c>
      <c r="J795" s="50"/>
    </row>
    <row r="796" outlineLevel="1" spans="1:10">
      <c r="A796" s="50">
        <v>658</v>
      </c>
      <c r="B796" s="51" t="str">
        <v>外墙面-网格布</v>
      </c>
      <c r="C796" s="51" t="e">
        <v>#REF!</v>
      </c>
      <c r="D796" s="51" t="str">
        <v/>
      </c>
      <c r="E796" s="51" t="str">
        <v/>
      </c>
      <c r="F796" s="52" t="e">
        <v>#REF!</v>
      </c>
      <c r="G796" s="48" t="e">
        <v>#REF!</v>
      </c>
      <c r="H796" s="49">
        <v>0</v>
      </c>
      <c r="I796" s="49" t="e">
        <v>#REF!</v>
      </c>
      <c r="J796" s="50"/>
    </row>
    <row r="797" outlineLevel="1" spans="1:10">
      <c r="A797" s="50">
        <v>659</v>
      </c>
      <c r="B797" s="51" t="str">
        <v>外墙面-5厚防水砂浆</v>
      </c>
      <c r="C797" s="51" t="e">
        <v>#REF!</v>
      </c>
      <c r="D797" s="51" t="str">
        <v/>
      </c>
      <c r="E797" s="51" t="str">
        <v/>
      </c>
      <c r="F797" s="52" t="e">
        <v>#REF!</v>
      </c>
      <c r="G797" s="48" t="e">
        <v>#REF!</v>
      </c>
      <c r="H797" s="49">
        <v>0</v>
      </c>
      <c r="I797" s="49" t="e">
        <v>#REF!</v>
      </c>
      <c r="J797" s="50"/>
    </row>
    <row r="798" outlineLevel="1" spans="1:10">
      <c r="A798" s="50">
        <v>660</v>
      </c>
      <c r="B798" s="51" t="str">
        <v>外墙保温-250厚复合岩棉板</v>
      </c>
      <c r="C798" s="51" t="e">
        <v>#REF!</v>
      </c>
      <c r="D798" s="51" t="str">
        <v/>
      </c>
      <c r="E798" s="51" t="str">
        <v/>
      </c>
      <c r="F798" s="52" t="e">
        <v>#REF!</v>
      </c>
      <c r="G798" s="48" t="e">
        <v>#REF!</v>
      </c>
      <c r="H798" s="49">
        <v>0</v>
      </c>
      <c r="I798" s="49" t="e">
        <v>#REF!</v>
      </c>
      <c r="J798" s="50"/>
    </row>
    <row r="799" outlineLevel="1" spans="1:10">
      <c r="A799" s="50">
        <v>661</v>
      </c>
      <c r="B799" s="51" t="str">
        <v>外墙保温-150厚复合岩棉板</v>
      </c>
      <c r="C799" s="51" t="e">
        <v>#REF!</v>
      </c>
      <c r="D799" s="51" t="str">
        <v/>
      </c>
      <c r="E799" s="51" t="str">
        <v/>
      </c>
      <c r="F799" s="52" t="e">
        <v>#REF!</v>
      </c>
      <c r="G799" s="48" t="e">
        <v>#REF!</v>
      </c>
      <c r="H799" s="49">
        <v>0</v>
      </c>
      <c r="I799" s="49" t="e">
        <v>#REF!</v>
      </c>
      <c r="J799" s="50"/>
    </row>
    <row r="800" outlineLevel="1" spans="1:10">
      <c r="A800" s="50">
        <v>662</v>
      </c>
      <c r="B800" s="51" t="str">
        <v>外墙保温-100厚复合岩棉板</v>
      </c>
      <c r="C800" s="51" t="e">
        <v>#REF!</v>
      </c>
      <c r="D800" s="51" t="str">
        <v/>
      </c>
      <c r="E800" s="51" t="str">
        <v/>
      </c>
      <c r="F800" s="52" t="e">
        <v>#REF!</v>
      </c>
      <c r="G800" s="48" t="e">
        <v>#REF!</v>
      </c>
      <c r="H800" s="49">
        <v>0</v>
      </c>
      <c r="I800" s="49" t="e">
        <v>#REF!</v>
      </c>
      <c r="J800" s="50"/>
    </row>
    <row r="801" outlineLevel="1" spans="1:10">
      <c r="A801" s="50" t="str">
        <v/>
      </c>
      <c r="B801" s="51" t="str">
        <v>复合保温砂浆墙面</v>
      </c>
      <c r="C801" s="51" t="str">
        <v/>
      </c>
      <c r="D801" s="51" t="str">
        <v/>
      </c>
      <c r="E801" s="51" t="str">
        <v/>
      </c>
      <c r="F801" s="52" t="str">
        <v/>
      </c>
      <c r="G801" s="48" t="str">
        <v/>
      </c>
      <c r="H801" s="49">
        <v>0</v>
      </c>
      <c r="I801" s="49">
        <v>0</v>
      </c>
      <c r="J801" s="50"/>
    </row>
    <row r="802" outlineLevel="1" spans="1:10">
      <c r="A802" s="50">
        <v>663</v>
      </c>
      <c r="B802" s="51" t="str">
        <v>外墙面-界面剂</v>
      </c>
      <c r="C802" s="51" t="e">
        <v>#REF!</v>
      </c>
      <c r="D802" s="51" t="str">
        <v/>
      </c>
      <c r="E802" s="51" t="str">
        <v/>
      </c>
      <c r="F802" s="52" t="e">
        <v>#REF!</v>
      </c>
      <c r="G802" s="48" t="e">
        <v>#REF!</v>
      </c>
      <c r="H802" s="49" t="e">
        <v>#REF!</v>
      </c>
      <c r="I802" s="49" t="e">
        <v>#REF!</v>
      </c>
      <c r="J802" s="50"/>
    </row>
    <row r="803" outlineLevel="1" spans="1:10">
      <c r="A803" s="50">
        <v>664</v>
      </c>
      <c r="B803" s="51" t="str">
        <v>外墙保温-20厚MPC</v>
      </c>
      <c r="C803" s="51" t="e">
        <v>#REF!</v>
      </c>
      <c r="D803" s="51" t="str">
        <v/>
      </c>
      <c r="E803" s="51" t="str">
        <v/>
      </c>
      <c r="F803" s="52" t="e">
        <v>#REF!</v>
      </c>
      <c r="G803" s="48" t="e">
        <v>#REF!</v>
      </c>
      <c r="H803" s="49" t="e">
        <v>#REF!</v>
      </c>
      <c r="I803" s="49" t="e">
        <v>#REF!</v>
      </c>
      <c r="J803" s="50"/>
    </row>
    <row r="804" outlineLevel="1" spans="1:10">
      <c r="A804" s="50">
        <v>665</v>
      </c>
      <c r="B804" s="51" t="str">
        <v>外墙保温-15厚MPC</v>
      </c>
      <c r="C804" s="51" t="e">
        <v>#REF!</v>
      </c>
      <c r="D804" s="51" t="str">
        <v/>
      </c>
      <c r="E804" s="51" t="str">
        <v/>
      </c>
      <c r="F804" s="52" t="e">
        <v>#REF!</v>
      </c>
      <c r="G804" s="48" t="e">
        <v>#REF!</v>
      </c>
      <c r="H804" s="49">
        <v>0</v>
      </c>
      <c r="I804" s="49" t="e">
        <v>#REF!</v>
      </c>
      <c r="J804" s="50"/>
    </row>
    <row r="805" outlineLevel="1" spans="1:10">
      <c r="A805" s="50">
        <v>666</v>
      </c>
      <c r="B805" s="51" t="str">
        <v>外墙保温-30厚MPC</v>
      </c>
      <c r="C805" s="51" t="e">
        <v>#REF!</v>
      </c>
      <c r="D805" s="51" t="str">
        <v/>
      </c>
      <c r="E805" s="51" t="str">
        <v/>
      </c>
      <c r="F805" s="52" t="e">
        <v>#REF!</v>
      </c>
      <c r="G805" s="48" t="e">
        <v>#REF!</v>
      </c>
      <c r="H805" s="49" t="e">
        <v>#REF!</v>
      </c>
      <c r="I805" s="49" t="e">
        <v>#REF!</v>
      </c>
      <c r="J805" s="50"/>
    </row>
    <row r="806" outlineLevel="1" spans="1:10">
      <c r="A806" s="50" t="str">
        <v/>
      </c>
      <c r="B806" s="51" t="str">
        <v>A.06.02线条装饰工程</v>
      </c>
      <c r="C806" s="51" t="str">
        <v/>
      </c>
      <c r="D806" s="51" t="str">
        <v/>
      </c>
      <c r="E806" s="51" t="str">
        <v/>
      </c>
      <c r="F806" s="52" t="str">
        <v/>
      </c>
      <c r="G806" s="48" t="str">
        <v/>
      </c>
      <c r="H806" s="49">
        <v>0</v>
      </c>
      <c r="I806" s="49" t="e">
        <v>#REF!</v>
      </c>
      <c r="J806" s="50"/>
    </row>
    <row r="807" outlineLevel="1" spans="1:10">
      <c r="A807" s="50">
        <v>667</v>
      </c>
      <c r="B807" s="51" t="str">
        <v>AAC保温条</v>
      </c>
      <c r="C807" s="51" t="e">
        <v>#REF!</v>
      </c>
      <c r="D807" s="51" t="str">
        <v/>
      </c>
      <c r="E807" s="51" t="str">
        <v/>
      </c>
      <c r="F807" s="52" t="e">
        <v>#REF!</v>
      </c>
      <c r="G807" s="48" t="e">
        <v>#REF!</v>
      </c>
      <c r="H807" s="49">
        <v>0</v>
      </c>
      <c r="I807" s="49" t="e">
        <v>#REF!</v>
      </c>
      <c r="J807" s="50"/>
    </row>
    <row r="808" outlineLevel="1" spans="1:10">
      <c r="A808" s="50" t="str">
        <v/>
      </c>
      <c r="B808" s="51" t="str">
        <v>岩棉线条</v>
      </c>
      <c r="C808" s="51" t="str">
        <v/>
      </c>
      <c r="D808" s="51" t="str">
        <v/>
      </c>
      <c r="E808" s="51" t="str">
        <v/>
      </c>
      <c r="F808" s="52" t="str">
        <v/>
      </c>
      <c r="G808" s="48" t="str">
        <v/>
      </c>
      <c r="H808" s="49">
        <v>0</v>
      </c>
      <c r="I808" s="49">
        <v>0</v>
      </c>
      <c r="J808" s="50"/>
    </row>
    <row r="809" outlineLevel="1" spans="1:10">
      <c r="A809" s="50">
        <v>668</v>
      </c>
      <c r="B809" s="51" t="str">
        <v>外墙面-岩棉线条150*150</v>
      </c>
      <c r="C809" s="51" t="e">
        <v>#REF!</v>
      </c>
      <c r="D809" s="51" t="str">
        <v/>
      </c>
      <c r="E809" s="51" t="str">
        <v/>
      </c>
      <c r="F809" s="52" t="e">
        <v>#REF!</v>
      </c>
      <c r="G809" s="48" t="e">
        <v>#REF!</v>
      </c>
      <c r="H809" s="49">
        <v>0</v>
      </c>
      <c r="I809" s="49" t="e">
        <v>#REF!</v>
      </c>
      <c r="J809" s="50"/>
    </row>
    <row r="810" ht="28.8" outlineLevel="1" spans="1:10">
      <c r="A810" s="50">
        <v>669</v>
      </c>
      <c r="B810" s="51" t="str">
        <v>外墙保温-5厚干粉聚合物砂浆</v>
      </c>
      <c r="C810" s="51" t="e">
        <v>#REF!</v>
      </c>
      <c r="D810" s="51" t="str">
        <v/>
      </c>
      <c r="E810" s="51" t="str">
        <v/>
      </c>
      <c r="F810" s="52" t="e">
        <v>#REF!</v>
      </c>
      <c r="G810" s="48" t="e">
        <v>#REF!</v>
      </c>
      <c r="H810" s="49">
        <v>0</v>
      </c>
      <c r="I810" s="49" t="e">
        <v>#REF!</v>
      </c>
      <c r="J810" s="50"/>
    </row>
    <row r="811" outlineLevel="1" spans="1:10">
      <c r="A811" s="50">
        <v>670</v>
      </c>
      <c r="B811" s="51" t="str">
        <v>外墙面-网格布</v>
      </c>
      <c r="C811" s="51" t="e">
        <v>#REF!</v>
      </c>
      <c r="D811" s="51" t="str">
        <v/>
      </c>
      <c r="E811" s="51" t="str">
        <v/>
      </c>
      <c r="F811" s="52" t="e">
        <v>#REF!</v>
      </c>
      <c r="G811" s="48" t="e">
        <v>#REF!</v>
      </c>
      <c r="H811" s="49">
        <v>0</v>
      </c>
      <c r="I811" s="49" t="e">
        <v>#REF!</v>
      </c>
      <c r="J811" s="50"/>
    </row>
    <row r="812" outlineLevel="1" spans="1:10">
      <c r="A812" s="50" t="str">
        <v/>
      </c>
      <c r="B812" s="51" t="str">
        <v>EPS线条</v>
      </c>
      <c r="C812" s="51" t="str">
        <v/>
      </c>
      <c r="D812" s="51" t="str">
        <v/>
      </c>
      <c r="E812" s="51" t="str">
        <v/>
      </c>
      <c r="F812" s="52" t="str">
        <v/>
      </c>
      <c r="G812" s="48" t="str">
        <v/>
      </c>
      <c r="H812" s="49">
        <v>0</v>
      </c>
      <c r="I812" s="49">
        <v>0</v>
      </c>
      <c r="J812" s="50"/>
    </row>
    <row r="813" outlineLevel="1" spans="1:10">
      <c r="A813" s="50">
        <v>671</v>
      </c>
      <c r="B813" s="51" t="str">
        <v>外墙EPS线条-线条100*50</v>
      </c>
      <c r="C813" s="51" t="e">
        <v>#REF!</v>
      </c>
      <c r="D813" s="51" t="str">
        <v/>
      </c>
      <c r="E813" s="51" t="str">
        <v/>
      </c>
      <c r="F813" s="52" t="e">
        <v>#REF!</v>
      </c>
      <c r="G813" s="48" t="e">
        <v>#REF!</v>
      </c>
      <c r="H813" s="49" t="e">
        <v>#REF!</v>
      </c>
      <c r="I813" s="49" t="e">
        <v>#REF!</v>
      </c>
      <c r="J813" s="50"/>
    </row>
    <row r="814" outlineLevel="1" spans="1:10">
      <c r="A814" s="50">
        <v>672</v>
      </c>
      <c r="B814" s="51" t="str">
        <v>外墙EPS线条-线条120*100</v>
      </c>
      <c r="C814" s="51" t="e">
        <v>#REF!</v>
      </c>
      <c r="D814" s="51" t="str">
        <v/>
      </c>
      <c r="E814" s="51" t="str">
        <v/>
      </c>
      <c r="F814" s="52" t="e">
        <v>#REF!</v>
      </c>
      <c r="G814" s="48" t="e">
        <v>#REF!</v>
      </c>
      <c r="H814" s="49" t="e">
        <v>#REF!</v>
      </c>
      <c r="I814" s="49" t="e">
        <v>#REF!</v>
      </c>
      <c r="J814" s="50"/>
    </row>
    <row r="815" outlineLevel="1" spans="1:10">
      <c r="A815" s="50">
        <v>673</v>
      </c>
      <c r="B815" s="51" t="str">
        <v>外墙EPS线条-线条70*30</v>
      </c>
      <c r="C815" s="51" t="e">
        <v>#REF!</v>
      </c>
      <c r="D815" s="51" t="str">
        <v/>
      </c>
      <c r="E815" s="51" t="str">
        <v/>
      </c>
      <c r="F815" s="52" t="e">
        <v>#REF!</v>
      </c>
      <c r="G815" s="48" t="e">
        <v>#REF!</v>
      </c>
      <c r="H815" s="49" t="e">
        <v>#REF!</v>
      </c>
      <c r="I815" s="49" t="e">
        <v>#REF!</v>
      </c>
      <c r="J815" s="50"/>
    </row>
    <row r="816" outlineLevel="1" spans="1:10">
      <c r="A816" s="50">
        <v>674</v>
      </c>
      <c r="B816" s="51" t="str">
        <v>外墙EPS线条-线条120*240</v>
      </c>
      <c r="C816" s="51" t="e">
        <v>#REF!</v>
      </c>
      <c r="D816" s="51" t="str">
        <v/>
      </c>
      <c r="E816" s="51" t="str">
        <v/>
      </c>
      <c r="F816" s="52" t="e">
        <v>#REF!</v>
      </c>
      <c r="G816" s="48" t="e">
        <v>#REF!</v>
      </c>
      <c r="H816" s="49" t="e">
        <v>#REF!</v>
      </c>
      <c r="I816" s="49" t="e">
        <v>#REF!</v>
      </c>
      <c r="J816" s="50"/>
    </row>
    <row r="817" outlineLevel="1" spans="1:10">
      <c r="A817" s="50">
        <v>675</v>
      </c>
      <c r="B817" s="51" t="str">
        <v>外墙EPS线条-线条120*70</v>
      </c>
      <c r="C817" s="51" t="e">
        <v>#REF!</v>
      </c>
      <c r="D817" s="51" t="str">
        <v/>
      </c>
      <c r="E817" s="51" t="str">
        <v/>
      </c>
      <c r="F817" s="52" t="e">
        <v>#REF!</v>
      </c>
      <c r="G817" s="48" t="e">
        <v>#REF!</v>
      </c>
      <c r="H817" s="49" t="e">
        <v>#REF!</v>
      </c>
      <c r="I817" s="49" t="e">
        <v>#REF!</v>
      </c>
      <c r="J817" s="50"/>
    </row>
    <row r="818" outlineLevel="1" spans="1:10">
      <c r="A818" s="50">
        <v>676</v>
      </c>
      <c r="B818" s="51" t="str">
        <v>外墙EPS线条-线条50*50</v>
      </c>
      <c r="C818" s="51" t="e">
        <v>#REF!</v>
      </c>
      <c r="D818" s="51" t="str">
        <v/>
      </c>
      <c r="E818" s="51" t="str">
        <v/>
      </c>
      <c r="F818" s="52" t="e">
        <v>#REF!</v>
      </c>
      <c r="G818" s="48" t="e">
        <v>#REF!</v>
      </c>
      <c r="H818" s="49" t="e">
        <v>#REF!</v>
      </c>
      <c r="I818" s="49" t="e">
        <v>#REF!</v>
      </c>
      <c r="J818" s="50"/>
    </row>
    <row r="819" ht="28.8" outlineLevel="1" spans="1:10">
      <c r="A819" s="50">
        <v>677</v>
      </c>
      <c r="B819" s="51" t="str">
        <v>外墙EPS线条-线条L型800*220</v>
      </c>
      <c r="C819" s="51" t="e">
        <v>#REF!</v>
      </c>
      <c r="D819" s="51" t="str">
        <v/>
      </c>
      <c r="E819" s="51" t="str">
        <v/>
      </c>
      <c r="F819" s="52" t="e">
        <v>#REF!</v>
      </c>
      <c r="G819" s="48" t="e">
        <v>#REF!</v>
      </c>
      <c r="H819" s="49" t="e">
        <v>#REF!</v>
      </c>
      <c r="I819" s="49" t="e">
        <v>#REF!</v>
      </c>
      <c r="J819" s="50"/>
    </row>
    <row r="820" outlineLevel="1" spans="1:10">
      <c r="A820" s="50">
        <v>678</v>
      </c>
      <c r="B820" s="51" t="str">
        <v>外墙EPS线条-线条100*70</v>
      </c>
      <c r="C820" s="51" t="e">
        <v>#REF!</v>
      </c>
      <c r="D820" s="51" t="str">
        <v/>
      </c>
      <c r="E820" s="51" t="str">
        <v/>
      </c>
      <c r="F820" s="52" t="e">
        <v>#REF!</v>
      </c>
      <c r="G820" s="48" t="e">
        <v>#REF!</v>
      </c>
      <c r="H820" s="49" t="e">
        <v>#REF!</v>
      </c>
      <c r="I820" s="49" t="e">
        <v>#REF!</v>
      </c>
      <c r="J820" s="50"/>
    </row>
    <row r="821" ht="28.8" outlineLevel="1" spans="1:10">
      <c r="A821" s="50">
        <v>679</v>
      </c>
      <c r="B821" s="51" t="str">
        <v>外墙EPS线条-线条L型240*120</v>
      </c>
      <c r="C821" s="51" t="e">
        <v>#REF!</v>
      </c>
      <c r="D821" s="51" t="str">
        <v/>
      </c>
      <c r="E821" s="51" t="str">
        <v/>
      </c>
      <c r="F821" s="52" t="e">
        <v>#REF!</v>
      </c>
      <c r="G821" s="48" t="e">
        <v>#REF!</v>
      </c>
      <c r="H821" s="49" t="e">
        <v>#REF!</v>
      </c>
      <c r="I821" s="49" t="e">
        <v>#REF!</v>
      </c>
      <c r="J821" s="50"/>
    </row>
    <row r="822" outlineLevel="1" spans="1:10">
      <c r="A822" s="50">
        <v>680</v>
      </c>
      <c r="B822" s="51" t="str">
        <v>外墙EPS线条-线条120*50</v>
      </c>
      <c r="C822" s="51" t="e">
        <v>#REF!</v>
      </c>
      <c r="D822" s="51" t="str">
        <v/>
      </c>
      <c r="E822" s="51" t="str">
        <v/>
      </c>
      <c r="F822" s="52" t="e">
        <v>#REF!</v>
      </c>
      <c r="G822" s="48" t="e">
        <v>#REF!</v>
      </c>
      <c r="H822" s="49" t="e">
        <v>#REF!</v>
      </c>
      <c r="I822" s="49" t="e">
        <v>#REF!</v>
      </c>
      <c r="J822" s="50"/>
    </row>
    <row r="823" outlineLevel="1" spans="1:10">
      <c r="A823" s="50">
        <v>681</v>
      </c>
      <c r="B823" s="51" t="str">
        <v>外墙EPS线条-线条70*100</v>
      </c>
      <c r="C823" s="51" t="e">
        <v>#REF!</v>
      </c>
      <c r="D823" s="51" t="str">
        <v/>
      </c>
      <c r="E823" s="51" t="str">
        <v/>
      </c>
      <c r="F823" s="52" t="e">
        <v>#REF!</v>
      </c>
      <c r="G823" s="48" t="e">
        <v>#REF!</v>
      </c>
      <c r="H823" s="49" t="e">
        <v>#REF!</v>
      </c>
      <c r="I823" s="49" t="e">
        <v>#REF!</v>
      </c>
      <c r="J823" s="50"/>
    </row>
    <row r="824" outlineLevel="1" spans="1:10">
      <c r="A824" s="50">
        <v>682</v>
      </c>
      <c r="B824" s="51" t="str">
        <v>外墙EPS线条-线条30*50</v>
      </c>
      <c r="C824" s="51" t="e">
        <v>#REF!</v>
      </c>
      <c r="D824" s="51" t="str">
        <v/>
      </c>
      <c r="E824" s="51" t="str">
        <v/>
      </c>
      <c r="F824" s="52" t="e">
        <v>#REF!</v>
      </c>
      <c r="G824" s="48" t="e">
        <v>#REF!</v>
      </c>
      <c r="H824" s="49" t="e">
        <v>#REF!</v>
      </c>
      <c r="I824" s="49" t="e">
        <v>#REF!</v>
      </c>
      <c r="J824" s="50"/>
    </row>
    <row r="825" ht="28.8" outlineLevel="1" spans="1:10">
      <c r="A825" s="50">
        <v>683</v>
      </c>
      <c r="B825" s="51" t="str">
        <v>外墙EPS线条-线条L型220*100</v>
      </c>
      <c r="C825" s="51" t="e">
        <v>#REF!</v>
      </c>
      <c r="D825" s="51" t="str">
        <v/>
      </c>
      <c r="E825" s="51" t="str">
        <v/>
      </c>
      <c r="F825" s="52" t="e">
        <v>#REF!</v>
      </c>
      <c r="G825" s="48" t="e">
        <v>#REF!</v>
      </c>
      <c r="H825" s="49" t="e">
        <v>#REF!</v>
      </c>
      <c r="I825" s="49" t="e">
        <v>#REF!</v>
      </c>
      <c r="J825" s="50"/>
    </row>
    <row r="826" outlineLevel="1" spans="1:10">
      <c r="A826" s="50">
        <v>684</v>
      </c>
      <c r="B826" s="51" t="str">
        <v>外墙EPS线条-线条30*70</v>
      </c>
      <c r="C826" s="51" t="e">
        <v>#REF!</v>
      </c>
      <c r="D826" s="51" t="str">
        <v/>
      </c>
      <c r="E826" s="51" t="str">
        <v/>
      </c>
      <c r="F826" s="52" t="e">
        <v>#REF!</v>
      </c>
      <c r="G826" s="48" t="e">
        <v>#REF!</v>
      </c>
      <c r="H826" s="49" t="e">
        <v>#REF!</v>
      </c>
      <c r="I826" s="49" t="e">
        <v>#REF!</v>
      </c>
      <c r="J826" s="50"/>
    </row>
    <row r="827" outlineLevel="1" spans="1:10">
      <c r="A827" s="50">
        <v>685</v>
      </c>
      <c r="B827" s="51" t="str">
        <v>外墙EPS线条-线条70*70</v>
      </c>
      <c r="C827" s="51" t="e">
        <v>#REF!</v>
      </c>
      <c r="D827" s="51" t="str">
        <v/>
      </c>
      <c r="E827" s="51" t="str">
        <v/>
      </c>
      <c r="F827" s="52" t="e">
        <v>#REF!</v>
      </c>
      <c r="G827" s="48" t="e">
        <v>#REF!</v>
      </c>
      <c r="H827" s="49" t="e">
        <v>#REF!</v>
      </c>
      <c r="I827" s="49" t="e">
        <v>#REF!</v>
      </c>
      <c r="J827" s="50"/>
    </row>
    <row r="828" outlineLevel="1" spans="1:10">
      <c r="A828" s="50">
        <v>686</v>
      </c>
      <c r="B828" s="51" t="str">
        <v>外墙EPS线条-线条70*210</v>
      </c>
      <c r="C828" s="51" t="e">
        <v>#REF!</v>
      </c>
      <c r="D828" s="51" t="str">
        <v/>
      </c>
      <c r="E828" s="51" t="str">
        <v/>
      </c>
      <c r="F828" s="52" t="e">
        <v>#REF!</v>
      </c>
      <c r="G828" s="48" t="e">
        <v>#REF!</v>
      </c>
      <c r="H828" s="49" t="e">
        <v>#REF!</v>
      </c>
      <c r="I828" s="49" t="e">
        <v>#REF!</v>
      </c>
      <c r="J828" s="50"/>
    </row>
    <row r="829" outlineLevel="1" spans="1:10">
      <c r="A829" s="50">
        <v>687</v>
      </c>
      <c r="B829" s="51" t="str">
        <v>外墙EPS线条-线条70*390</v>
      </c>
      <c r="C829" s="51" t="e">
        <v>#REF!</v>
      </c>
      <c r="D829" s="51" t="str">
        <v/>
      </c>
      <c r="E829" s="51" t="str">
        <v/>
      </c>
      <c r="F829" s="52" t="e">
        <v>#REF!</v>
      </c>
      <c r="G829" s="48" t="e">
        <v>#REF!</v>
      </c>
      <c r="H829" s="49" t="e">
        <v>#REF!</v>
      </c>
      <c r="I829" s="49" t="e">
        <v>#REF!</v>
      </c>
      <c r="J829" s="50"/>
    </row>
    <row r="830" outlineLevel="1" spans="1:10">
      <c r="A830" s="50">
        <v>688</v>
      </c>
      <c r="B830" s="51" t="str">
        <v>外墙EPS线条-线条50*100</v>
      </c>
      <c r="C830" s="51" t="e">
        <v>#REF!</v>
      </c>
      <c r="D830" s="51" t="str">
        <v/>
      </c>
      <c r="E830" s="51" t="str">
        <v/>
      </c>
      <c r="F830" s="52" t="e">
        <v>#REF!</v>
      </c>
      <c r="G830" s="48" t="e">
        <v>#REF!</v>
      </c>
      <c r="H830" s="49" t="e">
        <v>#REF!</v>
      </c>
      <c r="I830" s="49" t="e">
        <v>#REF!</v>
      </c>
      <c r="J830" s="50"/>
    </row>
    <row r="831" outlineLevel="1" spans="1:10">
      <c r="A831" s="50">
        <v>689</v>
      </c>
      <c r="B831" s="51" t="str">
        <v>外墙EPS线条-线条160*100</v>
      </c>
      <c r="C831" s="51" t="e">
        <v>#REF!</v>
      </c>
      <c r="D831" s="51" t="str">
        <v/>
      </c>
      <c r="E831" s="51" t="str">
        <v/>
      </c>
      <c r="F831" s="52" t="e">
        <v>#REF!</v>
      </c>
      <c r="G831" s="48" t="e">
        <v>#REF!</v>
      </c>
      <c r="H831" s="49" t="e">
        <v>#REF!</v>
      </c>
      <c r="I831" s="49" t="e">
        <v>#REF!</v>
      </c>
      <c r="J831" s="50"/>
    </row>
    <row r="832" outlineLevel="1" spans="1:10">
      <c r="A832" s="50">
        <v>690</v>
      </c>
      <c r="B832" s="51" t="str">
        <v>外墙EPS线条-线条120*40</v>
      </c>
      <c r="C832" s="51" t="e">
        <v>#REF!</v>
      </c>
      <c r="D832" s="51" t="str">
        <v/>
      </c>
      <c r="E832" s="51" t="str">
        <v/>
      </c>
      <c r="F832" s="52" t="e">
        <v>#REF!</v>
      </c>
      <c r="G832" s="48" t="e">
        <v>#REF!</v>
      </c>
      <c r="H832" s="49" t="e">
        <v>#REF!</v>
      </c>
      <c r="I832" s="49" t="e">
        <v>#REF!</v>
      </c>
      <c r="J832" s="50"/>
    </row>
    <row r="833" outlineLevel="1" spans="1:10">
      <c r="A833" s="50">
        <v>691</v>
      </c>
      <c r="B833" s="51" t="str">
        <v>外墙EPS线条-线条100*280</v>
      </c>
      <c r="C833" s="51" t="e">
        <v>#REF!</v>
      </c>
      <c r="D833" s="51" t="str">
        <v/>
      </c>
      <c r="E833" s="51" t="str">
        <v/>
      </c>
      <c r="F833" s="52" t="e">
        <v>#REF!</v>
      </c>
      <c r="G833" s="48" t="e">
        <v>#REF!</v>
      </c>
      <c r="H833" s="49" t="e">
        <v>#REF!</v>
      </c>
      <c r="I833" s="49" t="e">
        <v>#REF!</v>
      </c>
      <c r="J833" s="50"/>
    </row>
    <row r="834" outlineLevel="1" spans="1:10">
      <c r="A834" s="50">
        <v>692</v>
      </c>
      <c r="B834" s="51" t="str">
        <v>外墙EPS线条-线条100*140</v>
      </c>
      <c r="C834" s="51" t="e">
        <v>#REF!</v>
      </c>
      <c r="D834" s="51" t="str">
        <v/>
      </c>
      <c r="E834" s="51" t="str">
        <v/>
      </c>
      <c r="F834" s="52" t="e">
        <v>#REF!</v>
      </c>
      <c r="G834" s="48" t="e">
        <v>#REF!</v>
      </c>
      <c r="H834" s="49" t="e">
        <v>#REF!</v>
      </c>
      <c r="I834" s="49" t="e">
        <v>#REF!</v>
      </c>
      <c r="J834" s="50"/>
    </row>
    <row r="835" outlineLevel="1" spans="1:10">
      <c r="A835" s="50">
        <v>693</v>
      </c>
      <c r="B835" s="51" t="str">
        <v>外墙EPS线条-线条130*100</v>
      </c>
      <c r="C835" s="51" t="e">
        <v>#REF!</v>
      </c>
      <c r="D835" s="51" t="str">
        <v/>
      </c>
      <c r="E835" s="51" t="str">
        <v/>
      </c>
      <c r="F835" s="52" t="e">
        <v>#REF!</v>
      </c>
      <c r="G835" s="48" t="e">
        <v>#REF!</v>
      </c>
      <c r="H835" s="49" t="e">
        <v>#REF!</v>
      </c>
      <c r="I835" s="49" t="e">
        <v>#REF!</v>
      </c>
      <c r="J835" s="50"/>
    </row>
    <row r="836" outlineLevel="1" spans="1:10">
      <c r="A836" s="50">
        <v>694</v>
      </c>
      <c r="B836" s="51" t="str">
        <v>外墙EPS线条-线条130*240</v>
      </c>
      <c r="C836" s="51" t="e">
        <v>#REF!</v>
      </c>
      <c r="D836" s="51" t="str">
        <v/>
      </c>
      <c r="E836" s="51" t="str">
        <v/>
      </c>
      <c r="F836" s="52" t="e">
        <v>#REF!</v>
      </c>
      <c r="G836" s="48" t="e">
        <v>#REF!</v>
      </c>
      <c r="H836" s="49" t="e">
        <v>#REF!</v>
      </c>
      <c r="I836" s="49" t="e">
        <v>#REF!</v>
      </c>
      <c r="J836" s="50"/>
    </row>
    <row r="837" outlineLevel="1" spans="1:10">
      <c r="A837" s="50">
        <v>695</v>
      </c>
      <c r="B837" s="51" t="str">
        <v>外墙EPS线条-线条80*50</v>
      </c>
      <c r="C837" s="51" t="e">
        <v>#REF!</v>
      </c>
      <c r="D837" s="51" t="str">
        <v/>
      </c>
      <c r="E837" s="51" t="str">
        <v/>
      </c>
      <c r="F837" s="52" t="e">
        <v>#REF!</v>
      </c>
      <c r="G837" s="48" t="e">
        <v>#REF!</v>
      </c>
      <c r="H837" s="49" t="e">
        <v>#REF!</v>
      </c>
      <c r="I837" s="49" t="e">
        <v>#REF!</v>
      </c>
      <c r="J837" s="50"/>
    </row>
    <row r="838" outlineLevel="1" spans="1:10">
      <c r="A838" s="50">
        <v>696</v>
      </c>
      <c r="B838" s="51" t="str">
        <v>外墙EPS线条-线条60*50</v>
      </c>
      <c r="C838" s="51" t="e">
        <v>#REF!</v>
      </c>
      <c r="D838" s="51" t="str">
        <v/>
      </c>
      <c r="E838" s="51" t="str">
        <v/>
      </c>
      <c r="F838" s="52" t="e">
        <v>#REF!</v>
      </c>
      <c r="G838" s="48" t="e">
        <v>#REF!</v>
      </c>
      <c r="H838" s="49" t="e">
        <v>#REF!</v>
      </c>
      <c r="I838" s="49" t="e">
        <v>#REF!</v>
      </c>
      <c r="J838" s="50"/>
    </row>
    <row r="839" outlineLevel="1" spans="1:10">
      <c r="A839" s="50">
        <v>697</v>
      </c>
      <c r="B839" s="51" t="str">
        <v>外墙EPS线条-线条35*50</v>
      </c>
      <c r="C839" s="51" t="e">
        <v>#REF!</v>
      </c>
      <c r="D839" s="51" t="str">
        <v/>
      </c>
      <c r="E839" s="51" t="str">
        <v/>
      </c>
      <c r="F839" s="52" t="e">
        <v>#REF!</v>
      </c>
      <c r="G839" s="48" t="e">
        <v>#REF!</v>
      </c>
      <c r="H839" s="49" t="e">
        <v>#REF!</v>
      </c>
      <c r="I839" s="49" t="e">
        <v>#REF!</v>
      </c>
      <c r="J839" s="50"/>
    </row>
    <row r="840" outlineLevel="1" spans="1:10">
      <c r="A840" s="50">
        <v>698</v>
      </c>
      <c r="B840" s="51" t="str">
        <v>外墙EPS线条-线条120*500</v>
      </c>
      <c r="C840" s="51" t="e">
        <v>#REF!</v>
      </c>
      <c r="D840" s="51" t="str">
        <v/>
      </c>
      <c r="E840" s="51" t="str">
        <v/>
      </c>
      <c r="F840" s="52" t="e">
        <v>#REF!</v>
      </c>
      <c r="G840" s="48" t="e">
        <v>#REF!</v>
      </c>
      <c r="H840" s="49" t="e">
        <v>#REF!</v>
      </c>
      <c r="I840" s="49" t="e">
        <v>#REF!</v>
      </c>
      <c r="J840" s="50"/>
    </row>
    <row r="841" outlineLevel="1" spans="1:10">
      <c r="A841" s="50">
        <v>699</v>
      </c>
      <c r="B841" s="51" t="str">
        <v>外墙EPS线条-线条1082*140</v>
      </c>
      <c r="C841" s="51" t="e">
        <v>#REF!</v>
      </c>
      <c r="D841" s="51" t="str">
        <v/>
      </c>
      <c r="E841" s="51" t="str">
        <v/>
      </c>
      <c r="F841" s="52" t="e">
        <v>#REF!</v>
      </c>
      <c r="G841" s="48" t="e">
        <v>#REF!</v>
      </c>
      <c r="H841" s="49" t="e">
        <v>#REF!</v>
      </c>
      <c r="I841" s="49" t="e">
        <v>#REF!</v>
      </c>
      <c r="J841" s="50"/>
    </row>
    <row r="842" ht="28.8" outlineLevel="1" spans="1:10">
      <c r="A842" s="50">
        <v>700</v>
      </c>
      <c r="B842" s="51" t="str">
        <v>外墙EPS线条-不规则EPS线条410*100</v>
      </c>
      <c r="C842" s="51" t="e">
        <v>#REF!</v>
      </c>
      <c r="D842" s="51" t="str">
        <v/>
      </c>
      <c r="E842" s="51" t="str">
        <v/>
      </c>
      <c r="F842" s="52" t="e">
        <v>#REF!</v>
      </c>
      <c r="G842" s="48" t="e">
        <v>#REF!</v>
      </c>
      <c r="H842" s="49" t="e">
        <v>#REF!</v>
      </c>
      <c r="I842" s="49" t="e">
        <v>#REF!</v>
      </c>
      <c r="J842" s="50"/>
    </row>
    <row r="843" outlineLevel="1" spans="1:10">
      <c r="A843" s="50">
        <v>701</v>
      </c>
      <c r="B843" s="51" t="str">
        <v>外墙EPS线条-线条150*80</v>
      </c>
      <c r="C843" s="51" t="e">
        <v>#REF!</v>
      </c>
      <c r="D843" s="51" t="str">
        <v/>
      </c>
      <c r="E843" s="51" t="str">
        <v/>
      </c>
      <c r="F843" s="52" t="e">
        <v>#REF!</v>
      </c>
      <c r="G843" s="48" t="e">
        <v>#REF!</v>
      </c>
      <c r="H843" s="49" t="e">
        <v>#REF!</v>
      </c>
      <c r="I843" s="49" t="e">
        <v>#REF!</v>
      </c>
      <c r="J843" s="50"/>
    </row>
    <row r="844" outlineLevel="1" spans="1:10">
      <c r="A844" s="50">
        <v>702</v>
      </c>
      <c r="B844" s="51" t="str">
        <v>外墙EPS线条-线条480*170</v>
      </c>
      <c r="C844" s="51" t="e">
        <v>#REF!</v>
      </c>
      <c r="D844" s="51" t="str">
        <v/>
      </c>
      <c r="E844" s="51" t="str">
        <v/>
      </c>
      <c r="F844" s="52" t="e">
        <v>#REF!</v>
      </c>
      <c r="G844" s="48" t="e">
        <v>#REF!</v>
      </c>
      <c r="H844" s="49" t="e">
        <v>#REF!</v>
      </c>
      <c r="I844" s="49" t="e">
        <v>#REF!</v>
      </c>
      <c r="J844" s="50"/>
    </row>
    <row r="845" outlineLevel="1" spans="1:10">
      <c r="A845" s="50">
        <v>703</v>
      </c>
      <c r="B845" s="51" t="str">
        <v>外墙EPS线条-线条1840*150</v>
      </c>
      <c r="C845" s="51" t="e">
        <v>#REF!</v>
      </c>
      <c r="D845" s="51" t="str">
        <v/>
      </c>
      <c r="E845" s="51" t="str">
        <v/>
      </c>
      <c r="F845" s="52" t="e">
        <v>#REF!</v>
      </c>
      <c r="G845" s="48" t="e">
        <v>#REF!</v>
      </c>
      <c r="H845" s="49" t="e">
        <v>#REF!</v>
      </c>
      <c r="I845" s="49" t="e">
        <v>#REF!</v>
      </c>
      <c r="J845" s="50"/>
    </row>
    <row r="846" outlineLevel="1" spans="1:10">
      <c r="A846" s="50">
        <v>704</v>
      </c>
      <c r="B846" s="51" t="str">
        <v>外墙EPS线条-线条450*50</v>
      </c>
      <c r="C846" s="51" t="e">
        <v>#REF!</v>
      </c>
      <c r="D846" s="51" t="str">
        <v/>
      </c>
      <c r="E846" s="51" t="str">
        <v/>
      </c>
      <c r="F846" s="52" t="e">
        <v>#REF!</v>
      </c>
      <c r="G846" s="48" t="e">
        <v>#REF!</v>
      </c>
      <c r="H846" s="49" t="e">
        <v>#REF!</v>
      </c>
      <c r="I846" s="49" t="e">
        <v>#REF!</v>
      </c>
      <c r="J846" s="50"/>
    </row>
    <row r="847" outlineLevel="1" spans="1:10">
      <c r="A847" s="50">
        <v>705</v>
      </c>
      <c r="B847" s="51" t="str">
        <v>外墙EPS线条-线条695*150</v>
      </c>
      <c r="C847" s="51" t="e">
        <v>#REF!</v>
      </c>
      <c r="D847" s="51" t="str">
        <v/>
      </c>
      <c r="E847" s="51" t="str">
        <v/>
      </c>
      <c r="F847" s="52" t="e">
        <v>#REF!</v>
      </c>
      <c r="G847" s="48" t="e">
        <v>#REF!</v>
      </c>
      <c r="H847" s="49" t="e">
        <v>#REF!</v>
      </c>
      <c r="I847" s="49" t="e">
        <v>#REF!</v>
      </c>
      <c r="J847" s="50"/>
    </row>
    <row r="848" outlineLevel="1" spans="1:10">
      <c r="A848" s="50">
        <v>706</v>
      </c>
      <c r="B848" s="51" t="str">
        <v>外墙EPS线条-线条70*50</v>
      </c>
      <c r="C848" s="51" t="e">
        <v>#REF!</v>
      </c>
      <c r="D848" s="51" t="str">
        <v/>
      </c>
      <c r="E848" s="51" t="str">
        <v/>
      </c>
      <c r="F848" s="52" t="e">
        <v>#REF!</v>
      </c>
      <c r="G848" s="48" t="e">
        <v>#REF!</v>
      </c>
      <c r="H848" s="49" t="e">
        <v>#REF!</v>
      </c>
      <c r="I848" s="49" t="e">
        <v>#REF!</v>
      </c>
      <c r="J848" s="50"/>
    </row>
    <row r="849" outlineLevel="1" spans="1:10">
      <c r="A849" s="50">
        <v>707</v>
      </c>
      <c r="B849" s="51" t="str">
        <v>外墙EPS线条-线条300*100</v>
      </c>
      <c r="C849" s="51" t="e">
        <v>#REF!</v>
      </c>
      <c r="D849" s="51" t="str">
        <v/>
      </c>
      <c r="E849" s="51" t="str">
        <v/>
      </c>
      <c r="F849" s="52" t="e">
        <v>#REF!</v>
      </c>
      <c r="G849" s="48" t="e">
        <v>#REF!</v>
      </c>
      <c r="H849" s="49" t="e">
        <v>#REF!</v>
      </c>
      <c r="I849" s="49" t="e">
        <v>#REF!</v>
      </c>
      <c r="J849" s="50"/>
    </row>
    <row r="850" outlineLevel="1" spans="1:10">
      <c r="A850" s="50">
        <v>708</v>
      </c>
      <c r="B850" s="51" t="str">
        <v>外墙EPS线条-线条200*100</v>
      </c>
      <c r="C850" s="51" t="e">
        <v>#REF!</v>
      </c>
      <c r="D850" s="51" t="str">
        <v/>
      </c>
      <c r="E850" s="51" t="str">
        <v/>
      </c>
      <c r="F850" s="52" t="e">
        <v>#REF!</v>
      </c>
      <c r="G850" s="48" t="e">
        <v>#REF!</v>
      </c>
      <c r="H850" s="49" t="e">
        <v>#REF!</v>
      </c>
      <c r="I850" s="49" t="e">
        <v>#REF!</v>
      </c>
      <c r="J850" s="50"/>
    </row>
    <row r="851" ht="28.8" outlineLevel="1" spans="1:10">
      <c r="A851" s="50">
        <v>709</v>
      </c>
      <c r="B851" s="51" t="str">
        <v>外墙EPS线条-不规则EPS线条1750*420（顶层挑檐下）</v>
      </c>
      <c r="C851" s="51" t="e">
        <v>#REF!</v>
      </c>
      <c r="D851" s="51" t="str">
        <v/>
      </c>
      <c r="E851" s="51" t="str">
        <v/>
      </c>
      <c r="F851" s="52" t="e">
        <v>#REF!</v>
      </c>
      <c r="G851" s="48" t="e">
        <v>#REF!</v>
      </c>
      <c r="H851" s="49" t="e">
        <v>#REF!</v>
      </c>
      <c r="I851" s="49" t="e">
        <v>#REF!</v>
      </c>
      <c r="J851" s="50"/>
    </row>
    <row r="852" ht="28.8" outlineLevel="1" spans="1:10">
      <c r="A852" s="50">
        <v>710</v>
      </c>
      <c r="B852" s="51" t="str">
        <v>外墙EPS线条-不规则EPS线条1250*300（顶层挑檐下）</v>
      </c>
      <c r="C852" s="51" t="e">
        <v>#REF!</v>
      </c>
      <c r="D852" s="51" t="str">
        <v/>
      </c>
      <c r="E852" s="51" t="str">
        <v/>
      </c>
      <c r="F852" s="52" t="e">
        <v>#REF!</v>
      </c>
      <c r="G852" s="48" t="e">
        <v>#REF!</v>
      </c>
      <c r="H852" s="49" t="e">
        <v>#REF!</v>
      </c>
      <c r="I852" s="49" t="e">
        <v>#REF!</v>
      </c>
      <c r="J852" s="50"/>
    </row>
    <row r="853" outlineLevel="1" spans="1:10">
      <c r="A853" s="50">
        <v>711</v>
      </c>
      <c r="B853" s="51" t="str">
        <v>外墙EPS线条-L型120*100</v>
      </c>
      <c r="C853" s="51" t="e">
        <v>#REF!</v>
      </c>
      <c r="D853" s="51" t="str">
        <v/>
      </c>
      <c r="E853" s="51" t="str">
        <v/>
      </c>
      <c r="F853" s="52" t="e">
        <v>#REF!</v>
      </c>
      <c r="G853" s="48" t="e">
        <v>#REF!</v>
      </c>
      <c r="H853" s="49" t="e">
        <v>#REF!</v>
      </c>
      <c r="I853" s="49" t="e">
        <v>#REF!</v>
      </c>
      <c r="J853" s="50"/>
    </row>
    <row r="854" outlineLevel="1" spans="1:10">
      <c r="A854" s="50">
        <v>712</v>
      </c>
      <c r="B854" s="51" t="str">
        <v>柱头1</v>
      </c>
      <c r="C854" s="51" t="e">
        <v>#REF!</v>
      </c>
      <c r="D854" s="51" t="str">
        <v/>
      </c>
      <c r="E854" s="51" t="str">
        <v/>
      </c>
      <c r="F854" s="52" t="e">
        <v>#REF!</v>
      </c>
      <c r="G854" s="48" t="e">
        <v>#REF!</v>
      </c>
      <c r="H854" s="49" t="e">
        <v>#REF!</v>
      </c>
      <c r="I854" s="49" t="e">
        <v>#REF!</v>
      </c>
      <c r="J854" s="50"/>
    </row>
    <row r="855" outlineLevel="1" spans="1:10">
      <c r="A855" s="50">
        <v>713</v>
      </c>
      <c r="B855" s="51" t="str">
        <v>柱头2</v>
      </c>
      <c r="C855" s="51" t="e">
        <v>#REF!</v>
      </c>
      <c r="D855" s="51" t="str">
        <v/>
      </c>
      <c r="E855" s="51" t="str">
        <v/>
      </c>
      <c r="F855" s="52" t="e">
        <v>#REF!</v>
      </c>
      <c r="G855" s="48" t="e">
        <v>#REF!</v>
      </c>
      <c r="H855" s="49" t="e">
        <v>#REF!</v>
      </c>
      <c r="I855" s="49" t="e">
        <v>#REF!</v>
      </c>
      <c r="J855" s="50"/>
    </row>
    <row r="856" outlineLevel="1" spans="1:10">
      <c r="A856" s="50">
        <v>714</v>
      </c>
      <c r="B856" s="51" t="str">
        <v>柱头3</v>
      </c>
      <c r="C856" s="51" t="e">
        <v>#REF!</v>
      </c>
      <c r="D856" s="51" t="str">
        <v/>
      </c>
      <c r="E856" s="51" t="str">
        <v/>
      </c>
      <c r="F856" s="52" t="e">
        <v>#REF!</v>
      </c>
      <c r="G856" s="48" t="e">
        <v>#REF!</v>
      </c>
      <c r="H856" s="49" t="e">
        <v>#REF!</v>
      </c>
      <c r="I856" s="49" t="e">
        <v>#REF!</v>
      </c>
      <c r="J856" s="50"/>
    </row>
    <row r="857" outlineLevel="1" spans="1:10">
      <c r="A857" s="50">
        <v>715</v>
      </c>
      <c r="B857" s="51" t="str">
        <v>方柱1</v>
      </c>
      <c r="C857" s="51" t="e">
        <v>#REF!</v>
      </c>
      <c r="D857" s="51" t="str">
        <v/>
      </c>
      <c r="E857" s="51" t="str">
        <v/>
      </c>
      <c r="F857" s="52" t="e">
        <v>#REF!</v>
      </c>
      <c r="G857" s="48" t="e">
        <v>#REF!</v>
      </c>
      <c r="H857" s="49" t="e">
        <v>#REF!</v>
      </c>
      <c r="I857" s="49" t="e">
        <v>#REF!</v>
      </c>
      <c r="J857" s="50"/>
    </row>
    <row r="858" outlineLevel="1" spans="1:10">
      <c r="A858" s="50">
        <v>716</v>
      </c>
      <c r="B858" s="51" t="str">
        <v>方柱2</v>
      </c>
      <c r="C858" s="51" t="e">
        <v>#REF!</v>
      </c>
      <c r="D858" s="51" t="str">
        <v/>
      </c>
      <c r="E858" s="51" t="str">
        <v/>
      </c>
      <c r="F858" s="52" t="e">
        <v>#REF!</v>
      </c>
      <c r="G858" s="48" t="e">
        <v>#REF!</v>
      </c>
      <c r="H858" s="49" t="e">
        <v>#REF!</v>
      </c>
      <c r="I858" s="49" t="e">
        <v>#REF!</v>
      </c>
      <c r="J858" s="50"/>
    </row>
    <row r="859" outlineLevel="1" spans="1:10">
      <c r="A859" s="50">
        <v>717</v>
      </c>
      <c r="B859" s="51" t="str">
        <v>方柱3</v>
      </c>
      <c r="C859" s="51" t="e">
        <v>#REF!</v>
      </c>
      <c r="D859" s="51" t="str">
        <v/>
      </c>
      <c r="E859" s="51" t="str">
        <v/>
      </c>
      <c r="F859" s="52" t="e">
        <v>#REF!</v>
      </c>
      <c r="G859" s="48" t="e">
        <v>#REF!</v>
      </c>
      <c r="H859" s="49" t="e">
        <v>#REF!</v>
      </c>
      <c r="I859" s="49" t="e">
        <v>#REF!</v>
      </c>
      <c r="J859" s="50"/>
    </row>
    <row r="860" outlineLevel="1" spans="1:10">
      <c r="A860" s="50">
        <v>718</v>
      </c>
      <c r="B860" s="51" t="str">
        <v>扶手墩1</v>
      </c>
      <c r="C860" s="51" t="e">
        <v>#REF!</v>
      </c>
      <c r="D860" s="51" t="str">
        <v/>
      </c>
      <c r="E860" s="51" t="str">
        <v/>
      </c>
      <c r="F860" s="52" t="e">
        <v>#REF!</v>
      </c>
      <c r="G860" s="48" t="e">
        <v>#REF!</v>
      </c>
      <c r="H860" s="49" t="e">
        <v>#REF!</v>
      </c>
      <c r="I860" s="49" t="e">
        <v>#REF!</v>
      </c>
      <c r="J860" s="50"/>
    </row>
    <row r="861" outlineLevel="1" spans="1:10">
      <c r="A861" s="50">
        <v>719</v>
      </c>
      <c r="B861" s="51" t="str">
        <v>顶部EPS装饰檐线</v>
      </c>
      <c r="C861" s="51" t="e">
        <v>#REF!</v>
      </c>
      <c r="D861" s="51" t="str">
        <v/>
      </c>
      <c r="E861" s="51" t="str">
        <v/>
      </c>
      <c r="F861" s="52" t="e">
        <v>#REF!</v>
      </c>
      <c r="G861" s="48" t="e">
        <v>#REF!</v>
      </c>
      <c r="H861" s="49" t="e">
        <v>#REF!</v>
      </c>
      <c r="I861" s="49" t="e">
        <v>#REF!</v>
      </c>
      <c r="J861" s="50"/>
    </row>
    <row r="862" outlineLevel="1" spans="1:10">
      <c r="A862" s="50">
        <v>720</v>
      </c>
      <c r="B862" s="51" t="str">
        <v>顶部EPS檐线内造型</v>
      </c>
      <c r="C862" s="51" t="e">
        <v>#REF!</v>
      </c>
      <c r="D862" s="51" t="str">
        <v/>
      </c>
      <c r="E862" s="51" t="str">
        <v/>
      </c>
      <c r="F862" s="52" t="e">
        <v>#REF!</v>
      </c>
      <c r="G862" s="48" t="e">
        <v>#REF!</v>
      </c>
      <c r="H862" s="49" t="e">
        <v>#REF!</v>
      </c>
      <c r="I862" s="49" t="e">
        <v>#REF!</v>
      </c>
      <c r="J862" s="50"/>
    </row>
    <row r="863" outlineLevel="1" spans="1:10">
      <c r="A863" s="50">
        <v>721</v>
      </c>
      <c r="B863" s="51" t="str">
        <v>柱身突出造型EPS439*480</v>
      </c>
      <c r="C863" s="51" t="e">
        <v>#REF!</v>
      </c>
      <c r="D863" s="51" t="str">
        <v/>
      </c>
      <c r="E863" s="51" t="str">
        <v/>
      </c>
      <c r="F863" s="52" t="e">
        <v>#REF!</v>
      </c>
      <c r="G863" s="48" t="e">
        <v>#REF!</v>
      </c>
      <c r="H863" s="49" t="e">
        <v>#REF!</v>
      </c>
      <c r="I863" s="49" t="e">
        <v>#REF!</v>
      </c>
      <c r="J863" s="50"/>
    </row>
    <row r="864" outlineLevel="1" spans="1:10">
      <c r="A864" s="50">
        <v>722</v>
      </c>
      <c r="B864" s="51" t="str">
        <v>上扶手线（含砼及埋件）</v>
      </c>
      <c r="C864" s="51" t="e">
        <v>#REF!</v>
      </c>
      <c r="D864" s="51" t="str">
        <v/>
      </c>
      <c r="E864" s="51" t="str">
        <v/>
      </c>
      <c r="F864" s="52" t="e">
        <v>#REF!</v>
      </c>
      <c r="G864" s="48" t="e">
        <v>#REF!</v>
      </c>
      <c r="H864" s="49" t="e">
        <v>#REF!</v>
      </c>
      <c r="I864" s="49" t="e">
        <v>#REF!</v>
      </c>
      <c r="J864" s="50"/>
    </row>
    <row r="865" outlineLevel="1" spans="1:10">
      <c r="A865" s="50">
        <v>723</v>
      </c>
      <c r="B865" s="51" t="str">
        <v>下扶手线</v>
      </c>
      <c r="C865" s="51" t="e">
        <v>#REF!</v>
      </c>
      <c r="D865" s="51" t="str">
        <v/>
      </c>
      <c r="E865" s="51" t="str">
        <v/>
      </c>
      <c r="F865" s="52" t="e">
        <v>#REF!</v>
      </c>
      <c r="G865" s="48" t="e">
        <v>#REF!</v>
      </c>
      <c r="H865" s="49" t="e">
        <v>#REF!</v>
      </c>
      <c r="I865" s="49" t="e">
        <v>#REF!</v>
      </c>
      <c r="J865" s="50"/>
    </row>
    <row r="866" outlineLevel="1" spans="1:10">
      <c r="A866" s="50">
        <v>724</v>
      </c>
      <c r="B866" s="51" t="str">
        <v>车库出入口成品宝瓶栏杆柱</v>
      </c>
      <c r="C866" s="51" t="e">
        <v>#REF!</v>
      </c>
      <c r="D866" s="51" t="str">
        <v/>
      </c>
      <c r="E866" s="51" t="str">
        <v/>
      </c>
      <c r="F866" s="52" t="e">
        <v>#REF!</v>
      </c>
      <c r="G866" s="48" t="e">
        <v>#REF!</v>
      </c>
      <c r="H866" s="49" t="e">
        <v>#REF!</v>
      </c>
      <c r="I866" s="49" t="e">
        <v>#REF!</v>
      </c>
      <c r="J866" s="50"/>
    </row>
    <row r="867" outlineLevel="1" spans="1:10">
      <c r="A867" s="50" t="str">
        <v/>
      </c>
      <c r="B867" s="51" t="str">
        <v>A.06.03外墙饰面工程</v>
      </c>
      <c r="C867" s="51" t="str">
        <v/>
      </c>
      <c r="D867" s="51" t="str">
        <v/>
      </c>
      <c r="E867" s="51" t="str">
        <v/>
      </c>
      <c r="F867" s="52" t="str">
        <v/>
      </c>
      <c r="G867" s="48" t="str">
        <v/>
      </c>
      <c r="H867" s="49">
        <v>0</v>
      </c>
      <c r="I867" s="49" t="e">
        <v>#REF!</v>
      </c>
      <c r="J867" s="50"/>
    </row>
    <row r="868" outlineLevel="1" spans="1:10">
      <c r="A868" s="50" t="str">
        <v/>
      </c>
      <c r="B868" s="51" t="str">
        <v>外墙大面涂料</v>
      </c>
      <c r="C868" s="51" t="str">
        <v/>
      </c>
      <c r="D868" s="51" t="str">
        <v/>
      </c>
      <c r="E868" s="51" t="str">
        <v/>
      </c>
      <c r="F868" s="52" t="str">
        <v/>
      </c>
      <c r="G868" s="48" t="str">
        <v/>
      </c>
      <c r="H868" s="49">
        <v>0</v>
      </c>
      <c r="I868" s="49">
        <v>0</v>
      </c>
      <c r="J868" s="50"/>
    </row>
    <row r="869" outlineLevel="1" spans="1:10">
      <c r="A869" s="50">
        <v>725</v>
      </c>
      <c r="B869" s="51" t="str">
        <v>外墙涂料-米黄色水包水</v>
      </c>
      <c r="C869" s="51" t="e">
        <v>#REF!</v>
      </c>
      <c r="D869" s="51" t="str">
        <v/>
      </c>
      <c r="E869" s="51" t="str">
        <v/>
      </c>
      <c r="F869" s="52" t="e">
        <v>#REF!</v>
      </c>
      <c r="G869" s="48" t="e">
        <v>#REF!</v>
      </c>
      <c r="H869" s="49" t="e">
        <v>#REF!</v>
      </c>
      <c r="I869" s="49" t="e">
        <v>#REF!</v>
      </c>
      <c r="J869" s="50"/>
    </row>
    <row r="870" outlineLevel="1" spans="1:10">
      <c r="A870" s="50">
        <v>726</v>
      </c>
      <c r="B870" s="51" t="str">
        <v>外墙涂料-水包砂</v>
      </c>
      <c r="C870" s="51" t="e">
        <v>#REF!</v>
      </c>
      <c r="D870" s="51" t="str">
        <v/>
      </c>
      <c r="E870" s="51" t="str">
        <v/>
      </c>
      <c r="F870" s="52" t="e">
        <v>#REF!</v>
      </c>
      <c r="G870" s="48" t="e">
        <v>#REF!</v>
      </c>
      <c r="H870" s="49">
        <v>0</v>
      </c>
      <c r="I870" s="49" t="e">
        <v>#REF!</v>
      </c>
      <c r="J870" s="50"/>
    </row>
    <row r="871" outlineLevel="1" spans="1:10">
      <c r="A871" s="50">
        <v>727</v>
      </c>
      <c r="B871" s="51" t="str">
        <v>外墙涂料-米黄色质感涂料</v>
      </c>
      <c r="C871" s="51" t="e">
        <v>#REF!</v>
      </c>
      <c r="D871" s="51" t="str">
        <v/>
      </c>
      <c r="E871" s="51" t="str">
        <v/>
      </c>
      <c r="F871" s="52" t="e">
        <v>#REF!</v>
      </c>
      <c r="G871" s="48" t="e">
        <v>#REF!</v>
      </c>
      <c r="H871" s="49">
        <v>0.447383608319959</v>
      </c>
      <c r="I871" s="49" t="e">
        <v>#REF!</v>
      </c>
      <c r="J871" s="50"/>
    </row>
    <row r="872" outlineLevel="1" spans="1:10">
      <c r="A872" s="50">
        <v>728</v>
      </c>
      <c r="B872" s="51" t="str">
        <v>外墙涂料-深褐色质感涂料</v>
      </c>
      <c r="C872" s="51" t="e">
        <v>#REF!</v>
      </c>
      <c r="D872" s="51" t="str">
        <v/>
      </c>
      <c r="E872" s="51" t="str">
        <v/>
      </c>
      <c r="F872" s="52" t="e">
        <v>#REF!</v>
      </c>
      <c r="G872" s="48" t="e">
        <v>#REF!</v>
      </c>
      <c r="H872" s="49" t="e">
        <v>#REF!</v>
      </c>
      <c r="I872" s="49" t="e">
        <v>#REF!</v>
      </c>
      <c r="J872" s="50"/>
    </row>
    <row r="873" outlineLevel="1" spans="1:10">
      <c r="A873" s="50">
        <v>729</v>
      </c>
      <c r="B873" s="51" t="str">
        <v>外墙涂料-咖色质感涂料</v>
      </c>
      <c r="C873" s="51" t="e">
        <v>#REF!</v>
      </c>
      <c r="D873" s="51" t="str">
        <v/>
      </c>
      <c r="E873" s="51" t="str">
        <v/>
      </c>
      <c r="F873" s="52" t="e">
        <v>#REF!</v>
      </c>
      <c r="G873" s="48" t="e">
        <v>#REF!</v>
      </c>
      <c r="H873" s="49" t="e">
        <v>#REF!</v>
      </c>
      <c r="I873" s="49" t="e">
        <v>#REF!</v>
      </c>
      <c r="J873" s="50"/>
    </row>
    <row r="874" ht="28.8" outlineLevel="1" spans="1:10">
      <c r="A874" s="50">
        <v>730</v>
      </c>
      <c r="B874" s="51" t="str">
        <v>外墙涂料-仿葡萄牙米黄水包水</v>
      </c>
      <c r="C874" s="51" t="e">
        <v>#REF!</v>
      </c>
      <c r="D874" s="51" t="str">
        <v/>
      </c>
      <c r="E874" s="51" t="str">
        <v/>
      </c>
      <c r="F874" s="52" t="e">
        <v>#REF!</v>
      </c>
      <c r="G874" s="48" t="e">
        <v>#REF!</v>
      </c>
      <c r="H874" s="49" t="e">
        <v>#REF!</v>
      </c>
      <c r="I874" s="49" t="e">
        <v>#REF!</v>
      </c>
      <c r="J874" s="50"/>
    </row>
    <row r="875" outlineLevel="1" spans="1:10">
      <c r="A875" s="50">
        <v>731</v>
      </c>
      <c r="B875" s="51" t="str">
        <v>外墙涂料-古典棕水包水</v>
      </c>
      <c r="C875" s="51" t="e">
        <v>#REF!</v>
      </c>
      <c r="D875" s="51" t="str">
        <v/>
      </c>
      <c r="E875" s="51" t="str">
        <v/>
      </c>
      <c r="F875" s="52" t="e">
        <v>#REF!</v>
      </c>
      <c r="G875" s="48" t="e">
        <v>#REF!</v>
      </c>
      <c r="H875" s="49" t="e">
        <v>#REF!</v>
      </c>
      <c r="I875" s="49" t="e">
        <v>#REF!</v>
      </c>
      <c r="J875" s="50"/>
    </row>
    <row r="876" outlineLevel="1" spans="1:10">
      <c r="A876" s="50">
        <v>732</v>
      </c>
      <c r="B876" s="51" t="str">
        <v>外墙涂料-米黄色真石漆</v>
      </c>
      <c r="C876" s="51" t="e">
        <v>#REF!</v>
      </c>
      <c r="D876" s="51" t="str">
        <v/>
      </c>
      <c r="E876" s="51" t="str">
        <v/>
      </c>
      <c r="F876" s="52" t="e">
        <v>#REF!</v>
      </c>
      <c r="G876" s="48" t="e">
        <v>#REF!</v>
      </c>
      <c r="H876" s="49" t="e">
        <v>#REF!</v>
      </c>
      <c r="I876" s="49" t="e">
        <v>#REF!</v>
      </c>
      <c r="J876" s="50"/>
    </row>
    <row r="877" ht="28.8" outlineLevel="1" spans="1:10">
      <c r="A877" s="50">
        <v>733</v>
      </c>
      <c r="B877" s="51" t="str">
        <v>外墙涂料-仿葡萄牙米黄真石漆</v>
      </c>
      <c r="C877" s="51" t="e">
        <v>#REF!</v>
      </c>
      <c r="D877" s="51" t="str">
        <v/>
      </c>
      <c r="E877" s="51" t="str">
        <v/>
      </c>
      <c r="F877" s="52" t="e">
        <v>#REF!</v>
      </c>
      <c r="G877" s="48" t="e">
        <v>#REF!</v>
      </c>
      <c r="H877" s="49" t="e">
        <v>#REF!</v>
      </c>
      <c r="I877" s="49" t="e">
        <v>#REF!</v>
      </c>
      <c r="J877" s="50"/>
    </row>
    <row r="878" outlineLevel="1" spans="1:10">
      <c r="A878" s="50">
        <v>734</v>
      </c>
      <c r="B878" s="51" t="str">
        <v>外墙涂料-米白色真石漆</v>
      </c>
      <c r="C878" s="51" t="e">
        <v>#REF!</v>
      </c>
      <c r="D878" s="51" t="str">
        <v/>
      </c>
      <c r="E878" s="51" t="str">
        <v/>
      </c>
      <c r="F878" s="52" t="e">
        <v>#REF!</v>
      </c>
      <c r="G878" s="48" t="e">
        <v>#REF!</v>
      </c>
      <c r="H878" s="49" t="e">
        <v>#REF!</v>
      </c>
      <c r="I878" s="49" t="e">
        <v>#REF!</v>
      </c>
      <c r="J878" s="50"/>
    </row>
    <row r="879" outlineLevel="1" spans="1:10">
      <c r="A879" s="50">
        <v>735</v>
      </c>
      <c r="B879" s="51" t="str">
        <v>外墙涂料-深咖色真石漆</v>
      </c>
      <c r="C879" s="51" t="e">
        <v>#REF!</v>
      </c>
      <c r="D879" s="51" t="str">
        <v/>
      </c>
      <c r="E879" s="51" t="str">
        <v/>
      </c>
      <c r="F879" s="52" t="e">
        <v>#REF!</v>
      </c>
      <c r="G879" s="48" t="e">
        <v>#REF!</v>
      </c>
      <c r="H879" s="49" t="e">
        <v>#REF!</v>
      </c>
      <c r="I879" s="49" t="e">
        <v>#REF!</v>
      </c>
      <c r="J879" s="50"/>
    </row>
    <row r="880" outlineLevel="1" spans="1:10">
      <c r="A880" s="50">
        <v>736</v>
      </c>
      <c r="B880" s="51" t="str">
        <v>外墙涂料-弹涂</v>
      </c>
      <c r="C880" s="51" t="e">
        <v>#REF!</v>
      </c>
      <c r="D880" s="51" t="str">
        <v/>
      </c>
      <c r="E880" s="51" t="str">
        <v/>
      </c>
      <c r="F880" s="52" t="e">
        <v>#REF!</v>
      </c>
      <c r="G880" s="48" t="e">
        <v>#REF!</v>
      </c>
      <c r="H880" s="49">
        <v>0</v>
      </c>
      <c r="I880" s="49" t="e">
        <v>#REF!</v>
      </c>
      <c r="J880" s="50"/>
    </row>
    <row r="881" outlineLevel="1" spans="1:10">
      <c r="A881" s="50">
        <v>737</v>
      </c>
      <c r="B881" s="51" t="str">
        <v>外墙涂料</v>
      </c>
      <c r="C881" s="51" t="e">
        <v>#REF!</v>
      </c>
      <c r="D881" s="51" t="str">
        <v/>
      </c>
      <c r="E881" s="51" t="str">
        <v/>
      </c>
      <c r="F881" s="52" t="e">
        <v>#REF!</v>
      </c>
      <c r="G881" s="48" t="e">
        <v>#REF!</v>
      </c>
      <c r="H881" s="49">
        <v>0</v>
      </c>
      <c r="I881" s="49" t="e">
        <v>#REF!</v>
      </c>
      <c r="J881" s="50"/>
    </row>
    <row r="882" outlineLevel="1" spans="1:10">
      <c r="A882" s="50">
        <v>738</v>
      </c>
      <c r="B882" s="51" t="str">
        <v>外墙涂料-管线涂料</v>
      </c>
      <c r="C882" s="51" t="e">
        <v>#REF!</v>
      </c>
      <c r="D882" s="51" t="str">
        <v/>
      </c>
      <c r="E882" s="51" t="str">
        <v/>
      </c>
      <c r="F882" s="52" t="e">
        <v>#REF!</v>
      </c>
      <c r="G882" s="48" t="e">
        <v>#REF!</v>
      </c>
      <c r="H882" s="49" t="e">
        <v>#REF!</v>
      </c>
      <c r="I882" s="49" t="e">
        <v>#REF!</v>
      </c>
      <c r="J882" s="50"/>
    </row>
    <row r="883" outlineLevel="1" spans="1:10">
      <c r="A883" s="50" t="str">
        <v/>
      </c>
      <c r="B883" s="51" t="str">
        <v>外墙外挑构件涂料</v>
      </c>
      <c r="C883" s="51" t="str">
        <v/>
      </c>
      <c r="D883" s="51" t="str">
        <v/>
      </c>
      <c r="E883" s="51" t="str">
        <v/>
      </c>
      <c r="F883" s="52" t="str">
        <v/>
      </c>
      <c r="G883" s="48" t="str">
        <v/>
      </c>
      <c r="H883" s="49">
        <v>0</v>
      </c>
      <c r="I883" s="49">
        <v>0</v>
      </c>
      <c r="J883" s="50"/>
    </row>
    <row r="884" outlineLevel="1" spans="1:10">
      <c r="A884" s="50">
        <v>739</v>
      </c>
      <c r="B884" s="51" t="str">
        <v>外墙外挑涂料-米黄色水包水</v>
      </c>
      <c r="C884" s="51" t="e">
        <v>#REF!</v>
      </c>
      <c r="D884" s="51" t="str">
        <v/>
      </c>
      <c r="E884" s="51" t="str">
        <v/>
      </c>
      <c r="F884" s="52" t="e">
        <v>#REF!</v>
      </c>
      <c r="G884" s="48" t="e">
        <v>#REF!</v>
      </c>
      <c r="H884" s="49" t="e">
        <v>#REF!</v>
      </c>
      <c r="I884" s="49" t="e">
        <v>#REF!</v>
      </c>
      <c r="J884" s="50"/>
    </row>
    <row r="885" ht="28.8" outlineLevel="1" spans="1:10">
      <c r="A885" s="50">
        <v>740</v>
      </c>
      <c r="B885" s="51" t="str">
        <v>外墙外挑涂料-米黄色质感涂料</v>
      </c>
      <c r="C885" s="51" t="e">
        <v>#REF!</v>
      </c>
      <c r="D885" s="51" t="str">
        <v/>
      </c>
      <c r="E885" s="51" t="str">
        <v/>
      </c>
      <c r="F885" s="52" t="e">
        <v>#REF!</v>
      </c>
      <c r="G885" s="48" t="e">
        <v>#REF!</v>
      </c>
      <c r="H885" s="49" t="e">
        <v>#REF!</v>
      </c>
      <c r="I885" s="49" t="e">
        <v>#REF!</v>
      </c>
      <c r="J885" s="50"/>
    </row>
    <row r="886" ht="28.8" outlineLevel="1" spans="1:10">
      <c r="A886" s="50">
        <v>741</v>
      </c>
      <c r="B886" s="51" t="str">
        <v>外墙外挑涂料-深褐色质感涂料</v>
      </c>
      <c r="C886" s="51" t="e">
        <v>#REF!</v>
      </c>
      <c r="D886" s="51" t="str">
        <v/>
      </c>
      <c r="E886" s="51" t="str">
        <v/>
      </c>
      <c r="F886" s="52" t="e">
        <v>#REF!</v>
      </c>
      <c r="G886" s="48" t="e">
        <v>#REF!</v>
      </c>
      <c r="H886" s="49" t="e">
        <v>#REF!</v>
      </c>
      <c r="I886" s="49" t="e">
        <v>#REF!</v>
      </c>
      <c r="J886" s="50"/>
    </row>
    <row r="887" outlineLevel="1" spans="1:10">
      <c r="A887" s="50">
        <v>742</v>
      </c>
      <c r="B887" s="51" t="str">
        <v>外墙涂料-空调仓</v>
      </c>
      <c r="C887" s="51" t="e">
        <v>#REF!</v>
      </c>
      <c r="D887" s="51" t="str">
        <v/>
      </c>
      <c r="E887" s="51" t="str">
        <v/>
      </c>
      <c r="F887" s="52" t="e">
        <v>#REF!</v>
      </c>
      <c r="G887" s="48" t="e">
        <v>#REF!</v>
      </c>
      <c r="H887" s="49" t="e">
        <v>#REF!</v>
      </c>
      <c r="I887" s="49" t="e">
        <v>#REF!</v>
      </c>
      <c r="J887" s="50"/>
    </row>
    <row r="888" outlineLevel="1" spans="1:10">
      <c r="A888" s="50">
        <v>743</v>
      </c>
      <c r="B888" s="51" t="str">
        <v>外墙防水-空调仓</v>
      </c>
      <c r="C888" s="51" t="e">
        <v>#REF!</v>
      </c>
      <c r="D888" s="51" t="str">
        <v/>
      </c>
      <c r="E888" s="51" t="str">
        <v/>
      </c>
      <c r="F888" s="52" t="e">
        <v>#REF!</v>
      </c>
      <c r="G888" s="48" t="e">
        <v>#REF!</v>
      </c>
      <c r="H888" s="49" t="e">
        <v>#REF!</v>
      </c>
      <c r="I888" s="49" t="e">
        <v>#REF!</v>
      </c>
      <c r="J888" s="50"/>
    </row>
    <row r="889" outlineLevel="1" spans="1:10">
      <c r="A889" s="50">
        <v>744</v>
      </c>
      <c r="B889" s="51" t="str">
        <v>外墙面-空调仓保护层</v>
      </c>
      <c r="C889" s="51" t="e">
        <v>#REF!</v>
      </c>
      <c r="D889" s="51" t="str">
        <v/>
      </c>
      <c r="E889" s="51" t="str">
        <v/>
      </c>
      <c r="F889" s="52" t="e">
        <v>#REF!</v>
      </c>
      <c r="G889" s="48" t="e">
        <v>#REF!</v>
      </c>
      <c r="H889" s="49" t="e">
        <v>#REF!</v>
      </c>
      <c r="I889" s="49" t="e">
        <v>#REF!</v>
      </c>
      <c r="J889" s="50"/>
    </row>
    <row r="890" outlineLevel="1" spans="1:10">
      <c r="A890" s="50">
        <v>745</v>
      </c>
      <c r="B890" s="51" t="str">
        <v>外墙面-空调板防水</v>
      </c>
      <c r="C890" s="51" t="e">
        <v>#REF!</v>
      </c>
      <c r="D890" s="51" t="str">
        <v/>
      </c>
      <c r="E890" s="51" t="str">
        <v/>
      </c>
      <c r="F890" s="52" t="e">
        <v>#REF!</v>
      </c>
      <c r="G890" s="48" t="e">
        <v>#REF!</v>
      </c>
      <c r="H890" s="49" t="e">
        <v>#REF!</v>
      </c>
      <c r="I890" s="49" t="e">
        <v>#REF!</v>
      </c>
      <c r="J890" s="50"/>
    </row>
    <row r="891" ht="28.8" outlineLevel="1" spans="1:10">
      <c r="A891" s="50">
        <v>746</v>
      </c>
      <c r="B891" s="51" t="str">
        <v>外墙面-15厚聚合物M15水泥（防水）砂浆</v>
      </c>
      <c r="C891" s="51" t="e">
        <v>#REF!</v>
      </c>
      <c r="D891" s="51" t="str">
        <v/>
      </c>
      <c r="E891" s="51" t="str">
        <v/>
      </c>
      <c r="F891" s="52" t="e">
        <v>#REF!</v>
      </c>
      <c r="G891" s="48" t="e">
        <v>#REF!</v>
      </c>
      <c r="H891" s="49" t="e">
        <v>#REF!</v>
      </c>
      <c r="I891" s="49" t="e">
        <v>#REF!</v>
      </c>
      <c r="J891" s="50"/>
    </row>
    <row r="892" outlineLevel="1" spans="1:10">
      <c r="A892" s="50" t="str">
        <v/>
      </c>
      <c r="B892" s="51" t="str">
        <v>外墙保温与普通砂浆找平层</v>
      </c>
      <c r="C892" s="51" t="str">
        <v/>
      </c>
      <c r="D892" s="51" t="str">
        <v/>
      </c>
      <c r="E892" s="51" t="str">
        <v/>
      </c>
      <c r="F892" s="52" t="str">
        <v/>
      </c>
      <c r="G892" s="48" t="str">
        <v/>
      </c>
      <c r="H892" s="49">
        <v>0</v>
      </c>
      <c r="I892" s="49">
        <v>0</v>
      </c>
      <c r="J892" s="50"/>
    </row>
    <row r="893" outlineLevel="1" spans="1:10">
      <c r="A893" s="50">
        <v>747</v>
      </c>
      <c r="B893" s="51" t="str">
        <v>外墙面-界面剂</v>
      </c>
      <c r="C893" s="51" t="e">
        <v>#REF!</v>
      </c>
      <c r="D893" s="51" t="str">
        <v/>
      </c>
      <c r="E893" s="51" t="str">
        <v/>
      </c>
      <c r="F893" s="52" t="e">
        <v>#REF!</v>
      </c>
      <c r="G893" s="48" t="e">
        <v>#REF!</v>
      </c>
      <c r="H893" s="49" t="e">
        <v>#REF!</v>
      </c>
      <c r="I893" s="49" t="e">
        <v>#REF!</v>
      </c>
      <c r="J893" s="50"/>
    </row>
    <row r="894" outlineLevel="1" spans="1:10">
      <c r="A894" s="50">
        <v>748</v>
      </c>
      <c r="B894" s="51" t="str">
        <v>外墙面-12厚轻质砂浆</v>
      </c>
      <c r="C894" s="51" t="e">
        <v>#REF!</v>
      </c>
      <c r="D894" s="51" t="str">
        <v/>
      </c>
      <c r="E894" s="51" t="str">
        <v/>
      </c>
      <c r="F894" s="52" t="e">
        <v>#REF!</v>
      </c>
      <c r="G894" s="48" t="e">
        <v>#REF!</v>
      </c>
      <c r="H894" s="49" t="e">
        <v>#REF!</v>
      </c>
      <c r="I894" s="49" t="e">
        <v>#REF!</v>
      </c>
      <c r="J894" s="50"/>
    </row>
    <row r="895" outlineLevel="1" spans="1:10">
      <c r="A895" s="50">
        <v>749</v>
      </c>
      <c r="B895" s="51" t="str">
        <v>外墙面-15厚轻质砂浆</v>
      </c>
      <c r="C895" s="51" t="e">
        <v>#REF!</v>
      </c>
      <c r="D895" s="51" t="str">
        <v/>
      </c>
      <c r="E895" s="51" t="str">
        <v/>
      </c>
      <c r="F895" s="52" t="e">
        <v>#REF!</v>
      </c>
      <c r="G895" s="48" t="e">
        <v>#REF!</v>
      </c>
      <c r="H895" s="49">
        <v>0</v>
      </c>
      <c r="I895" s="49" t="e">
        <v>#REF!</v>
      </c>
      <c r="J895" s="50"/>
    </row>
    <row r="896" outlineLevel="1" spans="1:10">
      <c r="A896" s="50">
        <v>750</v>
      </c>
      <c r="B896" s="51" t="str">
        <v>外墙保温-20厚有机保温砂浆</v>
      </c>
      <c r="C896" s="51" t="e">
        <v>#REF!</v>
      </c>
      <c r="D896" s="51" t="str">
        <v/>
      </c>
      <c r="E896" s="51" t="str">
        <v/>
      </c>
      <c r="F896" s="52" t="e">
        <v>#REF!</v>
      </c>
      <c r="G896" s="48" t="e">
        <v>#REF!</v>
      </c>
      <c r="H896" s="49" t="e">
        <v>#REF!</v>
      </c>
      <c r="I896" s="49" t="e">
        <v>#REF!</v>
      </c>
      <c r="J896" s="50"/>
    </row>
    <row r="897" outlineLevel="1" spans="1:10">
      <c r="A897" s="50">
        <v>751</v>
      </c>
      <c r="B897" s="51" t="str">
        <v>外墙面-3厚抗裂砂浆</v>
      </c>
      <c r="C897" s="51" t="e">
        <v>#REF!</v>
      </c>
      <c r="D897" s="51" t="str">
        <v/>
      </c>
      <c r="E897" s="51" t="str">
        <v/>
      </c>
      <c r="F897" s="52" t="e">
        <v>#REF!</v>
      </c>
      <c r="G897" s="48" t="e">
        <v>#REF!</v>
      </c>
      <c r="H897" s="49" t="e">
        <v>#REF!</v>
      </c>
      <c r="I897" s="49" t="e">
        <v>#REF!</v>
      </c>
      <c r="J897" s="50"/>
    </row>
    <row r="898" outlineLevel="1" spans="1:10">
      <c r="A898" s="50">
        <v>752</v>
      </c>
      <c r="B898" s="51" t="str">
        <v>外墙面-网格布</v>
      </c>
      <c r="C898" s="51" t="e">
        <v>#REF!</v>
      </c>
      <c r="D898" s="51" t="str">
        <v/>
      </c>
      <c r="E898" s="51" t="str">
        <v/>
      </c>
      <c r="F898" s="52" t="e">
        <v>#REF!</v>
      </c>
      <c r="G898" s="48" t="e">
        <v>#REF!</v>
      </c>
      <c r="H898" s="49" t="e">
        <v>#REF!</v>
      </c>
      <c r="I898" s="49" t="e">
        <v>#REF!</v>
      </c>
      <c r="J898" s="50"/>
    </row>
    <row r="899" outlineLevel="1" spans="1:10">
      <c r="A899" s="50">
        <v>753</v>
      </c>
      <c r="B899" s="51" t="str">
        <v>外墙面-12厚M5水泥砂浆</v>
      </c>
      <c r="C899" s="51" t="e">
        <v>#REF!</v>
      </c>
      <c r="D899" s="51" t="str">
        <v/>
      </c>
      <c r="E899" s="51" t="str">
        <v/>
      </c>
      <c r="F899" s="52" t="e">
        <v>#REF!</v>
      </c>
      <c r="G899" s="48" t="e">
        <v>#REF!</v>
      </c>
      <c r="H899" s="49" t="e">
        <v>#REF!</v>
      </c>
      <c r="I899" s="49" t="e">
        <v>#REF!</v>
      </c>
      <c r="J899" s="50"/>
    </row>
    <row r="900" outlineLevel="1" spans="1:10">
      <c r="A900" s="50">
        <v>754</v>
      </c>
      <c r="B900" s="51" t="str">
        <v>外墙面-13厚M5水泥砂浆</v>
      </c>
      <c r="C900" s="51" t="e">
        <v>#REF!</v>
      </c>
      <c r="D900" s="51" t="str">
        <v/>
      </c>
      <c r="E900" s="51" t="str">
        <v/>
      </c>
      <c r="F900" s="52" t="e">
        <v>#REF!</v>
      </c>
      <c r="G900" s="48" t="e">
        <v>#REF!</v>
      </c>
      <c r="H900" s="49" t="e">
        <v>#REF!</v>
      </c>
      <c r="I900" s="49" t="e">
        <v>#REF!</v>
      </c>
      <c r="J900" s="50"/>
    </row>
    <row r="901" spans="1:10">
      <c r="A901" s="40"/>
      <c r="B901" s="41" t="s">
        <v>2356</v>
      </c>
      <c r="C901" s="41"/>
      <c r="D901" s="41"/>
      <c r="E901" s="41"/>
      <c r="F901" s="42"/>
      <c r="G901" s="43"/>
      <c r="H901" s="44"/>
      <c r="I901" s="44"/>
      <c r="J901" s="40"/>
    </row>
    <row r="902" outlineLevel="1" spans="1:10">
      <c r="A902" s="50" t="str">
        <f ca="1" t="array" ref="A902:G1798">IF(INDIRECT(K2&amp;"!A4:G900")=0,"",INDIRECT(K2&amp;"!A4:G900"))</f>
        <v/>
      </c>
      <c r="B902" s="51" t="str">
        <v>地下给排水</v>
      </c>
      <c r="C902" s="51" t="str">
        <v/>
      </c>
      <c r="D902" s="51" t="str">
        <v/>
      </c>
      <c r="E902" s="51" t="str">
        <v/>
      </c>
      <c r="F902" s="52" t="str">
        <v/>
      </c>
      <c r="G902" s="48" t="str">
        <v/>
      </c>
      <c r="H902" s="49">
        <f ca="1" t="array" ref="H902:H1798">INDIRECT(K2&amp;"!O4:O900")</f>
        <v>0</v>
      </c>
      <c r="I902" s="49" t="e">
        <f ca="1" t="array" ref="I902:I1798">INDIRECT(K2&amp;"!Y4:Y900")</f>
        <v>#REF!</v>
      </c>
      <c r="J902" s="50"/>
    </row>
    <row r="903" outlineLevel="1" spans="1:10">
      <c r="A903" s="50" t="str">
        <v/>
      </c>
      <c r="B903" s="51" t="str">
        <v>B.01地下给水</v>
      </c>
      <c r="C903" s="51" t="str">
        <v/>
      </c>
      <c r="D903" s="51" t="str">
        <v/>
      </c>
      <c r="E903" s="51" t="str">
        <v/>
      </c>
      <c r="F903" s="52" t="str">
        <v/>
      </c>
      <c r="G903" s="48" t="str">
        <v/>
      </c>
      <c r="H903" s="49">
        <v>0</v>
      </c>
      <c r="I903" s="49" t="e">
        <v>#REF!</v>
      </c>
      <c r="J903" s="50"/>
    </row>
    <row r="904" outlineLevel="1" spans="1:10">
      <c r="A904" s="50" t="str">
        <v/>
      </c>
      <c r="B904" s="51" t="str">
        <v>B.01.1阀部件</v>
      </c>
      <c r="C904" s="51" t="str">
        <v/>
      </c>
      <c r="D904" s="51" t="str">
        <v/>
      </c>
      <c r="E904" s="51" t="str">
        <v/>
      </c>
      <c r="F904" s="52" t="str">
        <v/>
      </c>
      <c r="G904" s="48" t="str">
        <v/>
      </c>
      <c r="H904" s="49">
        <v>0</v>
      </c>
      <c r="I904" s="49" t="e">
        <v>#REF!</v>
      </c>
      <c r="J904" s="50"/>
    </row>
    <row r="905" outlineLevel="1" spans="1:10">
      <c r="A905" s="50">
        <v>1</v>
      </c>
      <c r="B905" s="51" t="str">
        <v>螺纹阀门-自动放气阀-DN15</v>
      </c>
      <c r="C905" s="51" t="e">
        <v>#REF!</v>
      </c>
      <c r="D905" s="51" t="str">
        <v/>
      </c>
      <c r="E905" s="51" t="str">
        <v/>
      </c>
      <c r="F905" s="52" t="e">
        <v>#REF!</v>
      </c>
      <c r="G905" s="48" t="e">
        <v>#REF!</v>
      </c>
      <c r="H905" s="49">
        <v>0</v>
      </c>
      <c r="I905" s="49" t="e">
        <v>#REF!</v>
      </c>
      <c r="J905" s="50"/>
    </row>
    <row r="906" outlineLevel="1" spans="1:10">
      <c r="A906" s="50">
        <v>2</v>
      </c>
      <c r="B906" s="51" t="str">
        <v>螺纹阀门-截止阀-DN15</v>
      </c>
      <c r="C906" s="51" t="e">
        <v>#REF!</v>
      </c>
      <c r="D906" s="51" t="str">
        <v/>
      </c>
      <c r="E906" s="51" t="str">
        <v/>
      </c>
      <c r="F906" s="52" t="e">
        <v>#REF!</v>
      </c>
      <c r="G906" s="48" t="e">
        <v>#REF!</v>
      </c>
      <c r="H906" s="49">
        <v>0</v>
      </c>
      <c r="I906" s="49" t="e">
        <v>#REF!</v>
      </c>
      <c r="J906" s="50"/>
    </row>
    <row r="907" outlineLevel="1" spans="1:10">
      <c r="A907" s="50">
        <v>3</v>
      </c>
      <c r="B907" s="51" t="str">
        <v>螺纹阀门-截止阀-DN25</v>
      </c>
      <c r="C907" s="51" t="e">
        <v>#REF!</v>
      </c>
      <c r="D907" s="51" t="str">
        <v/>
      </c>
      <c r="E907" s="51" t="str">
        <v/>
      </c>
      <c r="F907" s="52" t="e">
        <v>#REF!</v>
      </c>
      <c r="G907" s="48" t="e">
        <v>#REF!</v>
      </c>
      <c r="H907" s="49">
        <v>0</v>
      </c>
      <c r="I907" s="49" t="e">
        <v>#REF!</v>
      </c>
      <c r="J907" s="50"/>
    </row>
    <row r="908" outlineLevel="1" spans="1:10">
      <c r="A908" s="50">
        <v>4</v>
      </c>
      <c r="B908" s="51" t="str">
        <v>螺纹阀门-截止阀-DN32</v>
      </c>
      <c r="C908" s="51" t="e">
        <v>#REF!</v>
      </c>
      <c r="D908" s="51" t="str">
        <v/>
      </c>
      <c r="E908" s="51" t="str">
        <v/>
      </c>
      <c r="F908" s="52" t="e">
        <v>#REF!</v>
      </c>
      <c r="G908" s="48" t="e">
        <v>#REF!</v>
      </c>
      <c r="H908" s="49">
        <v>0</v>
      </c>
      <c r="I908" s="49" t="e">
        <v>#REF!</v>
      </c>
      <c r="J908" s="50"/>
    </row>
    <row r="909" outlineLevel="1" spans="1:10">
      <c r="A909" s="50">
        <v>5</v>
      </c>
      <c r="B909" s="51" t="str">
        <v>螺纹阀门-截止阀-De20</v>
      </c>
      <c r="C909" s="51" t="e">
        <v>#REF!</v>
      </c>
      <c r="D909" s="51" t="str">
        <v/>
      </c>
      <c r="E909" s="51" t="str">
        <v/>
      </c>
      <c r="F909" s="52" t="e">
        <v>#REF!</v>
      </c>
      <c r="G909" s="48" t="e">
        <v>#REF!</v>
      </c>
      <c r="H909" s="49">
        <v>0</v>
      </c>
      <c r="I909" s="49" t="e">
        <v>#REF!</v>
      </c>
      <c r="J909" s="50"/>
    </row>
    <row r="910" outlineLevel="1" spans="1:10">
      <c r="A910" s="50">
        <v>6</v>
      </c>
      <c r="B910" s="51" t="str">
        <v>螺纹阀门-截止阀-De25</v>
      </c>
      <c r="C910" s="51" t="e">
        <v>#REF!</v>
      </c>
      <c r="D910" s="51" t="str">
        <v/>
      </c>
      <c r="E910" s="51" t="str">
        <v/>
      </c>
      <c r="F910" s="52" t="e">
        <v>#REF!</v>
      </c>
      <c r="G910" s="48" t="e">
        <v>#REF!</v>
      </c>
      <c r="H910" s="49">
        <v>0</v>
      </c>
      <c r="I910" s="49" t="e">
        <v>#REF!</v>
      </c>
      <c r="J910" s="50"/>
    </row>
    <row r="911" outlineLevel="1" spans="1:10">
      <c r="A911" s="50">
        <v>7</v>
      </c>
      <c r="B911" s="51" t="str">
        <v>螺纹阀门-截止阀-De32</v>
      </c>
      <c r="C911" s="51" t="e">
        <v>#REF!</v>
      </c>
      <c r="D911" s="51" t="str">
        <v/>
      </c>
      <c r="E911" s="51" t="str">
        <v/>
      </c>
      <c r="F911" s="52" t="e">
        <v>#REF!</v>
      </c>
      <c r="G911" s="48" t="e">
        <v>#REF!</v>
      </c>
      <c r="H911" s="49">
        <v>0</v>
      </c>
      <c r="I911" s="49" t="e">
        <v>#REF!</v>
      </c>
      <c r="J911" s="50"/>
    </row>
    <row r="912" outlineLevel="1" spans="1:10">
      <c r="A912" s="50">
        <v>8</v>
      </c>
      <c r="B912" s="51" t="str">
        <v>螺纹阀门-截止阀-De40</v>
      </c>
      <c r="C912" s="51" t="e">
        <v>#REF!</v>
      </c>
      <c r="D912" s="51" t="str">
        <v/>
      </c>
      <c r="E912" s="51" t="str">
        <v/>
      </c>
      <c r="F912" s="52" t="e">
        <v>#REF!</v>
      </c>
      <c r="G912" s="48" t="e">
        <v>#REF!</v>
      </c>
      <c r="H912" s="49">
        <v>0</v>
      </c>
      <c r="I912" s="49" t="e">
        <v>#REF!</v>
      </c>
      <c r="J912" s="50"/>
    </row>
    <row r="913" outlineLevel="1" spans="1:10">
      <c r="A913" s="50">
        <v>9</v>
      </c>
      <c r="B913" s="51" t="str">
        <v>螺纹阀门-截止阀-De50</v>
      </c>
      <c r="C913" s="51" t="e">
        <v>#REF!</v>
      </c>
      <c r="D913" s="51" t="str">
        <v/>
      </c>
      <c r="E913" s="51" t="str">
        <v/>
      </c>
      <c r="F913" s="52" t="e">
        <v>#REF!</v>
      </c>
      <c r="G913" s="48" t="e">
        <v>#REF!</v>
      </c>
      <c r="H913" s="49">
        <v>0</v>
      </c>
      <c r="I913" s="49" t="e">
        <v>#REF!</v>
      </c>
      <c r="J913" s="50"/>
    </row>
    <row r="914" outlineLevel="1" spans="1:10">
      <c r="A914" s="50">
        <v>10</v>
      </c>
      <c r="B914" s="51" t="str">
        <v>螺纹阀门-截止阀-De63</v>
      </c>
      <c r="C914" s="51" t="e">
        <v>#REF!</v>
      </c>
      <c r="D914" s="51" t="str">
        <v/>
      </c>
      <c r="E914" s="51" t="str">
        <v/>
      </c>
      <c r="F914" s="52" t="e">
        <v>#REF!</v>
      </c>
      <c r="G914" s="48" t="e">
        <v>#REF!</v>
      </c>
      <c r="H914" s="49">
        <v>0</v>
      </c>
      <c r="I914" s="49" t="e">
        <v>#REF!</v>
      </c>
      <c r="J914" s="50"/>
    </row>
    <row r="915" outlineLevel="1" spans="1:10">
      <c r="A915" s="50">
        <v>11</v>
      </c>
      <c r="B915" s="51" t="str">
        <v>螺纹阀门-止回阀-DN32</v>
      </c>
      <c r="C915" s="51" t="e">
        <v>#REF!</v>
      </c>
      <c r="D915" s="51" t="str">
        <v/>
      </c>
      <c r="E915" s="51" t="str">
        <v/>
      </c>
      <c r="F915" s="52" t="e">
        <v>#REF!</v>
      </c>
      <c r="G915" s="48" t="e">
        <v>#REF!</v>
      </c>
      <c r="H915" s="49">
        <v>0</v>
      </c>
      <c r="I915" s="49" t="e">
        <v>#REF!</v>
      </c>
      <c r="J915" s="50"/>
    </row>
    <row r="916" outlineLevel="1" spans="1:10">
      <c r="A916" s="50">
        <v>12</v>
      </c>
      <c r="B916" s="51" t="str">
        <v>螺纹阀门-闸阀-DN25</v>
      </c>
      <c r="C916" s="51" t="e">
        <v>#REF!</v>
      </c>
      <c r="D916" s="51" t="str">
        <v/>
      </c>
      <c r="E916" s="51" t="str">
        <v/>
      </c>
      <c r="F916" s="52" t="e">
        <v>#REF!</v>
      </c>
      <c r="G916" s="48" t="e">
        <v>#REF!</v>
      </c>
      <c r="H916" s="49">
        <v>0</v>
      </c>
      <c r="I916" s="49" t="e">
        <v>#REF!</v>
      </c>
      <c r="J916" s="50"/>
    </row>
    <row r="917" outlineLevel="1" spans="1:10">
      <c r="A917" s="50">
        <v>13</v>
      </c>
      <c r="B917" s="51" t="str">
        <v>螺纹阀门-闸阀-DN32</v>
      </c>
      <c r="C917" s="51" t="e">
        <v>#REF!</v>
      </c>
      <c r="D917" s="51" t="str">
        <v/>
      </c>
      <c r="E917" s="51" t="str">
        <v/>
      </c>
      <c r="F917" s="52" t="e">
        <v>#REF!</v>
      </c>
      <c r="G917" s="48" t="e">
        <v>#REF!</v>
      </c>
      <c r="H917" s="49">
        <v>0</v>
      </c>
      <c r="I917" s="49" t="e">
        <v>#REF!</v>
      </c>
      <c r="J917" s="50"/>
    </row>
    <row r="918" outlineLevel="1" spans="1:10">
      <c r="A918" s="50">
        <v>14</v>
      </c>
      <c r="B918" s="51" t="str">
        <v>螺纹阀门-闸阀-DN40</v>
      </c>
      <c r="C918" s="51" t="e">
        <v>#REF!</v>
      </c>
      <c r="D918" s="51" t="str">
        <v/>
      </c>
      <c r="E918" s="51" t="str">
        <v/>
      </c>
      <c r="F918" s="52" t="e">
        <v>#REF!</v>
      </c>
      <c r="G918" s="48" t="e">
        <v>#REF!</v>
      </c>
      <c r="H918" s="49">
        <v>0</v>
      </c>
      <c r="I918" s="49" t="e">
        <v>#REF!</v>
      </c>
      <c r="J918" s="50"/>
    </row>
    <row r="919" outlineLevel="1" spans="1:10">
      <c r="A919" s="50">
        <v>15</v>
      </c>
      <c r="B919" s="51" t="str">
        <v>螺纹阀门-闸阀-DN50</v>
      </c>
      <c r="C919" s="51" t="e">
        <v>#REF!</v>
      </c>
      <c r="D919" s="51" t="str">
        <v/>
      </c>
      <c r="E919" s="51" t="str">
        <v/>
      </c>
      <c r="F919" s="52" t="e">
        <v>#REF!</v>
      </c>
      <c r="G919" s="48" t="e">
        <v>#REF!</v>
      </c>
      <c r="H919" s="49">
        <v>0</v>
      </c>
      <c r="I919" s="49" t="e">
        <v>#REF!</v>
      </c>
      <c r="J919" s="50"/>
    </row>
    <row r="920" outlineLevel="1" spans="1:10">
      <c r="A920" s="50">
        <v>16</v>
      </c>
      <c r="B920" s="51" t="str">
        <v>螺纹阀门-过滤器-De50</v>
      </c>
      <c r="C920" s="51" t="e">
        <v>#REF!</v>
      </c>
      <c r="D920" s="51" t="str">
        <v/>
      </c>
      <c r="E920" s="51" t="str">
        <v/>
      </c>
      <c r="F920" s="52" t="e">
        <v>#REF!</v>
      </c>
      <c r="G920" s="48" t="e">
        <v>#REF!</v>
      </c>
      <c r="H920" s="49">
        <v>0</v>
      </c>
      <c r="I920" s="49" t="e">
        <v>#REF!</v>
      </c>
      <c r="J920" s="50"/>
    </row>
    <row r="921" outlineLevel="1" spans="1:10">
      <c r="A921" s="50">
        <v>17</v>
      </c>
      <c r="B921" s="51" t="str">
        <v>螺纹阀门-过滤器-DN50</v>
      </c>
      <c r="C921" s="51" t="e">
        <v>#REF!</v>
      </c>
      <c r="D921" s="51" t="str">
        <v/>
      </c>
      <c r="E921" s="51" t="str">
        <v/>
      </c>
      <c r="F921" s="52" t="e">
        <v>#REF!</v>
      </c>
      <c r="G921" s="48" t="e">
        <v>#REF!</v>
      </c>
      <c r="H921" s="49">
        <v>0</v>
      </c>
      <c r="I921" s="49" t="e">
        <v>#REF!</v>
      </c>
      <c r="J921" s="50"/>
    </row>
    <row r="922" outlineLevel="1" spans="1:10">
      <c r="A922" s="50">
        <v>18</v>
      </c>
      <c r="B922" s="51" t="str">
        <v>法兰阀门-过滤器-DN100</v>
      </c>
      <c r="C922" s="51" t="e">
        <v>#REF!</v>
      </c>
      <c r="D922" s="51" t="str">
        <v/>
      </c>
      <c r="E922" s="51" t="str">
        <v/>
      </c>
      <c r="F922" s="52" t="e">
        <v>#REF!</v>
      </c>
      <c r="G922" s="48" t="e">
        <v>#REF!</v>
      </c>
      <c r="H922" s="49">
        <v>0</v>
      </c>
      <c r="I922" s="49" t="e">
        <v>#REF!</v>
      </c>
      <c r="J922" s="50"/>
    </row>
    <row r="923" outlineLevel="1" spans="1:10">
      <c r="A923" s="50">
        <v>19</v>
      </c>
      <c r="B923" s="51" t="str">
        <v>螺纹阀门-软接头-De50</v>
      </c>
      <c r="C923" s="51" t="e">
        <v>#REF!</v>
      </c>
      <c r="D923" s="51" t="str">
        <v/>
      </c>
      <c r="E923" s="51" t="str">
        <v/>
      </c>
      <c r="F923" s="52" t="e">
        <v>#REF!</v>
      </c>
      <c r="G923" s="48" t="e">
        <v>#REF!</v>
      </c>
      <c r="H923" s="49">
        <v>0</v>
      </c>
      <c r="I923" s="49" t="e">
        <v>#REF!</v>
      </c>
      <c r="J923" s="50"/>
    </row>
    <row r="924" outlineLevel="1" spans="1:10">
      <c r="A924" s="50">
        <v>20</v>
      </c>
      <c r="B924" s="51" t="str">
        <v>法兰阀门-软接头-DN100</v>
      </c>
      <c r="C924" s="51" t="e">
        <v>#REF!</v>
      </c>
      <c r="D924" s="51" t="str">
        <v/>
      </c>
      <c r="E924" s="51" t="str">
        <v/>
      </c>
      <c r="F924" s="52" t="e">
        <v>#REF!</v>
      </c>
      <c r="G924" s="48" t="e">
        <v>#REF!</v>
      </c>
      <c r="H924" s="49">
        <v>0</v>
      </c>
      <c r="I924" s="49" t="e">
        <v>#REF!</v>
      </c>
      <c r="J924" s="50"/>
    </row>
    <row r="925" outlineLevel="1" spans="1:10">
      <c r="A925" s="50">
        <v>21</v>
      </c>
      <c r="B925" s="51" t="str">
        <v>法兰阀门-闸阀-DN65</v>
      </c>
      <c r="C925" s="51" t="e">
        <v>#REF!</v>
      </c>
      <c r="D925" s="51" t="str">
        <v/>
      </c>
      <c r="E925" s="51" t="str">
        <v/>
      </c>
      <c r="F925" s="52" t="e">
        <v>#REF!</v>
      </c>
      <c r="G925" s="48" t="e">
        <v>#REF!</v>
      </c>
      <c r="H925" s="49">
        <v>0</v>
      </c>
      <c r="I925" s="49" t="e">
        <v>#REF!</v>
      </c>
      <c r="J925" s="50"/>
    </row>
    <row r="926" outlineLevel="1" spans="1:10">
      <c r="A926" s="50">
        <v>22</v>
      </c>
      <c r="B926" s="51" t="str">
        <v>对夹式蝶阀-De50</v>
      </c>
      <c r="C926" s="51" t="e">
        <v>#REF!</v>
      </c>
      <c r="D926" s="51" t="str">
        <v/>
      </c>
      <c r="E926" s="51" t="str">
        <v/>
      </c>
      <c r="F926" s="52" t="e">
        <v>#REF!</v>
      </c>
      <c r="G926" s="48" t="e">
        <v>#REF!</v>
      </c>
      <c r="H926" s="49">
        <v>0</v>
      </c>
      <c r="I926" s="49" t="e">
        <v>#REF!</v>
      </c>
      <c r="J926" s="50"/>
    </row>
    <row r="927" outlineLevel="1" spans="1:10">
      <c r="A927" s="50">
        <v>23</v>
      </c>
      <c r="B927" s="51" t="str">
        <v>对夹式蝶阀-DN50</v>
      </c>
      <c r="C927" s="51" t="e">
        <v>#REF!</v>
      </c>
      <c r="D927" s="51" t="str">
        <v/>
      </c>
      <c r="E927" s="51" t="str">
        <v/>
      </c>
      <c r="F927" s="52" t="e">
        <v>#REF!</v>
      </c>
      <c r="G927" s="48" t="e">
        <v>#REF!</v>
      </c>
      <c r="H927" s="49">
        <v>0</v>
      </c>
      <c r="I927" s="49" t="e">
        <v>#REF!</v>
      </c>
      <c r="J927" s="50"/>
    </row>
    <row r="928" outlineLevel="1" spans="1:10">
      <c r="A928" s="50">
        <v>24</v>
      </c>
      <c r="B928" s="51" t="str">
        <v>对夹式蝶阀-DN65</v>
      </c>
      <c r="C928" s="51" t="e">
        <v>#REF!</v>
      </c>
      <c r="D928" s="51" t="str">
        <v/>
      </c>
      <c r="E928" s="51" t="str">
        <v/>
      </c>
      <c r="F928" s="52" t="e">
        <v>#REF!</v>
      </c>
      <c r="G928" s="48" t="e">
        <v>#REF!</v>
      </c>
      <c r="H928" s="49">
        <v>0</v>
      </c>
      <c r="I928" s="49" t="e">
        <v>#REF!</v>
      </c>
      <c r="J928" s="50"/>
    </row>
    <row r="929" outlineLevel="1" spans="1:10">
      <c r="A929" s="50">
        <v>25</v>
      </c>
      <c r="B929" s="51" t="str">
        <v>对夹式蝶阀-DN80</v>
      </c>
      <c r="C929" s="51" t="e">
        <v>#REF!</v>
      </c>
      <c r="D929" s="51" t="str">
        <v/>
      </c>
      <c r="E929" s="51" t="str">
        <v/>
      </c>
      <c r="F929" s="52" t="e">
        <v>#REF!</v>
      </c>
      <c r="G929" s="48" t="e">
        <v>#REF!</v>
      </c>
      <c r="H929" s="49">
        <v>0</v>
      </c>
      <c r="I929" s="49" t="e">
        <v>#REF!</v>
      </c>
      <c r="J929" s="50"/>
    </row>
    <row r="930" outlineLevel="1" spans="1:10">
      <c r="A930" s="50">
        <v>26</v>
      </c>
      <c r="B930" s="51" t="str">
        <v>对夹式蝶阀-DN100</v>
      </c>
      <c r="C930" s="51" t="e">
        <v>#REF!</v>
      </c>
      <c r="D930" s="51" t="str">
        <v/>
      </c>
      <c r="E930" s="51" t="str">
        <v/>
      </c>
      <c r="F930" s="52" t="e">
        <v>#REF!</v>
      </c>
      <c r="G930" s="48" t="e">
        <v>#REF!</v>
      </c>
      <c r="H930" s="49">
        <v>0</v>
      </c>
      <c r="I930" s="49" t="e">
        <v>#REF!</v>
      </c>
      <c r="J930" s="50"/>
    </row>
    <row r="931" outlineLevel="1" spans="1:10">
      <c r="A931" s="50">
        <v>27</v>
      </c>
      <c r="B931" s="51" t="str">
        <v>对夹式蝶阀-DN125</v>
      </c>
      <c r="C931" s="51" t="e">
        <v>#REF!</v>
      </c>
      <c r="D931" s="51" t="str">
        <v/>
      </c>
      <c r="E931" s="51" t="str">
        <v/>
      </c>
      <c r="F931" s="52" t="e">
        <v>#REF!</v>
      </c>
      <c r="G931" s="48" t="e">
        <v>#REF!</v>
      </c>
      <c r="H931" s="49">
        <v>0</v>
      </c>
      <c r="I931" s="49" t="e">
        <v>#REF!</v>
      </c>
      <c r="J931" s="50"/>
    </row>
    <row r="932" outlineLevel="1" spans="1:10">
      <c r="A932" s="50">
        <v>28</v>
      </c>
      <c r="B932" s="51" t="str">
        <v>对夹式蝶阀-DN150</v>
      </c>
      <c r="C932" s="51" t="e">
        <v>#REF!</v>
      </c>
      <c r="D932" s="51" t="str">
        <v/>
      </c>
      <c r="E932" s="51" t="str">
        <v/>
      </c>
      <c r="F932" s="52" t="e">
        <v>#REF!</v>
      </c>
      <c r="G932" s="48" t="e">
        <v>#REF!</v>
      </c>
      <c r="H932" s="49">
        <v>0</v>
      </c>
      <c r="I932" s="49" t="e">
        <v>#REF!</v>
      </c>
      <c r="J932" s="50"/>
    </row>
    <row r="933" outlineLevel="1" spans="1:10">
      <c r="A933" s="50">
        <v>29</v>
      </c>
      <c r="B933" s="51" t="str">
        <v>倒流防止器-De50</v>
      </c>
      <c r="C933" s="51" t="e">
        <v>#REF!</v>
      </c>
      <c r="D933" s="51" t="str">
        <v/>
      </c>
      <c r="E933" s="51" t="str">
        <v/>
      </c>
      <c r="F933" s="52" t="e">
        <v>#REF!</v>
      </c>
      <c r="G933" s="48" t="e">
        <v>#REF!</v>
      </c>
      <c r="H933" s="49">
        <v>0</v>
      </c>
      <c r="I933" s="49" t="e">
        <v>#REF!</v>
      </c>
      <c r="J933" s="50"/>
    </row>
    <row r="934" outlineLevel="1" spans="1:10">
      <c r="A934" s="50">
        <v>30</v>
      </c>
      <c r="B934" s="51" t="str">
        <v>浮球阀-DN40</v>
      </c>
      <c r="C934" s="51" t="e">
        <v>#REF!</v>
      </c>
      <c r="D934" s="51" t="str">
        <v/>
      </c>
      <c r="E934" s="51" t="str">
        <v/>
      </c>
      <c r="F934" s="52" t="e">
        <v>#REF!</v>
      </c>
      <c r="G934" s="48" t="e">
        <v>#REF!</v>
      </c>
      <c r="H934" s="49">
        <v>0</v>
      </c>
      <c r="I934" s="49" t="e">
        <v>#REF!</v>
      </c>
      <c r="J934" s="50"/>
    </row>
    <row r="935" outlineLevel="1" spans="1:10">
      <c r="A935" s="50">
        <v>31</v>
      </c>
      <c r="B935" s="51" t="str">
        <v>活塞式电动浮球阀-DN100</v>
      </c>
      <c r="C935" s="51" t="e">
        <v>#REF!</v>
      </c>
      <c r="D935" s="51" t="str">
        <v/>
      </c>
      <c r="E935" s="51" t="str">
        <v/>
      </c>
      <c r="F935" s="52" t="e">
        <v>#REF!</v>
      </c>
      <c r="G935" s="48" t="e">
        <v>#REF!</v>
      </c>
      <c r="H935" s="49">
        <v>0</v>
      </c>
      <c r="I935" s="49" t="e">
        <v>#REF!</v>
      </c>
      <c r="J935" s="50"/>
    </row>
    <row r="936" outlineLevel="1" spans="1:10">
      <c r="A936" s="50">
        <v>32</v>
      </c>
      <c r="B936" s="51" t="str">
        <v>水表安装-DN32</v>
      </c>
      <c r="C936" s="51" t="e">
        <v>#REF!</v>
      </c>
      <c r="D936" s="51" t="str">
        <v/>
      </c>
      <c r="E936" s="51" t="str">
        <v/>
      </c>
      <c r="F936" s="52" t="e">
        <v>#REF!</v>
      </c>
      <c r="G936" s="48" t="e">
        <v>#REF!</v>
      </c>
      <c r="H936" s="49">
        <v>0</v>
      </c>
      <c r="I936" s="49" t="e">
        <v>#REF!</v>
      </c>
      <c r="J936" s="50"/>
    </row>
    <row r="937" outlineLevel="1" spans="1:10">
      <c r="A937" s="50">
        <v>33</v>
      </c>
      <c r="B937" s="51" t="str">
        <v>水表安装-DN40</v>
      </c>
      <c r="C937" s="51" t="e">
        <v>#REF!</v>
      </c>
      <c r="D937" s="51" t="str">
        <v/>
      </c>
      <c r="E937" s="51" t="str">
        <v/>
      </c>
      <c r="F937" s="52" t="e">
        <v>#REF!</v>
      </c>
      <c r="G937" s="48" t="e">
        <v>#REF!</v>
      </c>
      <c r="H937" s="49">
        <v>0</v>
      </c>
      <c r="I937" s="49" t="e">
        <v>#REF!</v>
      </c>
      <c r="J937" s="50"/>
    </row>
    <row r="938" outlineLevel="1" spans="1:10">
      <c r="A938" s="50">
        <v>34</v>
      </c>
      <c r="B938" s="51" t="str">
        <v>水表安装-DN50</v>
      </c>
      <c r="C938" s="51" t="e">
        <v>#REF!</v>
      </c>
      <c r="D938" s="51" t="str">
        <v/>
      </c>
      <c r="E938" s="51" t="str">
        <v/>
      </c>
      <c r="F938" s="52" t="e">
        <v>#REF!</v>
      </c>
      <c r="G938" s="48" t="e">
        <v>#REF!</v>
      </c>
      <c r="H938" s="49">
        <v>0</v>
      </c>
      <c r="I938" s="49" t="e">
        <v>#REF!</v>
      </c>
      <c r="J938" s="50"/>
    </row>
    <row r="939" outlineLevel="1" spans="1:10">
      <c r="A939" s="50">
        <v>35</v>
      </c>
      <c r="B939" s="51" t="str">
        <v>水表安装-DN70</v>
      </c>
      <c r="C939" s="51" t="e">
        <v>#REF!</v>
      </c>
      <c r="D939" s="51" t="str">
        <v/>
      </c>
      <c r="E939" s="51" t="str">
        <v/>
      </c>
      <c r="F939" s="52" t="e">
        <v>#REF!</v>
      </c>
      <c r="G939" s="48" t="e">
        <v>#REF!</v>
      </c>
      <c r="H939" s="49">
        <v>0</v>
      </c>
      <c r="I939" s="49" t="e">
        <v>#REF!</v>
      </c>
      <c r="J939" s="50"/>
    </row>
    <row r="940" outlineLevel="1" spans="1:10">
      <c r="A940" s="50">
        <v>36</v>
      </c>
      <c r="B940" s="51" t="str">
        <v>水表安装-DN80</v>
      </c>
      <c r="C940" s="51" t="e">
        <v>#REF!</v>
      </c>
      <c r="D940" s="51" t="str">
        <v/>
      </c>
      <c r="E940" s="51" t="str">
        <v/>
      </c>
      <c r="F940" s="52" t="e">
        <v>#REF!</v>
      </c>
      <c r="G940" s="48" t="e">
        <v>#REF!</v>
      </c>
      <c r="H940" s="49">
        <v>0</v>
      </c>
      <c r="I940" s="49" t="e">
        <v>#REF!</v>
      </c>
      <c r="J940" s="50"/>
    </row>
    <row r="941" outlineLevel="1" spans="1:10">
      <c r="A941" s="50">
        <v>37</v>
      </c>
      <c r="B941" s="51" t="str">
        <v>水表安装-DN250</v>
      </c>
      <c r="C941" s="51" t="e">
        <v>#REF!</v>
      </c>
      <c r="D941" s="51" t="str">
        <v/>
      </c>
      <c r="E941" s="51" t="str">
        <v/>
      </c>
      <c r="F941" s="52" t="e">
        <v>#REF!</v>
      </c>
      <c r="G941" s="48" t="e">
        <v>#REF!</v>
      </c>
      <c r="H941" s="49">
        <v>0</v>
      </c>
      <c r="I941" s="49" t="e">
        <v>#REF!</v>
      </c>
      <c r="J941" s="50"/>
    </row>
    <row r="942" outlineLevel="1" spans="1:10">
      <c r="A942" s="50">
        <v>38</v>
      </c>
      <c r="B942" s="51" t="str">
        <v>水龙头-De20</v>
      </c>
      <c r="C942" s="51" t="e">
        <v>#REF!</v>
      </c>
      <c r="D942" s="51" t="str">
        <v/>
      </c>
      <c r="E942" s="51" t="str">
        <v/>
      </c>
      <c r="F942" s="52" t="e">
        <v>#REF!</v>
      </c>
      <c r="G942" s="48" t="e">
        <v>#REF!</v>
      </c>
      <c r="H942" s="49">
        <v>0</v>
      </c>
      <c r="I942" s="49" t="e">
        <v>#REF!</v>
      </c>
      <c r="J942" s="50"/>
    </row>
    <row r="943" outlineLevel="1" spans="1:10">
      <c r="A943" s="50">
        <v>39</v>
      </c>
      <c r="B943" s="51" t="str">
        <v>给排水压力仪表-DN15</v>
      </c>
      <c r="C943" s="51" t="e">
        <v>#REF!</v>
      </c>
      <c r="D943" s="51" t="str">
        <v/>
      </c>
      <c r="E943" s="51" t="str">
        <v/>
      </c>
      <c r="F943" s="52" t="e">
        <v>#REF!</v>
      </c>
      <c r="G943" s="48" t="e">
        <v>#REF!</v>
      </c>
      <c r="H943" s="49">
        <v>0</v>
      </c>
      <c r="I943" s="49" t="e">
        <v>#REF!</v>
      </c>
      <c r="J943" s="50"/>
    </row>
    <row r="944" outlineLevel="1" spans="1:10">
      <c r="A944" s="50" t="str">
        <v/>
      </c>
      <c r="B944" s="51" t="str">
        <v>B.01.2给水管道</v>
      </c>
      <c r="C944" s="51" t="str">
        <v/>
      </c>
      <c r="D944" s="51" t="str">
        <v/>
      </c>
      <c r="E944" s="51" t="str">
        <v/>
      </c>
      <c r="F944" s="52" t="str">
        <v/>
      </c>
      <c r="G944" s="48" t="str">
        <v/>
      </c>
      <c r="H944" s="49">
        <v>0</v>
      </c>
      <c r="I944" s="49" t="e">
        <v>#REF!</v>
      </c>
      <c r="J944" s="50"/>
    </row>
    <row r="945" ht="28.8" outlineLevel="1" spans="1:10">
      <c r="A945" s="50">
        <v>40</v>
      </c>
      <c r="B945" s="51" t="str">
        <v>室内给水内衬塑镀锌钢塑复合管-DN15</v>
      </c>
      <c r="C945" s="51" t="e">
        <v>#REF!</v>
      </c>
      <c r="D945" s="51" t="str">
        <v/>
      </c>
      <c r="E945" s="51" t="str">
        <v/>
      </c>
      <c r="F945" s="52" t="e">
        <v>#REF!</v>
      </c>
      <c r="G945" s="48" t="e">
        <v>#REF!</v>
      </c>
      <c r="H945" s="49">
        <v>0</v>
      </c>
      <c r="I945" s="49" t="e">
        <v>#REF!</v>
      </c>
      <c r="J945" s="50"/>
    </row>
    <row r="946" ht="28.8" outlineLevel="1" spans="1:10">
      <c r="A946" s="50">
        <v>41</v>
      </c>
      <c r="B946" s="51" t="str">
        <v>室内给水内衬塑镀锌钢塑复合管-DN20</v>
      </c>
      <c r="C946" s="51" t="e">
        <v>#REF!</v>
      </c>
      <c r="D946" s="51" t="str">
        <v/>
      </c>
      <c r="E946" s="51" t="str">
        <v/>
      </c>
      <c r="F946" s="52" t="e">
        <v>#REF!</v>
      </c>
      <c r="G946" s="48" t="e">
        <v>#REF!</v>
      </c>
      <c r="H946" s="49">
        <v>0</v>
      </c>
      <c r="I946" s="49" t="e">
        <v>#REF!</v>
      </c>
      <c r="J946" s="50"/>
    </row>
    <row r="947" ht="28.8" outlineLevel="1" spans="1:10">
      <c r="A947" s="50">
        <v>42</v>
      </c>
      <c r="B947" s="51" t="str">
        <v>室内给水内衬塑镀锌钢塑复合管-DN25</v>
      </c>
      <c r="C947" s="51" t="e">
        <v>#REF!</v>
      </c>
      <c r="D947" s="51" t="str">
        <v/>
      </c>
      <c r="E947" s="51" t="str">
        <v/>
      </c>
      <c r="F947" s="52" t="e">
        <v>#REF!</v>
      </c>
      <c r="G947" s="48" t="e">
        <v>#REF!</v>
      </c>
      <c r="H947" s="49">
        <v>0</v>
      </c>
      <c r="I947" s="49" t="e">
        <v>#REF!</v>
      </c>
      <c r="J947" s="50"/>
    </row>
    <row r="948" ht="28.8" outlineLevel="1" spans="1:10">
      <c r="A948" s="50">
        <v>43</v>
      </c>
      <c r="B948" s="51" t="str">
        <v>室内给水内衬塑镀锌钢塑复合管-DN32</v>
      </c>
      <c r="C948" s="51" t="e">
        <v>#REF!</v>
      </c>
      <c r="D948" s="51" t="str">
        <v/>
      </c>
      <c r="E948" s="51" t="str">
        <v/>
      </c>
      <c r="F948" s="52" t="e">
        <v>#REF!</v>
      </c>
      <c r="G948" s="48" t="e">
        <v>#REF!</v>
      </c>
      <c r="H948" s="49">
        <v>0</v>
      </c>
      <c r="I948" s="49" t="e">
        <v>#REF!</v>
      </c>
      <c r="J948" s="50"/>
    </row>
    <row r="949" ht="28.8" outlineLevel="1" spans="1:10">
      <c r="A949" s="50">
        <v>44</v>
      </c>
      <c r="B949" s="51" t="str">
        <v>室内给水内衬塑镀锌钢塑复合管-DN40</v>
      </c>
      <c r="C949" s="51" t="e">
        <v>#REF!</v>
      </c>
      <c r="D949" s="51" t="str">
        <v/>
      </c>
      <c r="E949" s="51" t="str">
        <v/>
      </c>
      <c r="F949" s="52" t="e">
        <v>#REF!</v>
      </c>
      <c r="G949" s="48" t="e">
        <v>#REF!</v>
      </c>
      <c r="H949" s="49">
        <v>0</v>
      </c>
      <c r="I949" s="49" t="e">
        <v>#REF!</v>
      </c>
      <c r="J949" s="50"/>
    </row>
    <row r="950" ht="28.8" outlineLevel="1" spans="1:10">
      <c r="A950" s="50">
        <v>45</v>
      </c>
      <c r="B950" s="51" t="str">
        <v>室内给水内衬塑镀锌钢塑复合管-DN50</v>
      </c>
      <c r="C950" s="51" t="e">
        <v>#REF!</v>
      </c>
      <c r="D950" s="51" t="str">
        <v/>
      </c>
      <c r="E950" s="51" t="str">
        <v/>
      </c>
      <c r="F950" s="52" t="e">
        <v>#REF!</v>
      </c>
      <c r="G950" s="48" t="e">
        <v>#REF!</v>
      </c>
      <c r="H950" s="49">
        <v>0</v>
      </c>
      <c r="I950" s="49" t="e">
        <v>#REF!</v>
      </c>
      <c r="J950" s="50"/>
    </row>
    <row r="951" ht="28.8" outlineLevel="1" spans="1:10">
      <c r="A951" s="50">
        <v>46</v>
      </c>
      <c r="B951" s="51" t="str">
        <v>室内给水内衬塑镀锌钢塑复合管-DN65</v>
      </c>
      <c r="C951" s="51" t="e">
        <v>#REF!</v>
      </c>
      <c r="D951" s="51" t="str">
        <v/>
      </c>
      <c r="E951" s="51" t="str">
        <v/>
      </c>
      <c r="F951" s="52" t="e">
        <v>#REF!</v>
      </c>
      <c r="G951" s="48" t="e">
        <v>#REF!</v>
      </c>
      <c r="H951" s="49">
        <v>0</v>
      </c>
      <c r="I951" s="49" t="e">
        <v>#REF!</v>
      </c>
      <c r="J951" s="50"/>
    </row>
    <row r="952" ht="28.8" outlineLevel="1" spans="1:10">
      <c r="A952" s="50">
        <v>47</v>
      </c>
      <c r="B952" s="51" t="str">
        <v>室内给水内衬塑镀锌钢塑复合管-DN80</v>
      </c>
      <c r="C952" s="51" t="e">
        <v>#REF!</v>
      </c>
      <c r="D952" s="51" t="str">
        <v/>
      </c>
      <c r="E952" s="51" t="str">
        <v/>
      </c>
      <c r="F952" s="52" t="e">
        <v>#REF!</v>
      </c>
      <c r="G952" s="48" t="e">
        <v>#REF!</v>
      </c>
      <c r="H952" s="49">
        <v>0</v>
      </c>
      <c r="I952" s="49" t="e">
        <v>#REF!</v>
      </c>
      <c r="J952" s="50"/>
    </row>
    <row r="953" ht="28.8" outlineLevel="1" spans="1:10">
      <c r="A953" s="50">
        <v>48</v>
      </c>
      <c r="B953" s="51" t="str">
        <v>室内给水内衬塑镀锌钢塑复合管-DN100</v>
      </c>
      <c r="C953" s="51" t="e">
        <v>#REF!</v>
      </c>
      <c r="D953" s="51" t="str">
        <v/>
      </c>
      <c r="E953" s="51" t="str">
        <v/>
      </c>
      <c r="F953" s="52" t="e">
        <v>#REF!</v>
      </c>
      <c r="G953" s="48" t="e">
        <v>#REF!</v>
      </c>
      <c r="H953" s="49">
        <v>0</v>
      </c>
      <c r="I953" s="49" t="e">
        <v>#REF!</v>
      </c>
      <c r="J953" s="50"/>
    </row>
    <row r="954" ht="28.8" outlineLevel="1" spans="1:10">
      <c r="A954" s="50">
        <v>49</v>
      </c>
      <c r="B954" s="51" t="str">
        <v>室内给水内衬塑镀锌钢塑复合管-DN125</v>
      </c>
      <c r="C954" s="51" t="e">
        <v>#REF!</v>
      </c>
      <c r="D954" s="51" t="str">
        <v/>
      </c>
      <c r="E954" s="51" t="str">
        <v/>
      </c>
      <c r="F954" s="52" t="e">
        <v>#REF!</v>
      </c>
      <c r="G954" s="48" t="e">
        <v>#REF!</v>
      </c>
      <c r="H954" s="49">
        <v>0</v>
      </c>
      <c r="I954" s="49" t="e">
        <v>#REF!</v>
      </c>
      <c r="J954" s="50"/>
    </row>
    <row r="955" ht="28.8" outlineLevel="1" spans="1:10">
      <c r="A955" s="50">
        <v>50</v>
      </c>
      <c r="B955" s="51" t="str">
        <v>室内给水内衬塑镀锌钢塑复合管-DN150</v>
      </c>
      <c r="C955" s="51" t="e">
        <v>#REF!</v>
      </c>
      <c r="D955" s="51" t="str">
        <v/>
      </c>
      <c r="E955" s="51" t="str">
        <v/>
      </c>
      <c r="F955" s="52" t="e">
        <v>#REF!</v>
      </c>
      <c r="G955" s="48" t="e">
        <v>#REF!</v>
      </c>
      <c r="H955" s="49">
        <v>0</v>
      </c>
      <c r="I955" s="49" t="e">
        <v>#REF!</v>
      </c>
      <c r="J955" s="50"/>
    </row>
    <row r="956" ht="28.8" outlineLevel="1" spans="1:10">
      <c r="A956" s="50">
        <v>51</v>
      </c>
      <c r="B956" s="51" t="str">
        <v>室内给水塑料管-PPR-De20-热熔</v>
      </c>
      <c r="C956" s="51" t="e">
        <v>#REF!</v>
      </c>
      <c r="D956" s="51" t="str">
        <v/>
      </c>
      <c r="E956" s="51" t="str">
        <v/>
      </c>
      <c r="F956" s="52" t="e">
        <v>#REF!</v>
      </c>
      <c r="G956" s="48" t="e">
        <v>#REF!</v>
      </c>
      <c r="H956" s="49">
        <v>0</v>
      </c>
      <c r="I956" s="49" t="e">
        <v>#REF!</v>
      </c>
      <c r="J956" s="50"/>
    </row>
    <row r="957" ht="28.8" outlineLevel="1" spans="1:10">
      <c r="A957" s="50">
        <v>52</v>
      </c>
      <c r="B957" s="51" t="str">
        <v>室内给水塑料管-PPR-De25-热熔</v>
      </c>
      <c r="C957" s="51" t="e">
        <v>#REF!</v>
      </c>
      <c r="D957" s="51" t="str">
        <v/>
      </c>
      <c r="E957" s="51" t="str">
        <v/>
      </c>
      <c r="F957" s="52" t="e">
        <v>#REF!</v>
      </c>
      <c r="G957" s="48" t="e">
        <v>#REF!</v>
      </c>
      <c r="H957" s="49">
        <v>0</v>
      </c>
      <c r="I957" s="49" t="e">
        <v>#REF!</v>
      </c>
      <c r="J957" s="50"/>
    </row>
    <row r="958" ht="28.8" outlineLevel="1" spans="1:10">
      <c r="A958" s="50">
        <v>53</v>
      </c>
      <c r="B958" s="51" t="str">
        <v>室内给水塑料管-PPR-De32-热熔</v>
      </c>
      <c r="C958" s="51" t="e">
        <v>#REF!</v>
      </c>
      <c r="D958" s="51" t="str">
        <v/>
      </c>
      <c r="E958" s="51" t="str">
        <v/>
      </c>
      <c r="F958" s="52" t="e">
        <v>#REF!</v>
      </c>
      <c r="G958" s="48" t="e">
        <v>#REF!</v>
      </c>
      <c r="H958" s="49">
        <v>0</v>
      </c>
      <c r="I958" s="49" t="e">
        <v>#REF!</v>
      </c>
      <c r="J958" s="50"/>
    </row>
    <row r="959" ht="28.8" outlineLevel="1" spans="1:10">
      <c r="A959" s="50">
        <v>54</v>
      </c>
      <c r="B959" s="51" t="str">
        <v>室内给水塑料管-PPR-De40-热熔</v>
      </c>
      <c r="C959" s="51" t="e">
        <v>#REF!</v>
      </c>
      <c r="D959" s="51" t="str">
        <v/>
      </c>
      <c r="E959" s="51" t="str">
        <v/>
      </c>
      <c r="F959" s="52" t="e">
        <v>#REF!</v>
      </c>
      <c r="G959" s="48" t="e">
        <v>#REF!</v>
      </c>
      <c r="H959" s="49">
        <v>0</v>
      </c>
      <c r="I959" s="49" t="e">
        <v>#REF!</v>
      </c>
      <c r="J959" s="50"/>
    </row>
    <row r="960" ht="28.8" outlineLevel="1" spans="1:10">
      <c r="A960" s="50">
        <v>55</v>
      </c>
      <c r="B960" s="51" t="str">
        <v>室内给水塑料管-PPR-De50-热熔</v>
      </c>
      <c r="C960" s="51" t="e">
        <v>#REF!</v>
      </c>
      <c r="D960" s="51" t="str">
        <v/>
      </c>
      <c r="E960" s="51" t="str">
        <v/>
      </c>
      <c r="F960" s="52" t="e">
        <v>#REF!</v>
      </c>
      <c r="G960" s="48" t="e">
        <v>#REF!</v>
      </c>
      <c r="H960" s="49">
        <v>0</v>
      </c>
      <c r="I960" s="49" t="e">
        <v>#REF!</v>
      </c>
      <c r="J960" s="50"/>
    </row>
    <row r="961" ht="28.8" outlineLevel="1" spans="1:10">
      <c r="A961" s="50">
        <v>56</v>
      </c>
      <c r="B961" s="51" t="str">
        <v>室内给水塑料管-PPR-De63-热熔</v>
      </c>
      <c r="C961" s="51" t="e">
        <v>#REF!</v>
      </c>
      <c r="D961" s="51" t="str">
        <v/>
      </c>
      <c r="E961" s="51" t="str">
        <v/>
      </c>
      <c r="F961" s="52" t="e">
        <v>#REF!</v>
      </c>
      <c r="G961" s="48" t="e">
        <v>#REF!</v>
      </c>
      <c r="H961" s="49">
        <v>0</v>
      </c>
      <c r="I961" s="49" t="e">
        <v>#REF!</v>
      </c>
      <c r="J961" s="50"/>
    </row>
    <row r="962" outlineLevel="1" spans="1:10">
      <c r="A962" s="50" t="str">
        <v/>
      </c>
      <c r="B962" s="51" t="str">
        <v>B.01.3绝热</v>
      </c>
      <c r="C962" s="51" t="str">
        <v/>
      </c>
      <c r="D962" s="51" t="str">
        <v/>
      </c>
      <c r="E962" s="51" t="str">
        <v/>
      </c>
      <c r="F962" s="52" t="str">
        <v/>
      </c>
      <c r="G962" s="48" t="str">
        <v/>
      </c>
      <c r="H962" s="49">
        <v>0</v>
      </c>
      <c r="I962" s="49" t="e">
        <v>#REF!</v>
      </c>
      <c r="J962" s="50"/>
    </row>
    <row r="963" outlineLevel="1" spans="1:10">
      <c r="A963" s="50">
        <v>57</v>
      </c>
      <c r="B963" s="51" t="str">
        <v>管道绝热</v>
      </c>
      <c r="C963" s="51" t="e">
        <v>#REF!</v>
      </c>
      <c r="D963" s="51" t="str">
        <v/>
      </c>
      <c r="E963" s="51" t="str">
        <v/>
      </c>
      <c r="F963" s="52" t="e">
        <v>#REF!</v>
      </c>
      <c r="G963" s="48" t="e">
        <v>#REF!</v>
      </c>
      <c r="H963" s="49">
        <v>0</v>
      </c>
      <c r="I963" s="49" t="e">
        <v>#REF!</v>
      </c>
      <c r="J963" s="50"/>
    </row>
    <row r="964" outlineLevel="1" spans="1:10">
      <c r="A964" s="50">
        <v>58</v>
      </c>
      <c r="B964" s="51" t="str">
        <v>玻璃丝布</v>
      </c>
      <c r="C964" s="51" t="e">
        <v>#REF!</v>
      </c>
      <c r="D964" s="51" t="str">
        <v/>
      </c>
      <c r="E964" s="51" t="str">
        <v/>
      </c>
      <c r="F964" s="52" t="e">
        <v>#REF!</v>
      </c>
      <c r="G964" s="48" t="e">
        <v>#REF!</v>
      </c>
      <c r="H964" s="49">
        <v>0</v>
      </c>
      <c r="I964" s="49" t="e">
        <v>#REF!</v>
      </c>
      <c r="J964" s="50"/>
    </row>
    <row r="965" outlineLevel="1" spans="1:10">
      <c r="A965" s="50">
        <v>59</v>
      </c>
      <c r="B965" s="51" t="str">
        <v>电伴热</v>
      </c>
      <c r="C965" s="51" t="e">
        <v>#REF!</v>
      </c>
      <c r="D965" s="51" t="str">
        <v/>
      </c>
      <c r="E965" s="51" t="str">
        <v/>
      </c>
      <c r="F965" s="52" t="e">
        <v>#REF!</v>
      </c>
      <c r="G965" s="48" t="e">
        <v>#REF!</v>
      </c>
      <c r="H965" s="49">
        <v>0</v>
      </c>
      <c r="I965" s="49" t="e">
        <v>#REF!</v>
      </c>
      <c r="J965" s="50"/>
    </row>
    <row r="966" outlineLevel="1" spans="1:10">
      <c r="A966" s="50">
        <v>60</v>
      </c>
      <c r="B966" s="51" t="str">
        <v>电伴热控制箱</v>
      </c>
      <c r="C966" s="51" t="e">
        <v>#REF!</v>
      </c>
      <c r="D966" s="51" t="str">
        <v/>
      </c>
      <c r="E966" s="51" t="str">
        <v/>
      </c>
      <c r="F966" s="52" t="e">
        <v>#REF!</v>
      </c>
      <c r="G966" s="48" t="e">
        <v>#REF!</v>
      </c>
      <c r="H966" s="49">
        <v>0</v>
      </c>
      <c r="I966" s="49" t="e">
        <v>#REF!</v>
      </c>
      <c r="J966" s="50"/>
    </row>
    <row r="967" outlineLevel="1" spans="1:10">
      <c r="A967" s="50">
        <v>61</v>
      </c>
      <c r="B967" s="51" t="str">
        <v>防火漆</v>
      </c>
      <c r="C967" s="51" t="e">
        <v>#REF!</v>
      </c>
      <c r="D967" s="51" t="str">
        <v/>
      </c>
      <c r="E967" s="51" t="str">
        <v/>
      </c>
      <c r="F967" s="52" t="e">
        <v>#REF!</v>
      </c>
      <c r="G967" s="48" t="e">
        <v>#REF!</v>
      </c>
      <c r="H967" s="49">
        <v>0</v>
      </c>
      <c r="I967" s="49" t="e">
        <v>#REF!</v>
      </c>
      <c r="J967" s="50"/>
    </row>
    <row r="968" outlineLevel="1" spans="1:10">
      <c r="A968" s="50">
        <v>62</v>
      </c>
      <c r="B968" s="51" t="str">
        <v>塑料带保护层</v>
      </c>
      <c r="C968" s="51" t="e">
        <v>#REF!</v>
      </c>
      <c r="D968" s="51" t="str">
        <v/>
      </c>
      <c r="E968" s="51" t="str">
        <v/>
      </c>
      <c r="F968" s="52" t="e">
        <v>#REF!</v>
      </c>
      <c r="G968" s="48" t="e">
        <v>#REF!</v>
      </c>
      <c r="H968" s="49">
        <v>0</v>
      </c>
      <c r="I968" s="49" t="e">
        <v>#REF!</v>
      </c>
      <c r="J968" s="50"/>
    </row>
    <row r="969" outlineLevel="1" spans="1:10">
      <c r="A969" s="50" t="str">
        <v/>
      </c>
      <c r="B969" s="51" t="str">
        <v>B.02地下排水</v>
      </c>
      <c r="C969" s="51" t="str">
        <v/>
      </c>
      <c r="D969" s="51" t="str">
        <v/>
      </c>
      <c r="E969" s="51" t="str">
        <v/>
      </c>
      <c r="F969" s="52" t="str">
        <v/>
      </c>
      <c r="G969" s="48" t="str">
        <v/>
      </c>
      <c r="H969" s="49">
        <v>0</v>
      </c>
      <c r="I969" s="49" t="e">
        <v>#REF!</v>
      </c>
      <c r="J969" s="50"/>
    </row>
    <row r="970" outlineLevel="1" spans="1:10">
      <c r="A970" s="50" t="str">
        <v/>
      </c>
      <c r="B970" s="51" t="str">
        <v>B.02.1阀部件</v>
      </c>
      <c r="C970" s="51" t="str">
        <v/>
      </c>
      <c r="D970" s="51" t="str">
        <v/>
      </c>
      <c r="E970" s="51" t="str">
        <v/>
      </c>
      <c r="F970" s="52" t="str">
        <v/>
      </c>
      <c r="G970" s="48" t="str">
        <v/>
      </c>
      <c r="H970" s="49">
        <v>0</v>
      </c>
      <c r="I970" s="49" t="e">
        <v>#REF!</v>
      </c>
      <c r="J970" s="50"/>
    </row>
    <row r="971" outlineLevel="1" spans="1:10">
      <c r="A971" s="50">
        <v>63</v>
      </c>
      <c r="B971" s="51" t="str">
        <v>法兰阀门-闸阀-DN50</v>
      </c>
      <c r="C971" s="51" t="e">
        <v>#REF!</v>
      </c>
      <c r="D971" s="51" t="str">
        <v/>
      </c>
      <c r="E971" s="51" t="str">
        <v/>
      </c>
      <c r="F971" s="52" t="e">
        <v>#REF!</v>
      </c>
      <c r="G971" s="48" t="e">
        <v>#REF!</v>
      </c>
      <c r="H971" s="49">
        <v>0</v>
      </c>
      <c r="I971" s="49" t="e">
        <v>#REF!</v>
      </c>
      <c r="J971" s="50"/>
    </row>
    <row r="972" outlineLevel="1" spans="1:10">
      <c r="A972" s="50">
        <v>64</v>
      </c>
      <c r="B972" s="51" t="str">
        <v>法兰阀门-闸阀-DN65</v>
      </c>
      <c r="C972" s="51" t="e">
        <v>#REF!</v>
      </c>
      <c r="D972" s="51" t="str">
        <v/>
      </c>
      <c r="E972" s="51" t="str">
        <v/>
      </c>
      <c r="F972" s="52" t="e">
        <v>#REF!</v>
      </c>
      <c r="G972" s="48" t="e">
        <v>#REF!</v>
      </c>
      <c r="H972" s="49">
        <v>0</v>
      </c>
      <c r="I972" s="49" t="e">
        <v>#REF!</v>
      </c>
      <c r="J972" s="50"/>
    </row>
    <row r="973" outlineLevel="1" spans="1:10">
      <c r="A973" s="50">
        <v>65</v>
      </c>
      <c r="B973" s="51" t="str">
        <v>法兰阀门-闸阀-DN80</v>
      </c>
      <c r="C973" s="51" t="e">
        <v>#REF!</v>
      </c>
      <c r="D973" s="51" t="str">
        <v/>
      </c>
      <c r="E973" s="51" t="str">
        <v/>
      </c>
      <c r="F973" s="52" t="e">
        <v>#REF!</v>
      </c>
      <c r="G973" s="48" t="e">
        <v>#REF!</v>
      </c>
      <c r="H973" s="49">
        <v>0</v>
      </c>
      <c r="I973" s="49" t="e">
        <v>#REF!</v>
      </c>
      <c r="J973" s="50"/>
    </row>
    <row r="974" outlineLevel="1" spans="1:10">
      <c r="A974" s="50">
        <v>66</v>
      </c>
      <c r="B974" s="51" t="str">
        <v>法兰阀门-闸阀-DN100</v>
      </c>
      <c r="C974" s="51" t="e">
        <v>#REF!</v>
      </c>
      <c r="D974" s="51" t="str">
        <v/>
      </c>
      <c r="E974" s="51" t="str">
        <v/>
      </c>
      <c r="F974" s="52" t="e">
        <v>#REF!</v>
      </c>
      <c r="G974" s="48" t="e">
        <v>#REF!</v>
      </c>
      <c r="H974" s="49">
        <v>0</v>
      </c>
      <c r="I974" s="49" t="e">
        <v>#REF!</v>
      </c>
      <c r="J974" s="50"/>
    </row>
    <row r="975" outlineLevel="1" spans="1:10">
      <c r="A975" s="50">
        <v>67</v>
      </c>
      <c r="B975" s="51" t="str">
        <v>法兰阀门-止回阀-DN50</v>
      </c>
      <c r="C975" s="51" t="e">
        <v>#REF!</v>
      </c>
      <c r="D975" s="51" t="str">
        <v/>
      </c>
      <c r="E975" s="51" t="str">
        <v/>
      </c>
      <c r="F975" s="52" t="e">
        <v>#REF!</v>
      </c>
      <c r="G975" s="48" t="e">
        <v>#REF!</v>
      </c>
      <c r="H975" s="49">
        <v>0</v>
      </c>
      <c r="I975" s="49" t="e">
        <v>#REF!</v>
      </c>
      <c r="J975" s="50"/>
    </row>
    <row r="976" outlineLevel="1" spans="1:10">
      <c r="A976" s="50">
        <v>68</v>
      </c>
      <c r="B976" s="51" t="str">
        <v>法兰阀门-止回阀-DN65</v>
      </c>
      <c r="C976" s="51" t="e">
        <v>#REF!</v>
      </c>
      <c r="D976" s="51" t="str">
        <v/>
      </c>
      <c r="E976" s="51" t="str">
        <v/>
      </c>
      <c r="F976" s="52" t="e">
        <v>#REF!</v>
      </c>
      <c r="G976" s="48" t="e">
        <v>#REF!</v>
      </c>
      <c r="H976" s="49">
        <v>0</v>
      </c>
      <c r="I976" s="49" t="e">
        <v>#REF!</v>
      </c>
      <c r="J976" s="50"/>
    </row>
    <row r="977" outlineLevel="1" spans="1:10">
      <c r="A977" s="50">
        <v>69</v>
      </c>
      <c r="B977" s="51" t="str">
        <v>法兰阀门-止回阀-DN80</v>
      </c>
      <c r="C977" s="51" t="e">
        <v>#REF!</v>
      </c>
      <c r="D977" s="51" t="str">
        <v/>
      </c>
      <c r="E977" s="51" t="str">
        <v/>
      </c>
      <c r="F977" s="52" t="e">
        <v>#REF!</v>
      </c>
      <c r="G977" s="48" t="e">
        <v>#REF!</v>
      </c>
      <c r="H977" s="49">
        <v>0</v>
      </c>
      <c r="I977" s="49" t="e">
        <v>#REF!</v>
      </c>
      <c r="J977" s="50"/>
    </row>
    <row r="978" outlineLevel="1" spans="1:10">
      <c r="A978" s="50">
        <v>70</v>
      </c>
      <c r="B978" s="51" t="str">
        <v>法兰阀门-止回阀-DN100</v>
      </c>
      <c r="C978" s="51" t="e">
        <v>#REF!</v>
      </c>
      <c r="D978" s="51" t="str">
        <v/>
      </c>
      <c r="E978" s="51" t="str">
        <v/>
      </c>
      <c r="F978" s="52" t="e">
        <v>#REF!</v>
      </c>
      <c r="G978" s="48" t="e">
        <v>#REF!</v>
      </c>
      <c r="H978" s="49">
        <v>0</v>
      </c>
      <c r="I978" s="49" t="e">
        <v>#REF!</v>
      </c>
      <c r="J978" s="50"/>
    </row>
    <row r="979" outlineLevel="1" spans="1:10">
      <c r="A979" s="50">
        <v>71</v>
      </c>
      <c r="B979" s="51" t="str">
        <v>法兰阀门-软接头-DN50</v>
      </c>
      <c r="C979" s="51" t="e">
        <v>#REF!</v>
      </c>
      <c r="D979" s="51" t="str">
        <v/>
      </c>
      <c r="E979" s="51" t="str">
        <v/>
      </c>
      <c r="F979" s="52" t="e">
        <v>#REF!</v>
      </c>
      <c r="G979" s="48" t="e">
        <v>#REF!</v>
      </c>
      <c r="H979" s="49">
        <v>0</v>
      </c>
      <c r="I979" s="49" t="e">
        <v>#REF!</v>
      </c>
      <c r="J979" s="50"/>
    </row>
    <row r="980" outlineLevel="1" spans="1:10">
      <c r="A980" s="50">
        <v>72</v>
      </c>
      <c r="B980" s="51" t="str">
        <v>法兰阀门-软接头-DN65</v>
      </c>
      <c r="C980" s="51" t="e">
        <v>#REF!</v>
      </c>
      <c r="D980" s="51" t="str">
        <v/>
      </c>
      <c r="E980" s="51" t="str">
        <v/>
      </c>
      <c r="F980" s="52" t="e">
        <v>#REF!</v>
      </c>
      <c r="G980" s="48" t="e">
        <v>#REF!</v>
      </c>
      <c r="H980" s="49">
        <v>0</v>
      </c>
      <c r="I980" s="49" t="e">
        <v>#REF!</v>
      </c>
      <c r="J980" s="50"/>
    </row>
    <row r="981" outlineLevel="1" spans="1:10">
      <c r="A981" s="50">
        <v>73</v>
      </c>
      <c r="B981" s="51" t="str">
        <v>法兰阀门-软接头-DN80</v>
      </c>
      <c r="C981" s="51" t="e">
        <v>#REF!</v>
      </c>
      <c r="D981" s="51" t="str">
        <v/>
      </c>
      <c r="E981" s="51" t="str">
        <v/>
      </c>
      <c r="F981" s="52" t="e">
        <v>#REF!</v>
      </c>
      <c r="G981" s="48" t="e">
        <v>#REF!</v>
      </c>
      <c r="H981" s="49">
        <v>0</v>
      </c>
      <c r="I981" s="49" t="e">
        <v>#REF!</v>
      </c>
      <c r="J981" s="50"/>
    </row>
    <row r="982" outlineLevel="1" spans="1:10">
      <c r="A982" s="50">
        <v>74</v>
      </c>
      <c r="B982" s="51" t="str">
        <v>可曲挠橡胶接头-DN100</v>
      </c>
      <c r="C982" s="51" t="e">
        <v>#REF!</v>
      </c>
      <c r="D982" s="51" t="str">
        <v/>
      </c>
      <c r="E982" s="51" t="str">
        <v/>
      </c>
      <c r="F982" s="52" t="e">
        <v>#REF!</v>
      </c>
      <c r="G982" s="48" t="e">
        <v>#REF!</v>
      </c>
      <c r="H982" s="49">
        <v>0</v>
      </c>
      <c r="I982" s="49" t="e">
        <v>#REF!</v>
      </c>
      <c r="J982" s="50"/>
    </row>
    <row r="983" outlineLevel="1" spans="1:10">
      <c r="A983" s="50">
        <v>75</v>
      </c>
      <c r="B983" s="51" t="str">
        <v>给排水压力仪表-DN15</v>
      </c>
      <c r="C983" s="51" t="e">
        <v>#REF!</v>
      </c>
      <c r="D983" s="51" t="str">
        <v/>
      </c>
      <c r="E983" s="51" t="str">
        <v/>
      </c>
      <c r="F983" s="52" t="e">
        <v>#REF!</v>
      </c>
      <c r="G983" s="48" t="e">
        <v>#REF!</v>
      </c>
      <c r="H983" s="49">
        <v>0</v>
      </c>
      <c r="I983" s="49" t="e">
        <v>#REF!</v>
      </c>
      <c r="J983" s="50"/>
    </row>
    <row r="984" outlineLevel="1" spans="1:10">
      <c r="A984" s="50" t="str">
        <v/>
      </c>
      <c r="B984" s="51" t="str">
        <v>B.02.2排水管道</v>
      </c>
      <c r="C984" s="51" t="str">
        <v/>
      </c>
      <c r="D984" s="51" t="str">
        <v/>
      </c>
      <c r="E984" s="51" t="str">
        <v/>
      </c>
      <c r="F984" s="52" t="str">
        <v/>
      </c>
      <c r="G984" s="48" t="str">
        <v/>
      </c>
      <c r="H984" s="49">
        <v>0</v>
      </c>
      <c r="I984" s="49" t="e">
        <v>#REF!</v>
      </c>
      <c r="J984" s="50"/>
    </row>
    <row r="985" ht="28.8" outlineLevel="1" spans="1:10">
      <c r="A985" s="50">
        <v>76</v>
      </c>
      <c r="B985" s="51" t="str">
        <v>室外排水塑料管-加厚UPVC-De160</v>
      </c>
      <c r="C985" s="51" t="e">
        <v>#REF!</v>
      </c>
      <c r="D985" s="51" t="str">
        <v/>
      </c>
      <c r="E985" s="51" t="str">
        <v/>
      </c>
      <c r="F985" s="52" t="e">
        <v>#REF!</v>
      </c>
      <c r="G985" s="48" t="e">
        <v>#REF!</v>
      </c>
      <c r="H985" s="49">
        <v>0</v>
      </c>
      <c r="I985" s="49" t="e">
        <v>#REF!</v>
      </c>
      <c r="J985" s="50"/>
    </row>
    <row r="986" ht="28.8" outlineLevel="1" spans="1:10">
      <c r="A986" s="50">
        <v>77</v>
      </c>
      <c r="B986" s="51" t="str">
        <v>室外排水塑料管-加厚UPVC-De110</v>
      </c>
      <c r="C986" s="51" t="e">
        <v>#REF!</v>
      </c>
      <c r="D986" s="51" t="str">
        <v/>
      </c>
      <c r="E986" s="51" t="str">
        <v/>
      </c>
      <c r="F986" s="52" t="e">
        <v>#REF!</v>
      </c>
      <c r="G986" s="48" t="e">
        <v>#REF!</v>
      </c>
      <c r="H986" s="49">
        <v>0</v>
      </c>
      <c r="I986" s="49" t="e">
        <v>#REF!</v>
      </c>
      <c r="J986" s="50"/>
    </row>
    <row r="987" ht="28.8" outlineLevel="1" spans="1:10">
      <c r="A987" s="50">
        <v>78</v>
      </c>
      <c r="B987" s="51" t="str">
        <v>室外排水塑料管-加厚UPVC-De75</v>
      </c>
      <c r="C987" s="51" t="e">
        <v>#REF!</v>
      </c>
      <c r="D987" s="51" t="str">
        <v/>
      </c>
      <c r="E987" s="51" t="str">
        <v/>
      </c>
      <c r="F987" s="52" t="e">
        <v>#REF!</v>
      </c>
      <c r="G987" s="48" t="e">
        <v>#REF!</v>
      </c>
      <c r="H987" s="49">
        <v>0</v>
      </c>
      <c r="I987" s="49" t="e">
        <v>#REF!</v>
      </c>
      <c r="J987" s="50"/>
    </row>
    <row r="988" outlineLevel="1" spans="1:10">
      <c r="A988" s="50">
        <v>79</v>
      </c>
      <c r="B988" s="51" t="str">
        <v>室外塑料管-UPVC-De50</v>
      </c>
      <c r="C988" s="51" t="e">
        <v>#REF!</v>
      </c>
      <c r="D988" s="51" t="str">
        <v/>
      </c>
      <c r="E988" s="51" t="str">
        <v/>
      </c>
      <c r="F988" s="52" t="e">
        <v>#REF!</v>
      </c>
      <c r="G988" s="48" t="e">
        <v>#REF!</v>
      </c>
      <c r="H988" s="49">
        <v>0</v>
      </c>
      <c r="I988" s="49" t="e">
        <v>#REF!</v>
      </c>
      <c r="J988" s="50"/>
    </row>
    <row r="989" outlineLevel="1" spans="1:10">
      <c r="A989" s="50">
        <v>80</v>
      </c>
      <c r="B989" s="51" t="str">
        <v>室外排水镀锌钢管-DN50</v>
      </c>
      <c r="C989" s="51" t="e">
        <v>#REF!</v>
      </c>
      <c r="D989" s="51" t="str">
        <v/>
      </c>
      <c r="E989" s="51" t="str">
        <v/>
      </c>
      <c r="F989" s="52" t="e">
        <v>#REF!</v>
      </c>
      <c r="G989" s="48" t="e">
        <v>#REF!</v>
      </c>
      <c r="H989" s="49">
        <v>0</v>
      </c>
      <c r="I989" s="49" t="e">
        <v>#REF!</v>
      </c>
      <c r="J989" s="50"/>
    </row>
    <row r="990" outlineLevel="1" spans="1:10">
      <c r="A990" s="50">
        <v>81</v>
      </c>
      <c r="B990" s="51" t="str">
        <v>室外排水镀锌钢管-DN65</v>
      </c>
      <c r="C990" s="51" t="e">
        <v>#REF!</v>
      </c>
      <c r="D990" s="51" t="str">
        <v/>
      </c>
      <c r="E990" s="51" t="str">
        <v/>
      </c>
      <c r="F990" s="52" t="e">
        <v>#REF!</v>
      </c>
      <c r="G990" s="48" t="e">
        <v>#REF!</v>
      </c>
      <c r="H990" s="49">
        <v>0</v>
      </c>
      <c r="I990" s="49" t="e">
        <v>#REF!</v>
      </c>
      <c r="J990" s="50"/>
    </row>
    <row r="991" outlineLevel="1" spans="1:10">
      <c r="A991" s="50">
        <v>82</v>
      </c>
      <c r="B991" s="51" t="str">
        <v>室外排水镀锌钢管-DN80</v>
      </c>
      <c r="C991" s="51" t="e">
        <v>#REF!</v>
      </c>
      <c r="D991" s="51" t="str">
        <v/>
      </c>
      <c r="E991" s="51" t="str">
        <v/>
      </c>
      <c r="F991" s="52" t="e">
        <v>#REF!</v>
      </c>
      <c r="G991" s="48" t="e">
        <v>#REF!</v>
      </c>
      <c r="H991" s="49">
        <v>0</v>
      </c>
      <c r="I991" s="49" t="e">
        <v>#REF!</v>
      </c>
      <c r="J991" s="50"/>
    </row>
    <row r="992" outlineLevel="1" spans="1:10">
      <c r="A992" s="50">
        <v>83</v>
      </c>
      <c r="B992" s="51" t="str">
        <v>室外排水镀锌钢管-DN100</v>
      </c>
      <c r="C992" s="51" t="e">
        <v>#REF!</v>
      </c>
      <c r="D992" s="51" t="str">
        <v/>
      </c>
      <c r="E992" s="51" t="str">
        <v/>
      </c>
      <c r="F992" s="52" t="e">
        <v>#REF!</v>
      </c>
      <c r="G992" s="48" t="e">
        <v>#REF!</v>
      </c>
      <c r="H992" s="49">
        <v>0</v>
      </c>
      <c r="I992" s="49" t="e">
        <v>#REF!</v>
      </c>
      <c r="J992" s="50"/>
    </row>
    <row r="993" outlineLevel="1" spans="1:10">
      <c r="A993" s="50">
        <v>84</v>
      </c>
      <c r="B993" s="51" t="str">
        <v>室外排水镀锌钢管-DN125</v>
      </c>
      <c r="C993" s="51" t="e">
        <v>#REF!</v>
      </c>
      <c r="D993" s="51" t="str">
        <v/>
      </c>
      <c r="E993" s="51" t="str">
        <v/>
      </c>
      <c r="F993" s="52" t="e">
        <v>#REF!</v>
      </c>
      <c r="G993" s="48" t="e">
        <v>#REF!</v>
      </c>
      <c r="H993" s="49">
        <v>0</v>
      </c>
      <c r="I993" s="49" t="e">
        <v>#REF!</v>
      </c>
      <c r="J993" s="50"/>
    </row>
    <row r="994" outlineLevel="1" spans="1:10">
      <c r="A994" s="50">
        <v>85</v>
      </c>
      <c r="B994" s="51" t="str">
        <v>室外排水镀锌钢管-DN150</v>
      </c>
      <c r="C994" s="51" t="e">
        <v>#REF!</v>
      </c>
      <c r="D994" s="51" t="str">
        <v/>
      </c>
      <c r="E994" s="51" t="str">
        <v/>
      </c>
      <c r="F994" s="52" t="e">
        <v>#REF!</v>
      </c>
      <c r="G994" s="48" t="e">
        <v>#REF!</v>
      </c>
      <c r="H994" s="49">
        <v>0</v>
      </c>
      <c r="I994" s="49" t="e">
        <v>#REF!</v>
      </c>
      <c r="J994" s="50"/>
    </row>
    <row r="995" ht="28.8" outlineLevel="1" spans="1:10">
      <c r="A995" s="50">
        <v>86</v>
      </c>
      <c r="B995" s="51" t="str">
        <v>室外或埋地排水管-铸铁管-DN50</v>
      </c>
      <c r="C995" s="51" t="e">
        <v>#REF!</v>
      </c>
      <c r="D995" s="51" t="str">
        <v/>
      </c>
      <c r="E995" s="51" t="str">
        <v/>
      </c>
      <c r="F995" s="52" t="e">
        <v>#REF!</v>
      </c>
      <c r="G995" s="48" t="e">
        <v>#REF!</v>
      </c>
      <c r="H995" s="49">
        <v>0</v>
      </c>
      <c r="I995" s="49" t="e">
        <v>#REF!</v>
      </c>
      <c r="J995" s="50"/>
    </row>
    <row r="996" ht="28.8" outlineLevel="1" spans="1:10">
      <c r="A996" s="50">
        <v>87</v>
      </c>
      <c r="B996" s="51" t="str">
        <v>室外或埋地排水管-铸铁管-DN75</v>
      </c>
      <c r="C996" s="51" t="e">
        <v>#REF!</v>
      </c>
      <c r="D996" s="51" t="str">
        <v/>
      </c>
      <c r="E996" s="51" t="str">
        <v/>
      </c>
      <c r="F996" s="52" t="e">
        <v>#REF!</v>
      </c>
      <c r="G996" s="48" t="e">
        <v>#REF!</v>
      </c>
      <c r="H996" s="49">
        <v>0</v>
      </c>
      <c r="I996" s="49" t="e">
        <v>#REF!</v>
      </c>
      <c r="J996" s="50"/>
    </row>
    <row r="997" ht="28.8" outlineLevel="1" spans="1:10">
      <c r="A997" s="50">
        <v>88</v>
      </c>
      <c r="B997" s="51" t="str">
        <v>室外或埋地排水管-铸铁管-DN100</v>
      </c>
      <c r="C997" s="51" t="e">
        <v>#REF!</v>
      </c>
      <c r="D997" s="51" t="str">
        <v/>
      </c>
      <c r="E997" s="51" t="str">
        <v/>
      </c>
      <c r="F997" s="52" t="e">
        <v>#REF!</v>
      </c>
      <c r="G997" s="48" t="e">
        <v>#REF!</v>
      </c>
      <c r="H997" s="49">
        <v>0</v>
      </c>
      <c r="I997" s="49" t="e">
        <v>#REF!</v>
      </c>
      <c r="J997" s="50"/>
    </row>
    <row r="998" ht="28.8" outlineLevel="1" spans="1:10">
      <c r="A998" s="50">
        <v>89</v>
      </c>
      <c r="B998" s="51" t="str">
        <v>室外或埋地排水管-铸铁管-DN150</v>
      </c>
      <c r="C998" s="51" t="e">
        <v>#REF!</v>
      </c>
      <c r="D998" s="51" t="str">
        <v/>
      </c>
      <c r="E998" s="51" t="str">
        <v/>
      </c>
      <c r="F998" s="52" t="e">
        <v>#REF!</v>
      </c>
      <c r="G998" s="48" t="e">
        <v>#REF!</v>
      </c>
      <c r="H998" s="49">
        <v>0</v>
      </c>
      <c r="I998" s="49" t="e">
        <v>#REF!</v>
      </c>
      <c r="J998" s="50"/>
    </row>
    <row r="999" ht="28.8" outlineLevel="1" spans="1:10">
      <c r="A999" s="50">
        <v>90</v>
      </c>
      <c r="B999" s="51" t="str">
        <v>室内排水塑料管-加厚UPVC-De160</v>
      </c>
      <c r="C999" s="51" t="e">
        <v>#REF!</v>
      </c>
      <c r="D999" s="51" t="str">
        <v/>
      </c>
      <c r="E999" s="51" t="str">
        <v/>
      </c>
      <c r="F999" s="52" t="e">
        <v>#REF!</v>
      </c>
      <c r="G999" s="48" t="e">
        <v>#REF!</v>
      </c>
      <c r="H999" s="49">
        <v>0</v>
      </c>
      <c r="I999" s="49" t="e">
        <v>#REF!</v>
      </c>
      <c r="J999" s="50"/>
    </row>
    <row r="1000" ht="28.8" outlineLevel="1" spans="1:10">
      <c r="A1000" s="50">
        <v>91</v>
      </c>
      <c r="B1000" s="51" t="str">
        <v>室内排水塑料管-加厚UPVC-De110</v>
      </c>
      <c r="C1000" s="51" t="e">
        <v>#REF!</v>
      </c>
      <c r="D1000" s="51" t="str">
        <v/>
      </c>
      <c r="E1000" s="51" t="str">
        <v/>
      </c>
      <c r="F1000" s="52" t="e">
        <v>#REF!</v>
      </c>
      <c r="G1000" s="48" t="e">
        <v>#REF!</v>
      </c>
      <c r="H1000" s="49">
        <v>0</v>
      </c>
      <c r="I1000" s="49" t="e">
        <v>#REF!</v>
      </c>
      <c r="J1000" s="50"/>
    </row>
    <row r="1001" ht="28.8" outlineLevel="1" spans="1:10">
      <c r="A1001" s="50">
        <v>92</v>
      </c>
      <c r="B1001" s="51" t="str">
        <v>室内排水塑料管-加厚UPVC-De75</v>
      </c>
      <c r="C1001" s="51" t="e">
        <v>#REF!</v>
      </c>
      <c r="D1001" s="51" t="str">
        <v/>
      </c>
      <c r="E1001" s="51" t="str">
        <v/>
      </c>
      <c r="F1001" s="52" t="e">
        <v>#REF!</v>
      </c>
      <c r="G1001" s="48" t="e">
        <v>#REF!</v>
      </c>
      <c r="H1001" s="49">
        <v>0</v>
      </c>
      <c r="I1001" s="49" t="e">
        <v>#REF!</v>
      </c>
      <c r="J1001" s="50"/>
    </row>
    <row r="1002" ht="28.8" outlineLevel="1" spans="1:10">
      <c r="A1002" s="50">
        <v>93</v>
      </c>
      <c r="B1002" s="51" t="str">
        <v>室内排水塑料管-消音UPVC-De110</v>
      </c>
      <c r="C1002" s="51" t="e">
        <v>#REF!</v>
      </c>
      <c r="D1002" s="51" t="str">
        <v/>
      </c>
      <c r="E1002" s="51" t="str">
        <v/>
      </c>
      <c r="F1002" s="52" t="e">
        <v>#REF!</v>
      </c>
      <c r="G1002" s="48" t="e">
        <v>#REF!</v>
      </c>
      <c r="H1002" s="49">
        <v>0</v>
      </c>
      <c r="I1002" s="49" t="e">
        <v>#REF!</v>
      </c>
      <c r="J1002" s="50"/>
    </row>
    <row r="1003" ht="28.8" outlineLevel="1" spans="1:10">
      <c r="A1003" s="50">
        <v>94</v>
      </c>
      <c r="B1003" s="51" t="str">
        <v>室内排水塑料管-消音UPVC-De75</v>
      </c>
      <c r="C1003" s="51" t="e">
        <v>#REF!</v>
      </c>
      <c r="D1003" s="51" t="str">
        <v/>
      </c>
      <c r="E1003" s="51" t="str">
        <v/>
      </c>
      <c r="F1003" s="52" t="e">
        <v>#REF!</v>
      </c>
      <c r="G1003" s="48" t="e">
        <v>#REF!</v>
      </c>
      <c r="H1003" s="49">
        <v>0</v>
      </c>
      <c r="I1003" s="49" t="e">
        <v>#REF!</v>
      </c>
      <c r="J1003" s="50"/>
    </row>
    <row r="1004" outlineLevel="1" spans="1:10">
      <c r="A1004" s="50">
        <v>95</v>
      </c>
      <c r="B1004" s="51" t="str">
        <v>室内排水塑料管-UPVC-De110</v>
      </c>
      <c r="C1004" s="51" t="e">
        <v>#REF!</v>
      </c>
      <c r="D1004" s="51" t="str">
        <v/>
      </c>
      <c r="E1004" s="51" t="str">
        <v/>
      </c>
      <c r="F1004" s="52" t="e">
        <v>#REF!</v>
      </c>
      <c r="G1004" s="48" t="e">
        <v>#REF!</v>
      </c>
      <c r="H1004" s="49">
        <v>0</v>
      </c>
      <c r="I1004" s="49" t="e">
        <v>#REF!</v>
      </c>
      <c r="J1004" s="50"/>
    </row>
    <row r="1005" outlineLevel="1" spans="1:10">
      <c r="A1005" s="50">
        <v>96</v>
      </c>
      <c r="B1005" s="51" t="str">
        <v>室内排水塑料管-UPVC-De75</v>
      </c>
      <c r="C1005" s="51" t="e">
        <v>#REF!</v>
      </c>
      <c r="D1005" s="51" t="str">
        <v/>
      </c>
      <c r="E1005" s="51" t="str">
        <v/>
      </c>
      <c r="F1005" s="52" t="e">
        <v>#REF!</v>
      </c>
      <c r="G1005" s="48" t="e">
        <v>#REF!</v>
      </c>
      <c r="H1005" s="49">
        <v>0</v>
      </c>
      <c r="I1005" s="49" t="e">
        <v>#REF!</v>
      </c>
      <c r="J1005" s="50"/>
    </row>
    <row r="1006" outlineLevel="1" spans="1:10">
      <c r="A1006" s="50">
        <v>97</v>
      </c>
      <c r="B1006" s="51" t="str">
        <v>室内排水塑料管-UPVC-De50</v>
      </c>
      <c r="C1006" s="51" t="e">
        <v>#REF!</v>
      </c>
      <c r="D1006" s="51" t="str">
        <v/>
      </c>
      <c r="E1006" s="51" t="str">
        <v/>
      </c>
      <c r="F1006" s="52" t="e">
        <v>#REF!</v>
      </c>
      <c r="G1006" s="48" t="e">
        <v>#REF!</v>
      </c>
      <c r="H1006" s="49">
        <v>0</v>
      </c>
      <c r="I1006" s="49" t="e">
        <v>#REF!</v>
      </c>
      <c r="J1006" s="50"/>
    </row>
    <row r="1007" outlineLevel="1" spans="1:10">
      <c r="A1007" s="50">
        <v>98</v>
      </c>
      <c r="B1007" s="51" t="str">
        <v>室内排水镀锌钢管-DN100</v>
      </c>
      <c r="C1007" s="51" t="e">
        <v>#REF!</v>
      </c>
      <c r="D1007" s="51" t="str">
        <v/>
      </c>
      <c r="E1007" s="51" t="str">
        <v/>
      </c>
      <c r="F1007" s="52" t="e">
        <v>#REF!</v>
      </c>
      <c r="G1007" s="48" t="e">
        <v>#REF!</v>
      </c>
      <c r="H1007" s="49">
        <v>0</v>
      </c>
      <c r="I1007" s="49" t="e">
        <v>#REF!</v>
      </c>
      <c r="J1007" s="50"/>
    </row>
    <row r="1008" outlineLevel="1" spans="1:10">
      <c r="A1008" s="50">
        <v>99</v>
      </c>
      <c r="B1008" s="51" t="str">
        <v>室内排水镀锌钢管-DN80</v>
      </c>
      <c r="C1008" s="51" t="e">
        <v>#REF!</v>
      </c>
      <c r="D1008" s="51" t="str">
        <v/>
      </c>
      <c r="E1008" s="51" t="str">
        <v/>
      </c>
      <c r="F1008" s="52" t="e">
        <v>#REF!</v>
      </c>
      <c r="G1008" s="48" t="e">
        <v>#REF!</v>
      </c>
      <c r="H1008" s="49">
        <v>0</v>
      </c>
      <c r="I1008" s="49" t="e">
        <v>#REF!</v>
      </c>
      <c r="J1008" s="50"/>
    </row>
    <row r="1009" outlineLevel="1" spans="1:10">
      <c r="A1009" s="50">
        <v>100</v>
      </c>
      <c r="B1009" s="51" t="str">
        <v>室内排水镀锌钢管-DN65</v>
      </c>
      <c r="C1009" s="51" t="e">
        <v>#REF!</v>
      </c>
      <c r="D1009" s="51" t="str">
        <v/>
      </c>
      <c r="E1009" s="51" t="str">
        <v/>
      </c>
      <c r="F1009" s="52" t="e">
        <v>#REF!</v>
      </c>
      <c r="G1009" s="48" t="e">
        <v>#REF!</v>
      </c>
      <c r="H1009" s="49">
        <v>0</v>
      </c>
      <c r="I1009" s="49" t="e">
        <v>#REF!</v>
      </c>
      <c r="J1009" s="50"/>
    </row>
    <row r="1010" outlineLevel="1" spans="1:10">
      <c r="A1010" s="50">
        <v>101</v>
      </c>
      <c r="B1010" s="51" t="str">
        <v>室内排水镀锌钢管-DN50</v>
      </c>
      <c r="C1010" s="51" t="e">
        <v>#REF!</v>
      </c>
      <c r="D1010" s="51" t="str">
        <v/>
      </c>
      <c r="E1010" s="51" t="str">
        <v/>
      </c>
      <c r="F1010" s="52" t="e">
        <v>#REF!</v>
      </c>
      <c r="G1010" s="48" t="e">
        <v>#REF!</v>
      </c>
      <c r="H1010" s="49">
        <v>0</v>
      </c>
      <c r="I1010" s="49" t="e">
        <v>#REF!</v>
      </c>
      <c r="J1010" s="50"/>
    </row>
    <row r="1011" outlineLevel="1" spans="1:10">
      <c r="A1011" s="50">
        <v>102</v>
      </c>
      <c r="B1011" s="51" t="str">
        <v>室内排水管-铸铁管-DN50</v>
      </c>
      <c r="C1011" s="51" t="e">
        <v>#REF!</v>
      </c>
      <c r="D1011" s="51" t="str">
        <v/>
      </c>
      <c r="E1011" s="51" t="str">
        <v/>
      </c>
      <c r="F1011" s="52" t="e">
        <v>#REF!</v>
      </c>
      <c r="G1011" s="48" t="e">
        <v>#REF!</v>
      </c>
      <c r="H1011" s="49">
        <v>0</v>
      </c>
      <c r="I1011" s="49" t="e">
        <v>#REF!</v>
      </c>
      <c r="J1011" s="50"/>
    </row>
    <row r="1012" outlineLevel="1" spans="1:10">
      <c r="A1012" s="50">
        <v>103</v>
      </c>
      <c r="B1012" s="51" t="str">
        <v>室内排水管-铸铁管-DN75</v>
      </c>
      <c r="C1012" s="51" t="e">
        <v>#REF!</v>
      </c>
      <c r="D1012" s="51" t="str">
        <v/>
      </c>
      <c r="E1012" s="51" t="str">
        <v/>
      </c>
      <c r="F1012" s="52" t="e">
        <v>#REF!</v>
      </c>
      <c r="G1012" s="48" t="e">
        <v>#REF!</v>
      </c>
      <c r="H1012" s="49">
        <v>0</v>
      </c>
      <c r="I1012" s="49" t="e">
        <v>#REF!</v>
      </c>
      <c r="J1012" s="50"/>
    </row>
    <row r="1013" outlineLevel="1" spans="1:10">
      <c r="A1013" s="50">
        <v>104</v>
      </c>
      <c r="B1013" s="51" t="str">
        <v>室内排水管-铸铁管-DN100</v>
      </c>
      <c r="C1013" s="51" t="e">
        <v>#REF!</v>
      </c>
      <c r="D1013" s="51" t="str">
        <v/>
      </c>
      <c r="E1013" s="51" t="str">
        <v/>
      </c>
      <c r="F1013" s="52" t="e">
        <v>#REF!</v>
      </c>
      <c r="G1013" s="48" t="e">
        <v>#REF!</v>
      </c>
      <c r="H1013" s="49">
        <v>0</v>
      </c>
      <c r="I1013" s="49" t="e">
        <v>#REF!</v>
      </c>
      <c r="J1013" s="50"/>
    </row>
    <row r="1014" outlineLevel="1" spans="1:10">
      <c r="A1014" s="50">
        <v>105</v>
      </c>
      <c r="B1014" s="51" t="str">
        <v>室内排水管-铸铁管-DN150</v>
      </c>
      <c r="C1014" s="51" t="e">
        <v>#REF!</v>
      </c>
      <c r="D1014" s="51" t="str">
        <v/>
      </c>
      <c r="E1014" s="51" t="str">
        <v/>
      </c>
      <c r="F1014" s="52" t="e">
        <v>#REF!</v>
      </c>
      <c r="G1014" s="48" t="e">
        <v>#REF!</v>
      </c>
      <c r="H1014" s="49">
        <v>0</v>
      </c>
      <c r="I1014" s="49" t="e">
        <v>#REF!</v>
      </c>
      <c r="J1014" s="50"/>
    </row>
    <row r="1015" outlineLevel="1" spans="1:10">
      <c r="A1015" s="50">
        <v>106</v>
      </c>
      <c r="B1015" s="51" t="str">
        <v>室内排水管-铸铁管-DN200</v>
      </c>
      <c r="C1015" s="51" t="e">
        <v>#REF!</v>
      </c>
      <c r="D1015" s="51" t="str">
        <v/>
      </c>
      <c r="E1015" s="51" t="str">
        <v/>
      </c>
      <c r="F1015" s="52" t="e">
        <v>#REF!</v>
      </c>
      <c r="G1015" s="48" t="e">
        <v>#REF!</v>
      </c>
      <c r="H1015" s="49">
        <v>0</v>
      </c>
      <c r="I1015" s="49" t="e">
        <v>#REF!</v>
      </c>
      <c r="J1015" s="50"/>
    </row>
    <row r="1016" ht="28.8" outlineLevel="1" spans="1:10">
      <c r="A1016" s="50">
        <v>107</v>
      </c>
      <c r="B1016" s="51" t="str">
        <v>车库内埋地排水管-铸铁管-DN200</v>
      </c>
      <c r="C1016" s="51" t="e">
        <v>#REF!</v>
      </c>
      <c r="D1016" s="51" t="str">
        <v/>
      </c>
      <c r="E1016" s="51" t="str">
        <v/>
      </c>
      <c r="F1016" s="52" t="e">
        <v>#REF!</v>
      </c>
      <c r="G1016" s="48" t="e">
        <v>#REF!</v>
      </c>
      <c r="H1016" s="49">
        <v>0</v>
      </c>
      <c r="I1016" s="49" t="e">
        <v>#REF!</v>
      </c>
      <c r="J1016" s="50"/>
    </row>
    <row r="1017" outlineLevel="1" spans="1:10">
      <c r="A1017" s="50">
        <v>108</v>
      </c>
      <c r="B1017" s="51" t="str">
        <v>土方开挖回填</v>
      </c>
      <c r="C1017" s="51" t="e">
        <v>#REF!</v>
      </c>
      <c r="D1017" s="51" t="str">
        <v/>
      </c>
      <c r="E1017" s="51" t="str">
        <v/>
      </c>
      <c r="F1017" s="52" t="e">
        <v>#REF!</v>
      </c>
      <c r="G1017" s="48" t="e">
        <v>#REF!</v>
      </c>
      <c r="H1017" s="49">
        <v>0</v>
      </c>
      <c r="I1017" s="49" t="e">
        <v>#REF!</v>
      </c>
      <c r="J1017" s="50"/>
    </row>
    <row r="1018" outlineLevel="1" spans="1:10">
      <c r="A1018" s="50" t="str">
        <v/>
      </c>
      <c r="B1018" s="51" t="str">
        <v>B.02.3绝热</v>
      </c>
      <c r="C1018" s="51" t="str">
        <v/>
      </c>
      <c r="D1018" s="51" t="str">
        <v/>
      </c>
      <c r="E1018" s="51" t="str">
        <v/>
      </c>
      <c r="F1018" s="52" t="str">
        <v/>
      </c>
      <c r="G1018" s="48" t="str">
        <v/>
      </c>
      <c r="H1018" s="49">
        <v>0</v>
      </c>
      <c r="I1018" s="49" t="e">
        <v>#REF!</v>
      </c>
      <c r="J1018" s="50"/>
    </row>
    <row r="1019" outlineLevel="1" spans="1:10">
      <c r="A1019" s="50">
        <v>109</v>
      </c>
      <c r="B1019" s="51" t="str">
        <v>塑料带保护层</v>
      </c>
      <c r="C1019" s="51" t="e">
        <v>#REF!</v>
      </c>
      <c r="D1019" s="51" t="str">
        <v/>
      </c>
      <c r="E1019" s="51" t="str">
        <v/>
      </c>
      <c r="F1019" s="52" t="e">
        <v>#REF!</v>
      </c>
      <c r="G1019" s="48" t="e">
        <v>#REF!</v>
      </c>
      <c r="H1019" s="49">
        <v>0</v>
      </c>
      <c r="I1019" s="49" t="e">
        <v>#REF!</v>
      </c>
      <c r="J1019" s="50"/>
    </row>
    <row r="1020" outlineLevel="1" spans="1:10">
      <c r="A1020" s="50">
        <v>110</v>
      </c>
      <c r="B1020" s="51" t="str">
        <v>管道绝热</v>
      </c>
      <c r="C1020" s="51" t="e">
        <v>#REF!</v>
      </c>
      <c r="D1020" s="51" t="str">
        <v/>
      </c>
      <c r="E1020" s="51" t="str">
        <v/>
      </c>
      <c r="F1020" s="52" t="e">
        <v>#REF!</v>
      </c>
      <c r="G1020" s="48" t="e">
        <v>#REF!</v>
      </c>
      <c r="H1020" s="49">
        <v>0</v>
      </c>
      <c r="I1020" s="49" t="e">
        <v>#REF!</v>
      </c>
      <c r="J1020" s="50"/>
    </row>
    <row r="1021" outlineLevel="1" spans="1:10">
      <c r="A1021" s="50" t="str">
        <v/>
      </c>
      <c r="B1021" s="51" t="str">
        <v>B.02.4设备</v>
      </c>
      <c r="C1021" s="51" t="str">
        <v/>
      </c>
      <c r="D1021" s="51" t="str">
        <v/>
      </c>
      <c r="E1021" s="51" t="str">
        <v/>
      </c>
      <c r="F1021" s="52" t="str">
        <v/>
      </c>
      <c r="G1021" s="48" t="str">
        <v/>
      </c>
      <c r="H1021" s="49">
        <v>0</v>
      </c>
      <c r="I1021" s="49" t="e">
        <v>#REF!</v>
      </c>
      <c r="J1021" s="50"/>
    </row>
    <row r="1022" outlineLevel="1" spans="1:10">
      <c r="A1022" s="50">
        <v>111</v>
      </c>
      <c r="B1022" s="51" t="str">
        <v>潜水排污泵1</v>
      </c>
      <c r="C1022" s="51" t="e">
        <v>#REF!</v>
      </c>
      <c r="D1022" s="51" t="str">
        <v/>
      </c>
      <c r="E1022" s="51" t="str">
        <v/>
      </c>
      <c r="F1022" s="52" t="e">
        <v>#REF!</v>
      </c>
      <c r="G1022" s="48" t="e">
        <v>#REF!</v>
      </c>
      <c r="H1022" s="49">
        <v>0</v>
      </c>
      <c r="I1022" s="49" t="e">
        <v>#REF!</v>
      </c>
      <c r="J1022" s="50"/>
    </row>
    <row r="1023" outlineLevel="1" spans="1:10">
      <c r="A1023" s="50">
        <v>112</v>
      </c>
      <c r="B1023" s="51" t="str">
        <v>潜水排污泵2</v>
      </c>
      <c r="C1023" s="51" t="e">
        <v>#REF!</v>
      </c>
      <c r="D1023" s="51" t="str">
        <v/>
      </c>
      <c r="E1023" s="51" t="str">
        <v/>
      </c>
      <c r="F1023" s="52" t="e">
        <v>#REF!</v>
      </c>
      <c r="G1023" s="48" t="e">
        <v>#REF!</v>
      </c>
      <c r="H1023" s="49">
        <v>0</v>
      </c>
      <c r="I1023" s="49" t="e">
        <v>#REF!</v>
      </c>
      <c r="J1023" s="50"/>
    </row>
    <row r="1024" outlineLevel="1" spans="1:10">
      <c r="A1024" s="50">
        <v>113</v>
      </c>
      <c r="B1024" s="51" t="str">
        <v>潜水排污泵3</v>
      </c>
      <c r="C1024" s="51" t="e">
        <v>#REF!</v>
      </c>
      <c r="D1024" s="51" t="str">
        <v/>
      </c>
      <c r="E1024" s="51" t="str">
        <v/>
      </c>
      <c r="F1024" s="52" t="e">
        <v>#REF!</v>
      </c>
      <c r="G1024" s="48" t="e">
        <v>#REF!</v>
      </c>
      <c r="H1024" s="49">
        <v>0</v>
      </c>
      <c r="I1024" s="49" t="e">
        <v>#REF!</v>
      </c>
      <c r="J1024" s="50"/>
    </row>
    <row r="1025" outlineLevel="1" spans="1:10">
      <c r="A1025" s="50">
        <v>114</v>
      </c>
      <c r="B1025" s="51" t="str">
        <v>潜水排污泵4</v>
      </c>
      <c r="C1025" s="51" t="e">
        <v>#REF!</v>
      </c>
      <c r="D1025" s="51" t="str">
        <v/>
      </c>
      <c r="E1025" s="51" t="str">
        <v/>
      </c>
      <c r="F1025" s="52" t="e">
        <v>#REF!</v>
      </c>
      <c r="G1025" s="48" t="e">
        <v>#REF!</v>
      </c>
      <c r="H1025" s="49">
        <v>0</v>
      </c>
      <c r="I1025" s="49" t="e">
        <v>#REF!</v>
      </c>
      <c r="J1025" s="50"/>
    </row>
    <row r="1026" outlineLevel="1" spans="1:10">
      <c r="A1026" s="50">
        <v>115</v>
      </c>
      <c r="B1026" s="51" t="str">
        <v>潜水排污泵5</v>
      </c>
      <c r="C1026" s="51" t="e">
        <v>#REF!</v>
      </c>
      <c r="D1026" s="51" t="str">
        <v/>
      </c>
      <c r="E1026" s="51" t="str">
        <v/>
      </c>
      <c r="F1026" s="52" t="e">
        <v>#REF!</v>
      </c>
      <c r="G1026" s="48" t="e">
        <v>#REF!</v>
      </c>
      <c r="H1026" s="49">
        <v>0</v>
      </c>
      <c r="I1026" s="49" t="e">
        <v>#REF!</v>
      </c>
      <c r="J1026" s="50"/>
    </row>
    <row r="1027" outlineLevel="1" spans="1:10">
      <c r="A1027" s="50">
        <v>116</v>
      </c>
      <c r="B1027" s="51" t="str">
        <v>潜水排污泵6</v>
      </c>
      <c r="C1027" s="51" t="e">
        <v>#REF!</v>
      </c>
      <c r="D1027" s="51" t="str">
        <v/>
      </c>
      <c r="E1027" s="51" t="str">
        <v/>
      </c>
      <c r="F1027" s="52" t="e">
        <v>#REF!</v>
      </c>
      <c r="G1027" s="48" t="e">
        <v>#REF!</v>
      </c>
      <c r="H1027" s="49">
        <v>0</v>
      </c>
      <c r="I1027" s="49" t="e">
        <v>#REF!</v>
      </c>
      <c r="J1027" s="50"/>
    </row>
    <row r="1028" outlineLevel="1" spans="1:10">
      <c r="A1028" s="50">
        <v>117</v>
      </c>
      <c r="B1028" s="51" t="str">
        <v>潜水排污泵7</v>
      </c>
      <c r="C1028" s="51" t="e">
        <v>#REF!</v>
      </c>
      <c r="D1028" s="51" t="str">
        <v/>
      </c>
      <c r="E1028" s="51" t="str">
        <v/>
      </c>
      <c r="F1028" s="52" t="e">
        <v>#REF!</v>
      </c>
      <c r="G1028" s="48" t="e">
        <v>#REF!</v>
      </c>
      <c r="H1028" s="49">
        <v>0</v>
      </c>
      <c r="I1028" s="49" t="e">
        <v>#REF!</v>
      </c>
      <c r="J1028" s="50"/>
    </row>
    <row r="1029" outlineLevel="1" spans="1:10">
      <c r="A1029" s="50">
        <v>118</v>
      </c>
      <c r="B1029" s="51" t="str">
        <v>潜水排污泵8</v>
      </c>
      <c r="C1029" s="51" t="e">
        <v>#REF!</v>
      </c>
      <c r="D1029" s="51" t="str">
        <v/>
      </c>
      <c r="E1029" s="51" t="str">
        <v/>
      </c>
      <c r="F1029" s="52" t="e">
        <v>#REF!</v>
      </c>
      <c r="G1029" s="48" t="e">
        <v>#REF!</v>
      </c>
      <c r="H1029" s="49">
        <v>0</v>
      </c>
      <c r="I1029" s="49" t="e">
        <v>#REF!</v>
      </c>
      <c r="J1029" s="50"/>
    </row>
    <row r="1030" outlineLevel="1" spans="1:10">
      <c r="A1030" s="50">
        <v>119</v>
      </c>
      <c r="B1030" s="51" t="str">
        <v>潜水排污泵9</v>
      </c>
      <c r="C1030" s="51" t="e">
        <v>#REF!</v>
      </c>
      <c r="D1030" s="51" t="str">
        <v/>
      </c>
      <c r="E1030" s="51" t="str">
        <v/>
      </c>
      <c r="F1030" s="52" t="e">
        <v>#REF!</v>
      </c>
      <c r="G1030" s="48" t="e">
        <v>#REF!</v>
      </c>
      <c r="H1030" s="49">
        <v>0</v>
      </c>
      <c r="I1030" s="49" t="e">
        <v>#REF!</v>
      </c>
      <c r="J1030" s="50"/>
    </row>
    <row r="1031" outlineLevel="1" spans="1:10">
      <c r="A1031" s="50">
        <v>120</v>
      </c>
      <c r="B1031" s="51" t="str">
        <v>潜水排污泵10</v>
      </c>
      <c r="C1031" s="51" t="e">
        <v>#REF!</v>
      </c>
      <c r="D1031" s="51" t="str">
        <v/>
      </c>
      <c r="E1031" s="51" t="str">
        <v/>
      </c>
      <c r="F1031" s="52" t="e">
        <v>#REF!</v>
      </c>
      <c r="G1031" s="48" t="e">
        <v>#REF!</v>
      </c>
      <c r="H1031" s="49">
        <v>0</v>
      </c>
      <c r="I1031" s="49" t="e">
        <v>#REF!</v>
      </c>
      <c r="J1031" s="50"/>
    </row>
    <row r="1032" outlineLevel="1" spans="1:10">
      <c r="A1032" s="50">
        <v>121</v>
      </c>
      <c r="B1032" s="51" t="str">
        <v>潜水排污泵11</v>
      </c>
      <c r="C1032" s="51" t="e">
        <v>#REF!</v>
      </c>
      <c r="D1032" s="51" t="str">
        <v/>
      </c>
      <c r="E1032" s="51" t="str">
        <v/>
      </c>
      <c r="F1032" s="52" t="e">
        <v>#REF!</v>
      </c>
      <c r="G1032" s="48" t="e">
        <v>#REF!</v>
      </c>
      <c r="H1032" s="49">
        <v>0</v>
      </c>
      <c r="I1032" s="49" t="e">
        <v>#REF!</v>
      </c>
      <c r="J1032" s="50"/>
    </row>
    <row r="1033" outlineLevel="1" spans="1:10">
      <c r="A1033" s="50">
        <v>122</v>
      </c>
      <c r="B1033" s="51" t="str">
        <v>自耦装置</v>
      </c>
      <c r="C1033" s="51" t="e">
        <v>#REF!</v>
      </c>
      <c r="D1033" s="51" t="str">
        <v/>
      </c>
      <c r="E1033" s="51" t="str">
        <v/>
      </c>
      <c r="F1033" s="52" t="e">
        <v>#REF!</v>
      </c>
      <c r="G1033" s="48" t="e">
        <v>#REF!</v>
      </c>
      <c r="H1033" s="49">
        <v>0</v>
      </c>
      <c r="I1033" s="49" t="e">
        <v>#REF!</v>
      </c>
      <c r="J1033" s="50"/>
    </row>
    <row r="1034" outlineLevel="1" spans="1:10">
      <c r="A1034" s="50" t="str">
        <v/>
      </c>
      <c r="B1034" s="51" t="str">
        <v>B.02.5卫生器具</v>
      </c>
      <c r="C1034" s="51" t="str">
        <v/>
      </c>
      <c r="D1034" s="51" t="str">
        <v/>
      </c>
      <c r="E1034" s="51" t="str">
        <v/>
      </c>
      <c r="F1034" s="52" t="str">
        <v/>
      </c>
      <c r="G1034" s="48" t="str">
        <v/>
      </c>
      <c r="H1034" s="49">
        <v>0</v>
      </c>
      <c r="I1034" s="49" t="e">
        <v>#REF!</v>
      </c>
      <c r="J1034" s="50"/>
    </row>
    <row r="1035" outlineLevel="1" spans="1:10">
      <c r="A1035" s="50">
        <v>123</v>
      </c>
      <c r="B1035" s="51" t="str">
        <v>铸铁地漏-DN100</v>
      </c>
      <c r="C1035" s="51" t="e">
        <v>#REF!</v>
      </c>
      <c r="D1035" s="51" t="str">
        <v/>
      </c>
      <c r="E1035" s="51" t="str">
        <v/>
      </c>
      <c r="F1035" s="52" t="e">
        <v>#REF!</v>
      </c>
      <c r="G1035" s="48" t="e">
        <v>#REF!</v>
      </c>
      <c r="H1035" s="49">
        <v>0</v>
      </c>
      <c r="I1035" s="49" t="e">
        <v>#REF!</v>
      </c>
      <c r="J1035" s="50"/>
    </row>
    <row r="1036" outlineLevel="1" spans="1:10">
      <c r="A1036" s="50">
        <v>124</v>
      </c>
      <c r="B1036" s="51" t="str">
        <v>铸铁地漏-DN75</v>
      </c>
      <c r="C1036" s="51" t="e">
        <v>#REF!</v>
      </c>
      <c r="D1036" s="51" t="str">
        <v/>
      </c>
      <c r="E1036" s="51" t="str">
        <v/>
      </c>
      <c r="F1036" s="52" t="e">
        <v>#REF!</v>
      </c>
      <c r="G1036" s="48" t="e">
        <v>#REF!</v>
      </c>
      <c r="H1036" s="49">
        <v>0</v>
      </c>
      <c r="I1036" s="49" t="e">
        <v>#REF!</v>
      </c>
      <c r="J1036" s="50"/>
    </row>
    <row r="1037" outlineLevel="1" spans="1:10">
      <c r="A1037" s="50">
        <v>125</v>
      </c>
      <c r="B1037" s="51" t="str">
        <v>铸铁地漏-DN50</v>
      </c>
      <c r="C1037" s="51" t="e">
        <v>#REF!</v>
      </c>
      <c r="D1037" s="51" t="str">
        <v/>
      </c>
      <c r="E1037" s="51" t="str">
        <v/>
      </c>
      <c r="F1037" s="52" t="e">
        <v>#REF!</v>
      </c>
      <c r="G1037" s="48" t="e">
        <v>#REF!</v>
      </c>
      <c r="H1037" s="49">
        <v>0</v>
      </c>
      <c r="I1037" s="49" t="e">
        <v>#REF!</v>
      </c>
      <c r="J1037" s="50"/>
    </row>
    <row r="1038" outlineLevel="1" spans="1:10">
      <c r="A1038" s="50">
        <v>126</v>
      </c>
      <c r="B1038" s="51" t="str">
        <v>防爆地漏-DN80</v>
      </c>
      <c r="C1038" s="51" t="e">
        <v>#REF!</v>
      </c>
      <c r="D1038" s="51" t="str">
        <v/>
      </c>
      <c r="E1038" s="51" t="str">
        <v/>
      </c>
      <c r="F1038" s="52" t="e">
        <v>#REF!</v>
      </c>
      <c r="G1038" s="48" t="e">
        <v>#REF!</v>
      </c>
      <c r="H1038" s="49">
        <v>0</v>
      </c>
      <c r="I1038" s="49" t="e">
        <v>#REF!</v>
      </c>
      <c r="J1038" s="50"/>
    </row>
    <row r="1039" outlineLevel="1" spans="1:10">
      <c r="A1039" s="50">
        <v>127</v>
      </c>
      <c r="B1039" s="51" t="str">
        <v>地面铸铁扫除口-DN80</v>
      </c>
      <c r="C1039" s="51" t="e">
        <v>#REF!</v>
      </c>
      <c r="D1039" s="51" t="str">
        <v/>
      </c>
      <c r="E1039" s="51" t="str">
        <v/>
      </c>
      <c r="F1039" s="52" t="e">
        <v>#REF!</v>
      </c>
      <c r="G1039" s="48" t="e">
        <v>#REF!</v>
      </c>
      <c r="H1039" s="49">
        <v>0</v>
      </c>
      <c r="I1039" s="49" t="e">
        <v>#REF!</v>
      </c>
      <c r="J1039" s="50"/>
    </row>
    <row r="1040" outlineLevel="1" spans="1:10">
      <c r="A1040" s="50" t="str">
        <v/>
      </c>
      <c r="B1040" s="51" t="str">
        <v>B.03地下预留预埋</v>
      </c>
      <c r="C1040" s="51" t="str">
        <v/>
      </c>
      <c r="D1040" s="51" t="str">
        <v/>
      </c>
      <c r="E1040" s="51" t="str">
        <v/>
      </c>
      <c r="F1040" s="52" t="str">
        <v/>
      </c>
      <c r="G1040" s="48" t="str">
        <v/>
      </c>
      <c r="H1040" s="49">
        <v>0</v>
      </c>
      <c r="I1040" s="49" t="e">
        <v>#REF!</v>
      </c>
      <c r="J1040" s="50"/>
    </row>
    <row r="1041" outlineLevel="1" spans="1:10">
      <c r="A1041" s="50" t="str">
        <v/>
      </c>
      <c r="B1041" s="51" t="str">
        <v>B.03.1给排水预留预埋</v>
      </c>
      <c r="C1041" s="51" t="str">
        <v/>
      </c>
      <c r="D1041" s="51" t="str">
        <v/>
      </c>
      <c r="E1041" s="51" t="str">
        <v/>
      </c>
      <c r="F1041" s="52" t="str">
        <v/>
      </c>
      <c r="G1041" s="48" t="str">
        <v/>
      </c>
      <c r="H1041" s="49">
        <v>0</v>
      </c>
      <c r="I1041" s="49" t="e">
        <v>#REF!</v>
      </c>
      <c r="J1041" s="50"/>
    </row>
    <row r="1042" outlineLevel="1" spans="1:10">
      <c r="A1042" s="50">
        <v>128</v>
      </c>
      <c r="B1042" s="51" t="str">
        <v>刚性防水套管-DN20</v>
      </c>
      <c r="C1042" s="51" t="e">
        <v>#REF!</v>
      </c>
      <c r="D1042" s="51" t="str">
        <v/>
      </c>
      <c r="E1042" s="51" t="str">
        <v/>
      </c>
      <c r="F1042" s="52" t="e">
        <v>#REF!</v>
      </c>
      <c r="G1042" s="48" t="e">
        <v>#REF!</v>
      </c>
      <c r="H1042" s="49">
        <v>0</v>
      </c>
      <c r="I1042" s="49" t="e">
        <v>#REF!</v>
      </c>
      <c r="J1042" s="50"/>
    </row>
    <row r="1043" outlineLevel="1" spans="1:10">
      <c r="A1043" s="50">
        <v>129</v>
      </c>
      <c r="B1043" s="51" t="str">
        <v>刚性防水套管-DN50</v>
      </c>
      <c r="C1043" s="51" t="e">
        <v>#REF!</v>
      </c>
      <c r="D1043" s="51" t="str">
        <v/>
      </c>
      <c r="E1043" s="51" t="str">
        <v/>
      </c>
      <c r="F1043" s="52" t="e">
        <v>#REF!</v>
      </c>
      <c r="G1043" s="48" t="e">
        <v>#REF!</v>
      </c>
      <c r="H1043" s="49">
        <v>0</v>
      </c>
      <c r="I1043" s="49" t="e">
        <v>#REF!</v>
      </c>
      <c r="J1043" s="50"/>
    </row>
    <row r="1044" outlineLevel="1" spans="1:10">
      <c r="A1044" s="50">
        <v>130</v>
      </c>
      <c r="B1044" s="51" t="str">
        <v>刚性防水套管-De63</v>
      </c>
      <c r="C1044" s="51" t="e">
        <v>#REF!</v>
      </c>
      <c r="D1044" s="51" t="str">
        <v/>
      </c>
      <c r="E1044" s="51" t="str">
        <v/>
      </c>
      <c r="F1044" s="52" t="e">
        <v>#REF!</v>
      </c>
      <c r="G1044" s="48" t="e">
        <v>#REF!</v>
      </c>
      <c r="H1044" s="49">
        <v>0</v>
      </c>
      <c r="I1044" s="49" t="e">
        <v>#REF!</v>
      </c>
      <c r="J1044" s="50"/>
    </row>
    <row r="1045" outlineLevel="1" spans="1:10">
      <c r="A1045" s="50">
        <v>131</v>
      </c>
      <c r="B1045" s="51" t="str">
        <v>刚性防水套管-De75</v>
      </c>
      <c r="C1045" s="51" t="e">
        <v>#REF!</v>
      </c>
      <c r="D1045" s="51" t="str">
        <v/>
      </c>
      <c r="E1045" s="51" t="str">
        <v/>
      </c>
      <c r="F1045" s="52" t="e">
        <v>#REF!</v>
      </c>
      <c r="G1045" s="48" t="e">
        <v>#REF!</v>
      </c>
      <c r="H1045" s="49">
        <v>0</v>
      </c>
      <c r="I1045" s="49" t="e">
        <v>#REF!</v>
      </c>
      <c r="J1045" s="50"/>
    </row>
    <row r="1046" outlineLevel="1" spans="1:10">
      <c r="A1046" s="50">
        <v>132</v>
      </c>
      <c r="B1046" s="51" t="str">
        <v>刚性防水套管-DN80</v>
      </c>
      <c r="C1046" s="51" t="e">
        <v>#REF!</v>
      </c>
      <c r="D1046" s="51" t="str">
        <v/>
      </c>
      <c r="E1046" s="51" t="str">
        <v/>
      </c>
      <c r="F1046" s="52" t="e">
        <v>#REF!</v>
      </c>
      <c r="G1046" s="48" t="e">
        <v>#REF!</v>
      </c>
      <c r="H1046" s="49">
        <v>0</v>
      </c>
      <c r="I1046" s="49" t="e">
        <v>#REF!</v>
      </c>
      <c r="J1046" s="50"/>
    </row>
    <row r="1047" outlineLevel="1" spans="1:10">
      <c r="A1047" s="50">
        <v>133</v>
      </c>
      <c r="B1047" s="51" t="str">
        <v>刚性防水套管-De110</v>
      </c>
      <c r="C1047" s="51" t="e">
        <v>#REF!</v>
      </c>
      <c r="D1047" s="51" t="str">
        <v/>
      </c>
      <c r="E1047" s="51" t="str">
        <v/>
      </c>
      <c r="F1047" s="52" t="e">
        <v>#REF!</v>
      </c>
      <c r="G1047" s="48" t="e">
        <v>#REF!</v>
      </c>
      <c r="H1047" s="49">
        <v>0</v>
      </c>
      <c r="I1047" s="49" t="e">
        <v>#REF!</v>
      </c>
      <c r="J1047" s="50"/>
    </row>
    <row r="1048" outlineLevel="1" spans="1:10">
      <c r="A1048" s="50">
        <v>134</v>
      </c>
      <c r="B1048" s="51" t="str">
        <v>刚性防水套管-DN100</v>
      </c>
      <c r="C1048" s="51" t="e">
        <v>#REF!</v>
      </c>
      <c r="D1048" s="51" t="str">
        <v/>
      </c>
      <c r="E1048" s="51" t="str">
        <v/>
      </c>
      <c r="F1048" s="52" t="e">
        <v>#REF!</v>
      </c>
      <c r="G1048" s="48" t="e">
        <v>#REF!</v>
      </c>
      <c r="H1048" s="49">
        <v>0</v>
      </c>
      <c r="I1048" s="49" t="e">
        <v>#REF!</v>
      </c>
      <c r="J1048" s="50"/>
    </row>
    <row r="1049" outlineLevel="1" spans="1:10">
      <c r="A1049" s="50">
        <v>135</v>
      </c>
      <c r="B1049" s="51" t="str">
        <v>刚性防水套管-De160</v>
      </c>
      <c r="C1049" s="51" t="e">
        <v>#REF!</v>
      </c>
      <c r="D1049" s="51" t="str">
        <v/>
      </c>
      <c r="E1049" s="51" t="str">
        <v/>
      </c>
      <c r="F1049" s="52" t="e">
        <v>#REF!</v>
      </c>
      <c r="G1049" s="48" t="e">
        <v>#REF!</v>
      </c>
      <c r="H1049" s="49">
        <v>0</v>
      </c>
      <c r="I1049" s="49" t="e">
        <v>#REF!</v>
      </c>
      <c r="J1049" s="50"/>
    </row>
    <row r="1050" outlineLevel="1" spans="1:10">
      <c r="A1050" s="50">
        <v>136</v>
      </c>
      <c r="B1050" s="51" t="str">
        <v>刚性防水套管-DN125</v>
      </c>
      <c r="C1050" s="51" t="e">
        <v>#REF!</v>
      </c>
      <c r="D1050" s="51" t="str">
        <v/>
      </c>
      <c r="E1050" s="51" t="str">
        <v/>
      </c>
      <c r="F1050" s="52" t="e">
        <v>#REF!</v>
      </c>
      <c r="G1050" s="48" t="e">
        <v>#REF!</v>
      </c>
      <c r="H1050" s="49">
        <v>0</v>
      </c>
      <c r="I1050" s="49" t="e">
        <v>#REF!</v>
      </c>
      <c r="J1050" s="50"/>
    </row>
    <row r="1051" outlineLevel="1" spans="1:10">
      <c r="A1051" s="50">
        <v>137</v>
      </c>
      <c r="B1051" s="51" t="str">
        <v>刚性防水套管-DN150</v>
      </c>
      <c r="C1051" s="51" t="e">
        <v>#REF!</v>
      </c>
      <c r="D1051" s="51" t="str">
        <v/>
      </c>
      <c r="E1051" s="51" t="str">
        <v/>
      </c>
      <c r="F1051" s="52" t="e">
        <v>#REF!</v>
      </c>
      <c r="G1051" s="48" t="e">
        <v>#REF!</v>
      </c>
      <c r="H1051" s="49">
        <v>0</v>
      </c>
      <c r="I1051" s="49" t="e">
        <v>#REF!</v>
      </c>
      <c r="J1051" s="50"/>
    </row>
    <row r="1052" outlineLevel="1" spans="1:10">
      <c r="A1052" s="50">
        <v>138</v>
      </c>
      <c r="B1052" s="51" t="str">
        <v>刚性防水套管-DN200</v>
      </c>
      <c r="C1052" s="51" t="e">
        <v>#REF!</v>
      </c>
      <c r="D1052" s="51" t="str">
        <v/>
      </c>
      <c r="E1052" s="51" t="str">
        <v/>
      </c>
      <c r="F1052" s="52" t="e">
        <v>#REF!</v>
      </c>
      <c r="G1052" s="48" t="e">
        <v>#REF!</v>
      </c>
      <c r="H1052" s="49">
        <v>0</v>
      </c>
      <c r="I1052" s="49" t="e">
        <v>#REF!</v>
      </c>
      <c r="J1052" s="50"/>
    </row>
    <row r="1053" outlineLevel="1" spans="1:10">
      <c r="A1053" s="50">
        <v>139</v>
      </c>
      <c r="B1053" s="51" t="str">
        <v>刚性防水套管-DN250</v>
      </c>
      <c r="C1053" s="51" t="e">
        <v>#REF!</v>
      </c>
      <c r="D1053" s="51" t="str">
        <v/>
      </c>
      <c r="E1053" s="51" t="str">
        <v/>
      </c>
      <c r="F1053" s="52" t="e">
        <v>#REF!</v>
      </c>
      <c r="G1053" s="48" t="e">
        <v>#REF!</v>
      </c>
      <c r="H1053" s="49">
        <v>0</v>
      </c>
      <c r="I1053" s="49" t="e">
        <v>#REF!</v>
      </c>
      <c r="J1053" s="50"/>
    </row>
    <row r="1054" outlineLevel="1" spans="1:10">
      <c r="A1054" s="50">
        <v>140</v>
      </c>
      <c r="B1054" s="51" t="str">
        <v>刚性防水套管-DN300</v>
      </c>
      <c r="C1054" s="51" t="e">
        <v>#REF!</v>
      </c>
      <c r="D1054" s="51" t="str">
        <v/>
      </c>
      <c r="E1054" s="51" t="str">
        <v/>
      </c>
      <c r="F1054" s="52" t="e">
        <v>#REF!</v>
      </c>
      <c r="G1054" s="48" t="e">
        <v>#REF!</v>
      </c>
      <c r="H1054" s="49">
        <v>0</v>
      </c>
      <c r="I1054" s="49" t="e">
        <v>#REF!</v>
      </c>
      <c r="J1054" s="50"/>
    </row>
    <row r="1055" outlineLevel="1" spans="1:10">
      <c r="A1055" s="50" t="str">
        <v/>
      </c>
      <c r="B1055" s="51" t="str">
        <v>B.03.2消防预留预埋</v>
      </c>
      <c r="C1055" s="51" t="str">
        <v/>
      </c>
      <c r="D1055" s="51" t="str">
        <v/>
      </c>
      <c r="E1055" s="51" t="str">
        <v/>
      </c>
      <c r="F1055" s="52" t="str">
        <v/>
      </c>
      <c r="G1055" s="48" t="str">
        <v/>
      </c>
      <c r="H1055" s="49">
        <v>0</v>
      </c>
      <c r="I1055" s="49" t="e">
        <v>#REF!</v>
      </c>
      <c r="J1055" s="50"/>
    </row>
    <row r="1056" outlineLevel="1" spans="1:10">
      <c r="A1056" s="50">
        <v>141</v>
      </c>
      <c r="B1056" s="51" t="str">
        <v>刚性防水套管-DN100</v>
      </c>
      <c r="C1056" s="51" t="e">
        <v>#REF!</v>
      </c>
      <c r="D1056" s="51" t="str">
        <v/>
      </c>
      <c r="E1056" s="51" t="str">
        <v/>
      </c>
      <c r="F1056" s="52" t="e">
        <v>#REF!</v>
      </c>
      <c r="G1056" s="48" t="e">
        <v>#REF!</v>
      </c>
      <c r="H1056" s="49">
        <v>0</v>
      </c>
      <c r="I1056" s="49" t="e">
        <v>#REF!</v>
      </c>
      <c r="J1056" s="50"/>
    </row>
    <row r="1057" outlineLevel="1" spans="1:10">
      <c r="A1057" s="50">
        <v>142</v>
      </c>
      <c r="B1057" s="51" t="str">
        <v>刚性防水套管-DN150</v>
      </c>
      <c r="C1057" s="51" t="e">
        <v>#REF!</v>
      </c>
      <c r="D1057" s="51" t="str">
        <v/>
      </c>
      <c r="E1057" s="51" t="str">
        <v/>
      </c>
      <c r="F1057" s="52" t="e">
        <v>#REF!</v>
      </c>
      <c r="G1057" s="48" t="e">
        <v>#REF!</v>
      </c>
      <c r="H1057" s="49">
        <v>0</v>
      </c>
      <c r="I1057" s="49" t="e">
        <v>#REF!</v>
      </c>
      <c r="J1057" s="50"/>
    </row>
    <row r="1058" outlineLevel="1" spans="1:10">
      <c r="A1058" s="50">
        <v>143</v>
      </c>
      <c r="B1058" s="51" t="str">
        <v>柔性防水套管-DN50</v>
      </c>
      <c r="C1058" s="51" t="e">
        <v>#REF!</v>
      </c>
      <c r="D1058" s="51" t="str">
        <v/>
      </c>
      <c r="E1058" s="51" t="str">
        <v/>
      </c>
      <c r="F1058" s="52" t="e">
        <v>#REF!</v>
      </c>
      <c r="G1058" s="48" t="e">
        <v>#REF!</v>
      </c>
      <c r="H1058" s="49">
        <v>0</v>
      </c>
      <c r="I1058" s="49" t="e">
        <v>#REF!</v>
      </c>
      <c r="J1058" s="50"/>
    </row>
    <row r="1059" outlineLevel="1" spans="1:10">
      <c r="A1059" s="50">
        <v>144</v>
      </c>
      <c r="B1059" s="51" t="str">
        <v>柔性防水套管-DN65</v>
      </c>
      <c r="C1059" s="51" t="e">
        <v>#REF!</v>
      </c>
      <c r="D1059" s="51" t="str">
        <v/>
      </c>
      <c r="E1059" s="51" t="str">
        <v/>
      </c>
      <c r="F1059" s="52" t="e">
        <v>#REF!</v>
      </c>
      <c r="G1059" s="48" t="e">
        <v>#REF!</v>
      </c>
      <c r="H1059" s="49">
        <v>0</v>
      </c>
      <c r="I1059" s="49" t="e">
        <v>#REF!</v>
      </c>
      <c r="J1059" s="50"/>
    </row>
    <row r="1060" outlineLevel="1" spans="1:10">
      <c r="A1060" s="50">
        <v>145</v>
      </c>
      <c r="B1060" s="51" t="str">
        <v>柔性防水套管-DN80</v>
      </c>
      <c r="C1060" s="51" t="e">
        <v>#REF!</v>
      </c>
      <c r="D1060" s="51" t="str">
        <v/>
      </c>
      <c r="E1060" s="51" t="str">
        <v/>
      </c>
      <c r="F1060" s="52" t="e">
        <v>#REF!</v>
      </c>
      <c r="G1060" s="48" t="e">
        <v>#REF!</v>
      </c>
      <c r="H1060" s="49">
        <v>0</v>
      </c>
      <c r="I1060" s="49" t="e">
        <v>#REF!</v>
      </c>
      <c r="J1060" s="50"/>
    </row>
    <row r="1061" outlineLevel="1" spans="1:10">
      <c r="A1061" s="50">
        <v>146</v>
      </c>
      <c r="B1061" s="51" t="str">
        <v>柔性防水套管-DN100</v>
      </c>
      <c r="C1061" s="51" t="e">
        <v>#REF!</v>
      </c>
      <c r="D1061" s="51" t="str">
        <v/>
      </c>
      <c r="E1061" s="51" t="str">
        <v/>
      </c>
      <c r="F1061" s="52" t="e">
        <v>#REF!</v>
      </c>
      <c r="G1061" s="48" t="e">
        <v>#REF!</v>
      </c>
      <c r="H1061" s="49">
        <v>0</v>
      </c>
      <c r="I1061" s="49" t="e">
        <v>#REF!</v>
      </c>
      <c r="J1061" s="50"/>
    </row>
    <row r="1062" outlineLevel="1" spans="1:10">
      <c r="A1062" s="50">
        <v>147</v>
      </c>
      <c r="B1062" s="51" t="str">
        <v>柔性防水套管-DN125</v>
      </c>
      <c r="C1062" s="51" t="e">
        <v>#REF!</v>
      </c>
      <c r="D1062" s="51" t="str">
        <v/>
      </c>
      <c r="E1062" s="51" t="str">
        <v/>
      </c>
      <c r="F1062" s="52" t="e">
        <v>#REF!</v>
      </c>
      <c r="G1062" s="48" t="e">
        <v>#REF!</v>
      </c>
      <c r="H1062" s="49">
        <v>0</v>
      </c>
      <c r="I1062" s="49" t="e">
        <v>#REF!</v>
      </c>
      <c r="J1062" s="50"/>
    </row>
    <row r="1063" outlineLevel="1" spans="1:10">
      <c r="A1063" s="50">
        <v>148</v>
      </c>
      <c r="B1063" s="51" t="str">
        <v>柔性防水套管-DN150</v>
      </c>
      <c r="C1063" s="51" t="e">
        <v>#REF!</v>
      </c>
      <c r="D1063" s="51" t="str">
        <v/>
      </c>
      <c r="E1063" s="51" t="str">
        <v/>
      </c>
      <c r="F1063" s="52" t="e">
        <v>#REF!</v>
      </c>
      <c r="G1063" s="48" t="e">
        <v>#REF!</v>
      </c>
      <c r="H1063" s="49">
        <v>0</v>
      </c>
      <c r="I1063" s="49" t="e">
        <v>#REF!</v>
      </c>
      <c r="J1063" s="50"/>
    </row>
    <row r="1064" outlineLevel="1" spans="1:10">
      <c r="A1064" s="50">
        <v>149</v>
      </c>
      <c r="B1064" s="51" t="str">
        <v>柔性防水套管-DN200</v>
      </c>
      <c r="C1064" s="51" t="e">
        <v>#REF!</v>
      </c>
      <c r="D1064" s="51" t="str">
        <v/>
      </c>
      <c r="E1064" s="51" t="str">
        <v/>
      </c>
      <c r="F1064" s="52" t="e">
        <v>#REF!</v>
      </c>
      <c r="G1064" s="48" t="e">
        <v>#REF!</v>
      </c>
      <c r="H1064" s="49">
        <v>0</v>
      </c>
      <c r="I1064" s="49" t="e">
        <v>#REF!</v>
      </c>
      <c r="J1064" s="50"/>
    </row>
    <row r="1065" outlineLevel="1" spans="1:10">
      <c r="A1065" s="50">
        <v>150</v>
      </c>
      <c r="B1065" s="51" t="str">
        <v>柔性防水套管-DN250</v>
      </c>
      <c r="C1065" s="51" t="e">
        <v>#REF!</v>
      </c>
      <c r="D1065" s="51" t="str">
        <v/>
      </c>
      <c r="E1065" s="51" t="str">
        <v/>
      </c>
      <c r="F1065" s="52" t="e">
        <v>#REF!</v>
      </c>
      <c r="G1065" s="48" t="e">
        <v>#REF!</v>
      </c>
      <c r="H1065" s="49">
        <v>0</v>
      </c>
      <c r="I1065" s="49" t="e">
        <v>#REF!</v>
      </c>
      <c r="J1065" s="50"/>
    </row>
    <row r="1066" outlineLevel="1" spans="1:10">
      <c r="A1066" s="50">
        <v>151</v>
      </c>
      <c r="B1066" s="51" t="str">
        <v>柔性防水套管-DN300</v>
      </c>
      <c r="C1066" s="51" t="e">
        <v>#REF!</v>
      </c>
      <c r="D1066" s="51" t="str">
        <v/>
      </c>
      <c r="E1066" s="51" t="str">
        <v/>
      </c>
      <c r="F1066" s="52" t="e">
        <v>#REF!</v>
      </c>
      <c r="G1066" s="48" t="e">
        <v>#REF!</v>
      </c>
      <c r="H1066" s="49">
        <v>0</v>
      </c>
      <c r="I1066" s="49" t="e">
        <v>#REF!</v>
      </c>
      <c r="J1066" s="50"/>
    </row>
    <row r="1067" outlineLevel="1" spans="1:10">
      <c r="A1067" s="50">
        <v>152</v>
      </c>
      <c r="B1067" s="51" t="str">
        <v>柔性防水套管-DN350</v>
      </c>
      <c r="C1067" s="51" t="e">
        <v>#REF!</v>
      </c>
      <c r="D1067" s="51" t="str">
        <v/>
      </c>
      <c r="E1067" s="51" t="str">
        <v/>
      </c>
      <c r="F1067" s="52" t="e">
        <v>#REF!</v>
      </c>
      <c r="G1067" s="48" t="e">
        <v>#REF!</v>
      </c>
      <c r="H1067" s="49">
        <v>0</v>
      </c>
      <c r="I1067" s="49" t="e">
        <v>#REF!</v>
      </c>
      <c r="J1067" s="50"/>
    </row>
    <row r="1068" outlineLevel="1" spans="1:10">
      <c r="A1068" s="50">
        <v>153</v>
      </c>
      <c r="B1068" s="51" t="str">
        <v>柔性防水套管-DN400</v>
      </c>
      <c r="C1068" s="51" t="e">
        <v>#REF!</v>
      </c>
      <c r="D1068" s="51" t="str">
        <v/>
      </c>
      <c r="E1068" s="51" t="str">
        <v/>
      </c>
      <c r="F1068" s="52" t="e">
        <v>#REF!</v>
      </c>
      <c r="G1068" s="48" t="e">
        <v>#REF!</v>
      </c>
      <c r="H1068" s="49">
        <v>0</v>
      </c>
      <c r="I1068" s="49" t="e">
        <v>#REF!</v>
      </c>
      <c r="J1068" s="50"/>
    </row>
    <row r="1069" outlineLevel="1" spans="1:10">
      <c r="A1069" s="50">
        <v>154</v>
      </c>
      <c r="B1069" s="51" t="str">
        <v>消防钢套管-DN65</v>
      </c>
      <c r="C1069" s="51" t="e">
        <v>#REF!</v>
      </c>
      <c r="D1069" s="51" t="str">
        <v/>
      </c>
      <c r="E1069" s="51" t="str">
        <v/>
      </c>
      <c r="F1069" s="52" t="e">
        <v>#REF!</v>
      </c>
      <c r="G1069" s="48" t="e">
        <v>#REF!</v>
      </c>
      <c r="H1069" s="49">
        <v>0</v>
      </c>
      <c r="I1069" s="49" t="e">
        <v>#REF!</v>
      </c>
      <c r="J1069" s="50"/>
    </row>
    <row r="1070" outlineLevel="1" spans="1:10">
      <c r="A1070" s="50">
        <v>155</v>
      </c>
      <c r="B1070" s="51" t="str">
        <v>消防钢套管-DN150</v>
      </c>
      <c r="C1070" s="51" t="e">
        <v>#REF!</v>
      </c>
      <c r="D1070" s="51" t="str">
        <v/>
      </c>
      <c r="E1070" s="51" t="str">
        <v/>
      </c>
      <c r="F1070" s="52" t="e">
        <v>#REF!</v>
      </c>
      <c r="G1070" s="48" t="e">
        <v>#REF!</v>
      </c>
      <c r="H1070" s="49">
        <v>0</v>
      </c>
      <c r="I1070" s="49" t="e">
        <v>#REF!</v>
      </c>
      <c r="J1070" s="50"/>
    </row>
    <row r="1071" outlineLevel="1" spans="1:10">
      <c r="A1071" s="50">
        <v>156</v>
      </c>
      <c r="B1071" s="51" t="str">
        <v>消防钢套管-DN250</v>
      </c>
      <c r="C1071" s="51" t="e">
        <v>#REF!</v>
      </c>
      <c r="D1071" s="51" t="str">
        <v/>
      </c>
      <c r="E1071" s="51" t="str">
        <v/>
      </c>
      <c r="F1071" s="52" t="e">
        <v>#REF!</v>
      </c>
      <c r="G1071" s="48" t="e">
        <v>#REF!</v>
      </c>
      <c r="H1071" s="49">
        <v>0</v>
      </c>
      <c r="I1071" s="49" t="e">
        <v>#REF!</v>
      </c>
      <c r="J1071" s="50"/>
    </row>
    <row r="1072" outlineLevel="1" spans="1:10">
      <c r="A1072" s="50" t="str">
        <v/>
      </c>
      <c r="B1072" s="51" t="str">
        <v>地上给排水</v>
      </c>
      <c r="C1072" s="51" t="str">
        <v/>
      </c>
      <c r="D1072" s="51" t="str">
        <v/>
      </c>
      <c r="E1072" s="51" t="str">
        <v/>
      </c>
      <c r="F1072" s="52" t="str">
        <v/>
      </c>
      <c r="G1072" s="48" t="str">
        <v/>
      </c>
      <c r="H1072" s="49">
        <v>0</v>
      </c>
      <c r="I1072" s="49" t="e">
        <v>#REF!</v>
      </c>
      <c r="J1072" s="50"/>
    </row>
    <row r="1073" outlineLevel="1" spans="1:10">
      <c r="A1073" s="50" t="str">
        <v/>
      </c>
      <c r="B1073" s="51" t="str">
        <v>B.04地上户内给水</v>
      </c>
      <c r="C1073" s="51" t="str">
        <v/>
      </c>
      <c r="D1073" s="51" t="str">
        <v/>
      </c>
      <c r="E1073" s="51" t="str">
        <v/>
      </c>
      <c r="F1073" s="52" t="str">
        <v/>
      </c>
      <c r="G1073" s="48" t="str">
        <v/>
      </c>
      <c r="H1073" s="49">
        <v>0</v>
      </c>
      <c r="I1073" s="49" t="e">
        <v>#REF!</v>
      </c>
      <c r="J1073" s="50"/>
    </row>
    <row r="1074" outlineLevel="1" spans="1:10">
      <c r="A1074" s="50" t="str">
        <v/>
      </c>
      <c r="B1074" s="51" t="str">
        <v>B.04.1阀部件</v>
      </c>
      <c r="C1074" s="51" t="str">
        <v/>
      </c>
      <c r="D1074" s="51" t="str">
        <v/>
      </c>
      <c r="E1074" s="51" t="str">
        <v/>
      </c>
      <c r="F1074" s="52" t="str">
        <v/>
      </c>
      <c r="G1074" s="48" t="str">
        <v/>
      </c>
      <c r="H1074" s="49">
        <v>0</v>
      </c>
      <c r="I1074" s="49" t="e">
        <v>#REF!</v>
      </c>
      <c r="J1074" s="50"/>
    </row>
    <row r="1075" outlineLevel="1" spans="1:10">
      <c r="A1075" s="50">
        <v>157</v>
      </c>
      <c r="B1075" s="51" t="str">
        <v>螺纹阀门-截止阀-De32</v>
      </c>
      <c r="C1075" s="51" t="e">
        <v>#REF!</v>
      </c>
      <c r="D1075" s="51" t="str">
        <v/>
      </c>
      <c r="E1075" s="51" t="str">
        <v/>
      </c>
      <c r="F1075" s="52" t="e">
        <v>#REF!</v>
      </c>
      <c r="G1075" s="48" t="e">
        <v>#REF!</v>
      </c>
      <c r="H1075" s="49">
        <v>0</v>
      </c>
      <c r="I1075" s="49" t="e">
        <v>#REF!</v>
      </c>
      <c r="J1075" s="50"/>
    </row>
    <row r="1076" outlineLevel="1" spans="1:10">
      <c r="A1076" s="50">
        <v>158</v>
      </c>
      <c r="B1076" s="51" t="str">
        <v>螺纹阀门-截止阀-De25</v>
      </c>
      <c r="C1076" s="51" t="e">
        <v>#REF!</v>
      </c>
      <c r="D1076" s="51" t="str">
        <v/>
      </c>
      <c r="E1076" s="51" t="str">
        <v/>
      </c>
      <c r="F1076" s="52" t="e">
        <v>#REF!</v>
      </c>
      <c r="G1076" s="48" t="e">
        <v>#REF!</v>
      </c>
      <c r="H1076" s="49">
        <v>0</v>
      </c>
      <c r="I1076" s="49" t="e">
        <v>#REF!</v>
      </c>
      <c r="J1076" s="50"/>
    </row>
    <row r="1077" outlineLevel="1" spans="1:10">
      <c r="A1077" s="50">
        <v>159</v>
      </c>
      <c r="B1077" s="51" t="str">
        <v>螺纹阀门-截止阀-De20</v>
      </c>
      <c r="C1077" s="51" t="e">
        <v>#REF!</v>
      </c>
      <c r="D1077" s="51" t="str">
        <v/>
      </c>
      <c r="E1077" s="51" t="str">
        <v/>
      </c>
      <c r="F1077" s="52" t="e">
        <v>#REF!</v>
      </c>
      <c r="G1077" s="48" t="e">
        <v>#REF!</v>
      </c>
      <c r="H1077" s="49">
        <v>0</v>
      </c>
      <c r="I1077" s="49" t="e">
        <v>#REF!</v>
      </c>
      <c r="J1077" s="50"/>
    </row>
    <row r="1078" outlineLevel="1" spans="1:10">
      <c r="A1078" s="50">
        <v>160</v>
      </c>
      <c r="B1078" s="51" t="str">
        <v>倒流防止器-De25</v>
      </c>
      <c r="C1078" s="51" t="e">
        <v>#REF!</v>
      </c>
      <c r="D1078" s="51" t="str">
        <v/>
      </c>
      <c r="E1078" s="51" t="str">
        <v/>
      </c>
      <c r="F1078" s="52" t="e">
        <v>#REF!</v>
      </c>
      <c r="G1078" s="48" t="e">
        <v>#REF!</v>
      </c>
      <c r="H1078" s="49">
        <v>0</v>
      </c>
      <c r="I1078" s="49" t="e">
        <v>#REF!</v>
      </c>
      <c r="J1078" s="50"/>
    </row>
    <row r="1079" outlineLevel="1" spans="1:10">
      <c r="A1079" s="50">
        <v>161</v>
      </c>
      <c r="B1079" s="51" t="str">
        <v>螺纹阀门-止回阀-De20</v>
      </c>
      <c r="C1079" s="51" t="e">
        <v>#REF!</v>
      </c>
      <c r="D1079" s="51" t="str">
        <v/>
      </c>
      <c r="E1079" s="51" t="str">
        <v/>
      </c>
      <c r="F1079" s="52" t="e">
        <v>#REF!</v>
      </c>
      <c r="G1079" s="48" t="e">
        <v>#REF!</v>
      </c>
      <c r="H1079" s="49">
        <v>0</v>
      </c>
      <c r="I1079" s="49" t="e">
        <v>#REF!</v>
      </c>
      <c r="J1079" s="50"/>
    </row>
    <row r="1080" outlineLevel="1" spans="1:10">
      <c r="A1080" s="50" t="str">
        <v/>
      </c>
      <c r="B1080" s="51" t="str">
        <v>B.04.2给水管道</v>
      </c>
      <c r="C1080" s="51" t="str">
        <v/>
      </c>
      <c r="D1080" s="51" t="str">
        <v/>
      </c>
      <c r="E1080" s="51" t="str">
        <v/>
      </c>
      <c r="F1080" s="52" t="str">
        <v/>
      </c>
      <c r="G1080" s="48" t="str">
        <v/>
      </c>
      <c r="H1080" s="49">
        <v>0</v>
      </c>
      <c r="I1080" s="49" t="e">
        <v>#REF!</v>
      </c>
      <c r="J1080" s="50"/>
    </row>
    <row r="1081" ht="28.8" outlineLevel="1" spans="1:10">
      <c r="A1081" s="50">
        <v>162</v>
      </c>
      <c r="B1081" s="51" t="str">
        <v>室内给水塑料管-PPR-De20-热熔</v>
      </c>
      <c r="C1081" s="51" t="e">
        <v>#REF!</v>
      </c>
      <c r="D1081" s="51" t="str">
        <v/>
      </c>
      <c r="E1081" s="51" t="str">
        <v/>
      </c>
      <c r="F1081" s="52" t="e">
        <v>#REF!</v>
      </c>
      <c r="G1081" s="48" t="e">
        <v>#REF!</v>
      </c>
      <c r="H1081" s="49">
        <v>5.6</v>
      </c>
      <c r="I1081" s="49" t="e">
        <v>#REF!</v>
      </c>
      <c r="J1081" s="50"/>
    </row>
    <row r="1082" ht="28.8" outlineLevel="1" spans="1:10">
      <c r="A1082" s="50">
        <v>163</v>
      </c>
      <c r="B1082" s="51" t="str">
        <v>室内给水塑料管-PPR-De25-热熔</v>
      </c>
      <c r="C1082" s="51" t="e">
        <v>#REF!</v>
      </c>
      <c r="D1082" s="51" t="str">
        <v/>
      </c>
      <c r="E1082" s="51" t="str">
        <v/>
      </c>
      <c r="F1082" s="52" t="e">
        <v>#REF!</v>
      </c>
      <c r="G1082" s="48" t="e">
        <v>#REF!</v>
      </c>
      <c r="H1082" s="49">
        <v>12.2</v>
      </c>
      <c r="I1082" s="49" t="e">
        <v>#REF!</v>
      </c>
      <c r="J1082" s="50"/>
    </row>
    <row r="1083" ht="28.8" outlineLevel="1" spans="1:10">
      <c r="A1083" s="50">
        <v>164</v>
      </c>
      <c r="B1083" s="51" t="str">
        <v>室内给水塑料管-PPR-De32-热熔</v>
      </c>
      <c r="C1083" s="51" t="e">
        <v>#REF!</v>
      </c>
      <c r="D1083" s="51" t="str">
        <v/>
      </c>
      <c r="E1083" s="51" t="str">
        <v/>
      </c>
      <c r="F1083" s="52" t="e">
        <v>#REF!</v>
      </c>
      <c r="G1083" s="48" t="e">
        <v>#REF!</v>
      </c>
      <c r="H1083" s="49">
        <v>3.04</v>
      </c>
      <c r="I1083" s="49" t="e">
        <v>#REF!</v>
      </c>
      <c r="J1083" s="50"/>
    </row>
    <row r="1084" ht="28.8" outlineLevel="1" spans="1:10">
      <c r="A1084" s="50">
        <v>165</v>
      </c>
      <c r="B1084" s="51" t="str">
        <v>室内给水塑料管-PPR-De40-热熔</v>
      </c>
      <c r="C1084" s="51" t="e">
        <v>#REF!</v>
      </c>
      <c r="D1084" s="51" t="str">
        <v/>
      </c>
      <c r="E1084" s="51" t="str">
        <v/>
      </c>
      <c r="F1084" s="52" t="e">
        <v>#REF!</v>
      </c>
      <c r="G1084" s="48" t="e">
        <v>#REF!</v>
      </c>
      <c r="H1084" s="49">
        <v>1</v>
      </c>
      <c r="I1084" s="49" t="e">
        <v>#REF!</v>
      </c>
      <c r="J1084" s="50"/>
    </row>
    <row r="1085" ht="28.8" outlineLevel="1" spans="1:10">
      <c r="A1085" s="50">
        <v>166</v>
      </c>
      <c r="B1085" s="51" t="str">
        <v>室内给水塑料管-PPR-De50-热熔</v>
      </c>
      <c r="C1085" s="51" t="e">
        <v>#REF!</v>
      </c>
      <c r="D1085" s="51" t="str">
        <v/>
      </c>
      <c r="E1085" s="51" t="str">
        <v/>
      </c>
      <c r="F1085" s="52" t="e">
        <v>#REF!</v>
      </c>
      <c r="G1085" s="48" t="e">
        <v>#REF!</v>
      </c>
      <c r="H1085" s="49">
        <v>4.6</v>
      </c>
      <c r="I1085" s="49" t="e">
        <v>#REF!</v>
      </c>
      <c r="J1085" s="50"/>
    </row>
    <row r="1086" ht="28.8" outlineLevel="1" spans="1:10">
      <c r="A1086" s="50">
        <v>167</v>
      </c>
      <c r="B1086" s="51" t="str">
        <v>室内给水塑料管-PPR-De63-热熔</v>
      </c>
      <c r="C1086" s="51" t="e">
        <v>#REF!</v>
      </c>
      <c r="D1086" s="51" t="str">
        <v/>
      </c>
      <c r="E1086" s="51" t="str">
        <v/>
      </c>
      <c r="F1086" s="52" t="e">
        <v>#REF!</v>
      </c>
      <c r="G1086" s="48" t="e">
        <v>#REF!</v>
      </c>
      <c r="H1086" s="49">
        <v>32.51</v>
      </c>
      <c r="I1086" s="49" t="e">
        <v>#REF!</v>
      </c>
      <c r="J1086" s="50"/>
    </row>
    <row r="1087" ht="28.8" outlineLevel="1" spans="1:10">
      <c r="A1087" s="50">
        <v>168</v>
      </c>
      <c r="B1087" s="51" t="str">
        <v>室内给水塑料管-PPR-De20（S3.2）-热熔</v>
      </c>
      <c r="C1087" s="51" t="e">
        <v>#REF!</v>
      </c>
      <c r="D1087" s="51" t="str">
        <v/>
      </c>
      <c r="E1087" s="51" t="str">
        <v/>
      </c>
      <c r="F1087" s="52" t="e">
        <v>#REF!</v>
      </c>
      <c r="G1087" s="48" t="e">
        <v>#REF!</v>
      </c>
      <c r="H1087" s="49">
        <v>0</v>
      </c>
      <c r="I1087" s="49" t="e">
        <v>#REF!</v>
      </c>
      <c r="J1087" s="50"/>
    </row>
    <row r="1088" ht="28.8" outlineLevel="1" spans="1:10">
      <c r="A1088" s="50">
        <v>169</v>
      </c>
      <c r="B1088" s="51" t="str">
        <v>室内给水塑料管-PPR-De25（S3.2）-热熔</v>
      </c>
      <c r="C1088" s="51" t="e">
        <v>#REF!</v>
      </c>
      <c r="D1088" s="51" t="str">
        <v/>
      </c>
      <c r="E1088" s="51" t="str">
        <v/>
      </c>
      <c r="F1088" s="52" t="e">
        <v>#REF!</v>
      </c>
      <c r="G1088" s="48" t="e">
        <v>#REF!</v>
      </c>
      <c r="H1088" s="49">
        <v>0</v>
      </c>
      <c r="I1088" s="49" t="e">
        <v>#REF!</v>
      </c>
      <c r="J1088" s="50"/>
    </row>
    <row r="1089" ht="28.8" outlineLevel="1" spans="1:10">
      <c r="A1089" s="50">
        <v>170</v>
      </c>
      <c r="B1089" s="51" t="str">
        <v>室内给水塑料管-PPR-De32（S3.2）-热熔</v>
      </c>
      <c r="C1089" s="51" t="e">
        <v>#REF!</v>
      </c>
      <c r="D1089" s="51" t="str">
        <v/>
      </c>
      <c r="E1089" s="51" t="str">
        <v/>
      </c>
      <c r="F1089" s="52" t="e">
        <v>#REF!</v>
      </c>
      <c r="G1089" s="48" t="e">
        <v>#REF!</v>
      </c>
      <c r="H1089" s="49">
        <v>0</v>
      </c>
      <c r="I1089" s="49" t="e">
        <v>#REF!</v>
      </c>
      <c r="J1089" s="50"/>
    </row>
    <row r="1090" outlineLevel="1" spans="1:10">
      <c r="A1090" s="50" t="str">
        <v/>
      </c>
      <c r="B1090" s="51" t="str">
        <v>B.05地上户内排水</v>
      </c>
      <c r="C1090" s="51" t="str">
        <v/>
      </c>
      <c r="D1090" s="51" t="str">
        <v/>
      </c>
      <c r="E1090" s="51" t="str">
        <v/>
      </c>
      <c r="F1090" s="52" t="str">
        <v/>
      </c>
      <c r="G1090" s="48" t="str">
        <v/>
      </c>
      <c r="H1090" s="49">
        <v>0</v>
      </c>
      <c r="I1090" s="49" t="e">
        <v>#REF!</v>
      </c>
      <c r="J1090" s="50"/>
    </row>
    <row r="1091" outlineLevel="1" spans="1:10">
      <c r="A1091" s="50" t="str">
        <v/>
      </c>
      <c r="B1091" s="51" t="str">
        <v>B.05.1排水管道</v>
      </c>
      <c r="C1091" s="51" t="str">
        <v/>
      </c>
      <c r="D1091" s="51" t="str">
        <v/>
      </c>
      <c r="E1091" s="51" t="str">
        <v/>
      </c>
      <c r="F1091" s="52" t="str">
        <v/>
      </c>
      <c r="G1091" s="48" t="str">
        <v/>
      </c>
      <c r="H1091" s="49">
        <v>0</v>
      </c>
      <c r="I1091" s="49" t="e">
        <v>#REF!</v>
      </c>
      <c r="J1091" s="50"/>
    </row>
    <row r="1092" outlineLevel="1" spans="1:10">
      <c r="A1092" s="50">
        <v>171</v>
      </c>
      <c r="B1092" s="51" t="str">
        <v>室外排水塑料管-UPVC-De110</v>
      </c>
      <c r="C1092" s="51" t="e">
        <v>#REF!</v>
      </c>
      <c r="D1092" s="51" t="str">
        <v/>
      </c>
      <c r="E1092" s="51" t="str">
        <v/>
      </c>
      <c r="F1092" s="52" t="e">
        <v>#REF!</v>
      </c>
      <c r="G1092" s="48" t="e">
        <v>#REF!</v>
      </c>
      <c r="H1092" s="49">
        <v>1</v>
      </c>
      <c r="I1092" s="49" t="e">
        <v>#REF!</v>
      </c>
      <c r="J1092" s="50"/>
    </row>
    <row r="1093" outlineLevel="1" spans="1:10">
      <c r="A1093" s="50">
        <v>172</v>
      </c>
      <c r="B1093" s="51" t="str">
        <v>室外排水塑料管-UPVC-De75</v>
      </c>
      <c r="C1093" s="51" t="e">
        <v>#REF!</v>
      </c>
      <c r="D1093" s="51" t="str">
        <v/>
      </c>
      <c r="E1093" s="51" t="str">
        <v/>
      </c>
      <c r="F1093" s="52" t="e">
        <v>#REF!</v>
      </c>
      <c r="G1093" s="48" t="e">
        <v>#REF!</v>
      </c>
      <c r="H1093" s="49">
        <v>1</v>
      </c>
      <c r="I1093" s="49" t="e">
        <v>#REF!</v>
      </c>
      <c r="J1093" s="50"/>
    </row>
    <row r="1094" outlineLevel="1" spans="1:10">
      <c r="A1094" s="50">
        <v>173</v>
      </c>
      <c r="B1094" s="51" t="str">
        <v>室外塑料管-UPVC-De50</v>
      </c>
      <c r="C1094" s="51" t="e">
        <v>#REF!</v>
      </c>
      <c r="D1094" s="51" t="str">
        <v/>
      </c>
      <c r="E1094" s="51" t="str">
        <v/>
      </c>
      <c r="F1094" s="52" t="e">
        <v>#REF!</v>
      </c>
      <c r="G1094" s="48" t="e">
        <v>#REF!</v>
      </c>
      <c r="H1094" s="49">
        <v>1</v>
      </c>
      <c r="I1094" s="49" t="e">
        <v>#REF!</v>
      </c>
      <c r="J1094" s="50"/>
    </row>
    <row r="1095" ht="28.8" outlineLevel="1" spans="1:10">
      <c r="A1095" s="50">
        <v>174</v>
      </c>
      <c r="B1095" s="51" t="str">
        <v>室内排水塑料管-消音UPVC-De110</v>
      </c>
      <c r="C1095" s="51" t="e">
        <v>#REF!</v>
      </c>
      <c r="D1095" s="51" t="str">
        <v/>
      </c>
      <c r="E1095" s="51" t="str">
        <v/>
      </c>
      <c r="F1095" s="52" t="e">
        <v>#REF!</v>
      </c>
      <c r="G1095" s="48" t="e">
        <v>#REF!</v>
      </c>
      <c r="H1095" s="49">
        <v>0</v>
      </c>
      <c r="I1095" s="49" t="e">
        <v>#REF!</v>
      </c>
      <c r="J1095" s="50"/>
    </row>
    <row r="1096" ht="28.8" outlineLevel="1" spans="1:10">
      <c r="A1096" s="50">
        <v>175</v>
      </c>
      <c r="B1096" s="51" t="str">
        <v>室内透气塑料立管-UPVC-De110</v>
      </c>
      <c r="C1096" s="51" t="e">
        <v>#REF!</v>
      </c>
      <c r="D1096" s="51" t="str">
        <v/>
      </c>
      <c r="E1096" s="51" t="str">
        <v/>
      </c>
      <c r="F1096" s="52" t="e">
        <v>#REF!</v>
      </c>
      <c r="G1096" s="48" t="e">
        <v>#REF!</v>
      </c>
      <c r="H1096" s="49">
        <v>0</v>
      </c>
      <c r="I1096" s="49" t="e">
        <v>#REF!</v>
      </c>
      <c r="J1096" s="50"/>
    </row>
    <row r="1097" outlineLevel="1" spans="1:10">
      <c r="A1097" s="50">
        <v>176</v>
      </c>
      <c r="B1097" s="51" t="str">
        <v>室内排水塑料管-UPVC-De110</v>
      </c>
      <c r="C1097" s="51" t="e">
        <v>#REF!</v>
      </c>
      <c r="D1097" s="51" t="str">
        <v/>
      </c>
      <c r="E1097" s="51" t="str">
        <v/>
      </c>
      <c r="F1097" s="52" t="e">
        <v>#REF!</v>
      </c>
      <c r="G1097" s="48" t="e">
        <v>#REF!</v>
      </c>
      <c r="H1097" s="49">
        <v>0</v>
      </c>
      <c r="I1097" s="49" t="e">
        <v>#REF!</v>
      </c>
      <c r="J1097" s="50"/>
    </row>
    <row r="1098" outlineLevel="1" spans="1:10">
      <c r="A1098" s="50">
        <v>177</v>
      </c>
      <c r="B1098" s="51" t="str">
        <v>室内排水塑料管-UPVC-De75</v>
      </c>
      <c r="C1098" s="51" t="e">
        <v>#REF!</v>
      </c>
      <c r="D1098" s="51" t="str">
        <v/>
      </c>
      <c r="E1098" s="51" t="str">
        <v/>
      </c>
      <c r="F1098" s="52" t="e">
        <v>#REF!</v>
      </c>
      <c r="G1098" s="48" t="e">
        <v>#REF!</v>
      </c>
      <c r="H1098" s="49">
        <v>0</v>
      </c>
      <c r="I1098" s="49" t="e">
        <v>#REF!</v>
      </c>
      <c r="J1098" s="50"/>
    </row>
    <row r="1099" outlineLevel="1" spans="1:10">
      <c r="A1099" s="50">
        <v>178</v>
      </c>
      <c r="B1099" s="51" t="str">
        <v>室内排水塑料管-UPVC-De50</v>
      </c>
      <c r="C1099" s="51" t="e">
        <v>#REF!</v>
      </c>
      <c r="D1099" s="51" t="str">
        <v/>
      </c>
      <c r="E1099" s="51" t="str">
        <v/>
      </c>
      <c r="F1099" s="52" t="e">
        <v>#REF!</v>
      </c>
      <c r="G1099" s="48" t="e">
        <v>#REF!</v>
      </c>
      <c r="H1099" s="49">
        <v>0</v>
      </c>
      <c r="I1099" s="49" t="e">
        <v>#REF!</v>
      </c>
      <c r="J1099" s="50"/>
    </row>
    <row r="1100" outlineLevel="1" spans="1:10">
      <c r="A1100" s="50" t="str">
        <v/>
      </c>
      <c r="B1100" s="51" t="str">
        <v>B.05.2卫生器具</v>
      </c>
      <c r="C1100" s="51" t="str">
        <v/>
      </c>
      <c r="D1100" s="51" t="str">
        <v/>
      </c>
      <c r="E1100" s="51" t="str">
        <v/>
      </c>
      <c r="F1100" s="52" t="str">
        <v/>
      </c>
      <c r="G1100" s="48" t="str">
        <v/>
      </c>
      <c r="H1100" s="49">
        <v>0</v>
      </c>
      <c r="I1100" s="49" t="e">
        <v>#REF!</v>
      </c>
      <c r="J1100" s="50"/>
    </row>
    <row r="1101" outlineLevel="1" spans="1:10">
      <c r="A1101" s="50">
        <v>179</v>
      </c>
      <c r="B1101" s="51" t="str">
        <v>卫生间防臭地漏-De50</v>
      </c>
      <c r="C1101" s="51" t="e">
        <v>#REF!</v>
      </c>
      <c r="D1101" s="51" t="str">
        <v/>
      </c>
      <c r="E1101" s="51" t="str">
        <v/>
      </c>
      <c r="F1101" s="52" t="e">
        <v>#REF!</v>
      </c>
      <c r="G1101" s="48" t="e">
        <v>#REF!</v>
      </c>
      <c r="H1101" s="49">
        <v>0</v>
      </c>
      <c r="I1101" s="49" t="e">
        <v>#REF!</v>
      </c>
      <c r="J1101" s="50"/>
    </row>
    <row r="1102" outlineLevel="1" spans="1:10">
      <c r="A1102" s="50">
        <v>180</v>
      </c>
      <c r="B1102" s="51" t="str">
        <v>洗衣机防臭地漏-De50</v>
      </c>
      <c r="C1102" s="51" t="e">
        <v>#REF!</v>
      </c>
      <c r="D1102" s="51" t="str">
        <v/>
      </c>
      <c r="E1102" s="51" t="str">
        <v/>
      </c>
      <c r="F1102" s="52" t="e">
        <v>#REF!</v>
      </c>
      <c r="G1102" s="48" t="e">
        <v>#REF!</v>
      </c>
      <c r="H1102" s="49">
        <v>0</v>
      </c>
      <c r="I1102" s="49" t="e">
        <v>#REF!</v>
      </c>
      <c r="J1102" s="50"/>
    </row>
    <row r="1103" outlineLevel="1" spans="1:10">
      <c r="A1103" s="50">
        <v>181</v>
      </c>
      <c r="B1103" s="51" t="str">
        <v>雨水地漏-DN75</v>
      </c>
      <c r="C1103" s="51" t="e">
        <v>#REF!</v>
      </c>
      <c r="D1103" s="51" t="str">
        <v/>
      </c>
      <c r="E1103" s="51" t="str">
        <v/>
      </c>
      <c r="F1103" s="52" t="e">
        <v>#REF!</v>
      </c>
      <c r="G1103" s="48" t="e">
        <v>#REF!</v>
      </c>
      <c r="H1103" s="49">
        <v>0</v>
      </c>
      <c r="I1103" s="49" t="e">
        <v>#REF!</v>
      </c>
      <c r="J1103" s="50"/>
    </row>
    <row r="1104" outlineLevel="1" spans="1:10">
      <c r="A1104" s="50">
        <v>181</v>
      </c>
      <c r="B1104" s="51" t="str">
        <v>清扫口-De110</v>
      </c>
      <c r="C1104" s="51" t="e">
        <v>#REF!</v>
      </c>
      <c r="D1104" s="51" t="str">
        <v/>
      </c>
      <c r="E1104" s="51" t="str">
        <v/>
      </c>
      <c r="F1104" s="52" t="e">
        <v>#REF!</v>
      </c>
      <c r="G1104" s="48" t="e">
        <v>#REF!</v>
      </c>
      <c r="H1104" s="49">
        <v>0</v>
      </c>
      <c r="I1104" s="49" t="e">
        <v>#REF!</v>
      </c>
      <c r="J1104" s="50"/>
    </row>
    <row r="1105" outlineLevel="1" spans="1:10">
      <c r="A1105" s="50">
        <v>182</v>
      </c>
      <c r="B1105" s="51" t="str">
        <v>阳台水龙头-DN20</v>
      </c>
      <c r="C1105" s="51" t="e">
        <v>#REF!</v>
      </c>
      <c r="D1105" s="51" t="str">
        <v/>
      </c>
      <c r="E1105" s="51" t="str">
        <v/>
      </c>
      <c r="F1105" s="52" t="e">
        <v>#REF!</v>
      </c>
      <c r="G1105" s="48" t="e">
        <v>#REF!</v>
      </c>
      <c r="H1105" s="49">
        <v>0</v>
      </c>
      <c r="I1105" s="49" t="e">
        <v>#REF!</v>
      </c>
      <c r="J1105" s="50"/>
    </row>
    <row r="1106" outlineLevel="1" spans="1:10">
      <c r="A1106" s="50">
        <v>183</v>
      </c>
      <c r="B1106" s="51" t="str">
        <v>洗衣机龙头-DN20</v>
      </c>
      <c r="C1106" s="51" t="e">
        <v>#REF!</v>
      </c>
      <c r="D1106" s="51" t="str">
        <v/>
      </c>
      <c r="E1106" s="51" t="str">
        <v/>
      </c>
      <c r="F1106" s="52" t="e">
        <v>#REF!</v>
      </c>
      <c r="G1106" s="48" t="e">
        <v>#REF!</v>
      </c>
      <c r="H1106" s="49">
        <v>0</v>
      </c>
      <c r="I1106" s="49" t="e">
        <v>#REF!</v>
      </c>
      <c r="J1106" s="50"/>
    </row>
    <row r="1107" outlineLevel="1" spans="1:10">
      <c r="A1107" s="50" t="str">
        <v/>
      </c>
      <c r="B1107" s="51" t="str">
        <v>B.06地上公区给水</v>
      </c>
      <c r="C1107" s="51" t="str">
        <v/>
      </c>
      <c r="D1107" s="51" t="str">
        <v/>
      </c>
      <c r="E1107" s="51" t="str">
        <v/>
      </c>
      <c r="F1107" s="52" t="str">
        <v/>
      </c>
      <c r="G1107" s="48" t="str">
        <v/>
      </c>
      <c r="H1107" s="49">
        <v>0</v>
      </c>
      <c r="I1107" s="49" t="e">
        <v>#REF!</v>
      </c>
      <c r="J1107" s="50"/>
    </row>
    <row r="1108" outlineLevel="1" spans="1:10">
      <c r="A1108" s="50" t="str">
        <v/>
      </c>
      <c r="B1108" s="51" t="str">
        <v>B.06.1阀部件</v>
      </c>
      <c r="C1108" s="51" t="str">
        <v/>
      </c>
      <c r="D1108" s="51" t="str">
        <v/>
      </c>
      <c r="E1108" s="51" t="str">
        <v/>
      </c>
      <c r="F1108" s="52" t="str">
        <v/>
      </c>
      <c r="G1108" s="48" t="str">
        <v/>
      </c>
      <c r="H1108" s="49">
        <v>0</v>
      </c>
      <c r="I1108" s="49" t="e">
        <v>#REF!</v>
      </c>
      <c r="J1108" s="50"/>
    </row>
    <row r="1109" outlineLevel="1" spans="1:10">
      <c r="A1109" s="50">
        <v>184</v>
      </c>
      <c r="B1109" s="51" t="str">
        <v>螺纹阀门-减压稳压阀-DN25</v>
      </c>
      <c r="C1109" s="51" t="e">
        <v>#REF!</v>
      </c>
      <c r="D1109" s="51" t="str">
        <v/>
      </c>
      <c r="E1109" s="51" t="str">
        <v/>
      </c>
      <c r="F1109" s="52" t="e">
        <v>#REF!</v>
      </c>
      <c r="G1109" s="48" t="e">
        <v>#REF!</v>
      </c>
      <c r="H1109" s="49">
        <v>0</v>
      </c>
      <c r="I1109" s="49" t="e">
        <v>#REF!</v>
      </c>
      <c r="J1109" s="50"/>
    </row>
    <row r="1110" outlineLevel="1" spans="1:10">
      <c r="A1110" s="50">
        <v>185</v>
      </c>
      <c r="B1110" s="51" t="str">
        <v>螺纹阀门-减压稳压阀-DN32</v>
      </c>
      <c r="C1110" s="51" t="e">
        <v>#REF!</v>
      </c>
      <c r="D1110" s="51" t="str">
        <v/>
      </c>
      <c r="E1110" s="51" t="str">
        <v/>
      </c>
      <c r="F1110" s="52" t="e">
        <v>#REF!</v>
      </c>
      <c r="G1110" s="48" t="e">
        <v>#REF!</v>
      </c>
      <c r="H1110" s="49">
        <v>1</v>
      </c>
      <c r="I1110" s="49" t="e">
        <v>#REF!</v>
      </c>
      <c r="J1110" s="50"/>
    </row>
    <row r="1111" outlineLevel="1" spans="1:10">
      <c r="A1111" s="50">
        <v>186</v>
      </c>
      <c r="B1111" s="51" t="str">
        <v>螺纹阀门-减压稳压阀-DN20</v>
      </c>
      <c r="C1111" s="51" t="e">
        <v>#REF!</v>
      </c>
      <c r="D1111" s="51" t="str">
        <v/>
      </c>
      <c r="E1111" s="51" t="str">
        <v/>
      </c>
      <c r="F1111" s="52" t="e">
        <v>#REF!</v>
      </c>
      <c r="G1111" s="48" t="e">
        <v>#REF!</v>
      </c>
      <c r="H1111" s="49">
        <v>0</v>
      </c>
      <c r="I1111" s="49" t="e">
        <v>#REF!</v>
      </c>
      <c r="J1111" s="50"/>
    </row>
    <row r="1112" outlineLevel="1" spans="1:10">
      <c r="A1112" s="50">
        <v>187</v>
      </c>
      <c r="B1112" s="51" t="str">
        <v>螺纹阀门-自动放气阀-DN15</v>
      </c>
      <c r="C1112" s="51" t="e">
        <v>#REF!</v>
      </c>
      <c r="D1112" s="51" t="str">
        <v/>
      </c>
      <c r="E1112" s="51" t="str">
        <v/>
      </c>
      <c r="F1112" s="52" t="e">
        <v>#REF!</v>
      </c>
      <c r="G1112" s="48" t="e">
        <v>#REF!</v>
      </c>
      <c r="H1112" s="49">
        <v>1</v>
      </c>
      <c r="I1112" s="49" t="e">
        <v>#REF!</v>
      </c>
      <c r="J1112" s="50"/>
    </row>
    <row r="1113" outlineLevel="1" spans="1:10">
      <c r="A1113" s="50">
        <v>188</v>
      </c>
      <c r="B1113" s="51" t="str">
        <v>螺纹阀门-截止阀-DN15</v>
      </c>
      <c r="C1113" s="51" t="e">
        <v>#REF!</v>
      </c>
      <c r="D1113" s="51" t="str">
        <v/>
      </c>
      <c r="E1113" s="51" t="str">
        <v/>
      </c>
      <c r="F1113" s="52" t="e">
        <v>#REF!</v>
      </c>
      <c r="G1113" s="48" t="e">
        <v>#REF!</v>
      </c>
      <c r="H1113" s="49">
        <v>1</v>
      </c>
      <c r="I1113" s="49" t="e">
        <v>#REF!</v>
      </c>
      <c r="J1113" s="50"/>
    </row>
    <row r="1114" outlineLevel="1" spans="1:10">
      <c r="A1114" s="50">
        <v>189</v>
      </c>
      <c r="B1114" s="51" t="str">
        <v>螺纹阀门-截止阀-DN20</v>
      </c>
      <c r="C1114" s="51" t="e">
        <v>#REF!</v>
      </c>
      <c r="D1114" s="51" t="str">
        <v/>
      </c>
      <c r="E1114" s="51" t="str">
        <v/>
      </c>
      <c r="F1114" s="52" t="e">
        <v>#REF!</v>
      </c>
      <c r="G1114" s="48" t="e">
        <v>#REF!</v>
      </c>
      <c r="H1114" s="49">
        <v>1</v>
      </c>
      <c r="I1114" s="49" t="e">
        <v>#REF!</v>
      </c>
      <c r="J1114" s="50"/>
    </row>
    <row r="1115" outlineLevel="1" spans="1:10">
      <c r="A1115" s="50">
        <v>190</v>
      </c>
      <c r="B1115" s="51" t="str">
        <v>螺纹阀门-截止阀-De25</v>
      </c>
      <c r="C1115" s="51" t="e">
        <v>#REF!</v>
      </c>
      <c r="D1115" s="51" t="str">
        <v/>
      </c>
      <c r="E1115" s="51" t="str">
        <v/>
      </c>
      <c r="F1115" s="52" t="e">
        <v>#REF!</v>
      </c>
      <c r="G1115" s="48" t="e">
        <v>#REF!</v>
      </c>
      <c r="H1115" s="49">
        <v>1</v>
      </c>
      <c r="I1115" s="49" t="e">
        <v>#REF!</v>
      </c>
      <c r="J1115" s="50"/>
    </row>
    <row r="1116" outlineLevel="1" spans="1:10">
      <c r="A1116" s="50">
        <v>191</v>
      </c>
      <c r="B1116" s="51" t="str">
        <v>螺纹阀门-截止阀-DN25</v>
      </c>
      <c r="C1116" s="51" t="e">
        <v>#REF!</v>
      </c>
      <c r="D1116" s="51" t="str">
        <v/>
      </c>
      <c r="E1116" s="51" t="str">
        <v/>
      </c>
      <c r="F1116" s="52" t="e">
        <v>#REF!</v>
      </c>
      <c r="G1116" s="48" t="e">
        <v>#REF!</v>
      </c>
      <c r="H1116" s="49">
        <v>1</v>
      </c>
      <c r="I1116" s="49" t="e">
        <v>#REF!</v>
      </c>
      <c r="J1116" s="50"/>
    </row>
    <row r="1117" outlineLevel="1" spans="1:10">
      <c r="A1117" s="50">
        <v>192</v>
      </c>
      <c r="B1117" s="51" t="str">
        <v>螺纹阀门-截止阀-De32</v>
      </c>
      <c r="C1117" s="51" t="e">
        <v>#REF!</v>
      </c>
      <c r="D1117" s="51" t="str">
        <v/>
      </c>
      <c r="E1117" s="51" t="str">
        <v/>
      </c>
      <c r="F1117" s="52" t="e">
        <v>#REF!</v>
      </c>
      <c r="G1117" s="48" t="e">
        <v>#REF!</v>
      </c>
      <c r="H1117" s="49">
        <v>0</v>
      </c>
      <c r="I1117" s="49" t="e">
        <v>#REF!</v>
      </c>
      <c r="J1117" s="50"/>
    </row>
    <row r="1118" outlineLevel="1" spans="1:10">
      <c r="A1118" s="50">
        <v>193</v>
      </c>
      <c r="B1118" s="51" t="str">
        <v>螺纹阀门-截止阀-DN32</v>
      </c>
      <c r="C1118" s="51" t="e">
        <v>#REF!</v>
      </c>
      <c r="D1118" s="51" t="str">
        <v/>
      </c>
      <c r="E1118" s="51" t="str">
        <v/>
      </c>
      <c r="F1118" s="52" t="e">
        <v>#REF!</v>
      </c>
      <c r="G1118" s="48" t="e">
        <v>#REF!</v>
      </c>
      <c r="H1118" s="49">
        <v>0</v>
      </c>
      <c r="I1118" s="49" t="e">
        <v>#REF!</v>
      </c>
      <c r="J1118" s="50"/>
    </row>
    <row r="1119" outlineLevel="1" spans="1:10">
      <c r="A1119" s="50">
        <v>194</v>
      </c>
      <c r="B1119" s="51" t="str">
        <v>螺纹阀门-截止阀-DN50</v>
      </c>
      <c r="C1119" s="51" t="e">
        <v>#REF!</v>
      </c>
      <c r="D1119" s="51" t="str">
        <v/>
      </c>
      <c r="E1119" s="51" t="str">
        <v/>
      </c>
      <c r="F1119" s="52" t="e">
        <v>#REF!</v>
      </c>
      <c r="G1119" s="48" t="e">
        <v>#REF!</v>
      </c>
      <c r="H1119" s="49">
        <v>0</v>
      </c>
      <c r="I1119" s="49" t="e">
        <v>#REF!</v>
      </c>
      <c r="J1119" s="50"/>
    </row>
    <row r="1120" outlineLevel="1" spans="1:10">
      <c r="A1120" s="50">
        <v>195</v>
      </c>
      <c r="B1120" s="51" t="str">
        <v>螺纹阀门-截止阀-De63</v>
      </c>
      <c r="C1120" s="51" t="e">
        <v>#REF!</v>
      </c>
      <c r="D1120" s="51" t="str">
        <v/>
      </c>
      <c r="E1120" s="51" t="str">
        <v/>
      </c>
      <c r="F1120" s="52" t="e">
        <v>#REF!</v>
      </c>
      <c r="G1120" s="48" t="e">
        <v>#REF!</v>
      </c>
      <c r="H1120" s="49">
        <v>3</v>
      </c>
      <c r="I1120" s="49" t="e">
        <v>#REF!</v>
      </c>
      <c r="J1120" s="50"/>
    </row>
    <row r="1121" outlineLevel="1" spans="1:10">
      <c r="A1121" s="50">
        <v>196</v>
      </c>
      <c r="B1121" s="51" t="str">
        <v>螺纹阀门-止回阀-De20</v>
      </c>
      <c r="C1121" s="51" t="e">
        <v>#REF!</v>
      </c>
      <c r="D1121" s="51" t="str">
        <v/>
      </c>
      <c r="E1121" s="51" t="str">
        <v/>
      </c>
      <c r="F1121" s="52" t="e">
        <v>#REF!</v>
      </c>
      <c r="G1121" s="48" t="e">
        <v>#REF!</v>
      </c>
      <c r="H1121" s="49">
        <v>0</v>
      </c>
      <c r="I1121" s="49" t="e">
        <v>#REF!</v>
      </c>
      <c r="J1121" s="50"/>
    </row>
    <row r="1122" outlineLevel="1" spans="1:10">
      <c r="A1122" s="50">
        <v>197</v>
      </c>
      <c r="B1122" s="51" t="str">
        <v>螺纹阀门-止回阀-De25</v>
      </c>
      <c r="C1122" s="51" t="e">
        <v>#REF!</v>
      </c>
      <c r="D1122" s="51" t="str">
        <v/>
      </c>
      <c r="E1122" s="51" t="str">
        <v/>
      </c>
      <c r="F1122" s="52" t="e">
        <v>#REF!</v>
      </c>
      <c r="G1122" s="48" t="e">
        <v>#REF!</v>
      </c>
      <c r="H1122" s="49">
        <v>0</v>
      </c>
      <c r="I1122" s="49" t="e">
        <v>#REF!</v>
      </c>
      <c r="J1122" s="50"/>
    </row>
    <row r="1123" outlineLevel="1" spans="1:10">
      <c r="A1123" s="50">
        <v>198</v>
      </c>
      <c r="B1123" s="51" t="str">
        <v>螺纹阀门-锁闭阀-DN20</v>
      </c>
      <c r="C1123" s="51" t="e">
        <v>#REF!</v>
      </c>
      <c r="D1123" s="51" t="str">
        <v/>
      </c>
      <c r="E1123" s="51" t="str">
        <v/>
      </c>
      <c r="F1123" s="52" t="e">
        <v>#REF!</v>
      </c>
      <c r="G1123" s="48" t="e">
        <v>#REF!</v>
      </c>
      <c r="H1123" s="49">
        <v>0</v>
      </c>
      <c r="I1123" s="49" t="e">
        <v>#REF!</v>
      </c>
      <c r="J1123" s="50"/>
    </row>
    <row r="1124" outlineLevel="1" spans="1:10">
      <c r="A1124" s="50">
        <v>199</v>
      </c>
      <c r="B1124" s="51" t="str">
        <v>螺纹阀门-锁闭阀-DN25</v>
      </c>
      <c r="C1124" s="51" t="e">
        <v>#REF!</v>
      </c>
      <c r="D1124" s="51" t="str">
        <v/>
      </c>
      <c r="E1124" s="51" t="str">
        <v/>
      </c>
      <c r="F1124" s="52" t="e">
        <v>#REF!</v>
      </c>
      <c r="G1124" s="48" t="e">
        <v>#REF!</v>
      </c>
      <c r="H1124" s="49">
        <v>0</v>
      </c>
      <c r="I1124" s="49" t="e">
        <v>#REF!</v>
      </c>
      <c r="J1124" s="50"/>
    </row>
    <row r="1125" outlineLevel="1" spans="1:10">
      <c r="A1125" s="50">
        <v>200</v>
      </c>
      <c r="B1125" s="51" t="str">
        <v>螺纹阀门-锁闭阀-DN50</v>
      </c>
      <c r="C1125" s="51" t="e">
        <v>#REF!</v>
      </c>
      <c r="D1125" s="51" t="str">
        <v/>
      </c>
      <c r="E1125" s="51" t="str">
        <v/>
      </c>
      <c r="F1125" s="52" t="e">
        <v>#REF!</v>
      </c>
      <c r="G1125" s="48" t="e">
        <v>#REF!</v>
      </c>
      <c r="H1125" s="49">
        <v>0</v>
      </c>
      <c r="I1125" s="49" t="e">
        <v>#REF!</v>
      </c>
      <c r="J1125" s="50"/>
    </row>
    <row r="1126" outlineLevel="1" spans="1:10">
      <c r="A1126" s="50">
        <v>201</v>
      </c>
      <c r="B1126" s="51" t="str">
        <v>螺纹阀门-锁闭阀-De63</v>
      </c>
      <c r="C1126" s="51" t="e">
        <v>#REF!</v>
      </c>
      <c r="D1126" s="51" t="str">
        <v/>
      </c>
      <c r="E1126" s="51" t="str">
        <v/>
      </c>
      <c r="F1126" s="52" t="e">
        <v>#REF!</v>
      </c>
      <c r="G1126" s="48" t="e">
        <v>#REF!</v>
      </c>
      <c r="H1126" s="49">
        <v>0</v>
      </c>
      <c r="I1126" s="49" t="e">
        <v>#REF!</v>
      </c>
      <c r="J1126" s="50"/>
    </row>
    <row r="1127" outlineLevel="1" spans="1:10">
      <c r="A1127" s="50">
        <v>202</v>
      </c>
      <c r="B1127" s="51" t="str">
        <v>螺纹阀门-Y型过滤器-DN20</v>
      </c>
      <c r="C1127" s="51" t="e">
        <v>#REF!</v>
      </c>
      <c r="D1127" s="51" t="str">
        <v/>
      </c>
      <c r="E1127" s="51" t="str">
        <v/>
      </c>
      <c r="F1127" s="52" t="e">
        <v>#REF!</v>
      </c>
      <c r="G1127" s="48" t="e">
        <v>#REF!</v>
      </c>
      <c r="H1127" s="49">
        <v>0</v>
      </c>
      <c r="I1127" s="49" t="e">
        <v>#REF!</v>
      </c>
      <c r="J1127" s="50"/>
    </row>
    <row r="1128" outlineLevel="1" spans="1:10">
      <c r="A1128" s="50">
        <v>203</v>
      </c>
      <c r="B1128" s="51" t="str">
        <v>螺纹阀门-Y型过滤器-DN25</v>
      </c>
      <c r="C1128" s="51" t="e">
        <v>#REF!</v>
      </c>
      <c r="D1128" s="51" t="str">
        <v/>
      </c>
      <c r="E1128" s="51" t="str">
        <v/>
      </c>
      <c r="F1128" s="52" t="e">
        <v>#REF!</v>
      </c>
      <c r="G1128" s="48" t="e">
        <v>#REF!</v>
      </c>
      <c r="H1128" s="49">
        <v>0</v>
      </c>
      <c r="I1128" s="49" t="e">
        <v>#REF!</v>
      </c>
      <c r="J1128" s="50"/>
    </row>
    <row r="1129" outlineLevel="1" spans="1:10">
      <c r="A1129" s="50">
        <v>204</v>
      </c>
      <c r="B1129" s="51" t="str">
        <v>螺纹阀门-Y型过滤器-DN32</v>
      </c>
      <c r="C1129" s="51" t="e">
        <v>#REF!</v>
      </c>
      <c r="D1129" s="51" t="str">
        <v/>
      </c>
      <c r="E1129" s="51" t="str">
        <v/>
      </c>
      <c r="F1129" s="52" t="e">
        <v>#REF!</v>
      </c>
      <c r="G1129" s="48" t="e">
        <v>#REF!</v>
      </c>
      <c r="H1129" s="49">
        <v>0</v>
      </c>
      <c r="I1129" s="49" t="e">
        <v>#REF!</v>
      </c>
      <c r="J1129" s="50"/>
    </row>
    <row r="1130" outlineLevel="1" spans="1:10">
      <c r="A1130" s="50">
        <v>205</v>
      </c>
      <c r="B1130" s="51" t="str">
        <v>可曲挠橡胶接头-DN25</v>
      </c>
      <c r="C1130" s="51" t="e">
        <v>#REF!</v>
      </c>
      <c r="D1130" s="51" t="str">
        <v/>
      </c>
      <c r="E1130" s="51" t="str">
        <v/>
      </c>
      <c r="F1130" s="52" t="e">
        <v>#REF!</v>
      </c>
      <c r="G1130" s="48" t="e">
        <v>#REF!</v>
      </c>
      <c r="H1130" s="49">
        <v>0</v>
      </c>
      <c r="I1130" s="49" t="e">
        <v>#REF!</v>
      </c>
      <c r="J1130" s="50"/>
    </row>
    <row r="1131" outlineLevel="1" spans="1:10">
      <c r="A1131" s="50">
        <v>206</v>
      </c>
      <c r="B1131" s="51" t="str">
        <v>水表安装-DN20</v>
      </c>
      <c r="C1131" s="51" t="e">
        <v>#REF!</v>
      </c>
      <c r="D1131" s="51" t="str">
        <v/>
      </c>
      <c r="E1131" s="51" t="str">
        <v/>
      </c>
      <c r="F1131" s="52" t="e">
        <v>#REF!</v>
      </c>
      <c r="G1131" s="48" t="e">
        <v>#REF!</v>
      </c>
      <c r="H1131" s="49">
        <v>1</v>
      </c>
      <c r="I1131" s="49" t="e">
        <v>#REF!</v>
      </c>
      <c r="J1131" s="50"/>
    </row>
    <row r="1132" outlineLevel="1" spans="1:10">
      <c r="A1132" s="50">
        <v>207</v>
      </c>
      <c r="B1132" s="51" t="str">
        <v>水表安装-DN32</v>
      </c>
      <c r="C1132" s="51" t="e">
        <v>#REF!</v>
      </c>
      <c r="D1132" s="51" t="str">
        <v/>
      </c>
      <c r="E1132" s="51" t="str">
        <v/>
      </c>
      <c r="F1132" s="52" t="e">
        <v>#REF!</v>
      </c>
      <c r="G1132" s="48" t="e">
        <v>#REF!</v>
      </c>
      <c r="H1132" s="49">
        <v>0</v>
      </c>
      <c r="I1132" s="49" t="e">
        <v>#REF!</v>
      </c>
      <c r="J1132" s="50"/>
    </row>
    <row r="1133" outlineLevel="1" spans="1:10">
      <c r="A1133" s="50">
        <v>208</v>
      </c>
      <c r="B1133" s="51" t="str">
        <v>水表安装-DN40</v>
      </c>
      <c r="C1133" s="51" t="e">
        <v>#REF!</v>
      </c>
      <c r="D1133" s="51" t="str">
        <v/>
      </c>
      <c r="E1133" s="51" t="str">
        <v/>
      </c>
      <c r="F1133" s="52" t="e">
        <v>#REF!</v>
      </c>
      <c r="G1133" s="48" t="e">
        <v>#REF!</v>
      </c>
      <c r="H1133" s="49">
        <v>1</v>
      </c>
      <c r="I1133" s="49" t="e">
        <v>#REF!</v>
      </c>
      <c r="J1133" s="50"/>
    </row>
    <row r="1134" outlineLevel="1" spans="1:10">
      <c r="A1134" s="50">
        <v>209</v>
      </c>
      <c r="B1134" s="51" t="str">
        <v>水表安装-DN50</v>
      </c>
      <c r="C1134" s="51" t="e">
        <v>#REF!</v>
      </c>
      <c r="D1134" s="51" t="str">
        <v/>
      </c>
      <c r="E1134" s="51" t="str">
        <v/>
      </c>
      <c r="F1134" s="52" t="e">
        <v>#REF!</v>
      </c>
      <c r="G1134" s="48" t="e">
        <v>#REF!</v>
      </c>
      <c r="H1134" s="49">
        <v>0</v>
      </c>
      <c r="I1134" s="49" t="e">
        <v>#REF!</v>
      </c>
      <c r="J1134" s="50"/>
    </row>
    <row r="1135" outlineLevel="1" spans="1:10">
      <c r="A1135" s="50">
        <v>210</v>
      </c>
      <c r="B1135" s="51" t="str">
        <v>IC卡热水表(DN15)</v>
      </c>
      <c r="C1135" s="51" t="e">
        <v>#REF!</v>
      </c>
      <c r="D1135" s="51" t="str">
        <v/>
      </c>
      <c r="E1135" s="51" t="str">
        <v/>
      </c>
      <c r="F1135" s="52" t="e">
        <v>#REF!</v>
      </c>
      <c r="G1135" s="48" t="e">
        <v>#REF!</v>
      </c>
      <c r="H1135" s="49">
        <v>1</v>
      </c>
      <c r="I1135" s="49" t="e">
        <v>#REF!</v>
      </c>
      <c r="J1135" s="50"/>
    </row>
    <row r="1136" outlineLevel="1" spans="1:10">
      <c r="A1136" s="50">
        <v>211</v>
      </c>
      <c r="B1136" s="51" t="str">
        <v>IC卡热水表(DN20)</v>
      </c>
      <c r="C1136" s="51" t="e">
        <v>#REF!</v>
      </c>
      <c r="D1136" s="51" t="str">
        <v/>
      </c>
      <c r="E1136" s="51" t="str">
        <v/>
      </c>
      <c r="F1136" s="52" t="e">
        <v>#REF!</v>
      </c>
      <c r="G1136" s="48" t="e">
        <v>#REF!</v>
      </c>
      <c r="H1136" s="49">
        <v>1</v>
      </c>
      <c r="I1136" s="49" t="e">
        <v>#REF!</v>
      </c>
      <c r="J1136" s="50"/>
    </row>
    <row r="1137" outlineLevel="1" spans="1:10">
      <c r="A1137" s="50">
        <v>212</v>
      </c>
      <c r="B1137" s="51" t="str">
        <v>减压阀组压力表-DN15</v>
      </c>
      <c r="C1137" s="51" t="e">
        <v>#REF!</v>
      </c>
      <c r="D1137" s="51" t="str">
        <v/>
      </c>
      <c r="E1137" s="51" t="str">
        <v/>
      </c>
      <c r="F1137" s="52" t="e">
        <v>#REF!</v>
      </c>
      <c r="G1137" s="48" t="e">
        <v>#REF!</v>
      </c>
      <c r="H1137" s="49">
        <v>1</v>
      </c>
      <c r="I1137" s="49" t="e">
        <v>#REF!</v>
      </c>
      <c r="J1137" s="50"/>
    </row>
    <row r="1138" outlineLevel="1" spans="1:10">
      <c r="A1138" s="50">
        <v>213</v>
      </c>
      <c r="B1138" s="51" t="str">
        <v>螺纹阀门-波纹补偿器-DN32</v>
      </c>
      <c r="C1138" s="51" t="e">
        <v>#REF!</v>
      </c>
      <c r="D1138" s="51" t="str">
        <v/>
      </c>
      <c r="E1138" s="51" t="str">
        <v/>
      </c>
      <c r="F1138" s="52" t="e">
        <v>#REF!</v>
      </c>
      <c r="G1138" s="48" t="e">
        <v>#REF!</v>
      </c>
      <c r="H1138" s="49">
        <v>0</v>
      </c>
      <c r="I1138" s="49" t="e">
        <v>#REF!</v>
      </c>
      <c r="J1138" s="50"/>
    </row>
    <row r="1139" outlineLevel="1" spans="1:10">
      <c r="A1139" s="50">
        <v>214</v>
      </c>
      <c r="B1139" s="51" t="str">
        <v>螺纹阀门-波纹补偿器-DN40</v>
      </c>
      <c r="C1139" s="51" t="e">
        <v>#REF!</v>
      </c>
      <c r="D1139" s="51" t="str">
        <v/>
      </c>
      <c r="E1139" s="51" t="str">
        <v/>
      </c>
      <c r="F1139" s="52" t="e">
        <v>#REF!</v>
      </c>
      <c r="G1139" s="48" t="e">
        <v>#REF!</v>
      </c>
      <c r="H1139" s="49">
        <v>0</v>
      </c>
      <c r="I1139" s="49" t="e">
        <v>#REF!</v>
      </c>
      <c r="J1139" s="50"/>
    </row>
    <row r="1140" outlineLevel="1" spans="1:10">
      <c r="A1140" s="50">
        <v>215</v>
      </c>
      <c r="B1140" s="51" t="str">
        <v>螺纹阀门-波纹补偿器-DN50</v>
      </c>
      <c r="C1140" s="51" t="e">
        <v>#REF!</v>
      </c>
      <c r="D1140" s="51" t="str">
        <v/>
      </c>
      <c r="E1140" s="51" t="str">
        <v/>
      </c>
      <c r="F1140" s="52" t="e">
        <v>#REF!</v>
      </c>
      <c r="G1140" s="48" t="e">
        <v>#REF!</v>
      </c>
      <c r="H1140" s="49">
        <v>0</v>
      </c>
      <c r="I1140" s="49" t="e">
        <v>#REF!</v>
      </c>
      <c r="J1140" s="50"/>
    </row>
    <row r="1141" outlineLevel="1" spans="1:10">
      <c r="A1141" s="50" t="str">
        <v/>
      </c>
      <c r="B1141" s="51" t="str">
        <v>B.06.2给水管道</v>
      </c>
      <c r="C1141" s="51" t="str">
        <v/>
      </c>
      <c r="D1141" s="51" t="str">
        <v/>
      </c>
      <c r="E1141" s="51" t="str">
        <v/>
      </c>
      <c r="F1141" s="52" t="str">
        <v/>
      </c>
      <c r="G1141" s="48" t="str">
        <v/>
      </c>
      <c r="H1141" s="49">
        <v>0</v>
      </c>
      <c r="I1141" s="49" t="e">
        <v>#REF!</v>
      </c>
      <c r="J1141" s="50"/>
    </row>
    <row r="1142" ht="28.8" outlineLevel="1" spans="1:10">
      <c r="A1142" s="50">
        <v>216</v>
      </c>
      <c r="B1142" s="51" t="str">
        <v>室内给水塑料管-PPR-De20-热熔</v>
      </c>
      <c r="C1142" s="51" t="e">
        <v>#REF!</v>
      </c>
      <c r="D1142" s="51" t="str">
        <v/>
      </c>
      <c r="E1142" s="51" t="str">
        <v/>
      </c>
      <c r="F1142" s="52" t="e">
        <v>#REF!</v>
      </c>
      <c r="G1142" s="48" t="e">
        <v>#REF!</v>
      </c>
      <c r="H1142" s="49">
        <v>0</v>
      </c>
      <c r="I1142" s="49" t="e">
        <v>#REF!</v>
      </c>
      <c r="J1142" s="50"/>
    </row>
    <row r="1143" ht="28.8" outlineLevel="1" spans="1:10">
      <c r="A1143" s="50">
        <v>217</v>
      </c>
      <c r="B1143" s="51" t="str">
        <v>室内给水塑料管-PPR-De25-热熔</v>
      </c>
      <c r="C1143" s="51" t="e">
        <v>#REF!</v>
      </c>
      <c r="D1143" s="51" t="str">
        <v/>
      </c>
      <c r="E1143" s="51" t="str">
        <v/>
      </c>
      <c r="F1143" s="52" t="e">
        <v>#REF!</v>
      </c>
      <c r="G1143" s="48" t="e">
        <v>#REF!</v>
      </c>
      <c r="H1143" s="49">
        <v>0</v>
      </c>
      <c r="I1143" s="49" t="e">
        <v>#REF!</v>
      </c>
      <c r="J1143" s="50"/>
    </row>
    <row r="1144" ht="28.8" outlineLevel="1" spans="1:10">
      <c r="A1144" s="50">
        <v>218</v>
      </c>
      <c r="B1144" s="51" t="str">
        <v>室内给水塑料管-PPR-De32-热熔</v>
      </c>
      <c r="C1144" s="51" t="e">
        <v>#REF!</v>
      </c>
      <c r="D1144" s="51" t="str">
        <v/>
      </c>
      <c r="E1144" s="51" t="str">
        <v/>
      </c>
      <c r="F1144" s="52" t="e">
        <v>#REF!</v>
      </c>
      <c r="G1144" s="48" t="e">
        <v>#REF!</v>
      </c>
      <c r="H1144" s="49">
        <v>0</v>
      </c>
      <c r="I1144" s="49" t="e">
        <v>#REF!</v>
      </c>
      <c r="J1144" s="50"/>
    </row>
    <row r="1145" ht="28.8" outlineLevel="1" spans="1:10">
      <c r="A1145" s="50">
        <v>219</v>
      </c>
      <c r="B1145" s="51" t="str">
        <v>室内给水塑料管-PPR-De40-热熔</v>
      </c>
      <c r="C1145" s="51" t="e">
        <v>#REF!</v>
      </c>
      <c r="D1145" s="51" t="str">
        <v/>
      </c>
      <c r="E1145" s="51" t="str">
        <v/>
      </c>
      <c r="F1145" s="52" t="e">
        <v>#REF!</v>
      </c>
      <c r="G1145" s="48" t="e">
        <v>#REF!</v>
      </c>
      <c r="H1145" s="49">
        <v>0</v>
      </c>
      <c r="I1145" s="49" t="e">
        <v>#REF!</v>
      </c>
      <c r="J1145" s="50"/>
    </row>
    <row r="1146" ht="28.8" outlineLevel="1" spans="1:10">
      <c r="A1146" s="50">
        <v>220</v>
      </c>
      <c r="B1146" s="51" t="str">
        <v>室内给水塑料管-PPR-De50-热熔</v>
      </c>
      <c r="C1146" s="51" t="e">
        <v>#REF!</v>
      </c>
      <c r="D1146" s="51" t="str">
        <v/>
      </c>
      <c r="E1146" s="51" t="str">
        <v/>
      </c>
      <c r="F1146" s="52" t="e">
        <v>#REF!</v>
      </c>
      <c r="G1146" s="48" t="e">
        <v>#REF!</v>
      </c>
      <c r="H1146" s="49">
        <v>0</v>
      </c>
      <c r="I1146" s="49" t="e">
        <v>#REF!</v>
      </c>
      <c r="J1146" s="50"/>
    </row>
    <row r="1147" ht="28.8" outlineLevel="1" spans="1:10">
      <c r="A1147" s="50">
        <v>221</v>
      </c>
      <c r="B1147" s="51" t="str">
        <v>室内给水塑料管-PPR-De63-热熔</v>
      </c>
      <c r="C1147" s="51" t="e">
        <v>#REF!</v>
      </c>
      <c r="D1147" s="51" t="str">
        <v/>
      </c>
      <c r="E1147" s="51" t="str">
        <v/>
      </c>
      <c r="F1147" s="52" t="e">
        <v>#REF!</v>
      </c>
      <c r="G1147" s="48" t="e">
        <v>#REF!</v>
      </c>
      <c r="H1147" s="49">
        <v>0</v>
      </c>
      <c r="I1147" s="49" t="e">
        <v>#REF!</v>
      </c>
      <c r="J1147" s="50"/>
    </row>
    <row r="1148" outlineLevel="1" spans="1:10">
      <c r="A1148" s="50">
        <v>222</v>
      </c>
      <c r="B1148" s="51" t="str">
        <v>室内薄壁不锈钢管-DN15</v>
      </c>
      <c r="C1148" s="51" t="e">
        <v>#REF!</v>
      </c>
      <c r="D1148" s="51" t="str">
        <v/>
      </c>
      <c r="E1148" s="51" t="str">
        <v/>
      </c>
      <c r="F1148" s="52" t="e">
        <v>#REF!</v>
      </c>
      <c r="G1148" s="48" t="e">
        <v>#REF!</v>
      </c>
      <c r="H1148" s="49">
        <v>0</v>
      </c>
      <c r="I1148" s="49" t="e">
        <v>#REF!</v>
      </c>
      <c r="J1148" s="50"/>
    </row>
    <row r="1149" outlineLevel="1" spans="1:10">
      <c r="A1149" s="50">
        <v>223</v>
      </c>
      <c r="B1149" s="51" t="str">
        <v>室内薄壁不锈钢管-DN20</v>
      </c>
      <c r="C1149" s="51" t="e">
        <v>#REF!</v>
      </c>
      <c r="D1149" s="51" t="str">
        <v/>
      </c>
      <c r="E1149" s="51" t="str">
        <v/>
      </c>
      <c r="F1149" s="52" t="e">
        <v>#REF!</v>
      </c>
      <c r="G1149" s="48" t="e">
        <v>#REF!</v>
      </c>
      <c r="H1149" s="49">
        <v>0</v>
      </c>
      <c r="I1149" s="49" t="e">
        <v>#REF!</v>
      </c>
      <c r="J1149" s="50"/>
    </row>
    <row r="1150" outlineLevel="1" spans="1:10">
      <c r="A1150" s="50">
        <v>224</v>
      </c>
      <c r="B1150" s="51" t="str">
        <v>室内薄壁不锈钢管-DN25</v>
      </c>
      <c r="C1150" s="51" t="e">
        <v>#REF!</v>
      </c>
      <c r="D1150" s="51" t="str">
        <v/>
      </c>
      <c r="E1150" s="51" t="str">
        <v/>
      </c>
      <c r="F1150" s="52" t="e">
        <v>#REF!</v>
      </c>
      <c r="G1150" s="48" t="e">
        <v>#REF!</v>
      </c>
      <c r="H1150" s="49">
        <v>0</v>
      </c>
      <c r="I1150" s="49" t="e">
        <v>#REF!</v>
      </c>
      <c r="J1150" s="50"/>
    </row>
    <row r="1151" outlineLevel="1" spans="1:10">
      <c r="A1151" s="50">
        <v>225</v>
      </c>
      <c r="B1151" s="51" t="str">
        <v>室内薄壁不锈钢管-DN32</v>
      </c>
      <c r="C1151" s="51" t="e">
        <v>#REF!</v>
      </c>
      <c r="D1151" s="51" t="str">
        <v/>
      </c>
      <c r="E1151" s="51" t="str">
        <v/>
      </c>
      <c r="F1151" s="52" t="e">
        <v>#REF!</v>
      </c>
      <c r="G1151" s="48" t="e">
        <v>#REF!</v>
      </c>
      <c r="H1151" s="49">
        <v>0</v>
      </c>
      <c r="I1151" s="49" t="e">
        <v>#REF!</v>
      </c>
      <c r="J1151" s="50"/>
    </row>
    <row r="1152" outlineLevel="1" spans="1:10">
      <c r="A1152" s="50">
        <v>226</v>
      </c>
      <c r="B1152" s="51" t="str">
        <v>室内薄壁不锈钢管-DN40</v>
      </c>
      <c r="C1152" s="51" t="e">
        <v>#REF!</v>
      </c>
      <c r="D1152" s="51" t="str">
        <v/>
      </c>
      <c r="E1152" s="51" t="str">
        <v/>
      </c>
      <c r="F1152" s="52" t="e">
        <v>#REF!</v>
      </c>
      <c r="G1152" s="48" t="e">
        <v>#REF!</v>
      </c>
      <c r="H1152" s="49">
        <v>0</v>
      </c>
      <c r="I1152" s="49" t="e">
        <v>#REF!</v>
      </c>
      <c r="J1152" s="50"/>
    </row>
    <row r="1153" outlineLevel="1" spans="1:10">
      <c r="A1153" s="50">
        <v>227</v>
      </c>
      <c r="B1153" s="51" t="str">
        <v>室内薄壁不锈钢管-DN50</v>
      </c>
      <c r="C1153" s="51" t="e">
        <v>#REF!</v>
      </c>
      <c r="D1153" s="51" t="str">
        <v/>
      </c>
      <c r="E1153" s="51" t="str">
        <v/>
      </c>
      <c r="F1153" s="52" t="e">
        <v>#REF!</v>
      </c>
      <c r="G1153" s="48" t="e">
        <v>#REF!</v>
      </c>
      <c r="H1153" s="49">
        <v>0</v>
      </c>
      <c r="I1153" s="49" t="e">
        <v>#REF!</v>
      </c>
      <c r="J1153" s="50"/>
    </row>
    <row r="1154" outlineLevel="1" spans="1:10">
      <c r="A1154" s="50">
        <v>228</v>
      </c>
      <c r="B1154" s="51" t="str">
        <v>室内薄壁不锈钢管-DN65</v>
      </c>
      <c r="C1154" s="51" t="e">
        <v>#REF!</v>
      </c>
      <c r="D1154" s="51" t="str">
        <v/>
      </c>
      <c r="E1154" s="51" t="str">
        <v/>
      </c>
      <c r="F1154" s="52" t="e">
        <v>#REF!</v>
      </c>
      <c r="G1154" s="48" t="e">
        <v>#REF!</v>
      </c>
      <c r="H1154" s="49">
        <v>0</v>
      </c>
      <c r="I1154" s="49" t="e">
        <v>#REF!</v>
      </c>
      <c r="J1154" s="50"/>
    </row>
    <row r="1155" ht="28.8" outlineLevel="1" spans="1:10">
      <c r="A1155" s="50">
        <v>229</v>
      </c>
      <c r="B1155" s="51" t="str">
        <v>室内给水内衬塑镀锌钢塑复合管-DN15</v>
      </c>
      <c r="C1155" s="51" t="e">
        <v>#REF!</v>
      </c>
      <c r="D1155" s="51" t="str">
        <v/>
      </c>
      <c r="E1155" s="51" t="str">
        <v/>
      </c>
      <c r="F1155" s="52" t="e">
        <v>#REF!</v>
      </c>
      <c r="G1155" s="48" t="e">
        <v>#REF!</v>
      </c>
      <c r="H1155" s="49">
        <v>0</v>
      </c>
      <c r="I1155" s="49" t="e">
        <v>#REF!</v>
      </c>
      <c r="J1155" s="50"/>
    </row>
    <row r="1156" ht="28.8" outlineLevel="1" spans="1:10">
      <c r="A1156" s="50">
        <v>230</v>
      </c>
      <c r="B1156" s="51" t="str">
        <v>室内给水内衬塑镀锌钢塑复合管-DN20</v>
      </c>
      <c r="C1156" s="51" t="e">
        <v>#REF!</v>
      </c>
      <c r="D1156" s="51" t="str">
        <v/>
      </c>
      <c r="E1156" s="51" t="str">
        <v/>
      </c>
      <c r="F1156" s="52" t="e">
        <v>#REF!</v>
      </c>
      <c r="G1156" s="48" t="e">
        <v>#REF!</v>
      </c>
      <c r="H1156" s="49">
        <v>0</v>
      </c>
      <c r="I1156" s="49" t="e">
        <v>#REF!</v>
      </c>
      <c r="J1156" s="50"/>
    </row>
    <row r="1157" ht="28.8" outlineLevel="1" spans="1:10">
      <c r="A1157" s="50">
        <v>231</v>
      </c>
      <c r="B1157" s="51" t="str">
        <v>室内给水内衬塑镀锌钢塑复合管-DN25</v>
      </c>
      <c r="C1157" s="51" t="e">
        <v>#REF!</v>
      </c>
      <c r="D1157" s="51" t="str">
        <v/>
      </c>
      <c r="E1157" s="51" t="str">
        <v/>
      </c>
      <c r="F1157" s="52" t="e">
        <v>#REF!</v>
      </c>
      <c r="G1157" s="48" t="e">
        <v>#REF!</v>
      </c>
      <c r="H1157" s="49">
        <v>0</v>
      </c>
      <c r="I1157" s="49" t="e">
        <v>#REF!</v>
      </c>
      <c r="J1157" s="50"/>
    </row>
    <row r="1158" ht="28.8" outlineLevel="1" spans="1:10">
      <c r="A1158" s="50">
        <v>232</v>
      </c>
      <c r="B1158" s="51" t="str">
        <v>室内给水内衬塑镀锌钢塑复合管-DN32</v>
      </c>
      <c r="C1158" s="51" t="e">
        <v>#REF!</v>
      </c>
      <c r="D1158" s="51" t="str">
        <v/>
      </c>
      <c r="E1158" s="51" t="str">
        <v/>
      </c>
      <c r="F1158" s="52" t="e">
        <v>#REF!</v>
      </c>
      <c r="G1158" s="48" t="e">
        <v>#REF!</v>
      </c>
      <c r="H1158" s="49">
        <v>0</v>
      </c>
      <c r="I1158" s="49" t="e">
        <v>#REF!</v>
      </c>
      <c r="J1158" s="50"/>
    </row>
    <row r="1159" ht="28.8" outlineLevel="1" spans="1:10">
      <c r="A1159" s="50">
        <v>233</v>
      </c>
      <c r="B1159" s="51" t="str">
        <v>室内给水内衬塑镀锌钢塑复合管-DN40</v>
      </c>
      <c r="C1159" s="51" t="e">
        <v>#REF!</v>
      </c>
      <c r="D1159" s="51" t="str">
        <v/>
      </c>
      <c r="E1159" s="51" t="str">
        <v/>
      </c>
      <c r="F1159" s="52" t="e">
        <v>#REF!</v>
      </c>
      <c r="G1159" s="48" t="e">
        <v>#REF!</v>
      </c>
      <c r="H1159" s="49">
        <v>0</v>
      </c>
      <c r="I1159" s="49" t="e">
        <v>#REF!</v>
      </c>
      <c r="J1159" s="50"/>
    </row>
    <row r="1160" ht="28.8" outlineLevel="1" spans="1:10">
      <c r="A1160" s="50">
        <v>234</v>
      </c>
      <c r="B1160" s="51" t="str">
        <v>室内给水内衬塑镀锌钢塑复合管-DN50</v>
      </c>
      <c r="C1160" s="51" t="e">
        <v>#REF!</v>
      </c>
      <c r="D1160" s="51" t="str">
        <v/>
      </c>
      <c r="E1160" s="51" t="str">
        <v/>
      </c>
      <c r="F1160" s="52" t="e">
        <v>#REF!</v>
      </c>
      <c r="G1160" s="48" t="e">
        <v>#REF!</v>
      </c>
      <c r="H1160" s="49">
        <v>0</v>
      </c>
      <c r="I1160" s="49" t="e">
        <v>#REF!</v>
      </c>
      <c r="J1160" s="50"/>
    </row>
    <row r="1161" ht="28.8" outlineLevel="1" spans="1:10">
      <c r="A1161" s="50">
        <v>235</v>
      </c>
      <c r="B1161" s="51" t="str">
        <v>室内给水内衬塑镀锌钢塑复合管-DN65</v>
      </c>
      <c r="C1161" s="51" t="e">
        <v>#REF!</v>
      </c>
      <c r="D1161" s="51" t="str">
        <v/>
      </c>
      <c r="E1161" s="51" t="str">
        <v/>
      </c>
      <c r="F1161" s="52" t="e">
        <v>#REF!</v>
      </c>
      <c r="G1161" s="48" t="e">
        <v>#REF!</v>
      </c>
      <c r="H1161" s="49">
        <v>0</v>
      </c>
      <c r="I1161" s="49" t="e">
        <v>#REF!</v>
      </c>
      <c r="J1161" s="50"/>
    </row>
    <row r="1162" outlineLevel="1" spans="1:10">
      <c r="A1162" s="50" t="str">
        <v/>
      </c>
      <c r="B1162" s="51" t="str">
        <v>B.06.3绝热</v>
      </c>
      <c r="C1162" s="51" t="str">
        <v/>
      </c>
      <c r="D1162" s="51" t="str">
        <v/>
      </c>
      <c r="E1162" s="51" t="str">
        <v/>
      </c>
      <c r="F1162" s="52" t="str">
        <v/>
      </c>
      <c r="G1162" s="48" t="str">
        <v/>
      </c>
      <c r="H1162" s="49">
        <v>0</v>
      </c>
      <c r="I1162" s="49" t="e">
        <v>#REF!</v>
      </c>
      <c r="J1162" s="50"/>
    </row>
    <row r="1163" outlineLevel="1" spans="1:10">
      <c r="A1163" s="50">
        <v>236</v>
      </c>
      <c r="B1163" s="51" t="str">
        <v>管道绝热</v>
      </c>
      <c r="C1163" s="51" t="e">
        <v>#REF!</v>
      </c>
      <c r="D1163" s="51" t="str">
        <v/>
      </c>
      <c r="E1163" s="51" t="str">
        <v/>
      </c>
      <c r="F1163" s="52" t="e">
        <v>#REF!</v>
      </c>
      <c r="G1163" s="48" t="e">
        <v>#REF!</v>
      </c>
      <c r="H1163" s="49">
        <v>0.06</v>
      </c>
      <c r="I1163" s="49" t="e">
        <v>#REF!</v>
      </c>
      <c r="J1163" s="50"/>
    </row>
    <row r="1164" outlineLevel="1" spans="1:10">
      <c r="A1164" s="50">
        <v>237</v>
      </c>
      <c r="B1164" s="51" t="str">
        <v>塑料带保护层</v>
      </c>
      <c r="C1164" s="51" t="e">
        <v>#REF!</v>
      </c>
      <c r="D1164" s="51" t="str">
        <v/>
      </c>
      <c r="E1164" s="51" t="str">
        <v/>
      </c>
      <c r="F1164" s="52" t="e">
        <v>#REF!</v>
      </c>
      <c r="G1164" s="48" t="e">
        <v>#REF!</v>
      </c>
      <c r="H1164" s="49">
        <v>1</v>
      </c>
      <c r="I1164" s="49" t="e">
        <v>#REF!</v>
      </c>
      <c r="J1164" s="50"/>
    </row>
    <row r="1165" outlineLevel="1" spans="1:10">
      <c r="A1165" s="50" t="str">
        <v/>
      </c>
      <c r="B1165" s="51" t="str">
        <v>B.07地上公区排水</v>
      </c>
      <c r="C1165" s="51" t="str">
        <v/>
      </c>
      <c r="D1165" s="51" t="str">
        <v/>
      </c>
      <c r="E1165" s="51" t="str">
        <v/>
      </c>
      <c r="F1165" s="52" t="str">
        <v/>
      </c>
      <c r="G1165" s="48" t="str">
        <v/>
      </c>
      <c r="H1165" s="49">
        <v>0</v>
      </c>
      <c r="I1165" s="49" t="e">
        <v>#REF!</v>
      </c>
      <c r="J1165" s="50"/>
    </row>
    <row r="1166" outlineLevel="1" spans="1:10">
      <c r="A1166" s="50" t="str">
        <v/>
      </c>
      <c r="B1166" s="51" t="str">
        <v>B.07.1排水管道</v>
      </c>
      <c r="C1166" s="51" t="str">
        <v/>
      </c>
      <c r="D1166" s="51" t="str">
        <v/>
      </c>
      <c r="E1166" s="51" t="str">
        <v/>
      </c>
      <c r="F1166" s="52" t="str">
        <v/>
      </c>
      <c r="G1166" s="48" t="str">
        <v/>
      </c>
      <c r="H1166" s="49">
        <v>0</v>
      </c>
      <c r="I1166" s="49" t="e">
        <v>#REF!</v>
      </c>
      <c r="J1166" s="50"/>
    </row>
    <row r="1167" outlineLevel="1" spans="1:10">
      <c r="A1167" s="50">
        <v>238</v>
      </c>
      <c r="B1167" s="51" t="str">
        <v>室内排水塑料管-UPVC-De50</v>
      </c>
      <c r="C1167" s="51" t="e">
        <v>#REF!</v>
      </c>
      <c r="D1167" s="51" t="str">
        <v/>
      </c>
      <c r="E1167" s="51" t="str">
        <v/>
      </c>
      <c r="F1167" s="52" t="e">
        <v>#REF!</v>
      </c>
      <c r="G1167" s="48" t="e">
        <v>#REF!</v>
      </c>
      <c r="H1167" s="49">
        <v>20.5</v>
      </c>
      <c r="I1167" s="49" t="e">
        <v>#REF!</v>
      </c>
      <c r="J1167" s="50"/>
    </row>
    <row r="1168" outlineLevel="1" spans="1:10">
      <c r="A1168" s="50">
        <v>239</v>
      </c>
      <c r="B1168" s="51" t="str">
        <v>室内排水塑料管-UPVC-De75</v>
      </c>
      <c r="C1168" s="51" t="e">
        <v>#REF!</v>
      </c>
      <c r="D1168" s="51" t="str">
        <v/>
      </c>
      <c r="E1168" s="51" t="str">
        <v/>
      </c>
      <c r="F1168" s="52" t="e">
        <v>#REF!</v>
      </c>
      <c r="G1168" s="48" t="e">
        <v>#REF!</v>
      </c>
      <c r="H1168" s="49">
        <v>5.5</v>
      </c>
      <c r="I1168" s="49" t="e">
        <v>#REF!</v>
      </c>
      <c r="J1168" s="50"/>
    </row>
    <row r="1169" outlineLevel="1" spans="1:10">
      <c r="A1169" s="50">
        <v>240</v>
      </c>
      <c r="B1169" s="51" t="str">
        <v>室内排水塑料管-UPVC-De110</v>
      </c>
      <c r="C1169" s="51" t="e">
        <v>#REF!</v>
      </c>
      <c r="D1169" s="51" t="str">
        <v/>
      </c>
      <c r="E1169" s="51" t="str">
        <v/>
      </c>
      <c r="F1169" s="52" t="e">
        <v>#REF!</v>
      </c>
      <c r="G1169" s="48" t="e">
        <v>#REF!</v>
      </c>
      <c r="H1169" s="49">
        <v>44.3</v>
      </c>
      <c r="I1169" s="49" t="e">
        <v>#REF!</v>
      </c>
      <c r="J1169" s="50"/>
    </row>
    <row r="1170" ht="28.8" outlineLevel="1" spans="1:10">
      <c r="A1170" s="50">
        <v>241</v>
      </c>
      <c r="B1170" s="51" t="str">
        <v>室内排水塑料管-消音UPVC-De75</v>
      </c>
      <c r="C1170" s="51" t="e">
        <v>#REF!</v>
      </c>
      <c r="D1170" s="51" t="str">
        <v/>
      </c>
      <c r="E1170" s="51" t="str">
        <v/>
      </c>
      <c r="F1170" s="52" t="e">
        <v>#REF!</v>
      </c>
      <c r="G1170" s="48" t="e">
        <v>#REF!</v>
      </c>
      <c r="H1170" s="49">
        <v>0</v>
      </c>
      <c r="I1170" s="49" t="e">
        <v>#REF!</v>
      </c>
      <c r="J1170" s="50"/>
    </row>
    <row r="1171" ht="28.8" outlineLevel="1" spans="1:10">
      <c r="A1171" s="50">
        <v>242</v>
      </c>
      <c r="B1171" s="51" t="str">
        <v>室内排水塑料管-消音UPVC-De110</v>
      </c>
      <c r="C1171" s="51" t="e">
        <v>#REF!</v>
      </c>
      <c r="D1171" s="51" t="str">
        <v/>
      </c>
      <c r="E1171" s="51" t="str">
        <v/>
      </c>
      <c r="F1171" s="52" t="e">
        <v>#REF!</v>
      </c>
      <c r="G1171" s="48" t="e">
        <v>#REF!</v>
      </c>
      <c r="H1171" s="49">
        <v>0</v>
      </c>
      <c r="I1171" s="49" t="e">
        <v>#REF!</v>
      </c>
      <c r="J1171" s="50"/>
    </row>
    <row r="1172" ht="28.8" outlineLevel="1" spans="1:10">
      <c r="A1172" s="50">
        <v>243</v>
      </c>
      <c r="B1172" s="51" t="str">
        <v>室内冷凝水塑料管-UPVC-De75</v>
      </c>
      <c r="C1172" s="51" t="e">
        <v>#REF!</v>
      </c>
      <c r="D1172" s="51" t="str">
        <v/>
      </c>
      <c r="E1172" s="51" t="str">
        <v/>
      </c>
      <c r="F1172" s="52" t="e">
        <v>#REF!</v>
      </c>
      <c r="G1172" s="48" t="e">
        <v>#REF!</v>
      </c>
      <c r="H1172" s="49">
        <v>1</v>
      </c>
      <c r="I1172" s="49" t="e">
        <v>#REF!</v>
      </c>
      <c r="J1172" s="50"/>
    </row>
    <row r="1173" ht="28.8" outlineLevel="1" spans="1:10">
      <c r="A1173" s="50">
        <v>244</v>
      </c>
      <c r="B1173" s="51" t="str">
        <v>室内冷凝水塑料管-UPVC-De50</v>
      </c>
      <c r="C1173" s="51" t="e">
        <v>#REF!</v>
      </c>
      <c r="D1173" s="51" t="str">
        <v/>
      </c>
      <c r="E1173" s="51" t="str">
        <v/>
      </c>
      <c r="F1173" s="52" t="e">
        <v>#REF!</v>
      </c>
      <c r="G1173" s="48" t="e">
        <v>#REF!</v>
      </c>
      <c r="H1173" s="49">
        <v>7.6</v>
      </c>
      <c r="I1173" s="49" t="e">
        <v>#REF!</v>
      </c>
      <c r="J1173" s="50"/>
    </row>
    <row r="1174" outlineLevel="1" spans="1:10">
      <c r="A1174" s="50" t="str">
        <v/>
      </c>
      <c r="B1174" s="51" t="str">
        <v>B.07.1卫生器具</v>
      </c>
      <c r="C1174" s="51" t="str">
        <v/>
      </c>
      <c r="D1174" s="51" t="str">
        <v/>
      </c>
      <c r="E1174" s="51" t="str">
        <v/>
      </c>
      <c r="F1174" s="52" t="str">
        <v/>
      </c>
      <c r="G1174" s="48" t="str">
        <v/>
      </c>
      <c r="H1174" s="49">
        <v>0</v>
      </c>
      <c r="I1174" s="49" t="e">
        <v>#REF!</v>
      </c>
      <c r="J1174" s="50"/>
    </row>
    <row r="1175" outlineLevel="1" spans="1:10">
      <c r="A1175" s="50">
        <v>245</v>
      </c>
      <c r="B1175" s="51" t="str">
        <v>水龙头DN15</v>
      </c>
      <c r="C1175" s="51" t="e">
        <v>#REF!</v>
      </c>
      <c r="D1175" s="51" t="str">
        <v/>
      </c>
      <c r="E1175" s="51" t="str">
        <v/>
      </c>
      <c r="F1175" s="52" t="e">
        <v>#REF!</v>
      </c>
      <c r="G1175" s="48" t="e">
        <v>#REF!</v>
      </c>
      <c r="H1175" s="49">
        <v>1</v>
      </c>
      <c r="I1175" s="49" t="e">
        <v>#REF!</v>
      </c>
      <c r="J1175" s="50"/>
    </row>
    <row r="1176" outlineLevel="1" spans="1:10">
      <c r="A1176" s="50">
        <v>246</v>
      </c>
      <c r="B1176" s="51" t="str">
        <v>铸铁地漏-DN50</v>
      </c>
      <c r="C1176" s="51" t="e">
        <v>#REF!</v>
      </c>
      <c r="D1176" s="51" t="str">
        <v/>
      </c>
      <c r="E1176" s="51" t="str">
        <v/>
      </c>
      <c r="F1176" s="52" t="e">
        <v>#REF!</v>
      </c>
      <c r="G1176" s="48" t="e">
        <v>#REF!</v>
      </c>
      <c r="H1176" s="49">
        <v>5</v>
      </c>
      <c r="I1176" s="49" t="e">
        <v>#REF!</v>
      </c>
      <c r="J1176" s="50"/>
    </row>
    <row r="1177" outlineLevel="1" spans="1:10">
      <c r="A1177" s="50">
        <v>247</v>
      </c>
      <c r="B1177" s="51" t="str">
        <v>公区塑料地漏-De50</v>
      </c>
      <c r="C1177" s="51" t="e">
        <v>#REF!</v>
      </c>
      <c r="D1177" s="51" t="str">
        <v/>
      </c>
      <c r="E1177" s="51" t="str">
        <v/>
      </c>
      <c r="F1177" s="52" t="e">
        <v>#REF!</v>
      </c>
      <c r="G1177" s="48" t="e">
        <v>#REF!</v>
      </c>
      <c r="H1177" s="49">
        <v>0</v>
      </c>
      <c r="I1177" s="49" t="e">
        <v>#REF!</v>
      </c>
      <c r="J1177" s="50"/>
    </row>
    <row r="1178" outlineLevel="1" spans="1:10">
      <c r="A1178" s="50">
        <v>248</v>
      </c>
      <c r="B1178" s="51" t="str">
        <v>地漏-De110</v>
      </c>
      <c r="C1178" s="51" t="e">
        <v>#REF!</v>
      </c>
      <c r="D1178" s="51" t="str">
        <v/>
      </c>
      <c r="E1178" s="51" t="str">
        <v/>
      </c>
      <c r="F1178" s="52" t="e">
        <v>#REF!</v>
      </c>
      <c r="G1178" s="48" t="e">
        <v>#REF!</v>
      </c>
      <c r="H1178" s="49">
        <v>1</v>
      </c>
      <c r="I1178" s="49" t="e">
        <v>#REF!</v>
      </c>
      <c r="J1178" s="50"/>
    </row>
    <row r="1179" outlineLevel="1" spans="1:10">
      <c r="A1179" s="50">
        <v>249</v>
      </c>
      <c r="B1179" s="51" t="str">
        <v>清扫口-De110</v>
      </c>
      <c r="C1179" s="51" t="e">
        <v>#REF!</v>
      </c>
      <c r="D1179" s="51" t="str">
        <v/>
      </c>
      <c r="E1179" s="51" t="str">
        <v/>
      </c>
      <c r="F1179" s="52" t="e">
        <v>#REF!</v>
      </c>
      <c r="G1179" s="48" t="e">
        <v>#REF!</v>
      </c>
      <c r="H1179" s="49">
        <v>4</v>
      </c>
      <c r="I1179" s="49" t="e">
        <v>#REF!</v>
      </c>
      <c r="J1179" s="50"/>
    </row>
    <row r="1180" outlineLevel="1" spans="1:10">
      <c r="A1180" s="50">
        <v>250</v>
      </c>
      <c r="B1180" s="51" t="str">
        <v>雨水地漏-DN75</v>
      </c>
      <c r="C1180" s="51" t="e">
        <v>#REF!</v>
      </c>
      <c r="D1180" s="51" t="str">
        <v/>
      </c>
      <c r="E1180" s="51" t="str">
        <v/>
      </c>
      <c r="F1180" s="52" t="e">
        <v>#REF!</v>
      </c>
      <c r="G1180" s="48" t="e">
        <v>#REF!</v>
      </c>
      <c r="H1180" s="49">
        <v>0</v>
      </c>
      <c r="I1180" s="49" t="e">
        <v>#REF!</v>
      </c>
      <c r="J1180" s="50"/>
    </row>
    <row r="1181" outlineLevel="1" spans="1:10">
      <c r="A1181" s="50" t="str">
        <v/>
      </c>
      <c r="B1181" s="51" t="str">
        <v>B.08地上预留预埋</v>
      </c>
      <c r="C1181" s="51" t="str">
        <v/>
      </c>
      <c r="D1181" s="51" t="str">
        <v/>
      </c>
      <c r="E1181" s="51" t="str">
        <v/>
      </c>
      <c r="F1181" s="52" t="str">
        <v/>
      </c>
      <c r="G1181" s="48" t="str">
        <v/>
      </c>
      <c r="H1181" s="49">
        <v>0</v>
      </c>
      <c r="I1181" s="49" t="e">
        <v>#REF!</v>
      </c>
      <c r="J1181" s="50"/>
    </row>
    <row r="1182" outlineLevel="1" spans="1:10">
      <c r="A1182" s="50" t="str">
        <v/>
      </c>
      <c r="B1182" s="51" t="str">
        <v>B.08.1给排水预留预埋</v>
      </c>
      <c r="C1182" s="51" t="str">
        <v/>
      </c>
      <c r="D1182" s="51" t="str">
        <v/>
      </c>
      <c r="E1182" s="51" t="str">
        <v/>
      </c>
      <c r="F1182" s="52" t="str">
        <v/>
      </c>
      <c r="G1182" s="48" t="str">
        <v/>
      </c>
      <c r="H1182" s="49">
        <v>0</v>
      </c>
      <c r="I1182" s="49" t="e">
        <v>#REF!</v>
      </c>
      <c r="J1182" s="50"/>
    </row>
    <row r="1183" outlineLevel="1" spans="1:10">
      <c r="A1183" s="50">
        <v>251</v>
      </c>
      <c r="B1183" s="51" t="str">
        <v>空调套管DN80</v>
      </c>
      <c r="C1183" s="51" t="e">
        <v>#REF!</v>
      </c>
      <c r="D1183" s="51" t="str">
        <v/>
      </c>
      <c r="E1183" s="51" t="str">
        <v/>
      </c>
      <c r="F1183" s="52" t="e">
        <v>#REF!</v>
      </c>
      <c r="G1183" s="48" t="e">
        <v>#REF!</v>
      </c>
      <c r="H1183" s="49">
        <v>1</v>
      </c>
      <c r="I1183" s="49" t="e">
        <v>#REF!</v>
      </c>
      <c r="J1183" s="50"/>
    </row>
    <row r="1184" outlineLevel="1" spans="1:10">
      <c r="A1184" s="50">
        <v>252</v>
      </c>
      <c r="B1184" s="51" t="str">
        <v>燃气套管DN100</v>
      </c>
      <c r="C1184" s="51" t="e">
        <v>#REF!</v>
      </c>
      <c r="D1184" s="51" t="str">
        <v/>
      </c>
      <c r="E1184" s="51" t="str">
        <v/>
      </c>
      <c r="F1184" s="52" t="e">
        <v>#REF!</v>
      </c>
      <c r="G1184" s="48" t="e">
        <v>#REF!</v>
      </c>
      <c r="H1184" s="49">
        <v>1</v>
      </c>
      <c r="I1184" s="49" t="e">
        <v>#REF!</v>
      </c>
      <c r="J1184" s="50"/>
    </row>
    <row r="1185" outlineLevel="1" spans="1:10">
      <c r="A1185" s="50">
        <v>253</v>
      </c>
      <c r="B1185" s="51" t="str">
        <v>刚性防水套管-DN50</v>
      </c>
      <c r="C1185" s="51" t="e">
        <v>#REF!</v>
      </c>
      <c r="D1185" s="51" t="str">
        <v/>
      </c>
      <c r="E1185" s="51" t="str">
        <v/>
      </c>
      <c r="F1185" s="52" t="e">
        <v>#REF!</v>
      </c>
      <c r="G1185" s="48" t="e">
        <v>#REF!</v>
      </c>
      <c r="H1185" s="49">
        <v>0</v>
      </c>
      <c r="I1185" s="49" t="e">
        <v>#REF!</v>
      </c>
      <c r="J1185" s="50"/>
    </row>
    <row r="1186" outlineLevel="1" spans="1:10">
      <c r="A1186" s="50">
        <v>254</v>
      </c>
      <c r="B1186" s="51" t="str">
        <v>刚性防水套管-DN65</v>
      </c>
      <c r="C1186" s="51" t="e">
        <v>#REF!</v>
      </c>
      <c r="D1186" s="51" t="str">
        <v/>
      </c>
      <c r="E1186" s="51" t="str">
        <v/>
      </c>
      <c r="F1186" s="52" t="e">
        <v>#REF!</v>
      </c>
      <c r="G1186" s="48" t="e">
        <v>#REF!</v>
      </c>
      <c r="H1186" s="49">
        <v>0</v>
      </c>
      <c r="I1186" s="49" t="e">
        <v>#REF!</v>
      </c>
      <c r="J1186" s="50"/>
    </row>
    <row r="1187" outlineLevel="1" spans="1:10">
      <c r="A1187" s="50">
        <v>255</v>
      </c>
      <c r="B1187" s="51" t="str">
        <v>刚性防水套管-DN80</v>
      </c>
      <c r="C1187" s="51" t="e">
        <v>#REF!</v>
      </c>
      <c r="D1187" s="51" t="str">
        <v/>
      </c>
      <c r="E1187" s="51" t="str">
        <v/>
      </c>
      <c r="F1187" s="52" t="e">
        <v>#REF!</v>
      </c>
      <c r="G1187" s="48" t="e">
        <v>#REF!</v>
      </c>
      <c r="H1187" s="49">
        <v>0</v>
      </c>
      <c r="I1187" s="49" t="e">
        <v>#REF!</v>
      </c>
      <c r="J1187" s="50"/>
    </row>
    <row r="1188" outlineLevel="1" spans="1:10">
      <c r="A1188" s="50">
        <v>256</v>
      </c>
      <c r="B1188" s="51" t="str">
        <v>刚性防水套管-De110</v>
      </c>
      <c r="C1188" s="51" t="e">
        <v>#REF!</v>
      </c>
      <c r="D1188" s="51" t="str">
        <v/>
      </c>
      <c r="E1188" s="51" t="str">
        <v/>
      </c>
      <c r="F1188" s="52" t="e">
        <v>#REF!</v>
      </c>
      <c r="G1188" s="48" t="e">
        <v>#REF!</v>
      </c>
      <c r="H1188" s="49">
        <v>1</v>
      </c>
      <c r="I1188" s="49" t="e">
        <v>#REF!</v>
      </c>
      <c r="J1188" s="50"/>
    </row>
    <row r="1189" outlineLevel="1" spans="1:10">
      <c r="A1189" s="50" t="str">
        <v/>
      </c>
      <c r="B1189" s="51" t="str">
        <v>B.08.1消防预留预埋</v>
      </c>
      <c r="C1189" s="51" t="str">
        <v/>
      </c>
      <c r="D1189" s="51" t="str">
        <v/>
      </c>
      <c r="E1189" s="51" t="str">
        <v/>
      </c>
      <c r="F1189" s="52" t="str">
        <v/>
      </c>
      <c r="G1189" s="48" t="str">
        <v/>
      </c>
      <c r="H1189" s="49">
        <v>0</v>
      </c>
      <c r="I1189" s="49" t="e">
        <v>#REF!</v>
      </c>
      <c r="J1189" s="50"/>
    </row>
    <row r="1190" outlineLevel="1" spans="1:10">
      <c r="A1190" s="50">
        <v>257</v>
      </c>
      <c r="B1190" s="51" t="str">
        <v>消防钢套管-DN65</v>
      </c>
      <c r="C1190" s="51" t="e">
        <v>#REF!</v>
      </c>
      <c r="D1190" s="51" t="str">
        <v/>
      </c>
      <c r="E1190" s="51" t="str">
        <v/>
      </c>
      <c r="F1190" s="52" t="e">
        <v>#REF!</v>
      </c>
      <c r="G1190" s="48" t="e">
        <v>#REF!</v>
      </c>
      <c r="H1190" s="49">
        <v>0</v>
      </c>
      <c r="I1190" s="49" t="e">
        <v>#REF!</v>
      </c>
      <c r="J1190" s="50"/>
    </row>
    <row r="1191" outlineLevel="1" spans="1:10">
      <c r="A1191" s="50">
        <v>258</v>
      </c>
      <c r="B1191" s="51" t="str">
        <v>消防钢套管-DN100</v>
      </c>
      <c r="C1191" s="51" t="e">
        <v>#REF!</v>
      </c>
      <c r="D1191" s="51" t="str">
        <v/>
      </c>
      <c r="E1191" s="51" t="str">
        <v/>
      </c>
      <c r="F1191" s="52" t="e">
        <v>#REF!</v>
      </c>
      <c r="G1191" s="48" t="e">
        <v>#REF!</v>
      </c>
      <c r="H1191" s="49">
        <v>1</v>
      </c>
      <c r="I1191" s="49" t="e">
        <v>#REF!</v>
      </c>
      <c r="J1191" s="50"/>
    </row>
    <row r="1192" outlineLevel="1" spans="1:10">
      <c r="A1192" s="50">
        <v>259</v>
      </c>
      <c r="B1192" s="51" t="str">
        <v>刚性防水套管-DN100</v>
      </c>
      <c r="C1192" s="51" t="e">
        <v>#REF!</v>
      </c>
      <c r="D1192" s="51" t="str">
        <v/>
      </c>
      <c r="E1192" s="51" t="str">
        <v/>
      </c>
      <c r="F1192" s="52" t="e">
        <v>#REF!</v>
      </c>
      <c r="G1192" s="48" t="e">
        <v>#REF!</v>
      </c>
      <c r="H1192" s="49">
        <v>1</v>
      </c>
      <c r="I1192" s="49" t="e">
        <v>#REF!</v>
      </c>
      <c r="J1192" s="50"/>
    </row>
    <row r="1193" outlineLevel="1" spans="1:10">
      <c r="A1193" s="50" t="str">
        <v/>
      </c>
      <c r="B1193" s="51" t="str">
        <v>地下采暖</v>
      </c>
      <c r="C1193" s="51" t="str">
        <v/>
      </c>
      <c r="D1193" s="51" t="str">
        <v/>
      </c>
      <c r="E1193" s="51" t="str">
        <v/>
      </c>
      <c r="F1193" s="52" t="str">
        <v/>
      </c>
      <c r="G1193" s="48" t="str">
        <v/>
      </c>
      <c r="H1193" s="49">
        <v>0</v>
      </c>
      <c r="I1193" s="49" t="e">
        <v>#REF!</v>
      </c>
      <c r="J1193" s="50"/>
    </row>
    <row r="1194" outlineLevel="1" spans="1:10">
      <c r="A1194" s="50" t="str">
        <v/>
      </c>
      <c r="B1194" s="51" t="str">
        <v>B.09采暖入口装置</v>
      </c>
      <c r="C1194" s="51" t="str">
        <v/>
      </c>
      <c r="D1194" s="51" t="str">
        <v/>
      </c>
      <c r="E1194" s="51" t="str">
        <v/>
      </c>
      <c r="F1194" s="52" t="str">
        <v/>
      </c>
      <c r="G1194" s="48" t="str">
        <v/>
      </c>
      <c r="H1194" s="49">
        <v>0</v>
      </c>
      <c r="I1194" s="49" t="e">
        <v>#REF!</v>
      </c>
      <c r="J1194" s="50"/>
    </row>
    <row r="1195" outlineLevel="1" spans="1:10">
      <c r="A1195" s="50">
        <v>260</v>
      </c>
      <c r="B1195" s="51" t="str">
        <v>采暖入口装置-DN25</v>
      </c>
      <c r="C1195" s="51" t="e">
        <v>#REF!</v>
      </c>
      <c r="D1195" s="51" t="str">
        <v/>
      </c>
      <c r="E1195" s="51" t="str">
        <v/>
      </c>
      <c r="F1195" s="52" t="e">
        <v>#REF!</v>
      </c>
      <c r="G1195" s="48" t="e">
        <v>#REF!</v>
      </c>
      <c r="H1195" s="49">
        <v>0</v>
      </c>
      <c r="I1195" s="49" t="e">
        <v>#REF!</v>
      </c>
      <c r="J1195" s="50"/>
    </row>
    <row r="1196" outlineLevel="1" spans="1:10">
      <c r="A1196" s="50">
        <v>261</v>
      </c>
      <c r="B1196" s="51" t="str">
        <v>采暖入口装置-DN32</v>
      </c>
      <c r="C1196" s="51" t="e">
        <v>#REF!</v>
      </c>
      <c r="D1196" s="51" t="str">
        <v/>
      </c>
      <c r="E1196" s="51" t="str">
        <v/>
      </c>
      <c r="F1196" s="52" t="e">
        <v>#REF!</v>
      </c>
      <c r="G1196" s="48" t="e">
        <v>#REF!</v>
      </c>
      <c r="H1196" s="49">
        <v>0</v>
      </c>
      <c r="I1196" s="49" t="e">
        <v>#REF!</v>
      </c>
      <c r="J1196" s="50"/>
    </row>
    <row r="1197" outlineLevel="1" spans="1:10">
      <c r="A1197" s="50">
        <v>262</v>
      </c>
      <c r="B1197" s="51" t="str">
        <v>采暖入口装置-DN40</v>
      </c>
      <c r="C1197" s="51" t="e">
        <v>#REF!</v>
      </c>
      <c r="D1197" s="51" t="str">
        <v/>
      </c>
      <c r="E1197" s="51" t="str">
        <v/>
      </c>
      <c r="F1197" s="52" t="e">
        <v>#REF!</v>
      </c>
      <c r="G1197" s="48" t="e">
        <v>#REF!</v>
      </c>
      <c r="H1197" s="49">
        <v>0</v>
      </c>
      <c r="I1197" s="49" t="e">
        <v>#REF!</v>
      </c>
      <c r="J1197" s="50"/>
    </row>
    <row r="1198" outlineLevel="1" spans="1:10">
      <c r="A1198" s="50">
        <v>263</v>
      </c>
      <c r="B1198" s="51" t="str">
        <v>采暖入口装置-DN50</v>
      </c>
      <c r="C1198" s="51" t="e">
        <v>#REF!</v>
      </c>
      <c r="D1198" s="51" t="str">
        <v/>
      </c>
      <c r="E1198" s="51" t="str">
        <v/>
      </c>
      <c r="F1198" s="52" t="e">
        <v>#REF!</v>
      </c>
      <c r="G1198" s="48" t="e">
        <v>#REF!</v>
      </c>
      <c r="H1198" s="49">
        <v>0</v>
      </c>
      <c r="I1198" s="49" t="e">
        <v>#REF!</v>
      </c>
      <c r="J1198" s="50"/>
    </row>
    <row r="1199" outlineLevel="1" spans="1:10">
      <c r="A1199" s="50">
        <v>264</v>
      </c>
      <c r="B1199" s="51" t="str">
        <v>采暖入口装置-DN65</v>
      </c>
      <c r="C1199" s="51" t="e">
        <v>#REF!</v>
      </c>
      <c r="D1199" s="51" t="str">
        <v/>
      </c>
      <c r="E1199" s="51" t="str">
        <v/>
      </c>
      <c r="F1199" s="52" t="e">
        <v>#REF!</v>
      </c>
      <c r="G1199" s="48" t="e">
        <v>#REF!</v>
      </c>
      <c r="H1199" s="49">
        <v>0</v>
      </c>
      <c r="I1199" s="49" t="e">
        <v>#REF!</v>
      </c>
      <c r="J1199" s="50"/>
    </row>
    <row r="1200" outlineLevel="1" spans="1:10">
      <c r="A1200" s="50">
        <v>265</v>
      </c>
      <c r="B1200" s="51" t="str">
        <v>采暖入口装置-DN80</v>
      </c>
      <c r="C1200" s="51" t="e">
        <v>#REF!</v>
      </c>
      <c r="D1200" s="51" t="str">
        <v/>
      </c>
      <c r="E1200" s="51" t="str">
        <v/>
      </c>
      <c r="F1200" s="52" t="e">
        <v>#REF!</v>
      </c>
      <c r="G1200" s="48" t="e">
        <v>#REF!</v>
      </c>
      <c r="H1200" s="49">
        <v>0</v>
      </c>
      <c r="I1200" s="49" t="e">
        <v>#REF!</v>
      </c>
      <c r="J1200" s="50"/>
    </row>
    <row r="1201" outlineLevel="1" spans="1:10">
      <c r="A1201" s="50">
        <v>266</v>
      </c>
      <c r="B1201" s="51" t="str">
        <v>采暖入口装置-DN100</v>
      </c>
      <c r="C1201" s="51" t="e">
        <v>#REF!</v>
      </c>
      <c r="D1201" s="51" t="str">
        <v/>
      </c>
      <c r="E1201" s="51" t="str">
        <v/>
      </c>
      <c r="F1201" s="52" t="e">
        <v>#REF!</v>
      </c>
      <c r="G1201" s="48" t="e">
        <v>#REF!</v>
      </c>
      <c r="H1201" s="49">
        <v>0</v>
      </c>
      <c r="I1201" s="49" t="e">
        <v>#REF!</v>
      </c>
      <c r="J1201" s="50"/>
    </row>
    <row r="1202" outlineLevel="1" spans="1:10">
      <c r="A1202" s="50" t="str">
        <v/>
      </c>
      <c r="B1202" s="51" t="str">
        <v>B.10采暖管道</v>
      </c>
      <c r="C1202" s="51" t="str">
        <v/>
      </c>
      <c r="D1202" s="51" t="str">
        <v/>
      </c>
      <c r="E1202" s="51" t="str">
        <v/>
      </c>
      <c r="F1202" s="52" t="str">
        <v/>
      </c>
      <c r="G1202" s="48" t="str">
        <v/>
      </c>
      <c r="H1202" s="49">
        <v>0</v>
      </c>
      <c r="I1202" s="49" t="e">
        <v>#REF!</v>
      </c>
      <c r="J1202" s="50"/>
    </row>
    <row r="1203" outlineLevel="1" spans="1:10">
      <c r="A1203" s="50">
        <v>267</v>
      </c>
      <c r="B1203" s="51" t="str">
        <v>室内供暖镀锌钢管-DN15</v>
      </c>
      <c r="C1203" s="51" t="e">
        <v>#REF!</v>
      </c>
      <c r="D1203" s="51" t="str">
        <v/>
      </c>
      <c r="E1203" s="51" t="str">
        <v/>
      </c>
      <c r="F1203" s="52" t="e">
        <v>#REF!</v>
      </c>
      <c r="G1203" s="48" t="e">
        <v>#REF!</v>
      </c>
      <c r="H1203" s="49">
        <v>0</v>
      </c>
      <c r="I1203" s="49" t="e">
        <v>#REF!</v>
      </c>
      <c r="J1203" s="50"/>
    </row>
    <row r="1204" outlineLevel="1" spans="1:10">
      <c r="A1204" s="50">
        <v>268</v>
      </c>
      <c r="B1204" s="51" t="str">
        <v>室内供暖镀锌钢管-DN20</v>
      </c>
      <c r="C1204" s="51" t="e">
        <v>#REF!</v>
      </c>
      <c r="D1204" s="51" t="str">
        <v/>
      </c>
      <c r="E1204" s="51" t="str">
        <v/>
      </c>
      <c r="F1204" s="52" t="e">
        <v>#REF!</v>
      </c>
      <c r="G1204" s="48" t="e">
        <v>#REF!</v>
      </c>
      <c r="H1204" s="49">
        <v>0</v>
      </c>
      <c r="I1204" s="49" t="e">
        <v>#REF!</v>
      </c>
      <c r="J1204" s="50"/>
    </row>
    <row r="1205" outlineLevel="1" spans="1:10">
      <c r="A1205" s="50">
        <v>269</v>
      </c>
      <c r="B1205" s="51" t="str">
        <v>室内供暖镀锌钢管-DN25</v>
      </c>
      <c r="C1205" s="51" t="e">
        <v>#REF!</v>
      </c>
      <c r="D1205" s="51" t="str">
        <v/>
      </c>
      <c r="E1205" s="51" t="str">
        <v/>
      </c>
      <c r="F1205" s="52" t="e">
        <v>#REF!</v>
      </c>
      <c r="G1205" s="48" t="e">
        <v>#REF!</v>
      </c>
      <c r="H1205" s="49">
        <v>0</v>
      </c>
      <c r="I1205" s="49" t="e">
        <v>#REF!</v>
      </c>
      <c r="J1205" s="50"/>
    </row>
    <row r="1206" outlineLevel="1" spans="1:10">
      <c r="A1206" s="50">
        <v>270</v>
      </c>
      <c r="B1206" s="51" t="str">
        <v>室内供暖镀锌钢管-DN32</v>
      </c>
      <c r="C1206" s="51" t="e">
        <v>#REF!</v>
      </c>
      <c r="D1206" s="51" t="str">
        <v/>
      </c>
      <c r="E1206" s="51" t="str">
        <v/>
      </c>
      <c r="F1206" s="52" t="e">
        <v>#REF!</v>
      </c>
      <c r="G1206" s="48" t="e">
        <v>#REF!</v>
      </c>
      <c r="H1206" s="49">
        <v>0</v>
      </c>
      <c r="I1206" s="49" t="e">
        <v>#REF!</v>
      </c>
      <c r="J1206" s="50"/>
    </row>
    <row r="1207" outlineLevel="1" spans="1:10">
      <c r="A1207" s="50">
        <v>271</v>
      </c>
      <c r="B1207" s="51" t="str">
        <v>室内供暖镀锌钢管-DN40</v>
      </c>
      <c r="C1207" s="51" t="e">
        <v>#REF!</v>
      </c>
      <c r="D1207" s="51" t="str">
        <v/>
      </c>
      <c r="E1207" s="51" t="str">
        <v/>
      </c>
      <c r="F1207" s="52" t="e">
        <v>#REF!</v>
      </c>
      <c r="G1207" s="48" t="e">
        <v>#REF!</v>
      </c>
      <c r="H1207" s="49">
        <v>0</v>
      </c>
      <c r="I1207" s="49" t="e">
        <v>#REF!</v>
      </c>
      <c r="J1207" s="50"/>
    </row>
    <row r="1208" outlineLevel="1" spans="1:10">
      <c r="A1208" s="50">
        <v>272</v>
      </c>
      <c r="B1208" s="51" t="str">
        <v>室内供暖镀锌钢管-DN50</v>
      </c>
      <c r="C1208" s="51" t="e">
        <v>#REF!</v>
      </c>
      <c r="D1208" s="51" t="str">
        <v/>
      </c>
      <c r="E1208" s="51" t="str">
        <v/>
      </c>
      <c r="F1208" s="52" t="e">
        <v>#REF!</v>
      </c>
      <c r="G1208" s="48" t="e">
        <v>#REF!</v>
      </c>
      <c r="H1208" s="49">
        <v>0</v>
      </c>
      <c r="I1208" s="49" t="e">
        <v>#REF!</v>
      </c>
      <c r="J1208" s="50"/>
    </row>
    <row r="1209" outlineLevel="1" spans="1:10">
      <c r="A1209" s="50">
        <v>273</v>
      </c>
      <c r="B1209" s="51" t="str">
        <v>室内供暖镀锌钢管-DN65</v>
      </c>
      <c r="C1209" s="51" t="e">
        <v>#REF!</v>
      </c>
      <c r="D1209" s="51" t="str">
        <v/>
      </c>
      <c r="E1209" s="51" t="str">
        <v/>
      </c>
      <c r="F1209" s="52" t="e">
        <v>#REF!</v>
      </c>
      <c r="G1209" s="48" t="e">
        <v>#REF!</v>
      </c>
      <c r="H1209" s="49">
        <v>0</v>
      </c>
      <c r="I1209" s="49" t="e">
        <v>#REF!</v>
      </c>
      <c r="J1209" s="50"/>
    </row>
    <row r="1210" outlineLevel="1" spans="1:10">
      <c r="A1210" s="50">
        <v>274</v>
      </c>
      <c r="B1210" s="51" t="str">
        <v>室内供暖镀锌钢管-DN80</v>
      </c>
      <c r="C1210" s="51" t="e">
        <v>#REF!</v>
      </c>
      <c r="D1210" s="51" t="str">
        <v/>
      </c>
      <c r="E1210" s="51" t="str">
        <v/>
      </c>
      <c r="F1210" s="52" t="e">
        <v>#REF!</v>
      </c>
      <c r="G1210" s="48" t="e">
        <v>#REF!</v>
      </c>
      <c r="H1210" s="49">
        <v>0</v>
      </c>
      <c r="I1210" s="49" t="e">
        <v>#REF!</v>
      </c>
      <c r="J1210" s="50"/>
    </row>
    <row r="1211" ht="28.8" outlineLevel="1" spans="1:10">
      <c r="A1211" s="50">
        <v>275</v>
      </c>
      <c r="B1211" s="51" t="str">
        <v>室内供暖无缝镀锌钢管-DN100</v>
      </c>
      <c r="C1211" s="51" t="e">
        <v>#REF!</v>
      </c>
      <c r="D1211" s="51" t="str">
        <v/>
      </c>
      <c r="E1211" s="51" t="str">
        <v/>
      </c>
      <c r="F1211" s="52" t="e">
        <v>#REF!</v>
      </c>
      <c r="G1211" s="48" t="e">
        <v>#REF!</v>
      </c>
      <c r="H1211" s="49">
        <v>0</v>
      </c>
      <c r="I1211" s="49" t="e">
        <v>#REF!</v>
      </c>
      <c r="J1211" s="50"/>
    </row>
    <row r="1212" ht="28.8" outlineLevel="1" spans="1:10">
      <c r="A1212" s="50">
        <v>276</v>
      </c>
      <c r="B1212" s="51" t="str">
        <v>室内供暖无缝镀锌钢管-DN125</v>
      </c>
      <c r="C1212" s="51" t="e">
        <v>#REF!</v>
      </c>
      <c r="D1212" s="51" t="str">
        <v/>
      </c>
      <c r="E1212" s="51" t="str">
        <v/>
      </c>
      <c r="F1212" s="52" t="e">
        <v>#REF!</v>
      </c>
      <c r="G1212" s="48" t="e">
        <v>#REF!</v>
      </c>
      <c r="H1212" s="49">
        <v>0</v>
      </c>
      <c r="I1212" s="49" t="e">
        <v>#REF!</v>
      </c>
      <c r="J1212" s="50"/>
    </row>
    <row r="1213" ht="28.8" outlineLevel="1" spans="1:10">
      <c r="A1213" s="50">
        <v>277</v>
      </c>
      <c r="B1213" s="51" t="str">
        <v>室内供暖无缝镀锌钢管-DN150</v>
      </c>
      <c r="C1213" s="51" t="e">
        <v>#REF!</v>
      </c>
      <c r="D1213" s="51" t="str">
        <v/>
      </c>
      <c r="E1213" s="51" t="str">
        <v/>
      </c>
      <c r="F1213" s="52" t="e">
        <v>#REF!</v>
      </c>
      <c r="G1213" s="48" t="e">
        <v>#REF!</v>
      </c>
      <c r="H1213" s="49">
        <v>0</v>
      </c>
      <c r="I1213" s="49" t="e">
        <v>#REF!</v>
      </c>
      <c r="J1213" s="50"/>
    </row>
    <row r="1214" ht="28.8" outlineLevel="1" spans="1:10">
      <c r="A1214" s="50">
        <v>278</v>
      </c>
      <c r="B1214" s="51" t="str">
        <v>室内供暖无缝镀锌钢管-DN200</v>
      </c>
      <c r="C1214" s="51" t="e">
        <v>#REF!</v>
      </c>
      <c r="D1214" s="51" t="str">
        <v/>
      </c>
      <c r="E1214" s="51" t="str">
        <v/>
      </c>
      <c r="F1214" s="52" t="e">
        <v>#REF!</v>
      </c>
      <c r="G1214" s="48" t="e">
        <v>#REF!</v>
      </c>
      <c r="H1214" s="49">
        <v>0</v>
      </c>
      <c r="I1214" s="49" t="e">
        <v>#REF!</v>
      </c>
      <c r="J1214" s="50"/>
    </row>
    <row r="1215" ht="28.8" outlineLevel="1" spans="1:10">
      <c r="A1215" s="50">
        <v>279</v>
      </c>
      <c r="B1215" s="51" t="str">
        <v>室内供暖无缝镀锌钢管-DN250</v>
      </c>
      <c r="C1215" s="51" t="e">
        <v>#REF!</v>
      </c>
      <c r="D1215" s="51" t="str">
        <v/>
      </c>
      <c r="E1215" s="51" t="str">
        <v/>
      </c>
      <c r="F1215" s="52" t="e">
        <v>#REF!</v>
      </c>
      <c r="G1215" s="48" t="e">
        <v>#REF!</v>
      </c>
      <c r="H1215" s="49">
        <v>0</v>
      </c>
      <c r="I1215" s="49" t="e">
        <v>#REF!</v>
      </c>
      <c r="J1215" s="50"/>
    </row>
    <row r="1216" outlineLevel="1" spans="1:10">
      <c r="A1216" s="50" t="str">
        <v/>
      </c>
      <c r="B1216" s="51" t="str">
        <v>B.11采暖套管及阀部件</v>
      </c>
      <c r="C1216" s="51" t="str">
        <v/>
      </c>
      <c r="D1216" s="51" t="str">
        <v/>
      </c>
      <c r="E1216" s="51" t="str">
        <v/>
      </c>
      <c r="F1216" s="52" t="str">
        <v/>
      </c>
      <c r="G1216" s="48" t="str">
        <v/>
      </c>
      <c r="H1216" s="49">
        <v>0</v>
      </c>
      <c r="I1216" s="49" t="e">
        <v>#REF!</v>
      </c>
      <c r="J1216" s="50"/>
    </row>
    <row r="1217" outlineLevel="1" spans="1:10">
      <c r="A1217" s="50">
        <v>280</v>
      </c>
      <c r="B1217" s="51" t="str">
        <v>刚性防水套管-DN50</v>
      </c>
      <c r="C1217" s="51" t="e">
        <v>#REF!</v>
      </c>
      <c r="D1217" s="51" t="str">
        <v/>
      </c>
      <c r="E1217" s="51" t="str">
        <v/>
      </c>
      <c r="F1217" s="52" t="e">
        <v>#REF!</v>
      </c>
      <c r="G1217" s="48" t="e">
        <v>#REF!</v>
      </c>
      <c r="H1217" s="49">
        <v>0</v>
      </c>
      <c r="I1217" s="49" t="e">
        <v>#REF!</v>
      </c>
      <c r="J1217" s="50"/>
    </row>
    <row r="1218" outlineLevel="1" spans="1:10">
      <c r="A1218" s="50">
        <v>281</v>
      </c>
      <c r="B1218" s="51" t="str">
        <v>刚性防水套管-DN65</v>
      </c>
      <c r="C1218" s="51" t="e">
        <v>#REF!</v>
      </c>
      <c r="D1218" s="51" t="str">
        <v/>
      </c>
      <c r="E1218" s="51" t="str">
        <v/>
      </c>
      <c r="F1218" s="52" t="e">
        <v>#REF!</v>
      </c>
      <c r="G1218" s="48" t="e">
        <v>#REF!</v>
      </c>
      <c r="H1218" s="49">
        <v>0</v>
      </c>
      <c r="I1218" s="49" t="e">
        <v>#REF!</v>
      </c>
      <c r="J1218" s="50"/>
    </row>
    <row r="1219" outlineLevel="1" spans="1:10">
      <c r="A1219" s="50">
        <v>282</v>
      </c>
      <c r="B1219" s="51" t="str">
        <v>刚性防水套管-DN80</v>
      </c>
      <c r="C1219" s="51" t="e">
        <v>#REF!</v>
      </c>
      <c r="D1219" s="51" t="str">
        <v/>
      </c>
      <c r="E1219" s="51" t="str">
        <v/>
      </c>
      <c r="F1219" s="52" t="e">
        <v>#REF!</v>
      </c>
      <c r="G1219" s="48" t="e">
        <v>#REF!</v>
      </c>
      <c r="H1219" s="49">
        <v>0</v>
      </c>
      <c r="I1219" s="49" t="e">
        <v>#REF!</v>
      </c>
      <c r="J1219" s="50"/>
    </row>
    <row r="1220" outlineLevel="1" spans="1:10">
      <c r="A1220" s="50">
        <v>283</v>
      </c>
      <c r="B1220" s="51" t="str">
        <v>刚性防水套管-DN150</v>
      </c>
      <c r="C1220" s="51" t="e">
        <v>#REF!</v>
      </c>
      <c r="D1220" s="51" t="str">
        <v/>
      </c>
      <c r="E1220" s="51" t="str">
        <v/>
      </c>
      <c r="F1220" s="52" t="e">
        <v>#REF!</v>
      </c>
      <c r="G1220" s="48" t="e">
        <v>#REF!</v>
      </c>
      <c r="H1220" s="49">
        <v>0</v>
      </c>
      <c r="I1220" s="49" t="e">
        <v>#REF!</v>
      </c>
      <c r="J1220" s="50"/>
    </row>
    <row r="1221" outlineLevel="1" spans="1:10">
      <c r="A1221" s="50">
        <v>284</v>
      </c>
      <c r="B1221" s="51" t="str">
        <v>刚性防水套管-DN125</v>
      </c>
      <c r="C1221" s="51" t="e">
        <v>#REF!</v>
      </c>
      <c r="D1221" s="51" t="str">
        <v/>
      </c>
      <c r="E1221" s="51" t="str">
        <v/>
      </c>
      <c r="F1221" s="52" t="e">
        <v>#REF!</v>
      </c>
      <c r="G1221" s="48" t="e">
        <v>#REF!</v>
      </c>
      <c r="H1221" s="49">
        <v>0</v>
      </c>
      <c r="I1221" s="49" t="e">
        <v>#REF!</v>
      </c>
      <c r="J1221" s="50"/>
    </row>
    <row r="1222" outlineLevel="1" spans="1:10">
      <c r="A1222" s="50">
        <v>285</v>
      </c>
      <c r="B1222" s="51" t="str">
        <v>刚性防水套管-DN100</v>
      </c>
      <c r="C1222" s="51" t="e">
        <v>#REF!</v>
      </c>
      <c r="D1222" s="51" t="str">
        <v/>
      </c>
      <c r="E1222" s="51" t="str">
        <v/>
      </c>
      <c r="F1222" s="52" t="e">
        <v>#REF!</v>
      </c>
      <c r="G1222" s="48" t="e">
        <v>#REF!</v>
      </c>
      <c r="H1222" s="49">
        <v>0</v>
      </c>
      <c r="I1222" s="49" t="e">
        <v>#REF!</v>
      </c>
      <c r="J1222" s="50"/>
    </row>
    <row r="1223" outlineLevel="1" spans="1:10">
      <c r="A1223" s="50">
        <v>286</v>
      </c>
      <c r="B1223" s="51" t="str">
        <v>刚性防水套管-DN300</v>
      </c>
      <c r="C1223" s="51" t="e">
        <v>#REF!</v>
      </c>
      <c r="D1223" s="51" t="str">
        <v/>
      </c>
      <c r="E1223" s="51" t="str">
        <v/>
      </c>
      <c r="F1223" s="52" t="e">
        <v>#REF!</v>
      </c>
      <c r="G1223" s="48" t="e">
        <v>#REF!</v>
      </c>
      <c r="H1223" s="49">
        <v>0</v>
      </c>
      <c r="I1223" s="49" t="e">
        <v>#REF!</v>
      </c>
      <c r="J1223" s="50"/>
    </row>
    <row r="1224" outlineLevel="1" spans="1:10">
      <c r="A1224" s="50">
        <v>287</v>
      </c>
      <c r="B1224" s="51" t="str">
        <v>刚性防水套管-DN250</v>
      </c>
      <c r="C1224" s="51" t="e">
        <v>#REF!</v>
      </c>
      <c r="D1224" s="51" t="str">
        <v/>
      </c>
      <c r="E1224" s="51" t="str">
        <v/>
      </c>
      <c r="F1224" s="52" t="e">
        <v>#REF!</v>
      </c>
      <c r="G1224" s="48" t="e">
        <v>#REF!</v>
      </c>
      <c r="H1224" s="49">
        <v>0</v>
      </c>
      <c r="I1224" s="49" t="e">
        <v>#REF!</v>
      </c>
      <c r="J1224" s="50"/>
    </row>
    <row r="1225" outlineLevel="1" spans="1:10">
      <c r="A1225" s="50">
        <v>288</v>
      </c>
      <c r="B1225" s="51" t="str">
        <v>人防通风密闭套管-D250</v>
      </c>
      <c r="C1225" s="51" t="e">
        <v>#REF!</v>
      </c>
      <c r="D1225" s="51" t="str">
        <v/>
      </c>
      <c r="E1225" s="51" t="str">
        <v/>
      </c>
      <c r="F1225" s="52" t="e">
        <v>#REF!</v>
      </c>
      <c r="G1225" s="48" t="e">
        <v>#REF!</v>
      </c>
      <c r="H1225" s="49">
        <v>0</v>
      </c>
      <c r="I1225" s="49" t="e">
        <v>#REF!</v>
      </c>
      <c r="J1225" s="50"/>
    </row>
    <row r="1226" outlineLevel="1" spans="1:10">
      <c r="A1226" s="50">
        <v>289</v>
      </c>
      <c r="B1226" s="51" t="str">
        <v>人防通风密闭套管-D310</v>
      </c>
      <c r="C1226" s="51" t="e">
        <v>#REF!</v>
      </c>
      <c r="D1226" s="51" t="str">
        <v/>
      </c>
      <c r="E1226" s="51" t="str">
        <v/>
      </c>
      <c r="F1226" s="52" t="e">
        <v>#REF!</v>
      </c>
      <c r="G1226" s="48" t="e">
        <v>#REF!</v>
      </c>
      <c r="H1226" s="49">
        <v>0</v>
      </c>
      <c r="I1226" s="49" t="e">
        <v>#REF!</v>
      </c>
      <c r="J1226" s="50"/>
    </row>
    <row r="1227" outlineLevel="1" spans="1:10">
      <c r="A1227" s="50">
        <v>290</v>
      </c>
      <c r="B1227" s="51" t="str">
        <v>人防通风密闭套管-D450</v>
      </c>
      <c r="C1227" s="51" t="e">
        <v>#REF!</v>
      </c>
      <c r="D1227" s="51" t="str">
        <v/>
      </c>
      <c r="E1227" s="51" t="str">
        <v/>
      </c>
      <c r="F1227" s="52" t="e">
        <v>#REF!</v>
      </c>
      <c r="G1227" s="48" t="e">
        <v>#REF!</v>
      </c>
      <c r="H1227" s="49">
        <v>0</v>
      </c>
      <c r="I1227" s="49" t="e">
        <v>#REF!</v>
      </c>
      <c r="J1227" s="50"/>
    </row>
    <row r="1228" outlineLevel="1" spans="1:10">
      <c r="A1228" s="50">
        <v>291</v>
      </c>
      <c r="B1228" s="51" t="str">
        <v>人防通风密闭套管-D570</v>
      </c>
      <c r="C1228" s="51" t="e">
        <v>#REF!</v>
      </c>
      <c r="D1228" s="51" t="str">
        <v/>
      </c>
      <c r="E1228" s="51" t="str">
        <v/>
      </c>
      <c r="F1228" s="52" t="e">
        <v>#REF!</v>
      </c>
      <c r="G1228" s="48" t="e">
        <v>#REF!</v>
      </c>
      <c r="H1228" s="49">
        <v>0</v>
      </c>
      <c r="I1228" s="49" t="e">
        <v>#REF!</v>
      </c>
      <c r="J1228" s="50"/>
    </row>
    <row r="1229" outlineLevel="1" spans="1:10">
      <c r="A1229" s="50">
        <v>292</v>
      </c>
      <c r="B1229" s="51" t="str">
        <v>人防通风密闭套管-D680</v>
      </c>
      <c r="C1229" s="51" t="e">
        <v>#REF!</v>
      </c>
      <c r="D1229" s="51" t="str">
        <v/>
      </c>
      <c r="E1229" s="51" t="str">
        <v/>
      </c>
      <c r="F1229" s="52" t="e">
        <v>#REF!</v>
      </c>
      <c r="G1229" s="48" t="e">
        <v>#REF!</v>
      </c>
      <c r="H1229" s="49">
        <v>0</v>
      </c>
      <c r="I1229" s="49" t="e">
        <v>#REF!</v>
      </c>
      <c r="J1229" s="50"/>
    </row>
    <row r="1230" outlineLevel="1" spans="1:10">
      <c r="A1230" s="50">
        <v>293</v>
      </c>
      <c r="B1230" s="51" t="str">
        <v>人防通风密闭套管-D820</v>
      </c>
      <c r="C1230" s="51" t="e">
        <v>#REF!</v>
      </c>
      <c r="D1230" s="51" t="str">
        <v/>
      </c>
      <c r="E1230" s="51" t="str">
        <v/>
      </c>
      <c r="F1230" s="52" t="e">
        <v>#REF!</v>
      </c>
      <c r="G1230" s="48" t="e">
        <v>#REF!</v>
      </c>
      <c r="H1230" s="49">
        <v>0</v>
      </c>
      <c r="I1230" s="49" t="e">
        <v>#REF!</v>
      </c>
      <c r="J1230" s="50"/>
    </row>
    <row r="1231" outlineLevel="1" spans="1:10">
      <c r="A1231" s="50">
        <v>294</v>
      </c>
      <c r="B1231" s="51" t="str">
        <v>人防通风密闭套管-D1100</v>
      </c>
      <c r="C1231" s="51" t="e">
        <v>#REF!</v>
      </c>
      <c r="D1231" s="51" t="str">
        <v/>
      </c>
      <c r="E1231" s="51" t="str">
        <v/>
      </c>
      <c r="F1231" s="52" t="e">
        <v>#REF!</v>
      </c>
      <c r="G1231" s="48" t="e">
        <v>#REF!</v>
      </c>
      <c r="H1231" s="49">
        <v>0</v>
      </c>
      <c r="I1231" s="49" t="e">
        <v>#REF!</v>
      </c>
      <c r="J1231" s="50"/>
    </row>
    <row r="1232" outlineLevel="1" spans="1:10">
      <c r="A1232" s="50">
        <v>295</v>
      </c>
      <c r="B1232" s="51" t="str">
        <v>钢制散热器（20片/组）</v>
      </c>
      <c r="C1232" s="51" t="e">
        <v>#REF!</v>
      </c>
      <c r="D1232" s="51" t="str">
        <v/>
      </c>
      <c r="E1232" s="51" t="str">
        <v/>
      </c>
      <c r="F1232" s="52" t="e">
        <v>#REF!</v>
      </c>
      <c r="G1232" s="48" t="e">
        <v>#REF!</v>
      </c>
      <c r="H1232" s="49">
        <v>0</v>
      </c>
      <c r="I1232" s="49" t="e">
        <v>#REF!</v>
      </c>
      <c r="J1232" s="50"/>
    </row>
    <row r="1233" outlineLevel="1" spans="1:10">
      <c r="A1233" s="50">
        <v>296</v>
      </c>
      <c r="B1233" s="51" t="str">
        <v>钢制散热器（10片/组）</v>
      </c>
      <c r="C1233" s="51" t="e">
        <v>#REF!</v>
      </c>
      <c r="D1233" s="51" t="str">
        <v/>
      </c>
      <c r="E1233" s="51" t="str">
        <v/>
      </c>
      <c r="F1233" s="52" t="e">
        <v>#REF!</v>
      </c>
      <c r="G1233" s="48" t="e">
        <v>#REF!</v>
      </c>
      <c r="H1233" s="49">
        <v>0</v>
      </c>
      <c r="I1233" s="49" t="e">
        <v>#REF!</v>
      </c>
      <c r="J1233" s="50"/>
    </row>
    <row r="1234" outlineLevel="1" spans="1:10">
      <c r="A1234" s="50">
        <v>297</v>
      </c>
      <c r="B1234" s="51" t="str">
        <v>螺纹阀门-自动放气阀-DN15</v>
      </c>
      <c r="C1234" s="51" t="e">
        <v>#REF!</v>
      </c>
      <c r="D1234" s="51" t="str">
        <v/>
      </c>
      <c r="E1234" s="51" t="str">
        <v/>
      </c>
      <c r="F1234" s="52" t="e">
        <v>#REF!</v>
      </c>
      <c r="G1234" s="48" t="e">
        <v>#REF!</v>
      </c>
      <c r="H1234" s="49">
        <v>0</v>
      </c>
      <c r="I1234" s="49" t="e">
        <v>#REF!</v>
      </c>
      <c r="J1234" s="50"/>
    </row>
    <row r="1235" outlineLevel="1" spans="1:10">
      <c r="A1235" s="50">
        <v>298</v>
      </c>
      <c r="B1235" s="51" t="str">
        <v>螺纹阀门-自动放气阀-DN20</v>
      </c>
      <c r="C1235" s="51" t="e">
        <v>#REF!</v>
      </c>
      <c r="D1235" s="51" t="str">
        <v/>
      </c>
      <c r="E1235" s="51" t="str">
        <v/>
      </c>
      <c r="F1235" s="52" t="e">
        <v>#REF!</v>
      </c>
      <c r="G1235" s="48" t="e">
        <v>#REF!</v>
      </c>
      <c r="H1235" s="49">
        <v>0</v>
      </c>
      <c r="I1235" s="49" t="e">
        <v>#REF!</v>
      </c>
      <c r="J1235" s="50"/>
    </row>
    <row r="1236" outlineLevel="1" spans="1:10">
      <c r="A1236" s="50">
        <v>299</v>
      </c>
      <c r="B1236" s="51" t="str">
        <v>自动放气阀下截止阀-DN15</v>
      </c>
      <c r="C1236" s="51" t="e">
        <v>#REF!</v>
      </c>
      <c r="D1236" s="51" t="str">
        <v/>
      </c>
      <c r="E1236" s="51" t="str">
        <v/>
      </c>
      <c r="F1236" s="52" t="e">
        <v>#REF!</v>
      </c>
      <c r="G1236" s="48" t="e">
        <v>#REF!</v>
      </c>
      <c r="H1236" s="49">
        <v>0</v>
      </c>
      <c r="I1236" s="49" t="e">
        <v>#REF!</v>
      </c>
      <c r="J1236" s="50"/>
    </row>
    <row r="1237" outlineLevel="1" spans="1:10">
      <c r="A1237" s="50">
        <v>300</v>
      </c>
      <c r="B1237" s="51" t="str">
        <v>自动放气阀下截止阀-DN20</v>
      </c>
      <c r="C1237" s="51" t="e">
        <v>#REF!</v>
      </c>
      <c r="D1237" s="51" t="str">
        <v/>
      </c>
      <c r="E1237" s="51" t="str">
        <v/>
      </c>
      <c r="F1237" s="52" t="e">
        <v>#REF!</v>
      </c>
      <c r="G1237" s="48" t="e">
        <v>#REF!</v>
      </c>
      <c r="H1237" s="49">
        <v>0</v>
      </c>
      <c r="I1237" s="49" t="e">
        <v>#REF!</v>
      </c>
      <c r="J1237" s="50"/>
    </row>
    <row r="1238" outlineLevel="1" spans="1:10">
      <c r="A1238" s="50">
        <v>301</v>
      </c>
      <c r="B1238" s="51" t="str">
        <v>螺纹阀门-球阀-DN25</v>
      </c>
      <c r="C1238" s="51" t="e">
        <v>#REF!</v>
      </c>
      <c r="D1238" s="51" t="str">
        <v/>
      </c>
      <c r="E1238" s="51" t="str">
        <v/>
      </c>
      <c r="F1238" s="52" t="e">
        <v>#REF!</v>
      </c>
      <c r="G1238" s="48" t="e">
        <v>#REF!</v>
      </c>
      <c r="H1238" s="49">
        <v>0</v>
      </c>
      <c r="I1238" s="49" t="e">
        <v>#REF!</v>
      </c>
      <c r="J1238" s="50"/>
    </row>
    <row r="1239" outlineLevel="1" spans="1:10">
      <c r="A1239" s="50">
        <v>302</v>
      </c>
      <c r="B1239" s="51" t="str">
        <v>螺纹阀门-球阀-DN32</v>
      </c>
      <c r="C1239" s="51" t="e">
        <v>#REF!</v>
      </c>
      <c r="D1239" s="51" t="str">
        <v/>
      </c>
      <c r="E1239" s="51" t="str">
        <v/>
      </c>
      <c r="F1239" s="52" t="e">
        <v>#REF!</v>
      </c>
      <c r="G1239" s="48" t="e">
        <v>#REF!</v>
      </c>
      <c r="H1239" s="49">
        <v>0</v>
      </c>
      <c r="I1239" s="49" t="e">
        <v>#REF!</v>
      </c>
      <c r="J1239" s="50"/>
    </row>
    <row r="1240" outlineLevel="1" spans="1:10">
      <c r="A1240" s="50">
        <v>303</v>
      </c>
      <c r="B1240" s="51" t="str">
        <v>螺纹阀门-截止阀-DN40</v>
      </c>
      <c r="C1240" s="51" t="e">
        <v>#REF!</v>
      </c>
      <c r="D1240" s="51" t="str">
        <v/>
      </c>
      <c r="E1240" s="51" t="str">
        <v/>
      </c>
      <c r="F1240" s="52" t="e">
        <v>#REF!</v>
      </c>
      <c r="G1240" s="48" t="e">
        <v>#REF!</v>
      </c>
      <c r="H1240" s="49">
        <v>0</v>
      </c>
      <c r="I1240" s="49" t="e">
        <v>#REF!</v>
      </c>
      <c r="J1240" s="50"/>
    </row>
    <row r="1241" outlineLevel="1" spans="1:10">
      <c r="A1241" s="50">
        <v>304</v>
      </c>
      <c r="B1241" s="51" t="str">
        <v>螺纹阀门-截止阀-DN50</v>
      </c>
      <c r="C1241" s="51" t="e">
        <v>#REF!</v>
      </c>
      <c r="D1241" s="51" t="str">
        <v/>
      </c>
      <c r="E1241" s="51" t="str">
        <v/>
      </c>
      <c r="F1241" s="52" t="e">
        <v>#REF!</v>
      </c>
      <c r="G1241" s="48" t="e">
        <v>#REF!</v>
      </c>
      <c r="H1241" s="49">
        <v>0</v>
      </c>
      <c r="I1241" s="49" t="e">
        <v>#REF!</v>
      </c>
      <c r="J1241" s="50"/>
    </row>
    <row r="1242" outlineLevel="1" spans="1:10">
      <c r="A1242" s="50">
        <v>305</v>
      </c>
      <c r="B1242" s="51" t="str">
        <v>螺纹阀门-锁闭阀-DN20</v>
      </c>
      <c r="C1242" s="51" t="e">
        <v>#REF!</v>
      </c>
      <c r="D1242" s="51" t="str">
        <v/>
      </c>
      <c r="E1242" s="51" t="str">
        <v/>
      </c>
      <c r="F1242" s="52" t="e">
        <v>#REF!</v>
      </c>
      <c r="G1242" s="48" t="e">
        <v>#REF!</v>
      </c>
      <c r="H1242" s="49">
        <v>0</v>
      </c>
      <c r="I1242" s="49" t="e">
        <v>#REF!</v>
      </c>
      <c r="J1242" s="50"/>
    </row>
    <row r="1243" ht="28.8" outlineLevel="1" spans="1:10">
      <c r="A1243" s="50">
        <v>306</v>
      </c>
      <c r="B1243" s="51" t="str">
        <v>螺纹阀门-静态水力平衡阀-DN20</v>
      </c>
      <c r="C1243" s="51" t="e">
        <v>#REF!</v>
      </c>
      <c r="D1243" s="51" t="str">
        <v/>
      </c>
      <c r="E1243" s="51" t="str">
        <v/>
      </c>
      <c r="F1243" s="52" t="e">
        <v>#REF!</v>
      </c>
      <c r="G1243" s="48" t="e">
        <v>#REF!</v>
      </c>
      <c r="H1243" s="49">
        <v>0</v>
      </c>
      <c r="I1243" s="49" t="e">
        <v>#REF!</v>
      </c>
      <c r="J1243" s="50"/>
    </row>
    <row r="1244" ht="28.8" outlineLevel="1" spans="1:10">
      <c r="A1244" s="50">
        <v>307</v>
      </c>
      <c r="B1244" s="51" t="str">
        <v>螺纹阀门-静态水力平衡阀-DN40</v>
      </c>
      <c r="C1244" s="51" t="e">
        <v>#REF!</v>
      </c>
      <c r="D1244" s="51" t="str">
        <v/>
      </c>
      <c r="E1244" s="51" t="str">
        <v/>
      </c>
      <c r="F1244" s="52" t="e">
        <v>#REF!</v>
      </c>
      <c r="G1244" s="48" t="e">
        <v>#REF!</v>
      </c>
      <c r="H1244" s="49">
        <v>0</v>
      </c>
      <c r="I1244" s="49" t="e">
        <v>#REF!</v>
      </c>
      <c r="J1244" s="50"/>
    </row>
    <row r="1245" ht="28.8" outlineLevel="1" spans="1:10">
      <c r="A1245" s="50">
        <v>308</v>
      </c>
      <c r="B1245" s="51" t="str">
        <v>螺纹阀门-静态水力平衡阀-DN50</v>
      </c>
      <c r="C1245" s="51" t="e">
        <v>#REF!</v>
      </c>
      <c r="D1245" s="51" t="str">
        <v/>
      </c>
      <c r="E1245" s="51" t="str">
        <v/>
      </c>
      <c r="F1245" s="52" t="e">
        <v>#REF!</v>
      </c>
      <c r="G1245" s="48" t="e">
        <v>#REF!</v>
      </c>
      <c r="H1245" s="49">
        <v>0</v>
      </c>
      <c r="I1245" s="49" t="e">
        <v>#REF!</v>
      </c>
      <c r="J1245" s="50"/>
    </row>
    <row r="1246" ht="28.8" outlineLevel="1" spans="1:10">
      <c r="A1246" s="50">
        <v>309</v>
      </c>
      <c r="B1246" s="51" t="str">
        <v>法兰阀门-静态水力平衡阀-DN65</v>
      </c>
      <c r="C1246" s="51" t="e">
        <v>#REF!</v>
      </c>
      <c r="D1246" s="51" t="str">
        <v/>
      </c>
      <c r="E1246" s="51" t="str">
        <v/>
      </c>
      <c r="F1246" s="52" t="e">
        <v>#REF!</v>
      </c>
      <c r="G1246" s="48" t="e">
        <v>#REF!</v>
      </c>
      <c r="H1246" s="49">
        <v>0</v>
      </c>
      <c r="I1246" s="49" t="e">
        <v>#REF!</v>
      </c>
      <c r="J1246" s="50"/>
    </row>
    <row r="1247" ht="28.8" outlineLevel="1" spans="1:10">
      <c r="A1247" s="50">
        <v>310</v>
      </c>
      <c r="B1247" s="51" t="str">
        <v>法兰阀门-静态水力平衡阀-DN80</v>
      </c>
      <c r="C1247" s="51" t="e">
        <v>#REF!</v>
      </c>
      <c r="D1247" s="51" t="str">
        <v/>
      </c>
      <c r="E1247" s="51" t="str">
        <v/>
      </c>
      <c r="F1247" s="52" t="e">
        <v>#REF!</v>
      </c>
      <c r="G1247" s="48" t="e">
        <v>#REF!</v>
      </c>
      <c r="H1247" s="49">
        <v>0</v>
      </c>
      <c r="I1247" s="49" t="e">
        <v>#REF!</v>
      </c>
      <c r="J1247" s="50"/>
    </row>
    <row r="1248" outlineLevel="1" spans="1:10">
      <c r="A1248" s="50">
        <v>311</v>
      </c>
      <c r="B1248" s="51" t="str">
        <v>法兰阀门-闸阀-DN65</v>
      </c>
      <c r="C1248" s="51" t="e">
        <v>#REF!</v>
      </c>
      <c r="D1248" s="51" t="str">
        <v/>
      </c>
      <c r="E1248" s="51" t="str">
        <v/>
      </c>
      <c r="F1248" s="52" t="e">
        <v>#REF!</v>
      </c>
      <c r="G1248" s="48" t="e">
        <v>#REF!</v>
      </c>
      <c r="H1248" s="49">
        <v>0</v>
      </c>
      <c r="I1248" s="49" t="e">
        <v>#REF!</v>
      </c>
      <c r="J1248" s="50"/>
    </row>
    <row r="1249" outlineLevel="1" spans="1:10">
      <c r="A1249" s="50">
        <v>312</v>
      </c>
      <c r="B1249" s="51" t="str">
        <v>法兰阀门-闸阀-DN80</v>
      </c>
      <c r="C1249" s="51" t="e">
        <v>#REF!</v>
      </c>
      <c r="D1249" s="51" t="str">
        <v/>
      </c>
      <c r="E1249" s="51" t="str">
        <v/>
      </c>
      <c r="F1249" s="52" t="e">
        <v>#REF!</v>
      </c>
      <c r="G1249" s="48" t="e">
        <v>#REF!</v>
      </c>
      <c r="H1249" s="49">
        <v>0</v>
      </c>
      <c r="I1249" s="49" t="e">
        <v>#REF!</v>
      </c>
      <c r="J1249" s="50"/>
    </row>
    <row r="1250" outlineLevel="1" spans="1:10">
      <c r="A1250" s="50">
        <v>313</v>
      </c>
      <c r="B1250" s="51" t="str">
        <v>法兰阀门-闸阀-DN100</v>
      </c>
      <c r="C1250" s="51" t="e">
        <v>#REF!</v>
      </c>
      <c r="D1250" s="51" t="str">
        <v/>
      </c>
      <c r="E1250" s="51" t="str">
        <v/>
      </c>
      <c r="F1250" s="52" t="e">
        <v>#REF!</v>
      </c>
      <c r="G1250" s="48" t="e">
        <v>#REF!</v>
      </c>
      <c r="H1250" s="49">
        <v>0</v>
      </c>
      <c r="I1250" s="49" t="e">
        <v>#REF!</v>
      </c>
      <c r="J1250" s="50"/>
    </row>
    <row r="1251" outlineLevel="1" spans="1:10">
      <c r="A1251" s="50">
        <v>314</v>
      </c>
      <c r="B1251" s="51" t="str">
        <v>法兰阀门-Y型过滤器-DN65</v>
      </c>
      <c r="C1251" s="51" t="e">
        <v>#REF!</v>
      </c>
      <c r="D1251" s="51" t="str">
        <v/>
      </c>
      <c r="E1251" s="51" t="str">
        <v/>
      </c>
      <c r="F1251" s="52" t="e">
        <v>#REF!</v>
      </c>
      <c r="G1251" s="48" t="e">
        <v>#REF!</v>
      </c>
      <c r="H1251" s="49">
        <v>0</v>
      </c>
      <c r="I1251" s="49" t="e">
        <v>#REF!</v>
      </c>
      <c r="J1251" s="50"/>
    </row>
    <row r="1252" outlineLevel="1" spans="1:10">
      <c r="A1252" s="50">
        <v>315</v>
      </c>
      <c r="B1252" s="51" t="str">
        <v>法兰阀门-Y型过滤器-DN80</v>
      </c>
      <c r="C1252" s="51" t="e">
        <v>#REF!</v>
      </c>
      <c r="D1252" s="51" t="str">
        <v/>
      </c>
      <c r="E1252" s="51" t="str">
        <v/>
      </c>
      <c r="F1252" s="52" t="e">
        <v>#REF!</v>
      </c>
      <c r="G1252" s="48" t="e">
        <v>#REF!</v>
      </c>
      <c r="H1252" s="49">
        <v>0</v>
      </c>
      <c r="I1252" s="49" t="e">
        <v>#REF!</v>
      </c>
      <c r="J1252" s="50"/>
    </row>
    <row r="1253" outlineLevel="1" spans="1:10">
      <c r="A1253" s="50">
        <v>316</v>
      </c>
      <c r="B1253" s="51" t="str">
        <v>对夹式蝶阀-DN100</v>
      </c>
      <c r="C1253" s="51" t="e">
        <v>#REF!</v>
      </c>
      <c r="D1253" s="51" t="str">
        <v/>
      </c>
      <c r="E1253" s="51" t="str">
        <v/>
      </c>
      <c r="F1253" s="52" t="e">
        <v>#REF!</v>
      </c>
      <c r="G1253" s="48" t="e">
        <v>#REF!</v>
      </c>
      <c r="H1253" s="49">
        <v>0</v>
      </c>
      <c r="I1253" s="49" t="e">
        <v>#REF!</v>
      </c>
      <c r="J1253" s="50"/>
    </row>
    <row r="1254" outlineLevel="1" spans="1:10">
      <c r="A1254" s="50">
        <v>317</v>
      </c>
      <c r="B1254" s="51" t="str">
        <v>对夹式蝶阀-DN125</v>
      </c>
      <c r="C1254" s="51" t="e">
        <v>#REF!</v>
      </c>
      <c r="D1254" s="51" t="str">
        <v/>
      </c>
      <c r="E1254" s="51" t="str">
        <v/>
      </c>
      <c r="F1254" s="52" t="e">
        <v>#REF!</v>
      </c>
      <c r="G1254" s="48" t="e">
        <v>#REF!</v>
      </c>
      <c r="H1254" s="49">
        <v>0</v>
      </c>
      <c r="I1254" s="49" t="e">
        <v>#REF!</v>
      </c>
      <c r="J1254" s="50"/>
    </row>
    <row r="1255" outlineLevel="1" spans="1:10">
      <c r="A1255" s="50">
        <v>318</v>
      </c>
      <c r="B1255" s="51" t="str">
        <v>对夹式蝶阀-DN150</v>
      </c>
      <c r="C1255" s="51" t="e">
        <v>#REF!</v>
      </c>
      <c r="D1255" s="51" t="str">
        <v/>
      </c>
      <c r="E1255" s="51" t="str">
        <v/>
      </c>
      <c r="F1255" s="52" t="e">
        <v>#REF!</v>
      </c>
      <c r="G1255" s="48" t="e">
        <v>#REF!</v>
      </c>
      <c r="H1255" s="49">
        <v>0</v>
      </c>
      <c r="I1255" s="49" t="e">
        <v>#REF!</v>
      </c>
      <c r="J1255" s="50"/>
    </row>
    <row r="1256" outlineLevel="1" spans="1:10">
      <c r="A1256" s="50">
        <v>319</v>
      </c>
      <c r="B1256" s="51" t="str">
        <v>对夹式蝶阀-DN200</v>
      </c>
      <c r="C1256" s="51" t="e">
        <v>#REF!</v>
      </c>
      <c r="D1256" s="51" t="str">
        <v/>
      </c>
      <c r="E1256" s="51" t="str">
        <v/>
      </c>
      <c r="F1256" s="52" t="e">
        <v>#REF!</v>
      </c>
      <c r="G1256" s="48" t="e">
        <v>#REF!</v>
      </c>
      <c r="H1256" s="49">
        <v>0</v>
      </c>
      <c r="I1256" s="49" t="e">
        <v>#REF!</v>
      </c>
      <c r="J1256" s="50"/>
    </row>
    <row r="1257" outlineLevel="1" spans="1:10">
      <c r="A1257" s="50">
        <v>320</v>
      </c>
      <c r="B1257" s="51" t="str">
        <v>对夹式蝶阀-DN250</v>
      </c>
      <c r="C1257" s="51" t="e">
        <v>#REF!</v>
      </c>
      <c r="D1257" s="51" t="str">
        <v/>
      </c>
      <c r="E1257" s="51" t="str">
        <v/>
      </c>
      <c r="F1257" s="52" t="e">
        <v>#REF!</v>
      </c>
      <c r="G1257" s="48" t="e">
        <v>#REF!</v>
      </c>
      <c r="H1257" s="49">
        <v>0</v>
      </c>
      <c r="I1257" s="49" t="e">
        <v>#REF!</v>
      </c>
      <c r="J1257" s="50"/>
    </row>
    <row r="1258" outlineLevel="1" spans="1:10">
      <c r="A1258" s="50">
        <v>321</v>
      </c>
      <c r="B1258" s="51" t="str">
        <v>波纹补偿器-DN65</v>
      </c>
      <c r="C1258" s="51" t="e">
        <v>#REF!</v>
      </c>
      <c r="D1258" s="51" t="str">
        <v/>
      </c>
      <c r="E1258" s="51" t="str">
        <v/>
      </c>
      <c r="F1258" s="52" t="e">
        <v>#REF!</v>
      </c>
      <c r="G1258" s="48" t="e">
        <v>#REF!</v>
      </c>
      <c r="H1258" s="49">
        <v>0</v>
      </c>
      <c r="I1258" s="49" t="e">
        <v>#REF!</v>
      </c>
      <c r="J1258" s="50"/>
    </row>
    <row r="1259" outlineLevel="1" spans="1:10">
      <c r="A1259" s="50">
        <v>322</v>
      </c>
      <c r="B1259" s="51" t="str">
        <v>波纹补偿器-DN80</v>
      </c>
      <c r="C1259" s="51" t="e">
        <v>#REF!</v>
      </c>
      <c r="D1259" s="51" t="str">
        <v/>
      </c>
      <c r="E1259" s="51" t="str">
        <v/>
      </c>
      <c r="F1259" s="52" t="e">
        <v>#REF!</v>
      </c>
      <c r="G1259" s="48" t="e">
        <v>#REF!</v>
      </c>
      <c r="H1259" s="49">
        <v>0</v>
      </c>
      <c r="I1259" s="49" t="e">
        <v>#REF!</v>
      </c>
      <c r="J1259" s="50"/>
    </row>
    <row r="1260" outlineLevel="1" spans="1:10">
      <c r="A1260" s="50">
        <v>323</v>
      </c>
      <c r="B1260" s="51" t="str">
        <v>波纹补偿器-DN100</v>
      </c>
      <c r="C1260" s="51" t="e">
        <v>#REF!</v>
      </c>
      <c r="D1260" s="51" t="str">
        <v/>
      </c>
      <c r="E1260" s="51" t="str">
        <v/>
      </c>
      <c r="F1260" s="52" t="e">
        <v>#REF!</v>
      </c>
      <c r="G1260" s="48" t="e">
        <v>#REF!</v>
      </c>
      <c r="H1260" s="49">
        <v>0</v>
      </c>
      <c r="I1260" s="49" t="e">
        <v>#REF!</v>
      </c>
      <c r="J1260" s="50"/>
    </row>
    <row r="1261" outlineLevel="1" spans="1:10">
      <c r="A1261" s="50">
        <v>324</v>
      </c>
      <c r="B1261" s="51" t="str">
        <v>波纹补偿器-DN125</v>
      </c>
      <c r="C1261" s="51" t="e">
        <v>#REF!</v>
      </c>
      <c r="D1261" s="51" t="str">
        <v/>
      </c>
      <c r="E1261" s="51" t="str">
        <v/>
      </c>
      <c r="F1261" s="52" t="e">
        <v>#REF!</v>
      </c>
      <c r="G1261" s="48" t="e">
        <v>#REF!</v>
      </c>
      <c r="H1261" s="49">
        <v>0</v>
      </c>
      <c r="I1261" s="49" t="e">
        <v>#REF!</v>
      </c>
      <c r="J1261" s="50"/>
    </row>
    <row r="1262" outlineLevel="1" spans="1:10">
      <c r="A1262" s="50">
        <v>325</v>
      </c>
      <c r="B1262" s="51" t="str">
        <v>波纹补偿器-DN150</v>
      </c>
      <c r="C1262" s="51" t="e">
        <v>#REF!</v>
      </c>
      <c r="D1262" s="51" t="str">
        <v/>
      </c>
      <c r="E1262" s="51" t="str">
        <v/>
      </c>
      <c r="F1262" s="52" t="e">
        <v>#REF!</v>
      </c>
      <c r="G1262" s="48" t="e">
        <v>#REF!</v>
      </c>
      <c r="H1262" s="49">
        <v>0</v>
      </c>
      <c r="I1262" s="49" t="e">
        <v>#REF!</v>
      </c>
      <c r="J1262" s="50"/>
    </row>
    <row r="1263" outlineLevel="1" spans="1:10">
      <c r="A1263" s="50">
        <v>326</v>
      </c>
      <c r="B1263" s="51" t="str">
        <v>波纹补偿器-DN200</v>
      </c>
      <c r="C1263" s="51" t="e">
        <v>#REF!</v>
      </c>
      <c r="D1263" s="51" t="str">
        <v/>
      </c>
      <c r="E1263" s="51" t="str">
        <v/>
      </c>
      <c r="F1263" s="52" t="e">
        <v>#REF!</v>
      </c>
      <c r="G1263" s="48" t="e">
        <v>#REF!</v>
      </c>
      <c r="H1263" s="49">
        <v>0</v>
      </c>
      <c r="I1263" s="49" t="e">
        <v>#REF!</v>
      </c>
      <c r="J1263" s="50"/>
    </row>
    <row r="1264" outlineLevel="1" spans="1:10">
      <c r="A1264" s="50">
        <v>327</v>
      </c>
      <c r="B1264" s="51" t="str">
        <v>温度仪表</v>
      </c>
      <c r="C1264" s="51" t="e">
        <v>#REF!</v>
      </c>
      <c r="D1264" s="51" t="str">
        <v/>
      </c>
      <c r="E1264" s="51" t="str">
        <v/>
      </c>
      <c r="F1264" s="52" t="e">
        <v>#REF!</v>
      </c>
      <c r="G1264" s="48" t="e">
        <v>#REF!</v>
      </c>
      <c r="H1264" s="49">
        <v>0</v>
      </c>
      <c r="I1264" s="49" t="e">
        <v>#REF!</v>
      </c>
      <c r="J1264" s="50"/>
    </row>
    <row r="1265" outlineLevel="1" spans="1:10">
      <c r="A1265" s="50">
        <v>328</v>
      </c>
      <c r="B1265" s="51" t="str">
        <v>采暖压力仪表</v>
      </c>
      <c r="C1265" s="51" t="e">
        <v>#REF!</v>
      </c>
      <c r="D1265" s="51" t="str">
        <v/>
      </c>
      <c r="E1265" s="51" t="str">
        <v/>
      </c>
      <c r="F1265" s="52" t="e">
        <v>#REF!</v>
      </c>
      <c r="G1265" s="48" t="e">
        <v>#REF!</v>
      </c>
      <c r="H1265" s="49">
        <v>0</v>
      </c>
      <c r="I1265" s="49" t="e">
        <v>#REF!</v>
      </c>
      <c r="J1265" s="50"/>
    </row>
    <row r="1266" outlineLevel="1" spans="1:10">
      <c r="A1266" s="50" t="str">
        <v/>
      </c>
      <c r="B1266" s="51" t="str">
        <v>B.12绝热</v>
      </c>
      <c r="C1266" s="51" t="str">
        <v/>
      </c>
      <c r="D1266" s="51" t="str">
        <v/>
      </c>
      <c r="E1266" s="51" t="str">
        <v/>
      </c>
      <c r="F1266" s="52" t="str">
        <v/>
      </c>
      <c r="G1266" s="48" t="str">
        <v/>
      </c>
      <c r="H1266" s="49">
        <v>0</v>
      </c>
      <c r="I1266" s="49" t="e">
        <v>#REF!</v>
      </c>
      <c r="J1266" s="50"/>
    </row>
    <row r="1267" outlineLevel="1" spans="1:10">
      <c r="A1267" s="50">
        <v>329</v>
      </c>
      <c r="B1267" s="51" t="str">
        <v>管道绝热</v>
      </c>
      <c r="C1267" s="51" t="e">
        <v>#REF!</v>
      </c>
      <c r="D1267" s="51" t="str">
        <v/>
      </c>
      <c r="E1267" s="51" t="str">
        <v/>
      </c>
      <c r="F1267" s="52" t="e">
        <v>#REF!</v>
      </c>
      <c r="G1267" s="48" t="e">
        <v>#REF!</v>
      </c>
      <c r="H1267" s="49">
        <v>0</v>
      </c>
      <c r="I1267" s="49" t="e">
        <v>#REF!</v>
      </c>
      <c r="J1267" s="50"/>
    </row>
    <row r="1268" outlineLevel="1" spans="1:10">
      <c r="A1268" s="50">
        <v>330</v>
      </c>
      <c r="B1268" s="51" t="str">
        <v>防火胶带保护层</v>
      </c>
      <c r="C1268" s="51" t="e">
        <v>#REF!</v>
      </c>
      <c r="D1268" s="51" t="str">
        <v/>
      </c>
      <c r="E1268" s="51" t="str">
        <v/>
      </c>
      <c r="F1268" s="52" t="e">
        <v>#REF!</v>
      </c>
      <c r="G1268" s="48" t="e">
        <v>#REF!</v>
      </c>
      <c r="H1268" s="49">
        <v>0</v>
      </c>
      <c r="I1268" s="49" t="e">
        <v>#REF!</v>
      </c>
      <c r="J1268" s="50"/>
    </row>
    <row r="1269" outlineLevel="1" spans="1:10">
      <c r="A1269" s="50" t="str">
        <v/>
      </c>
      <c r="B1269" s="51" t="str">
        <v>地上采暖</v>
      </c>
      <c r="C1269" s="51" t="str">
        <v/>
      </c>
      <c r="D1269" s="51" t="str">
        <v/>
      </c>
      <c r="E1269" s="51" t="str">
        <v/>
      </c>
      <c r="F1269" s="52" t="str">
        <v/>
      </c>
      <c r="G1269" s="48" t="str">
        <v/>
      </c>
      <c r="H1269" s="49">
        <v>0</v>
      </c>
      <c r="I1269" s="49" t="e">
        <v>#REF!</v>
      </c>
      <c r="J1269" s="50"/>
    </row>
    <row r="1270" outlineLevel="1" spans="1:10">
      <c r="A1270" s="50" t="str">
        <v/>
      </c>
      <c r="B1270" s="51" t="str">
        <v>B.13户内采暖</v>
      </c>
      <c r="C1270" s="51" t="str">
        <v/>
      </c>
      <c r="D1270" s="51" t="str">
        <v/>
      </c>
      <c r="E1270" s="51" t="str">
        <v/>
      </c>
      <c r="F1270" s="52" t="str">
        <v/>
      </c>
      <c r="G1270" s="48" t="str">
        <v/>
      </c>
      <c r="H1270" s="49">
        <v>0</v>
      </c>
      <c r="I1270" s="49" t="e">
        <v>#REF!</v>
      </c>
      <c r="J1270" s="50"/>
    </row>
    <row r="1271" outlineLevel="1" spans="1:10">
      <c r="A1271" s="50">
        <v>331</v>
      </c>
      <c r="B1271" s="51" t="str">
        <v>室内采暖塑料管-PPR-De32</v>
      </c>
      <c r="C1271" s="51" t="e">
        <v>#REF!</v>
      </c>
      <c r="D1271" s="51" t="str">
        <v/>
      </c>
      <c r="E1271" s="51" t="str">
        <v/>
      </c>
      <c r="F1271" s="52" t="e">
        <v>#REF!</v>
      </c>
      <c r="G1271" s="48" t="e">
        <v>#REF!</v>
      </c>
      <c r="H1271" s="49">
        <v>1</v>
      </c>
      <c r="I1271" s="49" t="e">
        <v>#REF!</v>
      </c>
      <c r="J1271" s="50"/>
    </row>
    <row r="1272" ht="28.8" outlineLevel="1" spans="1:10">
      <c r="A1272" s="50">
        <v>332</v>
      </c>
      <c r="B1272" s="51" t="str">
        <v>户内湿式地暖塑料管-PERT-De20(S5）</v>
      </c>
      <c r="C1272" s="51" t="e">
        <v>#REF!</v>
      </c>
      <c r="D1272" s="51" t="str">
        <v/>
      </c>
      <c r="E1272" s="51" t="str">
        <v/>
      </c>
      <c r="F1272" s="52" t="e">
        <v>#REF!</v>
      </c>
      <c r="G1272" s="48" t="e">
        <v>#REF!</v>
      </c>
      <c r="H1272" s="49">
        <v>56.55</v>
      </c>
      <c r="I1272" s="49" t="e">
        <v>#REF!</v>
      </c>
      <c r="J1272" s="50"/>
    </row>
    <row r="1273" ht="28.8" outlineLevel="1" spans="1:10">
      <c r="A1273" s="50">
        <v>333</v>
      </c>
      <c r="B1273" s="51" t="str">
        <v>户内湿式地暖塑料管-PERT-De20(S4）</v>
      </c>
      <c r="C1273" s="51" t="e">
        <v>#REF!</v>
      </c>
      <c r="D1273" s="51" t="str">
        <v/>
      </c>
      <c r="E1273" s="51" t="str">
        <v/>
      </c>
      <c r="F1273" s="52" t="e">
        <v>#REF!</v>
      </c>
      <c r="G1273" s="48" t="e">
        <v>#REF!</v>
      </c>
      <c r="H1273" s="49">
        <v>0</v>
      </c>
      <c r="I1273" s="49" t="e">
        <v>#REF!</v>
      </c>
      <c r="J1273" s="50"/>
    </row>
    <row r="1274" outlineLevel="1" spans="1:10">
      <c r="A1274" s="50">
        <v>334</v>
      </c>
      <c r="B1274" s="51" t="str">
        <v>户内湿法-玻纤网格布</v>
      </c>
      <c r="C1274" s="51" t="e">
        <v>#REF!</v>
      </c>
      <c r="D1274" s="51" t="str">
        <v/>
      </c>
      <c r="E1274" s="51" t="str">
        <v/>
      </c>
      <c r="F1274" s="52" t="e">
        <v>#REF!</v>
      </c>
      <c r="G1274" s="48" t="e">
        <v>#REF!</v>
      </c>
      <c r="H1274" s="49">
        <v>56.55</v>
      </c>
      <c r="I1274" s="49" t="e">
        <v>#REF!</v>
      </c>
      <c r="J1274" s="50"/>
    </row>
    <row r="1275" outlineLevel="1" spans="1:10">
      <c r="A1275" s="50">
        <v>335</v>
      </c>
      <c r="B1275" s="51" t="str">
        <v>户内湿法-单层钢丝网</v>
      </c>
      <c r="C1275" s="51" t="e">
        <v>#REF!</v>
      </c>
      <c r="D1275" s="51" t="str">
        <v/>
      </c>
      <c r="E1275" s="51" t="str">
        <v/>
      </c>
      <c r="F1275" s="52" t="e">
        <v>#REF!</v>
      </c>
      <c r="G1275" s="48" t="e">
        <v>#REF!</v>
      </c>
      <c r="H1275" s="49">
        <v>56.55</v>
      </c>
      <c r="I1275" s="49" t="e">
        <v>#REF!</v>
      </c>
      <c r="J1275" s="50"/>
    </row>
    <row r="1276" outlineLevel="1" spans="1:10">
      <c r="A1276" s="50">
        <v>336</v>
      </c>
      <c r="B1276" s="51" t="str">
        <v>户内湿法-双层钢丝网</v>
      </c>
      <c r="C1276" s="51" t="e">
        <v>#REF!</v>
      </c>
      <c r="D1276" s="51" t="str">
        <v/>
      </c>
      <c r="E1276" s="51" t="str">
        <v/>
      </c>
      <c r="F1276" s="52" t="e">
        <v>#REF!</v>
      </c>
      <c r="G1276" s="48" t="e">
        <v>#REF!</v>
      </c>
      <c r="H1276" s="49">
        <v>0</v>
      </c>
      <c r="I1276" s="49" t="e">
        <v>#REF!</v>
      </c>
      <c r="J1276" s="50"/>
    </row>
    <row r="1277" outlineLevel="1" spans="1:10">
      <c r="A1277" s="50">
        <v>337</v>
      </c>
      <c r="B1277" s="51" t="str">
        <v>户内湿法-铝箔纸</v>
      </c>
      <c r="C1277" s="51" t="e">
        <v>#REF!</v>
      </c>
      <c r="D1277" s="51" t="str">
        <v/>
      </c>
      <c r="E1277" s="51" t="str">
        <v/>
      </c>
      <c r="F1277" s="52" t="e">
        <v>#REF!</v>
      </c>
      <c r="G1277" s="48" t="e">
        <v>#REF!</v>
      </c>
      <c r="H1277" s="49">
        <v>56.55</v>
      </c>
      <c r="I1277" s="49" t="e">
        <v>#REF!</v>
      </c>
      <c r="J1277" s="50"/>
    </row>
    <row r="1278" outlineLevel="1" spans="1:10">
      <c r="A1278" s="50">
        <v>338</v>
      </c>
      <c r="B1278" s="51" t="str">
        <v>户内湿法-挤塑板</v>
      </c>
      <c r="C1278" s="51" t="e">
        <v>#REF!</v>
      </c>
      <c r="D1278" s="51" t="str">
        <v/>
      </c>
      <c r="E1278" s="51" t="str">
        <v/>
      </c>
      <c r="F1278" s="52" t="e">
        <v>#REF!</v>
      </c>
      <c r="G1278" s="48" t="e">
        <v>#REF!</v>
      </c>
      <c r="H1278" s="49">
        <v>56.55</v>
      </c>
      <c r="I1278" s="49" t="e">
        <v>#REF!</v>
      </c>
      <c r="J1278" s="50"/>
    </row>
    <row r="1279" ht="28.8" outlineLevel="1" spans="1:10">
      <c r="A1279" s="50">
        <v>339</v>
      </c>
      <c r="B1279" s="51" t="str">
        <v>户内干法采暖塑料管-PERT-De20(S5）</v>
      </c>
      <c r="C1279" s="51" t="e">
        <v>#REF!</v>
      </c>
      <c r="D1279" s="51" t="str">
        <v/>
      </c>
      <c r="E1279" s="51" t="str">
        <v/>
      </c>
      <c r="F1279" s="52" t="e">
        <v>#REF!</v>
      </c>
      <c r="G1279" s="48" t="e">
        <v>#REF!</v>
      </c>
      <c r="H1279" s="49">
        <v>735.15</v>
      </c>
      <c r="I1279" s="49" t="e">
        <v>#REF!</v>
      </c>
      <c r="J1279" s="50"/>
    </row>
    <row r="1280" ht="28.8" outlineLevel="1" spans="1:10">
      <c r="A1280" s="50">
        <v>340</v>
      </c>
      <c r="B1280" s="51" t="str">
        <v>户内干法采暖塑料管-PERT-De20(S4）</v>
      </c>
      <c r="C1280" s="51" t="e">
        <v>#REF!</v>
      </c>
      <c r="D1280" s="51" t="str">
        <v/>
      </c>
      <c r="E1280" s="51" t="str">
        <v/>
      </c>
      <c r="F1280" s="52" t="e">
        <v>#REF!</v>
      </c>
      <c r="G1280" s="48" t="e">
        <v>#REF!</v>
      </c>
      <c r="H1280" s="49">
        <v>0</v>
      </c>
      <c r="I1280" s="49" t="e">
        <v>#REF!</v>
      </c>
      <c r="J1280" s="50"/>
    </row>
    <row r="1281" outlineLevel="1" spans="1:10">
      <c r="A1281" s="50">
        <v>341</v>
      </c>
      <c r="B1281" s="51" t="str">
        <v>户内干法-地面砂浆</v>
      </c>
      <c r="C1281" s="51" t="e">
        <v>#REF!</v>
      </c>
      <c r="D1281" s="51" t="str">
        <v/>
      </c>
      <c r="E1281" s="51" t="str">
        <v/>
      </c>
      <c r="F1281" s="52" t="e">
        <v>#REF!</v>
      </c>
      <c r="G1281" s="48" t="e">
        <v>#REF!</v>
      </c>
      <c r="H1281" s="49">
        <v>0</v>
      </c>
      <c r="I1281" s="49" t="e">
        <v>#REF!</v>
      </c>
      <c r="J1281" s="50"/>
    </row>
    <row r="1282" outlineLevel="1" spans="1:10">
      <c r="A1282" s="50">
        <v>342</v>
      </c>
      <c r="B1282" s="51" t="str">
        <v>户内干法-沟槽板</v>
      </c>
      <c r="C1282" s="51" t="e">
        <v>#REF!</v>
      </c>
      <c r="D1282" s="51" t="str">
        <v/>
      </c>
      <c r="E1282" s="51" t="str">
        <v/>
      </c>
      <c r="F1282" s="52" t="e">
        <v>#REF!</v>
      </c>
      <c r="G1282" s="48" t="e">
        <v>#REF!</v>
      </c>
      <c r="H1282" s="49">
        <v>735.15</v>
      </c>
      <c r="I1282" s="49" t="e">
        <v>#REF!</v>
      </c>
      <c r="J1282" s="50"/>
    </row>
    <row r="1283" outlineLevel="1" spans="1:10">
      <c r="A1283" s="50">
        <v>343</v>
      </c>
      <c r="B1283" s="51" t="str">
        <v>户内干法-粘接砂浆</v>
      </c>
      <c r="C1283" s="51" t="e">
        <v>#REF!</v>
      </c>
      <c r="D1283" s="51" t="str">
        <v/>
      </c>
      <c r="E1283" s="51" t="str">
        <v/>
      </c>
      <c r="F1283" s="52" t="e">
        <v>#REF!</v>
      </c>
      <c r="G1283" s="48" t="e">
        <v>#REF!</v>
      </c>
      <c r="H1283" s="49">
        <v>735.15</v>
      </c>
      <c r="I1283" s="49" t="e">
        <v>#REF!</v>
      </c>
      <c r="J1283" s="50"/>
    </row>
    <row r="1284" outlineLevel="1" spans="1:10">
      <c r="A1284" s="50">
        <v>344</v>
      </c>
      <c r="B1284" s="51" t="str">
        <v>户内干法-石膏自流平</v>
      </c>
      <c r="C1284" s="51" t="e">
        <v>#REF!</v>
      </c>
      <c r="D1284" s="51" t="str">
        <v/>
      </c>
      <c r="E1284" s="51" t="str">
        <v/>
      </c>
      <c r="F1284" s="52" t="e">
        <v>#REF!</v>
      </c>
      <c r="G1284" s="48" t="e">
        <v>#REF!</v>
      </c>
      <c r="H1284" s="49">
        <v>0</v>
      </c>
      <c r="I1284" s="49" t="e">
        <v>#REF!</v>
      </c>
      <c r="J1284" s="50"/>
    </row>
    <row r="1285" outlineLevel="1" spans="1:10">
      <c r="A1285" s="50">
        <v>345</v>
      </c>
      <c r="B1285" s="51" t="str">
        <v>户内干法-基层处理</v>
      </c>
      <c r="C1285" s="51" t="e">
        <v>#REF!</v>
      </c>
      <c r="D1285" s="51" t="str">
        <v/>
      </c>
      <c r="E1285" s="51" t="str">
        <v/>
      </c>
      <c r="F1285" s="52" t="e">
        <v>#REF!</v>
      </c>
      <c r="G1285" s="48" t="e">
        <v>#REF!</v>
      </c>
      <c r="H1285" s="49">
        <v>735.15</v>
      </c>
      <c r="I1285" s="49" t="e">
        <v>#REF!</v>
      </c>
      <c r="J1285" s="50"/>
    </row>
    <row r="1286" outlineLevel="1" spans="1:10">
      <c r="A1286" s="50">
        <v>346</v>
      </c>
      <c r="B1286" s="51" t="str">
        <v>30mm厚1000Kpa压缩强度</v>
      </c>
      <c r="C1286" s="51" t="e">
        <v>#REF!</v>
      </c>
      <c r="D1286" s="51" t="str">
        <v/>
      </c>
      <c r="E1286" s="51" t="str">
        <v/>
      </c>
      <c r="F1286" s="52" t="e">
        <v>#REF!</v>
      </c>
      <c r="G1286" s="48" t="e">
        <v>#REF!</v>
      </c>
      <c r="H1286" s="49">
        <v>0</v>
      </c>
      <c r="I1286" s="49" t="e">
        <v>#REF!</v>
      </c>
      <c r="J1286" s="50"/>
    </row>
    <row r="1287" outlineLevel="1" spans="1:10">
      <c r="A1287" s="50">
        <v>347</v>
      </c>
      <c r="B1287" s="51" t="str">
        <v>30mm厚1200Kpa压缩强度</v>
      </c>
      <c r="C1287" s="51" t="e">
        <v>#REF!</v>
      </c>
      <c r="D1287" s="51" t="str">
        <v/>
      </c>
      <c r="E1287" s="51" t="str">
        <v/>
      </c>
      <c r="F1287" s="52" t="e">
        <v>#REF!</v>
      </c>
      <c r="G1287" s="48" t="e">
        <v>#REF!</v>
      </c>
      <c r="H1287" s="49">
        <v>0</v>
      </c>
      <c r="I1287" s="49" t="e">
        <v>#REF!</v>
      </c>
      <c r="J1287" s="50"/>
    </row>
    <row r="1288" outlineLevel="1" spans="1:10">
      <c r="A1288" s="50">
        <v>348</v>
      </c>
      <c r="B1288" s="51" t="str">
        <v>30mm厚1250Kpa压缩强度</v>
      </c>
      <c r="C1288" s="51" t="e">
        <v>#REF!</v>
      </c>
      <c r="D1288" s="51" t="str">
        <v/>
      </c>
      <c r="E1288" s="51" t="str">
        <v/>
      </c>
      <c r="F1288" s="52" t="e">
        <v>#REF!</v>
      </c>
      <c r="G1288" s="48" t="e">
        <v>#REF!</v>
      </c>
      <c r="H1288" s="49">
        <v>0</v>
      </c>
      <c r="I1288" s="49" t="e">
        <v>#REF!</v>
      </c>
      <c r="J1288" s="50"/>
    </row>
    <row r="1289" outlineLevel="1" spans="1:10">
      <c r="A1289" s="50">
        <v>349</v>
      </c>
      <c r="B1289" s="51" t="str">
        <v>橡胶减震垫-5厚单面凹发泡</v>
      </c>
      <c r="C1289" s="51" t="e">
        <v>#REF!</v>
      </c>
      <c r="D1289" s="51" t="str">
        <v/>
      </c>
      <c r="E1289" s="51" t="str">
        <v/>
      </c>
      <c r="F1289" s="52" t="e">
        <v>#REF!</v>
      </c>
      <c r="G1289" s="48" t="e">
        <v>#REF!</v>
      </c>
      <c r="H1289" s="49">
        <v>0</v>
      </c>
      <c r="I1289" s="49" t="e">
        <v>#REF!</v>
      </c>
      <c r="J1289" s="50"/>
    </row>
    <row r="1290" ht="28.8" outlineLevel="1" spans="1:10">
      <c r="A1290" s="50">
        <v>350</v>
      </c>
      <c r="B1290" s="51" t="str">
        <v>聚乙烯减震垫-5厚单面凹发泡</v>
      </c>
      <c r="C1290" s="51" t="e">
        <v>#REF!</v>
      </c>
      <c r="D1290" s="51" t="str">
        <v/>
      </c>
      <c r="E1290" s="51" t="str">
        <v/>
      </c>
      <c r="F1290" s="52" t="e">
        <v>#REF!</v>
      </c>
      <c r="G1290" s="48" t="e">
        <v>#REF!</v>
      </c>
      <c r="H1290" s="49">
        <v>0</v>
      </c>
      <c r="I1290" s="49" t="e">
        <v>#REF!</v>
      </c>
      <c r="J1290" s="50"/>
    </row>
    <row r="1291" ht="28.8" outlineLevel="1" spans="1:10">
      <c r="A1291" s="50">
        <v>351</v>
      </c>
      <c r="B1291" s="51" t="str">
        <v>聚乙烯减震垫-5厚单面平发泡</v>
      </c>
      <c r="C1291" s="51" t="e">
        <v>#REF!</v>
      </c>
      <c r="D1291" s="51" t="str">
        <v/>
      </c>
      <c r="E1291" s="51" t="str">
        <v/>
      </c>
      <c r="F1291" s="52" t="e">
        <v>#REF!</v>
      </c>
      <c r="G1291" s="48" t="e">
        <v>#REF!</v>
      </c>
      <c r="H1291" s="49">
        <v>0</v>
      </c>
      <c r="I1291" s="49" t="e">
        <v>#REF!</v>
      </c>
      <c r="J1291" s="50"/>
    </row>
    <row r="1292" outlineLevel="1" spans="1:10">
      <c r="A1292" s="50">
        <v>352</v>
      </c>
      <c r="B1292" s="51" t="str">
        <v>2回路分/集水器</v>
      </c>
      <c r="C1292" s="51" t="e">
        <v>#REF!</v>
      </c>
      <c r="D1292" s="51" t="str">
        <v/>
      </c>
      <c r="E1292" s="51" t="str">
        <v/>
      </c>
      <c r="F1292" s="52" t="e">
        <v>#REF!</v>
      </c>
      <c r="G1292" s="48" t="e">
        <v>#REF!</v>
      </c>
      <c r="H1292" s="49">
        <v>0</v>
      </c>
      <c r="I1292" s="49" t="e">
        <v>#REF!</v>
      </c>
      <c r="J1292" s="50"/>
    </row>
    <row r="1293" outlineLevel="1" spans="1:10">
      <c r="A1293" s="50">
        <v>353</v>
      </c>
      <c r="B1293" s="51" t="str">
        <v>3回路分/集水器</v>
      </c>
      <c r="C1293" s="51" t="e">
        <v>#REF!</v>
      </c>
      <c r="D1293" s="51" t="str">
        <v/>
      </c>
      <c r="E1293" s="51" t="str">
        <v/>
      </c>
      <c r="F1293" s="52" t="e">
        <v>#REF!</v>
      </c>
      <c r="G1293" s="48" t="e">
        <v>#REF!</v>
      </c>
      <c r="H1293" s="49">
        <v>7</v>
      </c>
      <c r="I1293" s="49" t="e">
        <v>#REF!</v>
      </c>
      <c r="J1293" s="50"/>
    </row>
    <row r="1294" outlineLevel="1" spans="1:10">
      <c r="A1294" s="50">
        <v>354</v>
      </c>
      <c r="B1294" s="51" t="str">
        <v>4回路分/集水器</v>
      </c>
      <c r="C1294" s="51" t="e">
        <v>#REF!</v>
      </c>
      <c r="D1294" s="51" t="str">
        <v/>
      </c>
      <c r="E1294" s="51" t="str">
        <v/>
      </c>
      <c r="F1294" s="52" t="e">
        <v>#REF!</v>
      </c>
      <c r="G1294" s="48" t="e">
        <v>#REF!</v>
      </c>
      <c r="H1294" s="49">
        <v>3</v>
      </c>
      <c r="I1294" s="49" t="e">
        <v>#REF!</v>
      </c>
      <c r="J1294" s="50"/>
    </row>
    <row r="1295" outlineLevel="1" spans="1:10">
      <c r="A1295" s="50">
        <v>355</v>
      </c>
      <c r="B1295" s="51" t="str">
        <v>5回路分/集水器</v>
      </c>
      <c r="C1295" s="51" t="e">
        <v>#REF!</v>
      </c>
      <c r="D1295" s="51" t="str">
        <v/>
      </c>
      <c r="E1295" s="51" t="str">
        <v/>
      </c>
      <c r="F1295" s="52" t="e">
        <v>#REF!</v>
      </c>
      <c r="G1295" s="48" t="e">
        <v>#REF!</v>
      </c>
      <c r="H1295" s="49">
        <v>1</v>
      </c>
      <c r="I1295" s="49" t="e">
        <v>#REF!</v>
      </c>
      <c r="J1295" s="50"/>
    </row>
    <row r="1296" outlineLevel="1" spans="1:10">
      <c r="A1296" s="50">
        <v>356</v>
      </c>
      <c r="B1296" s="51" t="str">
        <v>6回路分/集水器</v>
      </c>
      <c r="C1296" s="51" t="e">
        <v>#REF!</v>
      </c>
      <c r="D1296" s="51" t="str">
        <v/>
      </c>
      <c r="E1296" s="51" t="str">
        <v/>
      </c>
      <c r="F1296" s="52" t="e">
        <v>#REF!</v>
      </c>
      <c r="G1296" s="48" t="e">
        <v>#REF!</v>
      </c>
      <c r="H1296" s="49">
        <v>0</v>
      </c>
      <c r="I1296" s="49" t="e">
        <v>#REF!</v>
      </c>
      <c r="J1296" s="50"/>
    </row>
    <row r="1297" outlineLevel="1" spans="1:10">
      <c r="A1297" s="50">
        <v>357</v>
      </c>
      <c r="B1297" s="51" t="str">
        <v>7回路分/集水器</v>
      </c>
      <c r="C1297" s="51" t="e">
        <v>#REF!</v>
      </c>
      <c r="D1297" s="51" t="str">
        <v/>
      </c>
      <c r="E1297" s="51" t="str">
        <v/>
      </c>
      <c r="F1297" s="52" t="e">
        <v>#REF!</v>
      </c>
      <c r="G1297" s="48" t="e">
        <v>#REF!</v>
      </c>
      <c r="H1297" s="49">
        <v>0</v>
      </c>
      <c r="I1297" s="49" t="e">
        <v>#REF!</v>
      </c>
      <c r="J1297" s="50"/>
    </row>
    <row r="1298" outlineLevel="1" spans="1:10">
      <c r="A1298" s="50">
        <v>358</v>
      </c>
      <c r="B1298" s="51" t="str">
        <v>8回路分/集水器</v>
      </c>
      <c r="C1298" s="51" t="e">
        <v>#REF!</v>
      </c>
      <c r="D1298" s="51" t="str">
        <v/>
      </c>
      <c r="E1298" s="51" t="str">
        <v/>
      </c>
      <c r="F1298" s="52" t="e">
        <v>#REF!</v>
      </c>
      <c r="G1298" s="48" t="e">
        <v>#REF!</v>
      </c>
      <c r="H1298" s="49">
        <v>0</v>
      </c>
      <c r="I1298" s="49" t="e">
        <v>#REF!</v>
      </c>
      <c r="J1298" s="50"/>
    </row>
    <row r="1299" outlineLevel="1" spans="1:10">
      <c r="A1299" s="50">
        <v>359</v>
      </c>
      <c r="B1299" s="51" t="str">
        <v>螺纹阀门-全铜截止阀-De32</v>
      </c>
      <c r="C1299" s="51" t="e">
        <v>#REF!</v>
      </c>
      <c r="D1299" s="51" t="str">
        <v/>
      </c>
      <c r="E1299" s="51" t="str">
        <v/>
      </c>
      <c r="F1299" s="52" t="e">
        <v>#REF!</v>
      </c>
      <c r="G1299" s="48" t="e">
        <v>#REF!</v>
      </c>
      <c r="H1299" s="49">
        <v>1</v>
      </c>
      <c r="I1299" s="49" t="e">
        <v>#REF!</v>
      </c>
      <c r="J1299" s="50"/>
    </row>
    <row r="1300" outlineLevel="1" spans="1:10">
      <c r="A1300" s="50" t="str">
        <v/>
      </c>
      <c r="B1300" s="51" t="str">
        <v>B.14采暖管道</v>
      </c>
      <c r="C1300" s="51" t="str">
        <v/>
      </c>
      <c r="D1300" s="51" t="str">
        <v/>
      </c>
      <c r="E1300" s="51" t="str">
        <v/>
      </c>
      <c r="F1300" s="52" t="str">
        <v/>
      </c>
      <c r="G1300" s="48" t="str">
        <v/>
      </c>
      <c r="H1300" s="49">
        <v>0</v>
      </c>
      <c r="I1300" s="49" t="e">
        <v>#REF!</v>
      </c>
      <c r="J1300" s="50"/>
    </row>
    <row r="1301" outlineLevel="1" spans="1:10">
      <c r="A1301" s="50">
        <v>360</v>
      </c>
      <c r="B1301" s="51" t="str">
        <v>室内供暖镀锌钢管-DN15</v>
      </c>
      <c r="C1301" s="51" t="e">
        <v>#REF!</v>
      </c>
      <c r="D1301" s="51" t="str">
        <v/>
      </c>
      <c r="E1301" s="51" t="str">
        <v/>
      </c>
      <c r="F1301" s="52" t="e">
        <v>#REF!</v>
      </c>
      <c r="G1301" s="48" t="e">
        <v>#REF!</v>
      </c>
      <c r="H1301" s="49">
        <v>5</v>
      </c>
      <c r="I1301" s="49" t="e">
        <v>#REF!</v>
      </c>
      <c r="J1301" s="50"/>
    </row>
    <row r="1302" outlineLevel="1" spans="1:10">
      <c r="A1302" s="50">
        <v>361</v>
      </c>
      <c r="B1302" s="51" t="str">
        <v>室内供暖镀锌钢管-DN20</v>
      </c>
      <c r="C1302" s="51" t="e">
        <v>#REF!</v>
      </c>
      <c r="D1302" s="51" t="str">
        <v/>
      </c>
      <c r="E1302" s="51" t="str">
        <v/>
      </c>
      <c r="F1302" s="52" t="e">
        <v>#REF!</v>
      </c>
      <c r="G1302" s="48" t="e">
        <v>#REF!</v>
      </c>
      <c r="H1302" s="49">
        <v>2</v>
      </c>
      <c r="I1302" s="49" t="e">
        <v>#REF!</v>
      </c>
      <c r="J1302" s="50"/>
    </row>
    <row r="1303" outlineLevel="1" spans="1:10">
      <c r="A1303" s="50">
        <v>362</v>
      </c>
      <c r="B1303" s="51" t="str">
        <v>室内供暖镀锌钢管-DN25</v>
      </c>
      <c r="C1303" s="51" t="e">
        <v>#REF!</v>
      </c>
      <c r="D1303" s="51" t="str">
        <v/>
      </c>
      <c r="E1303" s="51" t="str">
        <v/>
      </c>
      <c r="F1303" s="52" t="e">
        <v>#REF!</v>
      </c>
      <c r="G1303" s="48" t="e">
        <v>#REF!</v>
      </c>
      <c r="H1303" s="49">
        <v>163.38</v>
      </c>
      <c r="I1303" s="49" t="e">
        <v>#REF!</v>
      </c>
      <c r="J1303" s="50"/>
    </row>
    <row r="1304" outlineLevel="1" spans="1:10">
      <c r="A1304" s="50">
        <v>363</v>
      </c>
      <c r="B1304" s="51" t="str">
        <v>室内供暖镀锌钢管-DN32</v>
      </c>
      <c r="C1304" s="51" t="e">
        <v>#REF!</v>
      </c>
      <c r="D1304" s="51" t="str">
        <v/>
      </c>
      <c r="E1304" s="51" t="str">
        <v/>
      </c>
      <c r="F1304" s="52" t="e">
        <v>#REF!</v>
      </c>
      <c r="G1304" s="48" t="e">
        <v>#REF!</v>
      </c>
      <c r="H1304" s="49">
        <v>60.87</v>
      </c>
      <c r="I1304" s="49" t="e">
        <v>#REF!</v>
      </c>
      <c r="J1304" s="50"/>
    </row>
    <row r="1305" outlineLevel="1" spans="1:10">
      <c r="A1305" s="50">
        <v>364</v>
      </c>
      <c r="B1305" s="51" t="str">
        <v>室内供暖镀锌钢管-DN40</v>
      </c>
      <c r="C1305" s="51" t="e">
        <v>#REF!</v>
      </c>
      <c r="D1305" s="51" t="str">
        <v/>
      </c>
      <c r="E1305" s="51" t="str">
        <v/>
      </c>
      <c r="F1305" s="52" t="e">
        <v>#REF!</v>
      </c>
      <c r="G1305" s="48" t="e">
        <v>#REF!</v>
      </c>
      <c r="H1305" s="49">
        <v>23.4</v>
      </c>
      <c r="I1305" s="49" t="e">
        <v>#REF!</v>
      </c>
      <c r="J1305" s="50"/>
    </row>
    <row r="1306" outlineLevel="1" spans="1:10">
      <c r="A1306" s="50">
        <v>365</v>
      </c>
      <c r="B1306" s="51" t="str">
        <v>室内供暖镀锌钢管-DN50</v>
      </c>
      <c r="C1306" s="51" t="e">
        <v>#REF!</v>
      </c>
      <c r="D1306" s="51" t="str">
        <v/>
      </c>
      <c r="E1306" s="51" t="str">
        <v/>
      </c>
      <c r="F1306" s="52" t="e">
        <v>#REF!</v>
      </c>
      <c r="G1306" s="48" t="e">
        <v>#REF!</v>
      </c>
      <c r="H1306" s="49">
        <v>13.6</v>
      </c>
      <c r="I1306" s="49" t="e">
        <v>#REF!</v>
      </c>
      <c r="J1306" s="50"/>
    </row>
    <row r="1307" outlineLevel="1" spans="1:10">
      <c r="A1307" s="50">
        <v>366</v>
      </c>
      <c r="B1307" s="51" t="str">
        <v>室内供暖镀锌钢管-DN65</v>
      </c>
      <c r="C1307" s="51" t="e">
        <v>#REF!</v>
      </c>
      <c r="D1307" s="51" t="str">
        <v/>
      </c>
      <c r="E1307" s="51" t="str">
        <v/>
      </c>
      <c r="F1307" s="52" t="e">
        <v>#REF!</v>
      </c>
      <c r="G1307" s="48" t="e">
        <v>#REF!</v>
      </c>
      <c r="H1307" s="49">
        <v>27.8</v>
      </c>
      <c r="I1307" s="49" t="e">
        <v>#REF!</v>
      </c>
      <c r="J1307" s="50"/>
    </row>
    <row r="1308" outlineLevel="1" spans="1:10">
      <c r="A1308" s="50">
        <v>367</v>
      </c>
      <c r="B1308" s="51" t="str">
        <v>室内供暖镀锌钢管-DN80</v>
      </c>
      <c r="C1308" s="51" t="e">
        <v>#REF!</v>
      </c>
      <c r="D1308" s="51" t="str">
        <v/>
      </c>
      <c r="E1308" s="51" t="str">
        <v/>
      </c>
      <c r="F1308" s="52" t="e">
        <v>#REF!</v>
      </c>
      <c r="G1308" s="48" t="e">
        <v>#REF!</v>
      </c>
      <c r="H1308" s="49">
        <v>1</v>
      </c>
      <c r="I1308" s="49" t="e">
        <v>#REF!</v>
      </c>
      <c r="J1308" s="50"/>
    </row>
    <row r="1309" ht="28.8" outlineLevel="1" spans="1:10">
      <c r="A1309" s="50">
        <v>368</v>
      </c>
      <c r="B1309" s="51" t="str">
        <v>室内供暖无缝镀锌钢管-DN100</v>
      </c>
      <c r="C1309" s="51" t="e">
        <v>#REF!</v>
      </c>
      <c r="D1309" s="51" t="str">
        <v/>
      </c>
      <c r="E1309" s="51" t="str">
        <v/>
      </c>
      <c r="F1309" s="52" t="e">
        <v>#REF!</v>
      </c>
      <c r="G1309" s="48" t="e">
        <v>#REF!</v>
      </c>
      <c r="H1309" s="49">
        <v>0</v>
      </c>
      <c r="I1309" s="49" t="e">
        <v>#REF!</v>
      </c>
      <c r="J1309" s="50"/>
    </row>
    <row r="1310" outlineLevel="1" spans="1:10">
      <c r="A1310" s="50">
        <v>369</v>
      </c>
      <c r="B1310" s="51" t="str">
        <v>室内采暖塑料管-PPR-De25</v>
      </c>
      <c r="C1310" s="51" t="e">
        <v>#REF!</v>
      </c>
      <c r="D1310" s="51" t="str">
        <v/>
      </c>
      <c r="E1310" s="51" t="str">
        <v/>
      </c>
      <c r="F1310" s="52" t="e">
        <v>#REF!</v>
      </c>
      <c r="G1310" s="48" t="e">
        <v>#REF!</v>
      </c>
      <c r="H1310" s="49">
        <v>0</v>
      </c>
      <c r="I1310" s="49" t="e">
        <v>#REF!</v>
      </c>
      <c r="J1310" s="50"/>
    </row>
    <row r="1311" outlineLevel="1" spans="1:10">
      <c r="A1311" s="50">
        <v>370</v>
      </c>
      <c r="B1311" s="51" t="str">
        <v>室内采暖塑料管-PPR-De32</v>
      </c>
      <c r="C1311" s="51" t="e">
        <v>#REF!</v>
      </c>
      <c r="D1311" s="51" t="str">
        <v/>
      </c>
      <c r="E1311" s="51" t="str">
        <v/>
      </c>
      <c r="F1311" s="52" t="e">
        <v>#REF!</v>
      </c>
      <c r="G1311" s="48" t="e">
        <v>#REF!</v>
      </c>
      <c r="H1311" s="49">
        <v>1</v>
      </c>
      <c r="I1311" s="49" t="e">
        <v>#REF!</v>
      </c>
      <c r="J1311" s="50"/>
    </row>
    <row r="1312" outlineLevel="1" spans="1:10">
      <c r="A1312" s="50" t="str">
        <v/>
      </c>
      <c r="B1312" s="51" t="str">
        <v>B.15阀部件</v>
      </c>
      <c r="C1312" s="51" t="str">
        <v/>
      </c>
      <c r="D1312" s="51" t="str">
        <v/>
      </c>
      <c r="E1312" s="51" t="str">
        <v/>
      </c>
      <c r="F1312" s="52" t="str">
        <v/>
      </c>
      <c r="G1312" s="48" t="str">
        <v/>
      </c>
      <c r="H1312" s="49">
        <v>0</v>
      </c>
      <c r="I1312" s="49" t="e">
        <v>#REF!</v>
      </c>
      <c r="J1312" s="50"/>
    </row>
    <row r="1313" outlineLevel="1" spans="1:10">
      <c r="A1313" s="50">
        <v>371</v>
      </c>
      <c r="B1313" s="51" t="str">
        <v>螺纹阀门-自动放气阀-DN15</v>
      </c>
      <c r="C1313" s="51" t="e">
        <v>#REF!</v>
      </c>
      <c r="D1313" s="51" t="str">
        <v/>
      </c>
      <c r="E1313" s="51" t="str">
        <v/>
      </c>
      <c r="F1313" s="52" t="e">
        <v>#REF!</v>
      </c>
      <c r="G1313" s="48" t="e">
        <v>#REF!</v>
      </c>
      <c r="H1313" s="49">
        <v>10</v>
      </c>
      <c r="I1313" s="49" t="e">
        <v>#REF!</v>
      </c>
      <c r="J1313" s="50"/>
    </row>
    <row r="1314" outlineLevel="1" spans="1:10">
      <c r="A1314" s="50">
        <v>372</v>
      </c>
      <c r="B1314" s="51" t="str">
        <v>自动放气阀下截止阀-DN15</v>
      </c>
      <c r="C1314" s="51" t="e">
        <v>#REF!</v>
      </c>
      <c r="D1314" s="51" t="str">
        <v/>
      </c>
      <c r="E1314" s="51" t="str">
        <v/>
      </c>
      <c r="F1314" s="52" t="e">
        <v>#REF!</v>
      </c>
      <c r="G1314" s="48" t="e">
        <v>#REF!</v>
      </c>
      <c r="H1314" s="49">
        <v>10</v>
      </c>
      <c r="I1314" s="49" t="e">
        <v>#REF!</v>
      </c>
      <c r="J1314" s="50"/>
    </row>
    <row r="1315" outlineLevel="1" spans="1:10">
      <c r="A1315" s="50">
        <v>373</v>
      </c>
      <c r="B1315" s="51" t="str">
        <v>螺纹阀门-手动调节阀-DN25</v>
      </c>
      <c r="C1315" s="51" t="e">
        <v>#REF!</v>
      </c>
      <c r="D1315" s="51" t="str">
        <v/>
      </c>
      <c r="E1315" s="51" t="str">
        <v/>
      </c>
      <c r="F1315" s="52" t="e">
        <v>#REF!</v>
      </c>
      <c r="G1315" s="48" t="e">
        <v>#REF!</v>
      </c>
      <c r="H1315" s="49">
        <v>10</v>
      </c>
      <c r="I1315" s="49" t="e">
        <v>#REF!</v>
      </c>
      <c r="J1315" s="50"/>
    </row>
    <row r="1316" outlineLevel="1" spans="1:10">
      <c r="A1316" s="50">
        <v>374</v>
      </c>
      <c r="B1316" s="51" t="str">
        <v>螺纹阀门-手动调节阀-DN32</v>
      </c>
      <c r="C1316" s="51" t="e">
        <v>#REF!</v>
      </c>
      <c r="D1316" s="51" t="str">
        <v/>
      </c>
      <c r="E1316" s="51" t="str">
        <v/>
      </c>
      <c r="F1316" s="52" t="e">
        <v>#REF!</v>
      </c>
      <c r="G1316" s="48" t="e">
        <v>#REF!</v>
      </c>
      <c r="H1316" s="49">
        <v>3</v>
      </c>
      <c r="I1316" s="49" t="e">
        <v>#REF!</v>
      </c>
      <c r="J1316" s="50"/>
    </row>
    <row r="1317" outlineLevel="1" spans="1:10">
      <c r="A1317" s="50">
        <v>375</v>
      </c>
      <c r="B1317" s="51" t="str">
        <v>螺纹阀门-手动调节阀-DN50</v>
      </c>
      <c r="C1317" s="51" t="e">
        <v>#REF!</v>
      </c>
      <c r="D1317" s="51" t="str">
        <v/>
      </c>
      <c r="E1317" s="51" t="str">
        <v/>
      </c>
      <c r="F1317" s="52" t="e">
        <v>#REF!</v>
      </c>
      <c r="G1317" s="48" t="e">
        <v>#REF!</v>
      </c>
      <c r="H1317" s="49">
        <v>1</v>
      </c>
      <c r="I1317" s="49" t="e">
        <v>#REF!</v>
      </c>
      <c r="J1317" s="50"/>
    </row>
    <row r="1318" outlineLevel="1" spans="1:10">
      <c r="A1318" s="50">
        <v>376</v>
      </c>
      <c r="B1318" s="51" t="str">
        <v>螺纹阀门-截止阀-DN20</v>
      </c>
      <c r="C1318" s="51" t="e">
        <v>#REF!</v>
      </c>
      <c r="D1318" s="51" t="str">
        <v/>
      </c>
      <c r="E1318" s="51" t="str">
        <v/>
      </c>
      <c r="F1318" s="52" t="e">
        <v>#REF!</v>
      </c>
      <c r="G1318" s="48" t="e">
        <v>#REF!</v>
      </c>
      <c r="H1318" s="49">
        <v>10</v>
      </c>
      <c r="I1318" s="49" t="e">
        <v>#REF!</v>
      </c>
      <c r="J1318" s="50"/>
    </row>
    <row r="1319" outlineLevel="1" spans="1:10">
      <c r="A1319" s="50">
        <v>377</v>
      </c>
      <c r="B1319" s="51" t="str">
        <v>螺纹阀门-截止阀-DN32</v>
      </c>
      <c r="C1319" s="51" t="e">
        <v>#REF!</v>
      </c>
      <c r="D1319" s="51" t="str">
        <v/>
      </c>
      <c r="E1319" s="51" t="str">
        <v/>
      </c>
      <c r="F1319" s="52" t="e">
        <v>#REF!</v>
      </c>
      <c r="G1319" s="48" t="e">
        <v>#REF!</v>
      </c>
      <c r="H1319" s="49">
        <v>3</v>
      </c>
      <c r="I1319" s="49" t="e">
        <v>#REF!</v>
      </c>
      <c r="J1319" s="50"/>
    </row>
    <row r="1320" outlineLevel="1" spans="1:10">
      <c r="A1320" s="50">
        <v>378</v>
      </c>
      <c r="B1320" s="51" t="str">
        <v>螺纹阀门-截止阀-DN50</v>
      </c>
      <c r="C1320" s="51" t="e">
        <v>#REF!</v>
      </c>
      <c r="D1320" s="51" t="str">
        <v/>
      </c>
      <c r="E1320" s="51" t="str">
        <v/>
      </c>
      <c r="F1320" s="52" t="e">
        <v>#REF!</v>
      </c>
      <c r="G1320" s="48" t="e">
        <v>#REF!</v>
      </c>
      <c r="H1320" s="49">
        <v>1</v>
      </c>
      <c r="I1320" s="49" t="e">
        <v>#REF!</v>
      </c>
      <c r="J1320" s="50"/>
    </row>
    <row r="1321" outlineLevel="1" spans="1:10">
      <c r="A1321" s="50">
        <v>379</v>
      </c>
      <c r="B1321" s="51" t="str">
        <v>螺纹阀门-锁闭阀-DN20</v>
      </c>
      <c r="C1321" s="51" t="e">
        <v>#REF!</v>
      </c>
      <c r="D1321" s="51" t="str">
        <v/>
      </c>
      <c r="E1321" s="51" t="str">
        <v/>
      </c>
      <c r="F1321" s="52" t="e">
        <v>#REF!</v>
      </c>
      <c r="G1321" s="48" t="e">
        <v>#REF!</v>
      </c>
      <c r="H1321" s="49">
        <v>0</v>
      </c>
      <c r="I1321" s="49" t="e">
        <v>#REF!</v>
      </c>
      <c r="J1321" s="50"/>
    </row>
    <row r="1322" outlineLevel="1" spans="1:10">
      <c r="A1322" s="50">
        <v>380</v>
      </c>
      <c r="B1322" s="51" t="str">
        <v>螺纹阀门-锁闭阀-DN25</v>
      </c>
      <c r="C1322" s="51" t="e">
        <v>#REF!</v>
      </c>
      <c r="D1322" s="51" t="str">
        <v/>
      </c>
      <c r="E1322" s="51" t="str">
        <v/>
      </c>
      <c r="F1322" s="52" t="e">
        <v>#REF!</v>
      </c>
      <c r="G1322" s="48" t="e">
        <v>#REF!</v>
      </c>
      <c r="H1322" s="49">
        <v>10</v>
      </c>
      <c r="I1322" s="49" t="e">
        <v>#REF!</v>
      </c>
      <c r="J1322" s="50"/>
    </row>
    <row r="1323" outlineLevel="1" spans="1:10">
      <c r="A1323" s="50">
        <v>381</v>
      </c>
      <c r="B1323" s="51" t="str">
        <v>螺纹阀门-铜测温球阀-DN20</v>
      </c>
      <c r="C1323" s="51" t="e">
        <v>#REF!</v>
      </c>
      <c r="D1323" s="51" t="str">
        <v/>
      </c>
      <c r="E1323" s="51" t="str">
        <v/>
      </c>
      <c r="F1323" s="52" t="e">
        <v>#REF!</v>
      </c>
      <c r="G1323" s="48" t="e">
        <v>#REF!</v>
      </c>
      <c r="H1323" s="49">
        <v>0</v>
      </c>
      <c r="I1323" s="49" t="e">
        <v>#REF!</v>
      </c>
      <c r="J1323" s="50"/>
    </row>
    <row r="1324" outlineLevel="1" spans="1:10">
      <c r="A1324" s="50">
        <v>382</v>
      </c>
      <c r="B1324" s="51" t="str">
        <v>螺纹阀门-铜测温球阀-DN25</v>
      </c>
      <c r="C1324" s="51" t="e">
        <v>#REF!</v>
      </c>
      <c r="D1324" s="51" t="str">
        <v/>
      </c>
      <c r="E1324" s="51" t="str">
        <v/>
      </c>
      <c r="F1324" s="52" t="e">
        <v>#REF!</v>
      </c>
      <c r="G1324" s="48" t="e">
        <v>#REF!</v>
      </c>
      <c r="H1324" s="49">
        <v>0</v>
      </c>
      <c r="I1324" s="49" t="e">
        <v>#REF!</v>
      </c>
      <c r="J1324" s="50"/>
    </row>
    <row r="1325" outlineLevel="1" spans="1:10">
      <c r="A1325" s="50">
        <v>383</v>
      </c>
      <c r="B1325" s="51" t="str">
        <v>螺纹阀门-Y型过滤器-DN20</v>
      </c>
      <c r="C1325" s="51" t="e">
        <v>#REF!</v>
      </c>
      <c r="D1325" s="51" t="str">
        <v/>
      </c>
      <c r="E1325" s="51" t="str">
        <v/>
      </c>
      <c r="F1325" s="52" t="e">
        <v>#REF!</v>
      </c>
      <c r="G1325" s="48" t="e">
        <v>#REF!</v>
      </c>
      <c r="H1325" s="49">
        <v>0</v>
      </c>
      <c r="I1325" s="49" t="e">
        <v>#REF!</v>
      </c>
      <c r="J1325" s="50"/>
    </row>
    <row r="1326" outlineLevel="1" spans="1:10">
      <c r="A1326" s="50">
        <v>384</v>
      </c>
      <c r="B1326" s="51" t="str">
        <v>螺纹阀门-Y型过滤器-DN25</v>
      </c>
      <c r="C1326" s="51" t="e">
        <v>#REF!</v>
      </c>
      <c r="D1326" s="51" t="str">
        <v/>
      </c>
      <c r="E1326" s="51" t="str">
        <v/>
      </c>
      <c r="F1326" s="52" t="e">
        <v>#REF!</v>
      </c>
      <c r="G1326" s="48" t="e">
        <v>#REF!</v>
      </c>
      <c r="H1326" s="49">
        <v>10</v>
      </c>
      <c r="I1326" s="49" t="e">
        <v>#REF!</v>
      </c>
      <c r="J1326" s="50"/>
    </row>
    <row r="1327" outlineLevel="1" spans="1:10">
      <c r="A1327" s="50">
        <v>385</v>
      </c>
      <c r="B1327" s="51" t="str">
        <v>法兰阀门-Y型过滤器-DN65</v>
      </c>
      <c r="C1327" s="51" t="e">
        <v>#REF!</v>
      </c>
      <c r="D1327" s="51" t="str">
        <v/>
      </c>
      <c r="E1327" s="51" t="str">
        <v/>
      </c>
      <c r="F1327" s="52" t="e">
        <v>#REF!</v>
      </c>
      <c r="G1327" s="48" t="e">
        <v>#REF!</v>
      </c>
      <c r="H1327" s="49">
        <v>4</v>
      </c>
      <c r="I1327" s="49" t="e">
        <v>#REF!</v>
      </c>
      <c r="J1327" s="50"/>
    </row>
    <row r="1328" ht="28.8" outlineLevel="1" spans="1:10">
      <c r="A1328" s="50">
        <v>386</v>
      </c>
      <c r="B1328" s="51" t="str">
        <v>螺纹阀门-静态水力平衡阀-DN20</v>
      </c>
      <c r="C1328" s="51" t="e">
        <v>#REF!</v>
      </c>
      <c r="D1328" s="51" t="str">
        <v/>
      </c>
      <c r="E1328" s="51" t="str">
        <v/>
      </c>
      <c r="F1328" s="52" t="e">
        <v>#REF!</v>
      </c>
      <c r="G1328" s="48" t="e">
        <v>#REF!</v>
      </c>
      <c r="H1328" s="49">
        <v>0</v>
      </c>
      <c r="I1328" s="49" t="e">
        <v>#REF!</v>
      </c>
      <c r="J1328" s="50"/>
    </row>
    <row r="1329" ht="28.8" outlineLevel="1" spans="1:10">
      <c r="A1329" s="50">
        <v>387</v>
      </c>
      <c r="B1329" s="51" t="str">
        <v>螺纹阀门-静态水力平衡阀-DN25</v>
      </c>
      <c r="C1329" s="51" t="e">
        <v>#REF!</v>
      </c>
      <c r="D1329" s="51" t="str">
        <v/>
      </c>
      <c r="E1329" s="51" t="str">
        <v/>
      </c>
      <c r="F1329" s="52" t="e">
        <v>#REF!</v>
      </c>
      <c r="G1329" s="48" t="e">
        <v>#REF!</v>
      </c>
      <c r="H1329" s="49">
        <v>0</v>
      </c>
      <c r="I1329" s="49" t="e">
        <v>#REF!</v>
      </c>
      <c r="J1329" s="50"/>
    </row>
    <row r="1330" ht="28.8" outlineLevel="1" spans="1:10">
      <c r="A1330" s="50">
        <v>388</v>
      </c>
      <c r="B1330" s="51" t="str">
        <v>法兰阀门-静态水力平衡阀-DN65</v>
      </c>
      <c r="C1330" s="51" t="e">
        <v>#REF!</v>
      </c>
      <c r="D1330" s="51" t="str">
        <v/>
      </c>
      <c r="E1330" s="51" t="str">
        <v/>
      </c>
      <c r="F1330" s="52" t="e">
        <v>#REF!</v>
      </c>
      <c r="G1330" s="48" t="e">
        <v>#REF!</v>
      </c>
      <c r="H1330" s="49">
        <v>1</v>
      </c>
      <c r="I1330" s="49" t="e">
        <v>#REF!</v>
      </c>
      <c r="J1330" s="50"/>
    </row>
    <row r="1331" outlineLevel="1" spans="1:10">
      <c r="A1331" s="50">
        <v>389</v>
      </c>
      <c r="B1331" s="51" t="str">
        <v>螺纹阀门-电动温控阀-DN20</v>
      </c>
      <c r="C1331" s="51" t="e">
        <v>#REF!</v>
      </c>
      <c r="D1331" s="51" t="str">
        <v/>
      </c>
      <c r="E1331" s="51" t="str">
        <v/>
      </c>
      <c r="F1331" s="52" t="e">
        <v>#REF!</v>
      </c>
      <c r="G1331" s="48" t="e">
        <v>#REF!</v>
      </c>
      <c r="H1331" s="49">
        <v>0</v>
      </c>
      <c r="I1331" s="49" t="e">
        <v>#REF!</v>
      </c>
      <c r="J1331" s="50"/>
    </row>
    <row r="1332" outlineLevel="1" spans="1:10">
      <c r="A1332" s="50">
        <v>390</v>
      </c>
      <c r="B1332" s="51" t="str">
        <v>螺纹阀门-电动温控阀-DN25</v>
      </c>
      <c r="C1332" s="51" t="e">
        <v>#REF!</v>
      </c>
      <c r="D1332" s="51" t="str">
        <v/>
      </c>
      <c r="E1332" s="51" t="str">
        <v/>
      </c>
      <c r="F1332" s="52" t="e">
        <v>#REF!</v>
      </c>
      <c r="G1332" s="48" t="e">
        <v>#REF!</v>
      </c>
      <c r="H1332" s="49">
        <v>10</v>
      </c>
      <c r="I1332" s="49" t="e">
        <v>#REF!</v>
      </c>
      <c r="J1332" s="50"/>
    </row>
    <row r="1333" outlineLevel="1" spans="1:10">
      <c r="A1333" s="50">
        <v>391</v>
      </c>
      <c r="B1333" s="51" t="str">
        <v>螺纹阀门-泄水球阀-DN25</v>
      </c>
      <c r="C1333" s="51" t="e">
        <v>#REF!</v>
      </c>
      <c r="D1333" s="51" t="str">
        <v/>
      </c>
      <c r="E1333" s="51" t="str">
        <v/>
      </c>
      <c r="F1333" s="52" t="e">
        <v>#REF!</v>
      </c>
      <c r="G1333" s="48" t="e">
        <v>#REF!</v>
      </c>
      <c r="H1333" s="49">
        <v>2</v>
      </c>
      <c r="I1333" s="49" t="e">
        <v>#REF!</v>
      </c>
      <c r="J1333" s="50"/>
    </row>
    <row r="1334" outlineLevel="1" spans="1:10">
      <c r="A1334" s="50">
        <v>392</v>
      </c>
      <c r="B1334" s="51" t="str">
        <v>螺纹阀门-连通阀-DN25</v>
      </c>
      <c r="C1334" s="51" t="e">
        <v>#REF!</v>
      </c>
      <c r="D1334" s="51" t="str">
        <v/>
      </c>
      <c r="E1334" s="51" t="str">
        <v/>
      </c>
      <c r="F1334" s="52" t="e">
        <v>#REF!</v>
      </c>
      <c r="G1334" s="48" t="e">
        <v>#REF!</v>
      </c>
      <c r="H1334" s="49">
        <v>1</v>
      </c>
      <c r="I1334" s="49" t="e">
        <v>#REF!</v>
      </c>
      <c r="J1334" s="50"/>
    </row>
    <row r="1335" outlineLevel="1" spans="1:10">
      <c r="A1335" s="50">
        <v>393</v>
      </c>
      <c r="B1335" s="51" t="str">
        <v>波纹补偿器-DN65</v>
      </c>
      <c r="C1335" s="51" t="e">
        <v>#REF!</v>
      </c>
      <c r="D1335" s="51" t="str">
        <v/>
      </c>
      <c r="E1335" s="51" t="str">
        <v/>
      </c>
      <c r="F1335" s="52" t="e">
        <v>#REF!</v>
      </c>
      <c r="G1335" s="48" t="e">
        <v>#REF!</v>
      </c>
      <c r="H1335" s="49">
        <v>1</v>
      </c>
      <c r="I1335" s="49" t="e">
        <v>#REF!</v>
      </c>
      <c r="J1335" s="50"/>
    </row>
    <row r="1336" outlineLevel="1" spans="1:10">
      <c r="A1336" s="50">
        <v>394</v>
      </c>
      <c r="B1336" s="51" t="str">
        <v>波纹补偿器-DN80</v>
      </c>
      <c r="C1336" s="51" t="e">
        <v>#REF!</v>
      </c>
      <c r="D1336" s="51" t="str">
        <v/>
      </c>
      <c r="E1336" s="51" t="str">
        <v/>
      </c>
      <c r="F1336" s="52" t="e">
        <v>#REF!</v>
      </c>
      <c r="G1336" s="48" t="e">
        <v>#REF!</v>
      </c>
      <c r="H1336" s="49">
        <v>0</v>
      </c>
      <c r="I1336" s="49" t="e">
        <v>#REF!</v>
      </c>
      <c r="J1336" s="50"/>
    </row>
    <row r="1337" outlineLevel="1" spans="1:10">
      <c r="A1337" s="50">
        <v>395</v>
      </c>
      <c r="B1337" s="51" t="str">
        <v>波纹补偿器-DN100</v>
      </c>
      <c r="C1337" s="51" t="e">
        <v>#REF!</v>
      </c>
      <c r="D1337" s="51" t="str">
        <v/>
      </c>
      <c r="E1337" s="51" t="str">
        <v/>
      </c>
      <c r="F1337" s="52" t="e">
        <v>#REF!</v>
      </c>
      <c r="G1337" s="48" t="e">
        <v>#REF!</v>
      </c>
      <c r="H1337" s="49">
        <v>0</v>
      </c>
      <c r="I1337" s="49" t="e">
        <v>#REF!</v>
      </c>
      <c r="J1337" s="50"/>
    </row>
    <row r="1338" outlineLevel="1" spans="1:10">
      <c r="A1338" s="50">
        <v>396</v>
      </c>
      <c r="B1338" s="51" t="str">
        <v>法兰阀门-闸阀-DN65</v>
      </c>
      <c r="C1338" s="51" t="e">
        <v>#REF!</v>
      </c>
      <c r="D1338" s="51" t="str">
        <v/>
      </c>
      <c r="E1338" s="51" t="str">
        <v/>
      </c>
      <c r="F1338" s="52" t="e">
        <v>#REF!</v>
      </c>
      <c r="G1338" s="48" t="e">
        <v>#REF!</v>
      </c>
      <c r="H1338" s="49">
        <v>4</v>
      </c>
      <c r="I1338" s="49" t="e">
        <v>#REF!</v>
      </c>
      <c r="J1338" s="50"/>
    </row>
    <row r="1339" outlineLevel="1" spans="1:10">
      <c r="A1339" s="50">
        <v>397</v>
      </c>
      <c r="B1339" s="51" t="str">
        <v>热量表-DN15</v>
      </c>
      <c r="C1339" s="51" t="e">
        <v>#REF!</v>
      </c>
      <c r="D1339" s="51" t="str">
        <v/>
      </c>
      <c r="E1339" s="51" t="str">
        <v/>
      </c>
      <c r="F1339" s="52" t="e">
        <v>#REF!</v>
      </c>
      <c r="G1339" s="48" t="e">
        <v>#REF!</v>
      </c>
      <c r="H1339" s="49">
        <v>1</v>
      </c>
      <c r="I1339" s="49" t="e">
        <v>#REF!</v>
      </c>
      <c r="J1339" s="50"/>
    </row>
    <row r="1340" outlineLevel="1" spans="1:10">
      <c r="A1340" s="50">
        <v>398</v>
      </c>
      <c r="B1340" s="51" t="str">
        <v>热量表-DN15（甲供）</v>
      </c>
      <c r="C1340" s="51" t="e">
        <v>#REF!</v>
      </c>
      <c r="D1340" s="51" t="str">
        <v/>
      </c>
      <c r="E1340" s="51" t="str">
        <v/>
      </c>
      <c r="F1340" s="52" t="e">
        <v>#REF!</v>
      </c>
      <c r="G1340" s="48" t="e">
        <v>#REF!</v>
      </c>
      <c r="H1340" s="49">
        <v>1</v>
      </c>
      <c r="I1340" s="49" t="e">
        <v>#REF!</v>
      </c>
      <c r="J1340" s="50"/>
    </row>
    <row r="1341" outlineLevel="1" spans="1:10">
      <c r="A1341" s="50">
        <v>399</v>
      </c>
      <c r="B1341" s="51" t="str">
        <v>温度仪表</v>
      </c>
      <c r="C1341" s="51" t="e">
        <v>#REF!</v>
      </c>
      <c r="D1341" s="51" t="str">
        <v/>
      </c>
      <c r="E1341" s="51" t="str">
        <v/>
      </c>
      <c r="F1341" s="52" t="e">
        <v>#REF!</v>
      </c>
      <c r="G1341" s="48" t="e">
        <v>#REF!</v>
      </c>
      <c r="H1341" s="49">
        <v>1</v>
      </c>
      <c r="I1341" s="49" t="e">
        <v>#REF!</v>
      </c>
      <c r="J1341" s="50"/>
    </row>
    <row r="1342" outlineLevel="1" spans="1:10">
      <c r="A1342" s="50">
        <v>400</v>
      </c>
      <c r="B1342" s="51" t="str">
        <v>采暖压力仪表</v>
      </c>
      <c r="C1342" s="51" t="e">
        <v>#REF!</v>
      </c>
      <c r="D1342" s="51" t="str">
        <v/>
      </c>
      <c r="E1342" s="51" t="str">
        <v/>
      </c>
      <c r="F1342" s="52" t="e">
        <v>#REF!</v>
      </c>
      <c r="G1342" s="48" t="e">
        <v>#REF!</v>
      </c>
      <c r="H1342" s="49">
        <v>5</v>
      </c>
      <c r="I1342" s="49" t="e">
        <v>#REF!</v>
      </c>
      <c r="J1342" s="50"/>
    </row>
    <row r="1343" outlineLevel="1" spans="1:10">
      <c r="A1343" s="50">
        <v>401</v>
      </c>
      <c r="B1343" s="51" t="str">
        <v>风扇</v>
      </c>
      <c r="C1343" s="51" t="e">
        <v>#REF!</v>
      </c>
      <c r="D1343" s="51" t="str">
        <v/>
      </c>
      <c r="E1343" s="51" t="str">
        <v/>
      </c>
      <c r="F1343" s="52" t="e">
        <v>#REF!</v>
      </c>
      <c r="G1343" s="48" t="e">
        <v>#REF!</v>
      </c>
      <c r="H1343" s="49">
        <v>0</v>
      </c>
      <c r="I1343" s="49" t="e">
        <v>#REF!</v>
      </c>
      <c r="J1343" s="50"/>
    </row>
    <row r="1344" outlineLevel="1" spans="1:10">
      <c r="A1344" s="50">
        <v>402</v>
      </c>
      <c r="B1344" s="51" t="str">
        <v>刚性防水套管-DN65</v>
      </c>
      <c r="C1344" s="51" t="e">
        <v>#REF!</v>
      </c>
      <c r="D1344" s="51" t="str">
        <v/>
      </c>
      <c r="E1344" s="51" t="str">
        <v/>
      </c>
      <c r="F1344" s="52" t="e">
        <v>#REF!</v>
      </c>
      <c r="G1344" s="48" t="e">
        <v>#REF!</v>
      </c>
      <c r="H1344" s="49">
        <v>0</v>
      </c>
      <c r="I1344" s="49" t="e">
        <v>#REF!</v>
      </c>
      <c r="J1344" s="50"/>
    </row>
    <row r="1345" outlineLevel="1" spans="1:10">
      <c r="A1345" s="50">
        <v>403</v>
      </c>
      <c r="B1345" s="51" t="str">
        <v>刚性防水套管-DN80</v>
      </c>
      <c r="C1345" s="51" t="e">
        <v>#REF!</v>
      </c>
      <c r="D1345" s="51" t="str">
        <v/>
      </c>
      <c r="E1345" s="51" t="str">
        <v/>
      </c>
      <c r="F1345" s="52" t="e">
        <v>#REF!</v>
      </c>
      <c r="G1345" s="48" t="e">
        <v>#REF!</v>
      </c>
      <c r="H1345" s="49">
        <v>0</v>
      </c>
      <c r="I1345" s="49" t="e">
        <v>#REF!</v>
      </c>
      <c r="J1345" s="50"/>
    </row>
    <row r="1346" outlineLevel="1" spans="1:10">
      <c r="A1346" s="50" t="str">
        <v/>
      </c>
      <c r="B1346" s="51" t="str">
        <v>B.16绝热</v>
      </c>
      <c r="C1346" s="51" t="str">
        <v/>
      </c>
      <c r="D1346" s="51" t="str">
        <v/>
      </c>
      <c r="E1346" s="51" t="str">
        <v/>
      </c>
      <c r="F1346" s="52" t="str">
        <v/>
      </c>
      <c r="G1346" s="48" t="str">
        <v/>
      </c>
      <c r="H1346" s="49">
        <v>0</v>
      </c>
      <c r="I1346" s="49" t="e">
        <v>#REF!</v>
      </c>
      <c r="J1346" s="50"/>
    </row>
    <row r="1347" outlineLevel="1" spans="1:10">
      <c r="A1347" s="50">
        <v>404</v>
      </c>
      <c r="B1347" s="51" t="str">
        <v>管道绝热</v>
      </c>
      <c r="C1347" s="51" t="e">
        <v>#REF!</v>
      </c>
      <c r="D1347" s="51" t="str">
        <v/>
      </c>
      <c r="E1347" s="51" t="str">
        <v/>
      </c>
      <c r="F1347" s="52" t="e">
        <v>#REF!</v>
      </c>
      <c r="G1347" s="48" t="e">
        <v>#REF!</v>
      </c>
      <c r="H1347" s="49">
        <v>0.06</v>
      </c>
      <c r="I1347" s="49" t="e">
        <v>#REF!</v>
      </c>
      <c r="J1347" s="50"/>
    </row>
    <row r="1348" outlineLevel="1" spans="1:10">
      <c r="A1348" s="50">
        <v>405</v>
      </c>
      <c r="B1348" s="51" t="str">
        <v>防火胶带保护层</v>
      </c>
      <c r="C1348" s="51" t="e">
        <v>#REF!</v>
      </c>
      <c r="D1348" s="51" t="str">
        <v/>
      </c>
      <c r="E1348" s="51" t="str">
        <v/>
      </c>
      <c r="F1348" s="52" t="e">
        <v>#REF!</v>
      </c>
      <c r="G1348" s="48" t="e">
        <v>#REF!</v>
      </c>
      <c r="H1348" s="49">
        <v>1</v>
      </c>
      <c r="I1348" s="49" t="e">
        <v>#REF!</v>
      </c>
      <c r="J1348" s="50"/>
    </row>
    <row r="1349" outlineLevel="1" spans="1:10">
      <c r="A1349" s="50" t="str">
        <v/>
      </c>
      <c r="B1349" s="51" t="str">
        <v>B.17系统调试</v>
      </c>
      <c r="C1349" s="51" t="str">
        <v/>
      </c>
      <c r="D1349" s="51" t="str">
        <v/>
      </c>
      <c r="E1349" s="51" t="str">
        <v/>
      </c>
      <c r="F1349" s="52" t="str">
        <v/>
      </c>
      <c r="G1349" s="48" t="str">
        <v/>
      </c>
      <c r="H1349" s="49">
        <v>0</v>
      </c>
      <c r="I1349" s="49" t="e">
        <v>#REF!</v>
      </c>
      <c r="J1349" s="50"/>
    </row>
    <row r="1350" outlineLevel="1" spans="1:10">
      <c r="A1350" s="50">
        <v>406</v>
      </c>
      <c r="B1350" s="51" t="str">
        <v>采暖工程系统调试</v>
      </c>
      <c r="C1350" s="51" t="e">
        <v>#REF!</v>
      </c>
      <c r="D1350" s="51" t="str">
        <v/>
      </c>
      <c r="E1350" s="51" t="str">
        <v/>
      </c>
      <c r="F1350" s="52" t="e">
        <v>#REF!</v>
      </c>
      <c r="G1350" s="48" t="e">
        <v>#REF!</v>
      </c>
      <c r="H1350" s="49">
        <v>1313.8</v>
      </c>
      <c r="I1350" s="49" t="e">
        <v>#REF!</v>
      </c>
      <c r="J1350" s="50"/>
    </row>
    <row r="1351" outlineLevel="1" spans="1:10">
      <c r="A1351" s="50" t="str">
        <v/>
      </c>
      <c r="B1351" s="51" t="str">
        <v>地下电气</v>
      </c>
      <c r="C1351" s="51" t="str">
        <v/>
      </c>
      <c r="D1351" s="51" t="str">
        <v/>
      </c>
      <c r="E1351" s="51" t="str">
        <v/>
      </c>
      <c r="F1351" s="52" t="str">
        <v/>
      </c>
      <c r="G1351" s="48" t="str">
        <v/>
      </c>
      <c r="H1351" s="49">
        <v>0</v>
      </c>
      <c r="I1351" s="49" t="e">
        <v>#REF!</v>
      </c>
      <c r="J1351" s="50"/>
    </row>
    <row r="1352" outlineLevel="1" spans="1:10">
      <c r="A1352" s="50" t="str">
        <v/>
      </c>
      <c r="B1352" s="51" t="str">
        <v>B.18强电工程</v>
      </c>
      <c r="C1352" s="51" t="str">
        <v/>
      </c>
      <c r="D1352" s="51" t="str">
        <v/>
      </c>
      <c r="E1352" s="51" t="str">
        <v/>
      </c>
      <c r="F1352" s="52" t="str">
        <v/>
      </c>
      <c r="G1352" s="48" t="str">
        <v/>
      </c>
      <c r="H1352" s="49">
        <v>0</v>
      </c>
      <c r="I1352" s="49" t="e">
        <v>#REF!</v>
      </c>
      <c r="J1352" s="50"/>
    </row>
    <row r="1353" outlineLevel="1" spans="1:10">
      <c r="A1353" s="50" t="str">
        <v/>
      </c>
      <c r="B1353" s="51" t="str">
        <v>B.18.1配电箱</v>
      </c>
      <c r="C1353" s="51" t="str">
        <v/>
      </c>
      <c r="D1353" s="51" t="str">
        <v/>
      </c>
      <c r="E1353" s="51" t="str">
        <v/>
      </c>
      <c r="F1353" s="52" t="str">
        <v/>
      </c>
      <c r="G1353" s="48" t="str">
        <v/>
      </c>
      <c r="H1353" s="49">
        <v>0</v>
      </c>
      <c r="I1353" s="49" t="e">
        <v>#REF!</v>
      </c>
      <c r="J1353" s="50"/>
    </row>
    <row r="1354" outlineLevel="1" spans="1:10">
      <c r="A1354" s="50">
        <v>407</v>
      </c>
      <c r="B1354" s="51" t="str">
        <v>落地配电柜</v>
      </c>
      <c r="C1354" s="51" t="e">
        <v>#REF!</v>
      </c>
      <c r="D1354" s="51" t="str">
        <v/>
      </c>
      <c r="E1354" s="51" t="str">
        <v/>
      </c>
      <c r="F1354" s="52" t="e">
        <v>#REF!</v>
      </c>
      <c r="G1354" s="48" t="e">
        <v>#REF!</v>
      </c>
      <c r="H1354" s="49">
        <v>1</v>
      </c>
      <c r="I1354" s="49" t="e">
        <v>#REF!</v>
      </c>
      <c r="J1354" s="50"/>
    </row>
    <row r="1355" ht="28.8" outlineLevel="1" spans="1:10">
      <c r="A1355" s="50">
        <v>408</v>
      </c>
      <c r="B1355" s="51" t="str">
        <v>公区电源箱（半周长0.5m以内）</v>
      </c>
      <c r="C1355" s="51" t="e">
        <v>#REF!</v>
      </c>
      <c r="D1355" s="51" t="str">
        <v/>
      </c>
      <c r="E1355" s="51" t="str">
        <v/>
      </c>
      <c r="F1355" s="52" t="e">
        <v>#REF!</v>
      </c>
      <c r="G1355" s="48" t="e">
        <v>#REF!</v>
      </c>
      <c r="H1355" s="49">
        <v>1</v>
      </c>
      <c r="I1355" s="49" t="e">
        <v>#REF!</v>
      </c>
      <c r="J1355" s="50"/>
    </row>
    <row r="1356" ht="28.8" outlineLevel="1" spans="1:10">
      <c r="A1356" s="50">
        <v>409</v>
      </c>
      <c r="B1356" s="51" t="str">
        <v>公区电源箱（半周长1.0m以内）</v>
      </c>
      <c r="C1356" s="51" t="e">
        <v>#REF!</v>
      </c>
      <c r="D1356" s="51" t="str">
        <v/>
      </c>
      <c r="E1356" s="51" t="str">
        <v/>
      </c>
      <c r="F1356" s="52" t="e">
        <v>#REF!</v>
      </c>
      <c r="G1356" s="48" t="e">
        <v>#REF!</v>
      </c>
      <c r="H1356" s="49">
        <v>0</v>
      </c>
      <c r="I1356" s="49" t="e">
        <v>#REF!</v>
      </c>
      <c r="J1356" s="50"/>
    </row>
    <row r="1357" ht="28.8" outlineLevel="1" spans="1:10">
      <c r="A1357" s="50">
        <v>410</v>
      </c>
      <c r="B1357" s="51" t="str">
        <v>公区电源箱（半周长1.5m以内）</v>
      </c>
      <c r="C1357" s="51" t="e">
        <v>#REF!</v>
      </c>
      <c r="D1357" s="51" t="str">
        <v/>
      </c>
      <c r="E1357" s="51" t="str">
        <v/>
      </c>
      <c r="F1357" s="52" t="e">
        <v>#REF!</v>
      </c>
      <c r="G1357" s="48" t="e">
        <v>#REF!</v>
      </c>
      <c r="H1357" s="49">
        <v>0</v>
      </c>
      <c r="I1357" s="49" t="e">
        <v>#REF!</v>
      </c>
      <c r="J1357" s="50"/>
    </row>
    <row r="1358" ht="28.8" outlineLevel="1" spans="1:10">
      <c r="A1358" s="50">
        <v>411</v>
      </c>
      <c r="B1358" s="51" t="str">
        <v>公区电源箱（半周长2m以内）</v>
      </c>
      <c r="C1358" s="51" t="e">
        <v>#REF!</v>
      </c>
      <c r="D1358" s="51" t="str">
        <v/>
      </c>
      <c r="E1358" s="51" t="str">
        <v/>
      </c>
      <c r="F1358" s="52" t="e">
        <v>#REF!</v>
      </c>
      <c r="G1358" s="48" t="e">
        <v>#REF!</v>
      </c>
      <c r="H1358" s="49">
        <v>0</v>
      </c>
      <c r="I1358" s="49" t="e">
        <v>#REF!</v>
      </c>
      <c r="J1358" s="50"/>
    </row>
    <row r="1359" outlineLevel="1" spans="1:10">
      <c r="A1359" s="50">
        <v>412</v>
      </c>
      <c r="B1359" s="51" t="str">
        <v>应急电源配电箱</v>
      </c>
      <c r="C1359" s="51" t="e">
        <v>#REF!</v>
      </c>
      <c r="D1359" s="51" t="str">
        <v/>
      </c>
      <c r="E1359" s="51" t="str">
        <v/>
      </c>
      <c r="F1359" s="52" t="e">
        <v>#REF!</v>
      </c>
      <c r="G1359" s="48" t="e">
        <v>#REF!</v>
      </c>
      <c r="H1359" s="49">
        <v>0</v>
      </c>
      <c r="I1359" s="49" t="e">
        <v>#REF!</v>
      </c>
      <c r="J1359" s="50"/>
    </row>
    <row r="1360" ht="28.8" outlineLevel="1" spans="1:10">
      <c r="A1360" s="50">
        <v>413</v>
      </c>
      <c r="B1360" s="51" t="str">
        <v>应急照明配电箱-0.15KW DC36V</v>
      </c>
      <c r="C1360" s="51" t="e">
        <v>#REF!</v>
      </c>
      <c r="D1360" s="51" t="str">
        <v/>
      </c>
      <c r="E1360" s="51" t="str">
        <v/>
      </c>
      <c r="F1360" s="52" t="e">
        <v>#REF!</v>
      </c>
      <c r="G1360" s="48" t="e">
        <v>#REF!</v>
      </c>
      <c r="H1360" s="49">
        <v>0</v>
      </c>
      <c r="I1360" s="49" t="e">
        <v>#REF!</v>
      </c>
      <c r="J1360" s="50"/>
    </row>
    <row r="1361" ht="28.8" outlineLevel="1" spans="1:10">
      <c r="A1361" s="50">
        <v>414</v>
      </c>
      <c r="B1361" s="51" t="str">
        <v>应急照明配电箱-0.3KW DC36V</v>
      </c>
      <c r="C1361" s="51" t="e">
        <v>#REF!</v>
      </c>
      <c r="D1361" s="51" t="str">
        <v/>
      </c>
      <c r="E1361" s="51" t="str">
        <v/>
      </c>
      <c r="F1361" s="52" t="e">
        <v>#REF!</v>
      </c>
      <c r="G1361" s="48" t="e">
        <v>#REF!</v>
      </c>
      <c r="H1361" s="49">
        <v>2</v>
      </c>
      <c r="I1361" s="49" t="e">
        <v>#REF!</v>
      </c>
      <c r="J1361" s="50"/>
    </row>
    <row r="1362" ht="28.8" outlineLevel="1" spans="1:10">
      <c r="A1362" s="50">
        <v>415</v>
      </c>
      <c r="B1362" s="51" t="str">
        <v>应急照明配电箱-0.6KW DC36V</v>
      </c>
      <c r="C1362" s="51" t="e">
        <v>#REF!</v>
      </c>
      <c r="D1362" s="51" t="str">
        <v/>
      </c>
      <c r="E1362" s="51" t="str">
        <v/>
      </c>
      <c r="F1362" s="52" t="e">
        <v>#REF!</v>
      </c>
      <c r="G1362" s="48" t="e">
        <v>#REF!</v>
      </c>
      <c r="H1362" s="49">
        <v>0</v>
      </c>
      <c r="I1362" s="49" t="e">
        <v>#REF!</v>
      </c>
      <c r="J1362" s="50"/>
    </row>
    <row r="1363" ht="28.8" outlineLevel="1" spans="1:10">
      <c r="A1363" s="50">
        <v>416</v>
      </c>
      <c r="B1363" s="51" t="str">
        <v>应急照明配电箱-0.9KW DC36V</v>
      </c>
      <c r="C1363" s="51" t="e">
        <v>#REF!</v>
      </c>
      <c r="D1363" s="51" t="str">
        <v/>
      </c>
      <c r="E1363" s="51" t="str">
        <v/>
      </c>
      <c r="F1363" s="52" t="e">
        <v>#REF!</v>
      </c>
      <c r="G1363" s="48" t="e">
        <v>#REF!</v>
      </c>
      <c r="H1363" s="49">
        <v>0</v>
      </c>
      <c r="I1363" s="49" t="e">
        <v>#REF!</v>
      </c>
      <c r="J1363" s="50"/>
    </row>
    <row r="1364" ht="28.8" outlineLevel="1" spans="1:10">
      <c r="A1364" s="50">
        <v>417</v>
      </c>
      <c r="B1364" s="51" t="str">
        <v>消防应急主机（2000点以下）</v>
      </c>
      <c r="C1364" s="51" t="e">
        <v>#REF!</v>
      </c>
      <c r="D1364" s="51" t="str">
        <v/>
      </c>
      <c r="E1364" s="51" t="str">
        <v/>
      </c>
      <c r="F1364" s="52" t="e">
        <v>#REF!</v>
      </c>
      <c r="G1364" s="48" t="e">
        <v>#REF!</v>
      </c>
      <c r="H1364" s="49">
        <v>1</v>
      </c>
      <c r="I1364" s="49" t="e">
        <v>#REF!</v>
      </c>
      <c r="J1364" s="50"/>
    </row>
    <row r="1365" outlineLevel="1" spans="1:10">
      <c r="A1365" s="50">
        <v>418</v>
      </c>
      <c r="B1365" s="51" t="str">
        <v>接线箱（半周长700mm以内）</v>
      </c>
      <c r="C1365" s="51" t="e">
        <v>#REF!</v>
      </c>
      <c r="D1365" s="51" t="str">
        <v/>
      </c>
      <c r="E1365" s="51" t="str">
        <v/>
      </c>
      <c r="F1365" s="52" t="e">
        <v>#REF!</v>
      </c>
      <c r="G1365" s="48" t="e">
        <v>#REF!</v>
      </c>
      <c r="H1365" s="49">
        <v>0</v>
      </c>
      <c r="I1365" s="49" t="e">
        <v>#REF!</v>
      </c>
      <c r="J1365" s="50"/>
    </row>
    <row r="1366" outlineLevel="1" spans="1:10">
      <c r="A1366" s="50">
        <v>419</v>
      </c>
      <c r="B1366" s="51" t="str">
        <v>低压交流异步电动机6kw以内</v>
      </c>
      <c r="C1366" s="51" t="e">
        <v>#REF!</v>
      </c>
      <c r="D1366" s="51" t="str">
        <v/>
      </c>
      <c r="E1366" s="51" t="str">
        <v/>
      </c>
      <c r="F1366" s="52" t="e">
        <v>#REF!</v>
      </c>
      <c r="G1366" s="48" t="e">
        <v>#REF!</v>
      </c>
      <c r="H1366" s="49">
        <v>2</v>
      </c>
      <c r="I1366" s="49" t="e">
        <v>#REF!</v>
      </c>
      <c r="J1366" s="50"/>
    </row>
    <row r="1367" outlineLevel="1" spans="1:10">
      <c r="A1367" s="50">
        <v>420</v>
      </c>
      <c r="B1367" s="51" t="str">
        <v>送配电装置系统调试</v>
      </c>
      <c r="C1367" s="51" t="e">
        <v>#REF!</v>
      </c>
      <c r="D1367" s="51" t="str">
        <v/>
      </c>
      <c r="E1367" s="51" t="str">
        <v/>
      </c>
      <c r="F1367" s="52" t="e">
        <v>#REF!</v>
      </c>
      <c r="G1367" s="48" t="e">
        <v>#REF!</v>
      </c>
      <c r="H1367" s="49">
        <v>1</v>
      </c>
      <c r="I1367" s="49" t="e">
        <v>#REF!</v>
      </c>
      <c r="J1367" s="50"/>
    </row>
    <row r="1368" outlineLevel="1" spans="1:10">
      <c r="A1368" s="50" t="str">
        <v/>
      </c>
      <c r="B1368" s="51" t="str">
        <v>B.18.2电力桥架</v>
      </c>
      <c r="C1368" s="51" t="str">
        <v/>
      </c>
      <c r="D1368" s="51" t="str">
        <v/>
      </c>
      <c r="E1368" s="51" t="str">
        <v/>
      </c>
      <c r="F1368" s="52" t="str">
        <v/>
      </c>
      <c r="G1368" s="48" t="str">
        <v/>
      </c>
      <c r="H1368" s="49">
        <v>0</v>
      </c>
      <c r="I1368" s="49" t="e">
        <v>#REF!</v>
      </c>
      <c r="J1368" s="50"/>
    </row>
    <row r="1369" outlineLevel="1" spans="1:10">
      <c r="A1369" s="50">
        <v>421</v>
      </c>
      <c r="B1369" s="51" t="str">
        <v>防火桥架-700*200</v>
      </c>
      <c r="C1369" s="51" t="e">
        <v>#REF!</v>
      </c>
      <c r="D1369" s="51" t="str">
        <v/>
      </c>
      <c r="E1369" s="51" t="str">
        <v/>
      </c>
      <c r="F1369" s="52" t="e">
        <v>#REF!</v>
      </c>
      <c r="G1369" s="48" t="e">
        <v>#REF!</v>
      </c>
      <c r="H1369" s="49">
        <v>0</v>
      </c>
      <c r="I1369" s="49" t="e">
        <v>#REF!</v>
      </c>
      <c r="J1369" s="50"/>
    </row>
    <row r="1370" outlineLevel="1" spans="1:10">
      <c r="A1370" s="50">
        <v>422</v>
      </c>
      <c r="B1370" s="51" t="str">
        <v>防火桥架-500*250</v>
      </c>
      <c r="C1370" s="51" t="e">
        <v>#REF!</v>
      </c>
      <c r="D1370" s="51" t="str">
        <v/>
      </c>
      <c r="E1370" s="51" t="str">
        <v/>
      </c>
      <c r="F1370" s="52" t="e">
        <v>#REF!</v>
      </c>
      <c r="G1370" s="48" t="e">
        <v>#REF!</v>
      </c>
      <c r="H1370" s="49">
        <v>0</v>
      </c>
      <c r="I1370" s="49" t="e">
        <v>#REF!</v>
      </c>
      <c r="J1370" s="50"/>
    </row>
    <row r="1371" outlineLevel="1" spans="1:10">
      <c r="A1371" s="50">
        <v>423</v>
      </c>
      <c r="B1371" s="51" t="str">
        <v>防火桥架-550*200</v>
      </c>
      <c r="C1371" s="51" t="e">
        <v>#REF!</v>
      </c>
      <c r="D1371" s="51" t="str">
        <v/>
      </c>
      <c r="E1371" s="51" t="str">
        <v/>
      </c>
      <c r="F1371" s="52" t="e">
        <v>#REF!</v>
      </c>
      <c r="G1371" s="48" t="e">
        <v>#REF!</v>
      </c>
      <c r="H1371" s="49">
        <v>0</v>
      </c>
      <c r="I1371" s="49" t="e">
        <v>#REF!</v>
      </c>
      <c r="J1371" s="50"/>
    </row>
    <row r="1372" outlineLevel="1" spans="1:10">
      <c r="A1372" s="50">
        <v>424</v>
      </c>
      <c r="B1372" s="51" t="str">
        <v>防火桥架-450*200</v>
      </c>
      <c r="C1372" s="51" t="e">
        <v>#REF!</v>
      </c>
      <c r="D1372" s="51" t="str">
        <v/>
      </c>
      <c r="E1372" s="51" t="str">
        <v/>
      </c>
      <c r="F1372" s="52" t="e">
        <v>#REF!</v>
      </c>
      <c r="G1372" s="48" t="e">
        <v>#REF!</v>
      </c>
      <c r="H1372" s="49">
        <v>0</v>
      </c>
      <c r="I1372" s="49" t="e">
        <v>#REF!</v>
      </c>
      <c r="J1372" s="50"/>
    </row>
    <row r="1373" outlineLevel="1" spans="1:10">
      <c r="A1373" s="50">
        <v>425</v>
      </c>
      <c r="B1373" s="51" t="str">
        <v>防火桥架-400*200</v>
      </c>
      <c r="C1373" s="51" t="e">
        <v>#REF!</v>
      </c>
      <c r="D1373" s="51" t="str">
        <v/>
      </c>
      <c r="E1373" s="51" t="str">
        <v/>
      </c>
      <c r="F1373" s="52" t="e">
        <v>#REF!</v>
      </c>
      <c r="G1373" s="48" t="e">
        <v>#REF!</v>
      </c>
      <c r="H1373" s="49">
        <v>1</v>
      </c>
      <c r="I1373" s="49" t="e">
        <v>#REF!</v>
      </c>
      <c r="J1373" s="50"/>
    </row>
    <row r="1374" outlineLevel="1" spans="1:10">
      <c r="A1374" s="50">
        <v>426</v>
      </c>
      <c r="B1374" s="51" t="str">
        <v>防火桥架-350*200</v>
      </c>
      <c r="C1374" s="51" t="e">
        <v>#REF!</v>
      </c>
      <c r="D1374" s="51" t="str">
        <v/>
      </c>
      <c r="E1374" s="51" t="str">
        <v/>
      </c>
      <c r="F1374" s="52" t="e">
        <v>#REF!</v>
      </c>
      <c r="G1374" s="48" t="e">
        <v>#REF!</v>
      </c>
      <c r="H1374" s="49">
        <v>0</v>
      </c>
      <c r="I1374" s="49" t="e">
        <v>#REF!</v>
      </c>
      <c r="J1374" s="50"/>
    </row>
    <row r="1375" outlineLevel="1" spans="1:10">
      <c r="A1375" s="50">
        <v>427</v>
      </c>
      <c r="B1375" s="51" t="str">
        <v>防火桥架-300*200</v>
      </c>
      <c r="C1375" s="51" t="e">
        <v>#REF!</v>
      </c>
      <c r="D1375" s="51" t="str">
        <v/>
      </c>
      <c r="E1375" s="51" t="str">
        <v/>
      </c>
      <c r="F1375" s="52" t="e">
        <v>#REF!</v>
      </c>
      <c r="G1375" s="48" t="e">
        <v>#REF!</v>
      </c>
      <c r="H1375" s="49">
        <v>1</v>
      </c>
      <c r="I1375" s="49" t="e">
        <v>#REF!</v>
      </c>
      <c r="J1375" s="50"/>
    </row>
    <row r="1376" outlineLevel="1" spans="1:10">
      <c r="A1376" s="50">
        <v>428</v>
      </c>
      <c r="B1376" s="51" t="str">
        <v>防火桥架-300*150</v>
      </c>
      <c r="C1376" s="51" t="e">
        <v>#REF!</v>
      </c>
      <c r="D1376" s="51" t="str">
        <v/>
      </c>
      <c r="E1376" s="51" t="str">
        <v/>
      </c>
      <c r="F1376" s="52" t="e">
        <v>#REF!</v>
      </c>
      <c r="G1376" s="48" t="e">
        <v>#REF!</v>
      </c>
      <c r="H1376" s="49">
        <v>1</v>
      </c>
      <c r="I1376" s="49" t="e">
        <v>#REF!</v>
      </c>
      <c r="J1376" s="50"/>
    </row>
    <row r="1377" outlineLevel="1" spans="1:10">
      <c r="A1377" s="50">
        <v>429</v>
      </c>
      <c r="B1377" s="51" t="str">
        <v>防火桥架-300*100</v>
      </c>
      <c r="C1377" s="51" t="e">
        <v>#REF!</v>
      </c>
      <c r="D1377" s="51" t="str">
        <v/>
      </c>
      <c r="E1377" s="51" t="str">
        <v/>
      </c>
      <c r="F1377" s="52" t="e">
        <v>#REF!</v>
      </c>
      <c r="G1377" s="48" t="e">
        <v>#REF!</v>
      </c>
      <c r="H1377" s="49">
        <v>0</v>
      </c>
      <c r="I1377" s="49" t="e">
        <v>#REF!</v>
      </c>
      <c r="J1377" s="50"/>
    </row>
    <row r="1378" outlineLevel="1" spans="1:10">
      <c r="A1378" s="50">
        <v>430</v>
      </c>
      <c r="B1378" s="51" t="str">
        <v>防火桥架-250*200</v>
      </c>
      <c r="C1378" s="51" t="e">
        <v>#REF!</v>
      </c>
      <c r="D1378" s="51" t="str">
        <v/>
      </c>
      <c r="E1378" s="51" t="str">
        <v/>
      </c>
      <c r="F1378" s="52" t="e">
        <v>#REF!</v>
      </c>
      <c r="G1378" s="48" t="e">
        <v>#REF!</v>
      </c>
      <c r="H1378" s="49">
        <v>0</v>
      </c>
      <c r="I1378" s="49" t="e">
        <v>#REF!</v>
      </c>
      <c r="J1378" s="50"/>
    </row>
    <row r="1379" outlineLevel="1" spans="1:10">
      <c r="A1379" s="50">
        <v>431</v>
      </c>
      <c r="B1379" s="51" t="str">
        <v>防火桥架-200*150</v>
      </c>
      <c r="C1379" s="51" t="e">
        <v>#REF!</v>
      </c>
      <c r="D1379" s="51" t="str">
        <v/>
      </c>
      <c r="E1379" s="51" t="str">
        <v/>
      </c>
      <c r="F1379" s="52" t="e">
        <v>#REF!</v>
      </c>
      <c r="G1379" s="48" t="e">
        <v>#REF!</v>
      </c>
      <c r="H1379" s="49">
        <v>0</v>
      </c>
      <c r="I1379" s="49" t="e">
        <v>#REF!</v>
      </c>
      <c r="J1379" s="50"/>
    </row>
    <row r="1380" outlineLevel="1" spans="1:10">
      <c r="A1380" s="50">
        <v>432</v>
      </c>
      <c r="B1380" s="51" t="str">
        <v>防火桥架-250*100</v>
      </c>
      <c r="C1380" s="51" t="e">
        <v>#REF!</v>
      </c>
      <c r="D1380" s="51" t="str">
        <v/>
      </c>
      <c r="E1380" s="51" t="str">
        <v/>
      </c>
      <c r="F1380" s="52" t="e">
        <v>#REF!</v>
      </c>
      <c r="G1380" s="48" t="e">
        <v>#REF!</v>
      </c>
      <c r="H1380" s="49">
        <v>0</v>
      </c>
      <c r="I1380" s="49" t="e">
        <v>#REF!</v>
      </c>
      <c r="J1380" s="50"/>
    </row>
    <row r="1381" outlineLevel="1" spans="1:10">
      <c r="A1381" s="50">
        <v>433</v>
      </c>
      <c r="B1381" s="51" t="str">
        <v>防火桥架-200*200</v>
      </c>
      <c r="C1381" s="51" t="e">
        <v>#REF!</v>
      </c>
      <c r="D1381" s="51" t="str">
        <v/>
      </c>
      <c r="E1381" s="51" t="str">
        <v/>
      </c>
      <c r="F1381" s="52" t="e">
        <v>#REF!</v>
      </c>
      <c r="G1381" s="48" t="e">
        <v>#REF!</v>
      </c>
      <c r="H1381" s="49">
        <v>0</v>
      </c>
      <c r="I1381" s="49" t="e">
        <v>#REF!</v>
      </c>
      <c r="J1381" s="50"/>
    </row>
    <row r="1382" outlineLevel="1" spans="1:10">
      <c r="A1382" s="50">
        <v>434</v>
      </c>
      <c r="B1382" s="51" t="str">
        <v>防火桥架-200*100</v>
      </c>
      <c r="C1382" s="51" t="e">
        <v>#REF!</v>
      </c>
      <c r="D1382" s="51" t="str">
        <v/>
      </c>
      <c r="E1382" s="51" t="str">
        <v/>
      </c>
      <c r="F1382" s="52" t="e">
        <v>#REF!</v>
      </c>
      <c r="G1382" s="48" t="e">
        <v>#REF!</v>
      </c>
      <c r="H1382" s="49">
        <v>0</v>
      </c>
      <c r="I1382" s="49" t="e">
        <v>#REF!</v>
      </c>
      <c r="J1382" s="50"/>
    </row>
    <row r="1383" outlineLevel="1" spans="1:10">
      <c r="A1383" s="50">
        <v>435</v>
      </c>
      <c r="B1383" s="51" t="str">
        <v>防火桥架-150*100</v>
      </c>
      <c r="C1383" s="51" t="e">
        <v>#REF!</v>
      </c>
      <c r="D1383" s="51" t="str">
        <v/>
      </c>
      <c r="E1383" s="51" t="str">
        <v/>
      </c>
      <c r="F1383" s="52" t="e">
        <v>#REF!</v>
      </c>
      <c r="G1383" s="48" t="e">
        <v>#REF!</v>
      </c>
      <c r="H1383" s="49">
        <v>1</v>
      </c>
      <c r="I1383" s="49" t="e">
        <v>#REF!</v>
      </c>
      <c r="J1383" s="50"/>
    </row>
    <row r="1384" outlineLevel="1" spans="1:10">
      <c r="A1384" s="50">
        <v>436</v>
      </c>
      <c r="B1384" s="51" t="str">
        <v>防火桥架-100*100</v>
      </c>
      <c r="C1384" s="51" t="e">
        <v>#REF!</v>
      </c>
      <c r="D1384" s="51" t="str">
        <v/>
      </c>
      <c r="E1384" s="51" t="str">
        <v/>
      </c>
      <c r="F1384" s="52" t="e">
        <v>#REF!</v>
      </c>
      <c r="G1384" s="48" t="e">
        <v>#REF!</v>
      </c>
      <c r="H1384" s="49">
        <v>0</v>
      </c>
      <c r="I1384" s="49" t="e">
        <v>#REF!</v>
      </c>
      <c r="J1384" s="50"/>
    </row>
    <row r="1385" outlineLevel="1" spans="1:10">
      <c r="A1385" s="50">
        <v>437</v>
      </c>
      <c r="B1385" s="51" t="str">
        <v>金属桥架-800*150</v>
      </c>
      <c r="C1385" s="51" t="e">
        <v>#REF!</v>
      </c>
      <c r="D1385" s="51" t="str">
        <v/>
      </c>
      <c r="E1385" s="51" t="str">
        <v/>
      </c>
      <c r="F1385" s="52" t="e">
        <v>#REF!</v>
      </c>
      <c r="G1385" s="48" t="e">
        <v>#REF!</v>
      </c>
      <c r="H1385" s="49">
        <v>0</v>
      </c>
      <c r="I1385" s="49" t="e">
        <v>#REF!</v>
      </c>
      <c r="J1385" s="50"/>
    </row>
    <row r="1386" outlineLevel="1" spans="1:10">
      <c r="A1386" s="50">
        <v>438</v>
      </c>
      <c r="B1386" s="51" t="str">
        <v>金属桥架-600*200</v>
      </c>
      <c r="C1386" s="51" t="e">
        <v>#REF!</v>
      </c>
      <c r="D1386" s="51" t="str">
        <v/>
      </c>
      <c r="E1386" s="51" t="str">
        <v/>
      </c>
      <c r="F1386" s="52" t="e">
        <v>#REF!</v>
      </c>
      <c r="G1386" s="48" t="e">
        <v>#REF!</v>
      </c>
      <c r="H1386" s="49">
        <v>0</v>
      </c>
      <c r="I1386" s="49" t="e">
        <v>#REF!</v>
      </c>
      <c r="J1386" s="50"/>
    </row>
    <row r="1387" outlineLevel="1" spans="1:10">
      <c r="A1387" s="50">
        <v>439</v>
      </c>
      <c r="B1387" s="51" t="str">
        <v>金属桥架-600*150</v>
      </c>
      <c r="C1387" s="51" t="e">
        <v>#REF!</v>
      </c>
      <c r="D1387" s="51" t="str">
        <v/>
      </c>
      <c r="E1387" s="51" t="str">
        <v/>
      </c>
      <c r="F1387" s="52" t="e">
        <v>#REF!</v>
      </c>
      <c r="G1387" s="48" t="e">
        <v>#REF!</v>
      </c>
      <c r="H1387" s="49">
        <v>0</v>
      </c>
      <c r="I1387" s="49" t="e">
        <v>#REF!</v>
      </c>
      <c r="J1387" s="50"/>
    </row>
    <row r="1388" outlineLevel="1" spans="1:10">
      <c r="A1388" s="50">
        <v>440</v>
      </c>
      <c r="B1388" s="51" t="str">
        <v>金属桥架-500*150</v>
      </c>
      <c r="C1388" s="51" t="e">
        <v>#REF!</v>
      </c>
      <c r="D1388" s="51" t="str">
        <v/>
      </c>
      <c r="E1388" s="51" t="str">
        <v/>
      </c>
      <c r="F1388" s="52" t="e">
        <v>#REF!</v>
      </c>
      <c r="G1388" s="48" t="e">
        <v>#REF!</v>
      </c>
      <c r="H1388" s="49">
        <v>0</v>
      </c>
      <c r="I1388" s="49" t="e">
        <v>#REF!</v>
      </c>
      <c r="J1388" s="50"/>
    </row>
    <row r="1389" outlineLevel="1" spans="1:10">
      <c r="A1389" s="50">
        <v>441</v>
      </c>
      <c r="B1389" s="51" t="str">
        <v>金属桥架-400*150</v>
      </c>
      <c r="C1389" s="51" t="e">
        <v>#REF!</v>
      </c>
      <c r="D1389" s="51" t="str">
        <v/>
      </c>
      <c r="E1389" s="51" t="str">
        <v/>
      </c>
      <c r="F1389" s="52" t="e">
        <v>#REF!</v>
      </c>
      <c r="G1389" s="48" t="e">
        <v>#REF!</v>
      </c>
      <c r="H1389" s="49">
        <v>0</v>
      </c>
      <c r="I1389" s="49" t="e">
        <v>#REF!</v>
      </c>
      <c r="J1389" s="50"/>
    </row>
    <row r="1390" outlineLevel="1" spans="1:10">
      <c r="A1390" s="50">
        <v>442</v>
      </c>
      <c r="B1390" s="51" t="str">
        <v>金属桥架-400*100</v>
      </c>
      <c r="C1390" s="51" t="e">
        <v>#REF!</v>
      </c>
      <c r="D1390" s="51" t="str">
        <v/>
      </c>
      <c r="E1390" s="51" t="str">
        <v/>
      </c>
      <c r="F1390" s="52" t="e">
        <v>#REF!</v>
      </c>
      <c r="G1390" s="48" t="e">
        <v>#REF!</v>
      </c>
      <c r="H1390" s="49">
        <v>0</v>
      </c>
      <c r="I1390" s="49" t="e">
        <v>#REF!</v>
      </c>
      <c r="J1390" s="50"/>
    </row>
    <row r="1391" outlineLevel="1" spans="1:10">
      <c r="A1391" s="50">
        <v>443</v>
      </c>
      <c r="B1391" s="51" t="str">
        <v>金属桥架-350*200</v>
      </c>
      <c r="C1391" s="51" t="e">
        <v>#REF!</v>
      </c>
      <c r="D1391" s="51" t="str">
        <v/>
      </c>
      <c r="E1391" s="51" t="str">
        <v/>
      </c>
      <c r="F1391" s="52" t="e">
        <v>#REF!</v>
      </c>
      <c r="G1391" s="48" t="e">
        <v>#REF!</v>
      </c>
      <c r="H1391" s="49">
        <v>0</v>
      </c>
      <c r="I1391" s="49" t="e">
        <v>#REF!</v>
      </c>
      <c r="J1391" s="50"/>
    </row>
    <row r="1392" outlineLevel="1" spans="1:10">
      <c r="A1392" s="50">
        <v>444</v>
      </c>
      <c r="B1392" s="51" t="str">
        <v>金属桥架-300*200</v>
      </c>
      <c r="C1392" s="51" t="e">
        <v>#REF!</v>
      </c>
      <c r="D1392" s="51" t="str">
        <v/>
      </c>
      <c r="E1392" s="51" t="str">
        <v/>
      </c>
      <c r="F1392" s="52" t="e">
        <v>#REF!</v>
      </c>
      <c r="G1392" s="48" t="e">
        <v>#REF!</v>
      </c>
      <c r="H1392" s="49">
        <v>0</v>
      </c>
      <c r="I1392" s="49" t="e">
        <v>#REF!</v>
      </c>
      <c r="J1392" s="50"/>
    </row>
    <row r="1393" outlineLevel="1" spans="1:10">
      <c r="A1393" s="50">
        <v>445</v>
      </c>
      <c r="B1393" s="51" t="str">
        <v>金属桥架-300*100</v>
      </c>
      <c r="C1393" s="51" t="e">
        <v>#REF!</v>
      </c>
      <c r="D1393" s="51" t="str">
        <v/>
      </c>
      <c r="E1393" s="51" t="str">
        <v/>
      </c>
      <c r="F1393" s="52" t="e">
        <v>#REF!</v>
      </c>
      <c r="G1393" s="48" t="e">
        <v>#REF!</v>
      </c>
      <c r="H1393" s="49">
        <v>0</v>
      </c>
      <c r="I1393" s="49" t="e">
        <v>#REF!</v>
      </c>
      <c r="J1393" s="50"/>
    </row>
    <row r="1394" outlineLevel="1" spans="1:10">
      <c r="A1394" s="50">
        <v>446</v>
      </c>
      <c r="B1394" s="51" t="str">
        <v>金属桥架-200*100</v>
      </c>
      <c r="C1394" s="51" t="e">
        <v>#REF!</v>
      </c>
      <c r="D1394" s="51" t="str">
        <v/>
      </c>
      <c r="E1394" s="51" t="str">
        <v/>
      </c>
      <c r="F1394" s="52" t="e">
        <v>#REF!</v>
      </c>
      <c r="G1394" s="48" t="e">
        <v>#REF!</v>
      </c>
      <c r="H1394" s="49">
        <v>0</v>
      </c>
      <c r="I1394" s="49" t="e">
        <v>#REF!</v>
      </c>
      <c r="J1394" s="50"/>
    </row>
    <row r="1395" outlineLevel="1" spans="1:10">
      <c r="A1395" s="50">
        <v>447</v>
      </c>
      <c r="B1395" s="51" t="str">
        <v>金属桥架-150*100</v>
      </c>
      <c r="C1395" s="51" t="e">
        <v>#REF!</v>
      </c>
      <c r="D1395" s="51" t="str">
        <v/>
      </c>
      <c r="E1395" s="51" t="str">
        <v/>
      </c>
      <c r="F1395" s="52" t="e">
        <v>#REF!</v>
      </c>
      <c r="G1395" s="48" t="e">
        <v>#REF!</v>
      </c>
      <c r="H1395" s="49">
        <v>0</v>
      </c>
      <c r="I1395" s="49" t="e">
        <v>#REF!</v>
      </c>
      <c r="J1395" s="50"/>
    </row>
    <row r="1396" outlineLevel="1" spans="1:10">
      <c r="A1396" s="50">
        <v>448</v>
      </c>
      <c r="B1396" s="51" t="str">
        <v>金属桥架-100*100</v>
      </c>
      <c r="C1396" s="51" t="e">
        <v>#REF!</v>
      </c>
      <c r="D1396" s="51" t="str">
        <v/>
      </c>
      <c r="E1396" s="51" t="str">
        <v/>
      </c>
      <c r="F1396" s="52" t="e">
        <v>#REF!</v>
      </c>
      <c r="G1396" s="48" t="e">
        <v>#REF!</v>
      </c>
      <c r="H1396" s="49">
        <v>0</v>
      </c>
      <c r="I1396" s="49" t="e">
        <v>#REF!</v>
      </c>
      <c r="J1396" s="50"/>
    </row>
    <row r="1397" outlineLevel="1" spans="1:10">
      <c r="A1397" s="50">
        <v>449</v>
      </c>
      <c r="B1397" s="51" t="str">
        <v>电业桥架-750*200</v>
      </c>
      <c r="C1397" s="51" t="e">
        <v>#REF!</v>
      </c>
      <c r="D1397" s="51" t="str">
        <v/>
      </c>
      <c r="E1397" s="51" t="str">
        <v/>
      </c>
      <c r="F1397" s="52" t="e">
        <v>#REF!</v>
      </c>
      <c r="G1397" s="48" t="e">
        <v>#REF!</v>
      </c>
      <c r="H1397" s="49">
        <v>0</v>
      </c>
      <c r="I1397" s="49" t="e">
        <v>#REF!</v>
      </c>
      <c r="J1397" s="50"/>
    </row>
    <row r="1398" outlineLevel="1" spans="1:10">
      <c r="A1398" s="50">
        <v>450</v>
      </c>
      <c r="B1398" s="51" t="str">
        <v>电业桥架-500*200</v>
      </c>
      <c r="C1398" s="51" t="e">
        <v>#REF!</v>
      </c>
      <c r="D1398" s="51" t="str">
        <v/>
      </c>
      <c r="E1398" s="51" t="str">
        <v/>
      </c>
      <c r="F1398" s="52" t="e">
        <v>#REF!</v>
      </c>
      <c r="G1398" s="48" t="e">
        <v>#REF!</v>
      </c>
      <c r="H1398" s="49">
        <v>0</v>
      </c>
      <c r="I1398" s="49" t="e">
        <v>#REF!</v>
      </c>
      <c r="J1398" s="50"/>
    </row>
    <row r="1399" outlineLevel="1" spans="1:10">
      <c r="A1399" s="50">
        <v>451</v>
      </c>
      <c r="B1399" s="51" t="str">
        <v>电业桥架-450*200</v>
      </c>
      <c r="C1399" s="51" t="e">
        <v>#REF!</v>
      </c>
      <c r="D1399" s="51" t="str">
        <v/>
      </c>
      <c r="E1399" s="51" t="str">
        <v/>
      </c>
      <c r="F1399" s="52" t="e">
        <v>#REF!</v>
      </c>
      <c r="G1399" s="48" t="e">
        <v>#REF!</v>
      </c>
      <c r="H1399" s="49">
        <v>0</v>
      </c>
      <c r="I1399" s="49" t="e">
        <v>#REF!</v>
      </c>
      <c r="J1399" s="50"/>
    </row>
    <row r="1400" outlineLevel="1" spans="1:10">
      <c r="A1400" s="50">
        <v>452</v>
      </c>
      <c r="B1400" s="51" t="str">
        <v>电业桥架-400*200</v>
      </c>
      <c r="C1400" s="51" t="e">
        <v>#REF!</v>
      </c>
      <c r="D1400" s="51" t="str">
        <v/>
      </c>
      <c r="E1400" s="51" t="str">
        <v/>
      </c>
      <c r="F1400" s="52" t="e">
        <v>#REF!</v>
      </c>
      <c r="G1400" s="48" t="e">
        <v>#REF!</v>
      </c>
      <c r="H1400" s="49">
        <v>0</v>
      </c>
      <c r="I1400" s="49" t="e">
        <v>#REF!</v>
      </c>
      <c r="J1400" s="50"/>
    </row>
    <row r="1401" outlineLevel="1" spans="1:10">
      <c r="A1401" s="50">
        <v>453</v>
      </c>
      <c r="B1401" s="51" t="str">
        <v>电业桥架-350*200</v>
      </c>
      <c r="C1401" s="51" t="e">
        <v>#REF!</v>
      </c>
      <c r="D1401" s="51" t="str">
        <v/>
      </c>
      <c r="E1401" s="51" t="str">
        <v/>
      </c>
      <c r="F1401" s="52" t="e">
        <v>#REF!</v>
      </c>
      <c r="G1401" s="48" t="e">
        <v>#REF!</v>
      </c>
      <c r="H1401" s="49">
        <v>0</v>
      </c>
      <c r="I1401" s="49" t="e">
        <v>#REF!</v>
      </c>
      <c r="J1401" s="50"/>
    </row>
    <row r="1402" outlineLevel="1" spans="1:10">
      <c r="A1402" s="50">
        <v>454</v>
      </c>
      <c r="B1402" s="51" t="str">
        <v>电业桥架-300*200</v>
      </c>
      <c r="C1402" s="51" t="e">
        <v>#REF!</v>
      </c>
      <c r="D1402" s="51" t="str">
        <v/>
      </c>
      <c r="E1402" s="51" t="str">
        <v/>
      </c>
      <c r="F1402" s="52" t="e">
        <v>#REF!</v>
      </c>
      <c r="G1402" s="48" t="e">
        <v>#REF!</v>
      </c>
      <c r="H1402" s="49">
        <v>0</v>
      </c>
      <c r="I1402" s="49" t="e">
        <v>#REF!</v>
      </c>
      <c r="J1402" s="50"/>
    </row>
    <row r="1403" outlineLevel="1" spans="1:10">
      <c r="A1403" s="50">
        <v>455</v>
      </c>
      <c r="B1403" s="51" t="str">
        <v>电业桥架-200*200</v>
      </c>
      <c r="C1403" s="51" t="e">
        <v>#REF!</v>
      </c>
      <c r="D1403" s="51" t="str">
        <v/>
      </c>
      <c r="E1403" s="51" t="str">
        <v/>
      </c>
      <c r="F1403" s="52" t="e">
        <v>#REF!</v>
      </c>
      <c r="G1403" s="48" t="e">
        <v>#REF!</v>
      </c>
      <c r="H1403" s="49">
        <v>0</v>
      </c>
      <c r="I1403" s="49" t="e">
        <v>#REF!</v>
      </c>
      <c r="J1403" s="50"/>
    </row>
    <row r="1404" outlineLevel="1" spans="1:10">
      <c r="A1404" s="50">
        <v>456</v>
      </c>
      <c r="B1404" s="51" t="str">
        <v>电业桥架-200*150</v>
      </c>
      <c r="C1404" s="51" t="e">
        <v>#REF!</v>
      </c>
      <c r="D1404" s="51" t="str">
        <v/>
      </c>
      <c r="E1404" s="51" t="str">
        <v/>
      </c>
      <c r="F1404" s="52" t="e">
        <v>#REF!</v>
      </c>
      <c r="G1404" s="48" t="e">
        <v>#REF!</v>
      </c>
      <c r="H1404" s="49">
        <v>0</v>
      </c>
      <c r="I1404" s="49" t="e">
        <v>#REF!</v>
      </c>
      <c r="J1404" s="50"/>
    </row>
    <row r="1405" outlineLevel="1" spans="1:10">
      <c r="A1405" s="50">
        <v>457</v>
      </c>
      <c r="B1405" s="51" t="str">
        <v>电业桥架-150*100</v>
      </c>
      <c r="C1405" s="51" t="e">
        <v>#REF!</v>
      </c>
      <c r="D1405" s="51" t="str">
        <v/>
      </c>
      <c r="E1405" s="51" t="str">
        <v/>
      </c>
      <c r="F1405" s="52" t="e">
        <v>#REF!</v>
      </c>
      <c r="G1405" s="48" t="e">
        <v>#REF!</v>
      </c>
      <c r="H1405" s="49">
        <v>0</v>
      </c>
      <c r="I1405" s="49" t="e">
        <v>#REF!</v>
      </c>
      <c r="J1405" s="50"/>
    </row>
    <row r="1406" outlineLevel="1" spans="1:10">
      <c r="A1406" s="50">
        <v>458</v>
      </c>
      <c r="B1406" s="51" t="str">
        <v>防火堵洞</v>
      </c>
      <c r="C1406" s="51" t="e">
        <v>#REF!</v>
      </c>
      <c r="D1406" s="51" t="str">
        <v/>
      </c>
      <c r="E1406" s="51" t="str">
        <v/>
      </c>
      <c r="F1406" s="52" t="e">
        <v>#REF!</v>
      </c>
      <c r="G1406" s="48" t="e">
        <v>#REF!</v>
      </c>
      <c r="H1406" s="49">
        <v>1</v>
      </c>
      <c r="I1406" s="49" t="e">
        <v>#REF!</v>
      </c>
      <c r="J1406" s="50"/>
    </row>
    <row r="1407" outlineLevel="1" spans="1:10">
      <c r="A1407" s="50" t="str">
        <v/>
      </c>
      <c r="B1407" s="51" t="str">
        <v>B.18.3配管配线</v>
      </c>
      <c r="C1407" s="51" t="str">
        <v/>
      </c>
      <c r="D1407" s="51" t="str">
        <v/>
      </c>
      <c r="E1407" s="51" t="str">
        <v/>
      </c>
      <c r="F1407" s="52" t="str">
        <v/>
      </c>
      <c r="G1407" s="48" t="str">
        <v/>
      </c>
      <c r="H1407" s="49">
        <v>0</v>
      </c>
      <c r="I1407" s="49" t="e">
        <v>#REF!</v>
      </c>
      <c r="J1407" s="50"/>
    </row>
    <row r="1408" outlineLevel="1" spans="1:10">
      <c r="A1408" s="50">
        <v>459</v>
      </c>
      <c r="B1408" s="51" t="str">
        <v>阻燃塑料管配管-PC16-暗配</v>
      </c>
      <c r="C1408" s="51" t="e">
        <v>#REF!</v>
      </c>
      <c r="D1408" s="51" t="str">
        <v/>
      </c>
      <c r="E1408" s="51" t="str">
        <v/>
      </c>
      <c r="F1408" s="52" t="e">
        <v>#REF!</v>
      </c>
      <c r="G1408" s="48" t="e">
        <v>#REF!</v>
      </c>
      <c r="H1408" s="49">
        <v>1</v>
      </c>
      <c r="I1408" s="49" t="e">
        <v>#REF!</v>
      </c>
      <c r="J1408" s="50"/>
    </row>
    <row r="1409" outlineLevel="1" spans="1:10">
      <c r="A1409" s="50">
        <v>460</v>
      </c>
      <c r="B1409" s="51" t="str">
        <v>阻燃塑料管配管-PC20-暗配</v>
      </c>
      <c r="C1409" s="51" t="e">
        <v>#REF!</v>
      </c>
      <c r="D1409" s="51" t="str">
        <v/>
      </c>
      <c r="E1409" s="51" t="str">
        <v/>
      </c>
      <c r="F1409" s="52" t="e">
        <v>#REF!</v>
      </c>
      <c r="G1409" s="48" t="e">
        <v>#REF!</v>
      </c>
      <c r="H1409" s="49">
        <v>0</v>
      </c>
      <c r="I1409" s="49" t="e">
        <v>#REF!</v>
      </c>
      <c r="J1409" s="50"/>
    </row>
    <row r="1410" outlineLevel="1" spans="1:10">
      <c r="A1410" s="50">
        <v>461</v>
      </c>
      <c r="B1410" s="51" t="str">
        <v>阻燃塑料管配管-PC25-暗配</v>
      </c>
      <c r="C1410" s="51" t="e">
        <v>#REF!</v>
      </c>
      <c r="D1410" s="51" t="str">
        <v/>
      </c>
      <c r="E1410" s="51" t="str">
        <v/>
      </c>
      <c r="F1410" s="52" t="e">
        <v>#REF!</v>
      </c>
      <c r="G1410" s="48" t="e">
        <v>#REF!</v>
      </c>
      <c r="H1410" s="49">
        <v>0</v>
      </c>
      <c r="I1410" s="49" t="e">
        <v>#REF!</v>
      </c>
      <c r="J1410" s="50"/>
    </row>
    <row r="1411" outlineLevel="1" spans="1:10">
      <c r="A1411" s="50">
        <v>462</v>
      </c>
      <c r="B1411" s="51" t="str">
        <v>阻燃塑料管配管-PC32-暗配</v>
      </c>
      <c r="C1411" s="51" t="e">
        <v>#REF!</v>
      </c>
      <c r="D1411" s="51" t="str">
        <v/>
      </c>
      <c r="E1411" s="51" t="str">
        <v/>
      </c>
      <c r="F1411" s="52" t="e">
        <v>#REF!</v>
      </c>
      <c r="G1411" s="48" t="e">
        <v>#REF!</v>
      </c>
      <c r="H1411" s="49">
        <v>0</v>
      </c>
      <c r="I1411" s="49" t="e">
        <v>#REF!</v>
      </c>
      <c r="J1411" s="50"/>
    </row>
    <row r="1412" outlineLevel="1" spans="1:10">
      <c r="A1412" s="50">
        <v>463</v>
      </c>
      <c r="B1412" s="51" t="str">
        <v>阻燃塑料管配管-PC40-暗配</v>
      </c>
      <c r="C1412" s="51" t="e">
        <v>#REF!</v>
      </c>
      <c r="D1412" s="51" t="str">
        <v/>
      </c>
      <c r="E1412" s="51" t="str">
        <v/>
      </c>
      <c r="F1412" s="52" t="e">
        <v>#REF!</v>
      </c>
      <c r="G1412" s="48" t="e">
        <v>#REF!</v>
      </c>
      <c r="H1412" s="49">
        <v>1</v>
      </c>
      <c r="I1412" s="49" t="e">
        <v>#REF!</v>
      </c>
      <c r="J1412" s="50"/>
    </row>
    <row r="1413" outlineLevel="1" spans="1:10">
      <c r="A1413" s="50">
        <v>464</v>
      </c>
      <c r="B1413" s="51" t="str">
        <v>阻燃塑料管配管-PC16-明配</v>
      </c>
      <c r="C1413" s="51" t="e">
        <v>#REF!</v>
      </c>
      <c r="D1413" s="51" t="str">
        <v/>
      </c>
      <c r="E1413" s="51" t="str">
        <v/>
      </c>
      <c r="F1413" s="52" t="e">
        <v>#REF!</v>
      </c>
      <c r="G1413" s="48" t="e">
        <v>#REF!</v>
      </c>
      <c r="H1413" s="49">
        <v>1</v>
      </c>
      <c r="I1413" s="49" t="e">
        <v>#REF!</v>
      </c>
      <c r="J1413" s="50"/>
    </row>
    <row r="1414" outlineLevel="1" spans="1:10">
      <c r="A1414" s="50">
        <v>465</v>
      </c>
      <c r="B1414" s="51" t="str">
        <v>阻燃塑料管配管-PC20-明配</v>
      </c>
      <c r="C1414" s="51" t="e">
        <v>#REF!</v>
      </c>
      <c r="D1414" s="51" t="str">
        <v/>
      </c>
      <c r="E1414" s="51" t="str">
        <v/>
      </c>
      <c r="F1414" s="52" t="e">
        <v>#REF!</v>
      </c>
      <c r="G1414" s="48" t="e">
        <v>#REF!</v>
      </c>
      <c r="H1414" s="49">
        <v>1</v>
      </c>
      <c r="I1414" s="49" t="e">
        <v>#REF!</v>
      </c>
      <c r="J1414" s="50"/>
    </row>
    <row r="1415" outlineLevel="1" spans="1:10">
      <c r="A1415" s="50">
        <v>466</v>
      </c>
      <c r="B1415" s="51" t="str">
        <v>阻燃塑料管配管-PC25-明配</v>
      </c>
      <c r="C1415" s="51" t="e">
        <v>#REF!</v>
      </c>
      <c r="D1415" s="51" t="str">
        <v/>
      </c>
      <c r="E1415" s="51" t="str">
        <v/>
      </c>
      <c r="F1415" s="52" t="e">
        <v>#REF!</v>
      </c>
      <c r="G1415" s="48" t="e">
        <v>#REF!</v>
      </c>
      <c r="H1415" s="49">
        <v>1</v>
      </c>
      <c r="I1415" s="49" t="e">
        <v>#REF!</v>
      </c>
      <c r="J1415" s="50"/>
    </row>
    <row r="1416" outlineLevel="1" spans="1:10">
      <c r="A1416" s="50">
        <v>467</v>
      </c>
      <c r="B1416" s="51" t="str">
        <v>阻燃塑料管配管-PC32-明配</v>
      </c>
      <c r="C1416" s="51" t="e">
        <v>#REF!</v>
      </c>
      <c r="D1416" s="51" t="str">
        <v/>
      </c>
      <c r="E1416" s="51" t="str">
        <v/>
      </c>
      <c r="F1416" s="52" t="e">
        <v>#REF!</v>
      </c>
      <c r="G1416" s="48" t="e">
        <v>#REF!</v>
      </c>
      <c r="H1416" s="49">
        <v>1</v>
      </c>
      <c r="I1416" s="49" t="e">
        <v>#REF!</v>
      </c>
      <c r="J1416" s="50"/>
    </row>
    <row r="1417" outlineLevel="1" spans="1:10">
      <c r="A1417" s="50">
        <v>468</v>
      </c>
      <c r="B1417" s="51" t="str">
        <v>阻燃塑料管配管-PC40-明配</v>
      </c>
      <c r="C1417" s="51" t="e">
        <v>#REF!</v>
      </c>
      <c r="D1417" s="51" t="str">
        <v/>
      </c>
      <c r="E1417" s="51" t="str">
        <v/>
      </c>
      <c r="F1417" s="52" t="e">
        <v>#REF!</v>
      </c>
      <c r="G1417" s="48" t="e">
        <v>#REF!</v>
      </c>
      <c r="H1417" s="49">
        <v>1</v>
      </c>
      <c r="I1417" s="49" t="e">
        <v>#REF!</v>
      </c>
      <c r="J1417" s="50"/>
    </row>
    <row r="1418" outlineLevel="1" spans="1:10">
      <c r="A1418" s="50">
        <v>469</v>
      </c>
      <c r="B1418" s="51" t="str">
        <v>薄壁钢导管配管-JDG15-暗配</v>
      </c>
      <c r="C1418" s="51" t="e">
        <v>#REF!</v>
      </c>
      <c r="D1418" s="51" t="str">
        <v/>
      </c>
      <c r="E1418" s="51" t="str">
        <v/>
      </c>
      <c r="F1418" s="52" t="e">
        <v>#REF!</v>
      </c>
      <c r="G1418" s="48" t="e">
        <v>#REF!</v>
      </c>
      <c r="H1418" s="49">
        <v>0</v>
      </c>
      <c r="I1418" s="49" t="e">
        <v>#REF!</v>
      </c>
      <c r="J1418" s="50"/>
    </row>
    <row r="1419" outlineLevel="1" spans="1:10">
      <c r="A1419" s="50">
        <v>470</v>
      </c>
      <c r="B1419" s="51" t="str">
        <v>薄壁钢导管配管-JDG20-暗配</v>
      </c>
      <c r="C1419" s="51" t="e">
        <v>#REF!</v>
      </c>
      <c r="D1419" s="51" t="str">
        <v/>
      </c>
      <c r="E1419" s="51" t="str">
        <v/>
      </c>
      <c r="F1419" s="52" t="e">
        <v>#REF!</v>
      </c>
      <c r="G1419" s="48" t="e">
        <v>#REF!</v>
      </c>
      <c r="H1419" s="49">
        <v>0</v>
      </c>
      <c r="I1419" s="49" t="e">
        <v>#REF!</v>
      </c>
      <c r="J1419" s="50"/>
    </row>
    <row r="1420" outlineLevel="1" spans="1:10">
      <c r="A1420" s="50">
        <v>471</v>
      </c>
      <c r="B1420" s="51" t="str">
        <v>薄壁钢导管配管-JDG25-暗配</v>
      </c>
      <c r="C1420" s="51" t="e">
        <v>#REF!</v>
      </c>
      <c r="D1420" s="51" t="str">
        <v/>
      </c>
      <c r="E1420" s="51" t="str">
        <v/>
      </c>
      <c r="F1420" s="52" t="e">
        <v>#REF!</v>
      </c>
      <c r="G1420" s="48" t="e">
        <v>#REF!</v>
      </c>
      <c r="H1420" s="49">
        <v>0</v>
      </c>
      <c r="I1420" s="49" t="e">
        <v>#REF!</v>
      </c>
      <c r="J1420" s="50"/>
    </row>
    <row r="1421" outlineLevel="1" spans="1:10">
      <c r="A1421" s="50">
        <v>472</v>
      </c>
      <c r="B1421" s="51" t="str">
        <v>薄壁钢导管配管-JDG32-暗配</v>
      </c>
      <c r="C1421" s="51" t="e">
        <v>#REF!</v>
      </c>
      <c r="D1421" s="51" t="str">
        <v/>
      </c>
      <c r="E1421" s="51" t="str">
        <v/>
      </c>
      <c r="F1421" s="52" t="e">
        <v>#REF!</v>
      </c>
      <c r="G1421" s="48" t="e">
        <v>#REF!</v>
      </c>
      <c r="H1421" s="49">
        <v>0</v>
      </c>
      <c r="I1421" s="49" t="e">
        <v>#REF!</v>
      </c>
      <c r="J1421" s="50"/>
    </row>
    <row r="1422" outlineLevel="1" spans="1:10">
      <c r="A1422" s="50">
        <v>473</v>
      </c>
      <c r="B1422" s="51" t="str">
        <v>薄壁钢导管配管-JDG40-暗配</v>
      </c>
      <c r="C1422" s="51" t="e">
        <v>#REF!</v>
      </c>
      <c r="D1422" s="51" t="str">
        <v/>
      </c>
      <c r="E1422" s="51" t="str">
        <v/>
      </c>
      <c r="F1422" s="52" t="e">
        <v>#REF!</v>
      </c>
      <c r="G1422" s="48" t="e">
        <v>#REF!</v>
      </c>
      <c r="H1422" s="49">
        <v>0</v>
      </c>
      <c r="I1422" s="49" t="e">
        <v>#REF!</v>
      </c>
      <c r="J1422" s="50"/>
    </row>
    <row r="1423" outlineLevel="1" spans="1:10">
      <c r="A1423" s="50">
        <v>474</v>
      </c>
      <c r="B1423" s="51" t="str">
        <v>SC15-暗配</v>
      </c>
      <c r="C1423" s="51" t="e">
        <v>#REF!</v>
      </c>
      <c r="D1423" s="51" t="str">
        <v/>
      </c>
      <c r="E1423" s="51" t="str">
        <v/>
      </c>
      <c r="F1423" s="52" t="e">
        <v>#REF!</v>
      </c>
      <c r="G1423" s="48" t="e">
        <v>#REF!</v>
      </c>
      <c r="H1423" s="49">
        <v>1</v>
      </c>
      <c r="I1423" s="49" t="e">
        <v>#REF!</v>
      </c>
      <c r="J1423" s="50"/>
    </row>
    <row r="1424" outlineLevel="1" spans="1:10">
      <c r="A1424" s="50">
        <v>475</v>
      </c>
      <c r="B1424" s="51" t="str">
        <v>SC20-暗配</v>
      </c>
      <c r="C1424" s="51" t="e">
        <v>#REF!</v>
      </c>
      <c r="D1424" s="51" t="str">
        <v/>
      </c>
      <c r="E1424" s="51" t="str">
        <v/>
      </c>
      <c r="F1424" s="52" t="e">
        <v>#REF!</v>
      </c>
      <c r="G1424" s="48" t="e">
        <v>#REF!</v>
      </c>
      <c r="H1424" s="49">
        <v>0</v>
      </c>
      <c r="I1424" s="49" t="e">
        <v>#REF!</v>
      </c>
      <c r="J1424" s="50"/>
    </row>
    <row r="1425" outlineLevel="1" spans="1:10">
      <c r="A1425" s="50">
        <v>476</v>
      </c>
      <c r="B1425" s="51" t="str">
        <v>SC25-暗配</v>
      </c>
      <c r="C1425" s="51" t="e">
        <v>#REF!</v>
      </c>
      <c r="D1425" s="51" t="str">
        <v/>
      </c>
      <c r="E1425" s="51" t="str">
        <v/>
      </c>
      <c r="F1425" s="52" t="e">
        <v>#REF!</v>
      </c>
      <c r="G1425" s="48" t="e">
        <v>#REF!</v>
      </c>
      <c r="H1425" s="49">
        <v>1</v>
      </c>
      <c r="I1425" s="49" t="e">
        <v>#REF!</v>
      </c>
      <c r="J1425" s="50"/>
    </row>
    <row r="1426" outlineLevel="1" spans="1:10">
      <c r="A1426" s="50">
        <v>477</v>
      </c>
      <c r="B1426" s="51" t="str">
        <v>SC32-暗配</v>
      </c>
      <c r="C1426" s="51" t="e">
        <v>#REF!</v>
      </c>
      <c r="D1426" s="51" t="str">
        <v/>
      </c>
      <c r="E1426" s="51" t="str">
        <v/>
      </c>
      <c r="F1426" s="52" t="e">
        <v>#REF!</v>
      </c>
      <c r="G1426" s="48" t="e">
        <v>#REF!</v>
      </c>
      <c r="H1426" s="49">
        <v>0</v>
      </c>
      <c r="I1426" s="49" t="e">
        <v>#REF!</v>
      </c>
      <c r="J1426" s="50"/>
    </row>
    <row r="1427" outlineLevel="1" spans="1:10">
      <c r="A1427" s="50">
        <v>478</v>
      </c>
      <c r="B1427" s="51" t="str">
        <v>SC40-暗配</v>
      </c>
      <c r="C1427" s="51" t="e">
        <v>#REF!</v>
      </c>
      <c r="D1427" s="51" t="str">
        <v/>
      </c>
      <c r="E1427" s="51" t="str">
        <v/>
      </c>
      <c r="F1427" s="52" t="e">
        <v>#REF!</v>
      </c>
      <c r="G1427" s="48" t="e">
        <v>#REF!</v>
      </c>
      <c r="H1427" s="49">
        <v>0</v>
      </c>
      <c r="I1427" s="49" t="e">
        <v>#REF!</v>
      </c>
      <c r="J1427" s="50"/>
    </row>
    <row r="1428" outlineLevel="1" spans="1:10">
      <c r="A1428" s="50">
        <v>479</v>
      </c>
      <c r="B1428" s="51" t="str">
        <v>SC50-暗配</v>
      </c>
      <c r="C1428" s="51" t="e">
        <v>#REF!</v>
      </c>
      <c r="D1428" s="51" t="str">
        <v/>
      </c>
      <c r="E1428" s="51" t="str">
        <v/>
      </c>
      <c r="F1428" s="52" t="e">
        <v>#REF!</v>
      </c>
      <c r="G1428" s="48" t="e">
        <v>#REF!</v>
      </c>
      <c r="H1428" s="49">
        <v>0</v>
      </c>
      <c r="I1428" s="49" t="e">
        <v>#REF!</v>
      </c>
      <c r="J1428" s="50"/>
    </row>
    <row r="1429" outlineLevel="1" spans="1:10">
      <c r="A1429" s="50">
        <v>480</v>
      </c>
      <c r="B1429" s="51" t="str">
        <v>SC70-暗配</v>
      </c>
      <c r="C1429" s="51" t="e">
        <v>#REF!</v>
      </c>
      <c r="D1429" s="51" t="str">
        <v/>
      </c>
      <c r="E1429" s="51" t="str">
        <v/>
      </c>
      <c r="F1429" s="52" t="e">
        <v>#REF!</v>
      </c>
      <c r="G1429" s="48" t="e">
        <v>#REF!</v>
      </c>
      <c r="H1429" s="49">
        <v>0</v>
      </c>
      <c r="I1429" s="49" t="e">
        <v>#REF!</v>
      </c>
      <c r="J1429" s="50"/>
    </row>
    <row r="1430" outlineLevel="1" spans="1:10">
      <c r="A1430" s="50">
        <v>481</v>
      </c>
      <c r="B1430" s="51" t="str">
        <v>SC100-暗配</v>
      </c>
      <c r="C1430" s="51" t="e">
        <v>#REF!</v>
      </c>
      <c r="D1430" s="51" t="str">
        <v/>
      </c>
      <c r="E1430" s="51" t="str">
        <v/>
      </c>
      <c r="F1430" s="52" t="e">
        <v>#REF!</v>
      </c>
      <c r="G1430" s="48" t="e">
        <v>#REF!</v>
      </c>
      <c r="H1430" s="49">
        <v>6.14</v>
      </c>
      <c r="I1430" s="49" t="e">
        <v>#REF!</v>
      </c>
      <c r="J1430" s="50"/>
    </row>
    <row r="1431" outlineLevel="1" spans="1:10">
      <c r="A1431" s="50">
        <v>482</v>
      </c>
      <c r="B1431" s="51" t="str">
        <v>SC150-暗配</v>
      </c>
      <c r="C1431" s="51" t="e">
        <v>#REF!</v>
      </c>
      <c r="D1431" s="51" t="str">
        <v/>
      </c>
      <c r="E1431" s="51" t="str">
        <v/>
      </c>
      <c r="F1431" s="52" t="e">
        <v>#REF!</v>
      </c>
      <c r="G1431" s="48" t="e">
        <v>#REF!</v>
      </c>
      <c r="H1431" s="49">
        <v>0</v>
      </c>
      <c r="I1431" s="49" t="e">
        <v>#REF!</v>
      </c>
      <c r="J1431" s="50"/>
    </row>
    <row r="1432" outlineLevel="1" spans="1:10">
      <c r="A1432" s="50">
        <v>483</v>
      </c>
      <c r="B1432" s="51" t="str">
        <v>SC32-明配</v>
      </c>
      <c r="C1432" s="51" t="e">
        <v>#REF!</v>
      </c>
      <c r="D1432" s="51" t="str">
        <v/>
      </c>
      <c r="E1432" s="51" t="str">
        <v/>
      </c>
      <c r="F1432" s="52" t="e">
        <v>#REF!</v>
      </c>
      <c r="G1432" s="48" t="e">
        <v>#REF!</v>
      </c>
      <c r="H1432" s="49">
        <v>0</v>
      </c>
      <c r="I1432" s="49" t="e">
        <v>#REF!</v>
      </c>
      <c r="J1432" s="50"/>
    </row>
    <row r="1433" outlineLevel="1" spans="1:10">
      <c r="A1433" s="50">
        <v>484</v>
      </c>
      <c r="B1433" s="51" t="str">
        <v>SC40-明配</v>
      </c>
      <c r="C1433" s="51" t="e">
        <v>#REF!</v>
      </c>
      <c r="D1433" s="51" t="str">
        <v/>
      </c>
      <c r="E1433" s="51" t="str">
        <v/>
      </c>
      <c r="F1433" s="52" t="e">
        <v>#REF!</v>
      </c>
      <c r="G1433" s="48" t="e">
        <v>#REF!</v>
      </c>
      <c r="H1433" s="49">
        <v>1</v>
      </c>
      <c r="I1433" s="49" t="e">
        <v>#REF!</v>
      </c>
      <c r="J1433" s="50"/>
    </row>
    <row r="1434" outlineLevel="1" spans="1:10">
      <c r="A1434" s="50">
        <v>485</v>
      </c>
      <c r="B1434" s="51" t="str">
        <v>SC50-明配</v>
      </c>
      <c r="C1434" s="51" t="e">
        <v>#REF!</v>
      </c>
      <c r="D1434" s="51" t="str">
        <v/>
      </c>
      <c r="E1434" s="51" t="str">
        <v/>
      </c>
      <c r="F1434" s="52" t="e">
        <v>#REF!</v>
      </c>
      <c r="G1434" s="48" t="e">
        <v>#REF!</v>
      </c>
      <c r="H1434" s="49">
        <v>1</v>
      </c>
      <c r="I1434" s="49" t="e">
        <v>#REF!</v>
      </c>
      <c r="J1434" s="50"/>
    </row>
    <row r="1435" outlineLevel="1" spans="1:10">
      <c r="A1435" s="50">
        <v>486</v>
      </c>
      <c r="B1435" s="51" t="str">
        <v>SC70-明配</v>
      </c>
      <c r="C1435" s="51" t="e">
        <v>#REF!</v>
      </c>
      <c r="D1435" s="51" t="str">
        <v/>
      </c>
      <c r="E1435" s="51" t="str">
        <v/>
      </c>
      <c r="F1435" s="52" t="e">
        <v>#REF!</v>
      </c>
      <c r="G1435" s="48" t="e">
        <v>#REF!</v>
      </c>
      <c r="H1435" s="49">
        <v>1</v>
      </c>
      <c r="I1435" s="49" t="e">
        <v>#REF!</v>
      </c>
      <c r="J1435" s="50"/>
    </row>
    <row r="1436" outlineLevel="1" spans="1:10">
      <c r="A1436" s="50">
        <v>487</v>
      </c>
      <c r="B1436" s="51" t="str">
        <v>RC15-暗配</v>
      </c>
      <c r="C1436" s="51" t="e">
        <v>#REF!</v>
      </c>
      <c r="D1436" s="51" t="str">
        <v/>
      </c>
      <c r="E1436" s="51" t="str">
        <v/>
      </c>
      <c r="F1436" s="52" t="e">
        <v>#REF!</v>
      </c>
      <c r="G1436" s="48" t="e">
        <v>#REF!</v>
      </c>
      <c r="H1436" s="49">
        <v>0</v>
      </c>
      <c r="I1436" s="49" t="e">
        <v>#REF!</v>
      </c>
      <c r="J1436" s="50"/>
    </row>
    <row r="1437" outlineLevel="1" spans="1:10">
      <c r="A1437" s="50">
        <v>488</v>
      </c>
      <c r="B1437" s="51" t="str">
        <v>RC20-暗配</v>
      </c>
      <c r="C1437" s="51" t="e">
        <v>#REF!</v>
      </c>
      <c r="D1437" s="51" t="str">
        <v/>
      </c>
      <c r="E1437" s="51" t="str">
        <v/>
      </c>
      <c r="F1437" s="52" t="e">
        <v>#REF!</v>
      </c>
      <c r="G1437" s="48" t="e">
        <v>#REF!</v>
      </c>
      <c r="H1437" s="49">
        <v>0</v>
      </c>
      <c r="I1437" s="49" t="e">
        <v>#REF!</v>
      </c>
      <c r="J1437" s="50"/>
    </row>
    <row r="1438" outlineLevel="1" spans="1:10">
      <c r="A1438" s="50">
        <v>489</v>
      </c>
      <c r="B1438" s="51" t="str">
        <v>RC25-暗配</v>
      </c>
      <c r="C1438" s="51" t="e">
        <v>#REF!</v>
      </c>
      <c r="D1438" s="51" t="str">
        <v/>
      </c>
      <c r="E1438" s="51" t="str">
        <v/>
      </c>
      <c r="F1438" s="52" t="e">
        <v>#REF!</v>
      </c>
      <c r="G1438" s="48" t="e">
        <v>#REF!</v>
      </c>
      <c r="H1438" s="49">
        <v>0</v>
      </c>
      <c r="I1438" s="49" t="e">
        <v>#REF!</v>
      </c>
      <c r="J1438" s="50"/>
    </row>
    <row r="1439" outlineLevel="1" spans="1:10">
      <c r="A1439" s="50">
        <v>490</v>
      </c>
      <c r="B1439" s="51" t="str">
        <v>RC32-暗配</v>
      </c>
      <c r="C1439" s="51" t="e">
        <v>#REF!</v>
      </c>
      <c r="D1439" s="51" t="str">
        <v/>
      </c>
      <c r="E1439" s="51" t="str">
        <v/>
      </c>
      <c r="F1439" s="52" t="e">
        <v>#REF!</v>
      </c>
      <c r="G1439" s="48" t="e">
        <v>#REF!</v>
      </c>
      <c r="H1439" s="49">
        <v>0</v>
      </c>
      <c r="I1439" s="49">
        <v>0</v>
      </c>
      <c r="J1439" s="50"/>
    </row>
    <row r="1440" outlineLevel="1" spans="1:10">
      <c r="A1440" s="50">
        <v>491</v>
      </c>
      <c r="B1440" s="51" t="str">
        <v>RC40-暗配</v>
      </c>
      <c r="C1440" s="51" t="e">
        <v>#REF!</v>
      </c>
      <c r="D1440" s="51" t="str">
        <v/>
      </c>
      <c r="E1440" s="51" t="str">
        <v/>
      </c>
      <c r="F1440" s="52" t="e">
        <v>#REF!</v>
      </c>
      <c r="G1440" s="48" t="e">
        <v>#REF!</v>
      </c>
      <c r="H1440" s="49">
        <v>0</v>
      </c>
      <c r="I1440" s="49" t="e">
        <v>#REF!</v>
      </c>
      <c r="J1440" s="50"/>
    </row>
    <row r="1441" outlineLevel="1" spans="1:10">
      <c r="A1441" s="50">
        <v>492</v>
      </c>
      <c r="B1441" s="51" t="str">
        <v>RC50-暗配</v>
      </c>
      <c r="C1441" s="51" t="e">
        <v>#REF!</v>
      </c>
      <c r="D1441" s="51" t="str">
        <v/>
      </c>
      <c r="E1441" s="51" t="str">
        <v/>
      </c>
      <c r="F1441" s="52" t="e">
        <v>#REF!</v>
      </c>
      <c r="G1441" s="48" t="e">
        <v>#REF!</v>
      </c>
      <c r="H1441" s="49">
        <v>0</v>
      </c>
      <c r="I1441" s="49" t="e">
        <v>#REF!</v>
      </c>
      <c r="J1441" s="50"/>
    </row>
    <row r="1442" outlineLevel="1" spans="1:10">
      <c r="A1442" s="50">
        <v>493</v>
      </c>
      <c r="B1442" s="51" t="str">
        <v>RC15-明配</v>
      </c>
      <c r="C1442" s="51" t="e">
        <v>#REF!</v>
      </c>
      <c r="D1442" s="51" t="str">
        <v/>
      </c>
      <c r="E1442" s="51" t="str">
        <v/>
      </c>
      <c r="F1442" s="52" t="e">
        <v>#REF!</v>
      </c>
      <c r="G1442" s="48" t="e">
        <v>#REF!</v>
      </c>
      <c r="H1442" s="49">
        <v>0</v>
      </c>
      <c r="I1442" s="49" t="e">
        <v>#REF!</v>
      </c>
      <c r="J1442" s="50"/>
    </row>
    <row r="1443" outlineLevel="1" spans="1:10">
      <c r="A1443" s="50">
        <v>494</v>
      </c>
      <c r="B1443" s="51" t="str">
        <v>RC20-明配</v>
      </c>
      <c r="C1443" s="51" t="e">
        <v>#REF!</v>
      </c>
      <c r="D1443" s="51" t="str">
        <v/>
      </c>
      <c r="E1443" s="51" t="str">
        <v/>
      </c>
      <c r="F1443" s="52" t="e">
        <v>#REF!</v>
      </c>
      <c r="G1443" s="48" t="e">
        <v>#REF!</v>
      </c>
      <c r="H1443" s="49">
        <v>0</v>
      </c>
      <c r="I1443" s="49" t="e">
        <v>#REF!</v>
      </c>
      <c r="J1443" s="50"/>
    </row>
    <row r="1444" outlineLevel="1" spans="1:10">
      <c r="A1444" s="50">
        <v>495</v>
      </c>
      <c r="B1444" s="51" t="str">
        <v>RC25-明配</v>
      </c>
      <c r="C1444" s="51" t="e">
        <v>#REF!</v>
      </c>
      <c r="D1444" s="51" t="str">
        <v/>
      </c>
      <c r="E1444" s="51" t="str">
        <v/>
      </c>
      <c r="F1444" s="52" t="e">
        <v>#REF!</v>
      </c>
      <c r="G1444" s="48" t="e">
        <v>#REF!</v>
      </c>
      <c r="H1444" s="49">
        <v>0</v>
      </c>
      <c r="I1444" s="49" t="e">
        <v>#REF!</v>
      </c>
      <c r="J1444" s="50"/>
    </row>
    <row r="1445" outlineLevel="1" spans="1:10">
      <c r="A1445" s="50">
        <v>496</v>
      </c>
      <c r="B1445" s="51" t="str">
        <v>RC32-明配</v>
      </c>
      <c r="C1445" s="51" t="e">
        <v>#REF!</v>
      </c>
      <c r="D1445" s="51" t="str">
        <v/>
      </c>
      <c r="E1445" s="51" t="str">
        <v/>
      </c>
      <c r="F1445" s="52" t="e">
        <v>#REF!</v>
      </c>
      <c r="G1445" s="48" t="e">
        <v>#REF!</v>
      </c>
      <c r="H1445" s="49">
        <v>0</v>
      </c>
      <c r="I1445" s="49" t="e">
        <v>#REF!</v>
      </c>
      <c r="J1445" s="50"/>
    </row>
    <row r="1446" outlineLevel="1" spans="1:10">
      <c r="A1446" s="50">
        <v>497</v>
      </c>
      <c r="B1446" s="51" t="str">
        <v>RC40-明配</v>
      </c>
      <c r="C1446" s="51" t="e">
        <v>#REF!</v>
      </c>
      <c r="D1446" s="51" t="str">
        <v/>
      </c>
      <c r="E1446" s="51" t="str">
        <v/>
      </c>
      <c r="F1446" s="52" t="e">
        <v>#REF!</v>
      </c>
      <c r="G1446" s="48" t="e">
        <v>#REF!</v>
      </c>
      <c r="H1446" s="49">
        <v>0</v>
      </c>
      <c r="I1446" s="49" t="e">
        <v>#REF!</v>
      </c>
      <c r="J1446" s="50"/>
    </row>
    <row r="1447" outlineLevel="1" spans="1:10">
      <c r="A1447" s="50">
        <v>498</v>
      </c>
      <c r="B1447" s="51" t="str">
        <v>RC50-明配</v>
      </c>
      <c r="C1447" s="51" t="e">
        <v>#REF!</v>
      </c>
      <c r="D1447" s="51" t="str">
        <v/>
      </c>
      <c r="E1447" s="51" t="str">
        <v/>
      </c>
      <c r="F1447" s="52" t="e">
        <v>#REF!</v>
      </c>
      <c r="G1447" s="48" t="e">
        <v>#REF!</v>
      </c>
      <c r="H1447" s="49">
        <v>0</v>
      </c>
      <c r="I1447" s="49" t="e">
        <v>#REF!</v>
      </c>
      <c r="J1447" s="50"/>
    </row>
    <row r="1448" outlineLevel="1" spans="1:10">
      <c r="A1448" s="50">
        <v>499</v>
      </c>
      <c r="B1448" s="51" t="str">
        <v>电缆保护管-阻水钢板1</v>
      </c>
      <c r="C1448" s="51" t="e">
        <v>#REF!</v>
      </c>
      <c r="D1448" s="51" t="str">
        <v/>
      </c>
      <c r="E1448" s="51" t="str">
        <v/>
      </c>
      <c r="F1448" s="52" t="e">
        <v>#REF!</v>
      </c>
      <c r="G1448" s="48" t="e">
        <v>#REF!</v>
      </c>
      <c r="H1448" s="49">
        <v>0</v>
      </c>
      <c r="I1448" s="49" t="e">
        <v>#REF!</v>
      </c>
      <c r="J1448" s="50"/>
    </row>
    <row r="1449" outlineLevel="1" spans="1:10">
      <c r="A1449" s="50">
        <v>500</v>
      </c>
      <c r="B1449" s="51" t="str">
        <v>电缆保护管-阻水钢板2</v>
      </c>
      <c r="C1449" s="51" t="e">
        <v>#REF!</v>
      </c>
      <c r="D1449" s="51" t="str">
        <v/>
      </c>
      <c r="E1449" s="51" t="str">
        <v/>
      </c>
      <c r="F1449" s="52" t="e">
        <v>#REF!</v>
      </c>
      <c r="G1449" s="48" t="e">
        <v>#REF!</v>
      </c>
      <c r="H1449" s="49">
        <v>0</v>
      </c>
      <c r="I1449" s="49" t="e">
        <v>#REF!</v>
      </c>
      <c r="J1449" s="50"/>
    </row>
    <row r="1450" outlineLevel="1" spans="1:10">
      <c r="A1450" s="50">
        <v>501</v>
      </c>
      <c r="B1450" s="51" t="str">
        <v>电缆保护管-阻水钢板3</v>
      </c>
      <c r="C1450" s="51" t="e">
        <v>#REF!</v>
      </c>
      <c r="D1450" s="51" t="str">
        <v/>
      </c>
      <c r="E1450" s="51" t="str">
        <v/>
      </c>
      <c r="F1450" s="52" t="e">
        <v>#REF!</v>
      </c>
      <c r="G1450" s="48" t="e">
        <v>#REF!</v>
      </c>
      <c r="H1450" s="49">
        <v>0</v>
      </c>
      <c r="I1450" s="49" t="e">
        <v>#REF!</v>
      </c>
      <c r="J1450" s="50"/>
    </row>
    <row r="1451" outlineLevel="1" spans="1:10">
      <c r="A1451" s="50">
        <v>502</v>
      </c>
      <c r="B1451" s="51" t="str">
        <v>电缆保护管-止水翼环1</v>
      </c>
      <c r="C1451" s="51" t="e">
        <v>#REF!</v>
      </c>
      <c r="D1451" s="51" t="str">
        <v/>
      </c>
      <c r="E1451" s="51" t="str">
        <v/>
      </c>
      <c r="F1451" s="52" t="e">
        <v>#REF!</v>
      </c>
      <c r="G1451" s="48" t="e">
        <v>#REF!</v>
      </c>
      <c r="H1451" s="49">
        <v>0</v>
      </c>
      <c r="I1451" s="49" t="e">
        <v>#REF!</v>
      </c>
      <c r="J1451" s="50"/>
    </row>
    <row r="1452" outlineLevel="1" spans="1:10">
      <c r="A1452" s="50">
        <v>503</v>
      </c>
      <c r="B1452" s="51" t="str">
        <v>电缆保护管-止水翼环2</v>
      </c>
      <c r="C1452" s="51" t="e">
        <v>#REF!</v>
      </c>
      <c r="D1452" s="51" t="str">
        <v/>
      </c>
      <c r="E1452" s="51" t="str">
        <v/>
      </c>
      <c r="F1452" s="52" t="e">
        <v>#REF!</v>
      </c>
      <c r="G1452" s="48" t="e">
        <v>#REF!</v>
      </c>
      <c r="H1452" s="49">
        <v>0</v>
      </c>
      <c r="I1452" s="49" t="e">
        <v>#REF!</v>
      </c>
      <c r="J1452" s="50"/>
    </row>
    <row r="1453" outlineLevel="1" spans="1:10">
      <c r="A1453" s="50">
        <v>504</v>
      </c>
      <c r="B1453" s="51" t="str">
        <v>电缆保护管-止水翼环3</v>
      </c>
      <c r="C1453" s="51" t="e">
        <v>#REF!</v>
      </c>
      <c r="D1453" s="51" t="str">
        <v/>
      </c>
      <c r="E1453" s="51" t="str">
        <v/>
      </c>
      <c r="F1453" s="52" t="e">
        <v>#REF!</v>
      </c>
      <c r="G1453" s="48" t="e">
        <v>#REF!</v>
      </c>
      <c r="H1453" s="49">
        <v>0</v>
      </c>
      <c r="I1453" s="49" t="e">
        <v>#REF!</v>
      </c>
      <c r="J1453" s="50"/>
    </row>
    <row r="1454" outlineLevel="1" spans="1:10">
      <c r="A1454" s="50">
        <v>505</v>
      </c>
      <c r="B1454" s="51" t="str">
        <v>电缆保护管-止水翼环4</v>
      </c>
      <c r="C1454" s="51" t="e">
        <v>#REF!</v>
      </c>
      <c r="D1454" s="51" t="str">
        <v/>
      </c>
      <c r="E1454" s="51" t="str">
        <v/>
      </c>
      <c r="F1454" s="52" t="e">
        <v>#REF!</v>
      </c>
      <c r="G1454" s="48" t="e">
        <v>#REF!</v>
      </c>
      <c r="H1454" s="49">
        <v>0</v>
      </c>
      <c r="I1454" s="49" t="e">
        <v>#REF!</v>
      </c>
      <c r="J1454" s="50"/>
    </row>
    <row r="1455" outlineLevel="1" spans="1:10">
      <c r="A1455" s="50">
        <v>506</v>
      </c>
      <c r="B1455" s="51" t="str">
        <v>电缆保护管-止水翼环5</v>
      </c>
      <c r="C1455" s="51" t="e">
        <v>#REF!</v>
      </c>
      <c r="D1455" s="51" t="str">
        <v/>
      </c>
      <c r="E1455" s="51" t="str">
        <v/>
      </c>
      <c r="F1455" s="52" t="e">
        <v>#REF!</v>
      </c>
      <c r="G1455" s="48" t="e">
        <v>#REF!</v>
      </c>
      <c r="H1455" s="49">
        <v>0</v>
      </c>
      <c r="I1455" s="49" t="e">
        <v>#REF!</v>
      </c>
      <c r="J1455" s="50"/>
    </row>
    <row r="1456" outlineLevel="1" spans="1:10">
      <c r="A1456" s="50">
        <v>507</v>
      </c>
      <c r="B1456" s="51" t="str">
        <v>电缆保护管-RC150</v>
      </c>
      <c r="C1456" s="51" t="e">
        <v>#REF!</v>
      </c>
      <c r="D1456" s="51" t="str">
        <v/>
      </c>
      <c r="E1456" s="51" t="str">
        <v/>
      </c>
      <c r="F1456" s="52" t="e">
        <v>#REF!</v>
      </c>
      <c r="G1456" s="48" t="e">
        <v>#REF!</v>
      </c>
      <c r="H1456" s="49">
        <v>0</v>
      </c>
      <c r="I1456" s="49" t="e">
        <v>#REF!</v>
      </c>
      <c r="J1456" s="50"/>
    </row>
    <row r="1457" outlineLevel="1" spans="1:10">
      <c r="A1457" s="50">
        <v>508</v>
      </c>
      <c r="B1457" s="51" t="str">
        <v>电缆保护管-RC100</v>
      </c>
      <c r="C1457" s="51" t="e">
        <v>#REF!</v>
      </c>
      <c r="D1457" s="51" t="str">
        <v/>
      </c>
      <c r="E1457" s="51" t="str">
        <v/>
      </c>
      <c r="F1457" s="52" t="e">
        <v>#REF!</v>
      </c>
      <c r="G1457" s="48" t="e">
        <v>#REF!</v>
      </c>
      <c r="H1457" s="49">
        <v>0</v>
      </c>
      <c r="I1457" s="49" t="e">
        <v>#REF!</v>
      </c>
      <c r="J1457" s="50"/>
    </row>
    <row r="1458" outlineLevel="1" spans="1:10">
      <c r="A1458" s="50">
        <v>509</v>
      </c>
      <c r="B1458" s="51" t="str">
        <v>电缆保护管-RC80</v>
      </c>
      <c r="C1458" s="51" t="e">
        <v>#REF!</v>
      </c>
      <c r="D1458" s="51" t="str">
        <v/>
      </c>
      <c r="E1458" s="51" t="str">
        <v/>
      </c>
      <c r="F1458" s="52" t="e">
        <v>#REF!</v>
      </c>
      <c r="G1458" s="48" t="e">
        <v>#REF!</v>
      </c>
      <c r="H1458" s="49">
        <v>0</v>
      </c>
      <c r="I1458" s="49" t="e">
        <v>#REF!</v>
      </c>
      <c r="J1458" s="50"/>
    </row>
    <row r="1459" outlineLevel="1" spans="1:10">
      <c r="A1459" s="50">
        <v>510</v>
      </c>
      <c r="B1459" s="51" t="str">
        <v>电缆保护管-RC50</v>
      </c>
      <c r="C1459" s="51" t="e">
        <v>#REF!</v>
      </c>
      <c r="D1459" s="51" t="str">
        <v/>
      </c>
      <c r="E1459" s="51" t="str">
        <v/>
      </c>
      <c r="F1459" s="52" t="e">
        <v>#REF!</v>
      </c>
      <c r="G1459" s="48" t="e">
        <v>#REF!</v>
      </c>
      <c r="H1459" s="49">
        <v>0</v>
      </c>
      <c r="I1459" s="49" t="e">
        <v>#REF!</v>
      </c>
      <c r="J1459" s="50"/>
    </row>
    <row r="1460" outlineLevel="1" spans="1:10">
      <c r="A1460" s="50">
        <v>511</v>
      </c>
      <c r="B1460" s="51" t="str">
        <v>密闭肋套管-DN15至32</v>
      </c>
      <c r="C1460" s="51" t="e">
        <v>#REF!</v>
      </c>
      <c r="D1460" s="51" t="str">
        <v/>
      </c>
      <c r="E1460" s="51" t="str">
        <v/>
      </c>
      <c r="F1460" s="52" t="e">
        <v>#REF!</v>
      </c>
      <c r="G1460" s="48" t="e">
        <v>#REF!</v>
      </c>
      <c r="H1460" s="49">
        <v>0</v>
      </c>
      <c r="I1460" s="49" t="e">
        <v>#REF!</v>
      </c>
      <c r="J1460" s="50"/>
    </row>
    <row r="1461" outlineLevel="1" spans="1:10">
      <c r="A1461" s="50">
        <v>512</v>
      </c>
      <c r="B1461" s="51" t="str">
        <v>密闭肋套管-DN50</v>
      </c>
      <c r="C1461" s="51" t="e">
        <v>#REF!</v>
      </c>
      <c r="D1461" s="51" t="str">
        <v/>
      </c>
      <c r="E1461" s="51" t="str">
        <v/>
      </c>
      <c r="F1461" s="52" t="e">
        <v>#REF!</v>
      </c>
      <c r="G1461" s="48" t="e">
        <v>#REF!</v>
      </c>
      <c r="H1461" s="49">
        <v>0</v>
      </c>
      <c r="I1461" s="49" t="e">
        <v>#REF!</v>
      </c>
      <c r="J1461" s="50"/>
    </row>
    <row r="1462" outlineLevel="1" spans="1:10">
      <c r="A1462" s="50">
        <v>513</v>
      </c>
      <c r="B1462" s="51" t="str">
        <v>密闭肋套管-DN65至70</v>
      </c>
      <c r="C1462" s="51" t="e">
        <v>#REF!</v>
      </c>
      <c r="D1462" s="51" t="str">
        <v/>
      </c>
      <c r="E1462" s="51" t="str">
        <v/>
      </c>
      <c r="F1462" s="52" t="e">
        <v>#REF!</v>
      </c>
      <c r="G1462" s="48" t="e">
        <v>#REF!</v>
      </c>
      <c r="H1462" s="49">
        <v>0</v>
      </c>
      <c r="I1462" s="49" t="e">
        <v>#REF!</v>
      </c>
      <c r="J1462" s="50"/>
    </row>
    <row r="1463" outlineLevel="1" spans="1:10">
      <c r="A1463" s="50">
        <v>514</v>
      </c>
      <c r="B1463" s="51" t="str">
        <v>密闭肋套管-DN80至100</v>
      </c>
      <c r="C1463" s="51" t="e">
        <v>#REF!</v>
      </c>
      <c r="D1463" s="51" t="str">
        <v/>
      </c>
      <c r="E1463" s="51" t="str">
        <v/>
      </c>
      <c r="F1463" s="52" t="e">
        <v>#REF!</v>
      </c>
      <c r="G1463" s="48" t="e">
        <v>#REF!</v>
      </c>
      <c r="H1463" s="49">
        <v>0</v>
      </c>
      <c r="I1463" s="49" t="e">
        <v>#REF!</v>
      </c>
      <c r="J1463" s="50"/>
    </row>
    <row r="1464" outlineLevel="1" spans="1:10">
      <c r="A1464" s="50">
        <v>515</v>
      </c>
      <c r="B1464" s="51" t="str">
        <v>排污泵防水电缆</v>
      </c>
      <c r="C1464" s="51" t="e">
        <v>#REF!</v>
      </c>
      <c r="D1464" s="51" t="str">
        <v/>
      </c>
      <c r="E1464" s="51" t="str">
        <v/>
      </c>
      <c r="F1464" s="52" t="e">
        <v>#REF!</v>
      </c>
      <c r="G1464" s="48" t="e">
        <v>#REF!</v>
      </c>
      <c r="H1464" s="49">
        <v>0</v>
      </c>
      <c r="I1464" s="49" t="e">
        <v>#REF!</v>
      </c>
      <c r="J1464" s="50"/>
    </row>
    <row r="1465" outlineLevel="1" spans="1:10">
      <c r="A1465" s="50">
        <v>516</v>
      </c>
      <c r="B1465" s="51" t="str">
        <v>综合配线-BV2.5</v>
      </c>
      <c r="C1465" s="51" t="e">
        <v>#REF!</v>
      </c>
      <c r="D1465" s="51" t="str">
        <v/>
      </c>
      <c r="E1465" s="51" t="str">
        <v/>
      </c>
      <c r="F1465" s="52" t="e">
        <v>#REF!</v>
      </c>
      <c r="G1465" s="48" t="e">
        <v>#REF!</v>
      </c>
      <c r="H1465" s="49">
        <v>0</v>
      </c>
      <c r="I1465" s="49" t="e">
        <v>#REF!</v>
      </c>
      <c r="J1465" s="50"/>
    </row>
    <row r="1466" outlineLevel="1" spans="1:10">
      <c r="A1466" s="50">
        <v>517</v>
      </c>
      <c r="B1466" s="51" t="str">
        <v>综合配线-BV4</v>
      </c>
      <c r="C1466" s="51" t="e">
        <v>#REF!</v>
      </c>
      <c r="D1466" s="51" t="str">
        <v/>
      </c>
      <c r="E1466" s="51" t="str">
        <v/>
      </c>
      <c r="F1466" s="52" t="e">
        <v>#REF!</v>
      </c>
      <c r="G1466" s="48" t="e">
        <v>#REF!</v>
      </c>
      <c r="H1466" s="49">
        <v>0</v>
      </c>
      <c r="I1466" s="49" t="e">
        <v>#REF!</v>
      </c>
      <c r="J1466" s="50"/>
    </row>
    <row r="1467" outlineLevel="1" spans="1:10">
      <c r="A1467" s="50">
        <v>518</v>
      </c>
      <c r="B1467" s="51" t="str">
        <v>综合配线-BV6</v>
      </c>
      <c r="C1467" s="51" t="e">
        <v>#REF!</v>
      </c>
      <c r="D1467" s="51" t="str">
        <v/>
      </c>
      <c r="E1467" s="51" t="str">
        <v/>
      </c>
      <c r="F1467" s="52" t="e">
        <v>#REF!</v>
      </c>
      <c r="G1467" s="48" t="e">
        <v>#REF!</v>
      </c>
      <c r="H1467" s="49">
        <v>0</v>
      </c>
      <c r="I1467" s="49" t="e">
        <v>#REF!</v>
      </c>
      <c r="J1467" s="50"/>
    </row>
    <row r="1468" outlineLevel="1" spans="1:10">
      <c r="A1468" s="50">
        <v>519</v>
      </c>
      <c r="B1468" s="51" t="str">
        <v>综合配线-BV10</v>
      </c>
      <c r="C1468" s="51" t="e">
        <v>#REF!</v>
      </c>
      <c r="D1468" s="51" t="str">
        <v/>
      </c>
      <c r="E1468" s="51" t="str">
        <v/>
      </c>
      <c r="F1468" s="52" t="e">
        <v>#REF!</v>
      </c>
      <c r="G1468" s="48" t="e">
        <v>#REF!</v>
      </c>
      <c r="H1468" s="49">
        <v>0</v>
      </c>
      <c r="I1468" s="49" t="e">
        <v>#REF!</v>
      </c>
      <c r="J1468" s="50"/>
    </row>
    <row r="1469" outlineLevel="1" spans="1:10">
      <c r="A1469" s="50">
        <v>520</v>
      </c>
      <c r="B1469" s="51" t="str">
        <v>综合配线-BV16</v>
      </c>
      <c r="C1469" s="51" t="e">
        <v>#REF!</v>
      </c>
      <c r="D1469" s="51" t="str">
        <v/>
      </c>
      <c r="E1469" s="51" t="str">
        <v/>
      </c>
      <c r="F1469" s="52" t="e">
        <v>#REF!</v>
      </c>
      <c r="G1469" s="48" t="e">
        <v>#REF!</v>
      </c>
      <c r="H1469" s="49">
        <v>0</v>
      </c>
      <c r="I1469" s="49" t="e">
        <v>#REF!</v>
      </c>
      <c r="J1469" s="50"/>
    </row>
    <row r="1470" outlineLevel="1" spans="1:10">
      <c r="A1470" s="50">
        <v>521</v>
      </c>
      <c r="B1470" s="51" t="str">
        <v>综合配线-BV25</v>
      </c>
      <c r="C1470" s="51" t="e">
        <v>#REF!</v>
      </c>
      <c r="D1470" s="51" t="str">
        <v/>
      </c>
      <c r="E1470" s="51" t="str">
        <v/>
      </c>
      <c r="F1470" s="52" t="e">
        <v>#REF!</v>
      </c>
      <c r="G1470" s="48" t="e">
        <v>#REF!</v>
      </c>
      <c r="H1470" s="49">
        <v>0</v>
      </c>
      <c r="I1470" s="49" t="e">
        <v>#REF!</v>
      </c>
      <c r="J1470" s="50"/>
    </row>
    <row r="1471" outlineLevel="1" spans="1:10">
      <c r="A1471" s="50">
        <v>522</v>
      </c>
      <c r="B1471" s="51" t="str">
        <v>综合配线-ZRBV2.5</v>
      </c>
      <c r="C1471" s="51" t="e">
        <v>#REF!</v>
      </c>
      <c r="D1471" s="51" t="str">
        <v/>
      </c>
      <c r="E1471" s="51" t="str">
        <v/>
      </c>
      <c r="F1471" s="52" t="e">
        <v>#REF!</v>
      </c>
      <c r="G1471" s="48" t="e">
        <v>#REF!</v>
      </c>
      <c r="H1471" s="49">
        <v>0</v>
      </c>
      <c r="I1471" s="49" t="e">
        <v>#REF!</v>
      </c>
      <c r="J1471" s="50"/>
    </row>
    <row r="1472" outlineLevel="1" spans="1:10">
      <c r="A1472" s="50">
        <v>523</v>
      </c>
      <c r="B1472" s="51" t="str">
        <v>综合配线-ZRBV4</v>
      </c>
      <c r="C1472" s="51" t="e">
        <v>#REF!</v>
      </c>
      <c r="D1472" s="51" t="str">
        <v/>
      </c>
      <c r="E1472" s="51" t="str">
        <v/>
      </c>
      <c r="F1472" s="52" t="e">
        <v>#REF!</v>
      </c>
      <c r="G1472" s="48" t="e">
        <v>#REF!</v>
      </c>
      <c r="H1472" s="49">
        <v>0</v>
      </c>
      <c r="I1472" s="49" t="e">
        <v>#REF!</v>
      </c>
      <c r="J1472" s="50"/>
    </row>
    <row r="1473" outlineLevel="1" spans="1:10">
      <c r="A1473" s="50">
        <v>524</v>
      </c>
      <c r="B1473" s="51" t="str">
        <v>综合配线-NHBV1.5</v>
      </c>
      <c r="C1473" s="51" t="e">
        <v>#REF!</v>
      </c>
      <c r="D1473" s="51" t="str">
        <v/>
      </c>
      <c r="E1473" s="51" t="str">
        <v/>
      </c>
      <c r="F1473" s="52" t="e">
        <v>#REF!</v>
      </c>
      <c r="G1473" s="48" t="e">
        <v>#REF!</v>
      </c>
      <c r="H1473" s="49">
        <v>1</v>
      </c>
      <c r="I1473" s="49" t="e">
        <v>#REF!</v>
      </c>
      <c r="J1473" s="50"/>
    </row>
    <row r="1474" outlineLevel="1" spans="1:10">
      <c r="A1474" s="50">
        <v>525</v>
      </c>
      <c r="B1474" s="51" t="str">
        <v>综合配线-NHBV2.5</v>
      </c>
      <c r="C1474" s="51" t="e">
        <v>#REF!</v>
      </c>
      <c r="D1474" s="51" t="str">
        <v/>
      </c>
      <c r="E1474" s="51" t="str">
        <v/>
      </c>
      <c r="F1474" s="52" t="e">
        <v>#REF!</v>
      </c>
      <c r="G1474" s="48" t="e">
        <v>#REF!</v>
      </c>
      <c r="H1474" s="49">
        <v>0</v>
      </c>
      <c r="I1474" s="49" t="e">
        <v>#REF!</v>
      </c>
      <c r="J1474" s="50"/>
    </row>
    <row r="1475" outlineLevel="1" spans="1:10">
      <c r="A1475" s="50">
        <v>526</v>
      </c>
      <c r="B1475" s="51" t="str">
        <v>综合配线-NHBV4</v>
      </c>
      <c r="C1475" s="51" t="e">
        <v>#REF!</v>
      </c>
      <c r="D1475" s="51" t="str">
        <v/>
      </c>
      <c r="E1475" s="51" t="str">
        <v/>
      </c>
      <c r="F1475" s="52" t="e">
        <v>#REF!</v>
      </c>
      <c r="G1475" s="48" t="e">
        <v>#REF!</v>
      </c>
      <c r="H1475" s="49">
        <v>0</v>
      </c>
      <c r="I1475" s="49" t="e">
        <v>#REF!</v>
      </c>
      <c r="J1475" s="50"/>
    </row>
    <row r="1476" outlineLevel="1" spans="1:10">
      <c r="A1476" s="50">
        <v>527</v>
      </c>
      <c r="B1476" s="51" t="str">
        <v>综合配线-WDZNBYJ2.5</v>
      </c>
      <c r="C1476" s="51" t="e">
        <v>#REF!</v>
      </c>
      <c r="D1476" s="51" t="str">
        <v/>
      </c>
      <c r="E1476" s="51" t="str">
        <v/>
      </c>
      <c r="F1476" s="52" t="e">
        <v>#REF!</v>
      </c>
      <c r="G1476" s="48" t="e">
        <v>#REF!</v>
      </c>
      <c r="H1476" s="49">
        <v>0</v>
      </c>
      <c r="I1476" s="49" t="e">
        <v>#REF!</v>
      </c>
      <c r="J1476" s="50"/>
    </row>
    <row r="1477" outlineLevel="1" spans="1:10">
      <c r="A1477" s="50">
        <v>528</v>
      </c>
      <c r="B1477" s="51" t="str">
        <v>综合配线-WDZNBYJ4</v>
      </c>
      <c r="C1477" s="51" t="e">
        <v>#REF!</v>
      </c>
      <c r="D1477" s="51" t="str">
        <v/>
      </c>
      <c r="E1477" s="51" t="str">
        <v/>
      </c>
      <c r="F1477" s="52" t="e">
        <v>#REF!</v>
      </c>
      <c r="G1477" s="48" t="e">
        <v>#REF!</v>
      </c>
      <c r="H1477" s="49">
        <v>1</v>
      </c>
      <c r="I1477" s="49" t="e">
        <v>#REF!</v>
      </c>
      <c r="J1477" s="50"/>
    </row>
    <row r="1478" outlineLevel="1" spans="1:10">
      <c r="A1478" s="50">
        <v>529</v>
      </c>
      <c r="B1478" s="51" t="str">
        <v>综合配线-WDZBYJ2.5</v>
      </c>
      <c r="C1478" s="51" t="e">
        <v>#REF!</v>
      </c>
      <c r="D1478" s="51" t="str">
        <v/>
      </c>
      <c r="E1478" s="51" t="str">
        <v/>
      </c>
      <c r="F1478" s="52" t="e">
        <v>#REF!</v>
      </c>
      <c r="G1478" s="48" t="e">
        <v>#REF!</v>
      </c>
      <c r="H1478" s="49">
        <v>0</v>
      </c>
      <c r="I1478" s="49" t="e">
        <v>#REF!</v>
      </c>
      <c r="J1478" s="50"/>
    </row>
    <row r="1479" outlineLevel="1" spans="1:10">
      <c r="A1479" s="50">
        <v>530</v>
      </c>
      <c r="B1479" s="51" t="str">
        <v>综合配线-WDZBYJ4</v>
      </c>
      <c r="C1479" s="51" t="e">
        <v>#REF!</v>
      </c>
      <c r="D1479" s="51" t="str">
        <v/>
      </c>
      <c r="E1479" s="51" t="str">
        <v/>
      </c>
      <c r="F1479" s="52" t="e">
        <v>#REF!</v>
      </c>
      <c r="G1479" s="48" t="e">
        <v>#REF!</v>
      </c>
      <c r="H1479" s="49">
        <v>2</v>
      </c>
      <c r="I1479" s="49" t="e">
        <v>#REF!</v>
      </c>
      <c r="J1479" s="50"/>
    </row>
    <row r="1480" outlineLevel="1" spans="1:10">
      <c r="A1480" s="50">
        <v>531</v>
      </c>
      <c r="B1480" s="51" t="str">
        <v>综合配线-WDZBYJ6</v>
      </c>
      <c r="C1480" s="51" t="e">
        <v>#REF!</v>
      </c>
      <c r="D1480" s="51" t="str">
        <v/>
      </c>
      <c r="E1480" s="51" t="str">
        <v/>
      </c>
      <c r="F1480" s="52" t="e">
        <v>#REF!</v>
      </c>
      <c r="G1480" s="48" t="e">
        <v>#REF!</v>
      </c>
      <c r="H1480" s="49">
        <v>2</v>
      </c>
      <c r="I1480" s="49" t="e">
        <v>#REF!</v>
      </c>
      <c r="J1480" s="50"/>
    </row>
    <row r="1481" outlineLevel="1" spans="1:10">
      <c r="A1481" s="50">
        <v>532</v>
      </c>
      <c r="B1481" s="51" t="str">
        <v>综合配线-WDZBYJ10</v>
      </c>
      <c r="C1481" s="51" t="e">
        <v>#REF!</v>
      </c>
      <c r="D1481" s="51" t="str">
        <v/>
      </c>
      <c r="E1481" s="51" t="str">
        <v/>
      </c>
      <c r="F1481" s="52" t="e">
        <v>#REF!</v>
      </c>
      <c r="G1481" s="48" t="e">
        <v>#REF!</v>
      </c>
      <c r="H1481" s="49">
        <v>2</v>
      </c>
      <c r="I1481" s="49" t="e">
        <v>#REF!</v>
      </c>
      <c r="J1481" s="50"/>
    </row>
    <row r="1482" outlineLevel="1" spans="1:10">
      <c r="A1482" s="50">
        <v>533</v>
      </c>
      <c r="B1482" s="51" t="str">
        <v>综合配线-WDZNRYJS2*2.5</v>
      </c>
      <c r="C1482" s="51" t="e">
        <v>#REF!</v>
      </c>
      <c r="D1482" s="51" t="str">
        <v/>
      </c>
      <c r="E1482" s="51" t="str">
        <v/>
      </c>
      <c r="F1482" s="52" t="e">
        <v>#REF!</v>
      </c>
      <c r="G1482" s="48" t="e">
        <v>#REF!</v>
      </c>
      <c r="H1482" s="49">
        <v>1</v>
      </c>
      <c r="I1482" s="49" t="e">
        <v>#REF!</v>
      </c>
      <c r="J1482" s="50"/>
    </row>
    <row r="1483" outlineLevel="1" spans="1:10">
      <c r="A1483" s="50">
        <v>534</v>
      </c>
      <c r="B1483" s="51" t="str">
        <v>综合配线-NHRVS2*2.5</v>
      </c>
      <c r="C1483" s="51" t="e">
        <v>#REF!</v>
      </c>
      <c r="D1483" s="51" t="str">
        <v/>
      </c>
      <c r="E1483" s="51" t="str">
        <v/>
      </c>
      <c r="F1483" s="52" t="e">
        <v>#REF!</v>
      </c>
      <c r="G1483" s="48" t="e">
        <v>#REF!</v>
      </c>
      <c r="H1483" s="49">
        <v>0</v>
      </c>
      <c r="I1483" s="49" t="e">
        <v>#REF!</v>
      </c>
      <c r="J1483" s="50"/>
    </row>
    <row r="1484" outlineLevel="1" spans="1:10">
      <c r="A1484" s="50" t="str">
        <v/>
      </c>
      <c r="B1484" s="51" t="str">
        <v>B.18.4照明器具</v>
      </c>
      <c r="C1484" s="51" t="str">
        <v/>
      </c>
      <c r="D1484" s="51" t="str">
        <v/>
      </c>
      <c r="E1484" s="51" t="str">
        <v/>
      </c>
      <c r="F1484" s="52" t="str">
        <v/>
      </c>
      <c r="G1484" s="48" t="str">
        <v/>
      </c>
      <c r="H1484" s="49">
        <v>0</v>
      </c>
      <c r="I1484" s="49" t="e">
        <v>#REF!</v>
      </c>
      <c r="J1484" s="50"/>
    </row>
    <row r="1485" outlineLevel="1" spans="1:10">
      <c r="A1485" s="50">
        <v>535</v>
      </c>
      <c r="B1485" s="51" t="str">
        <v>灯具-门上座灯</v>
      </c>
      <c r="C1485" s="51" t="e">
        <v>#REF!</v>
      </c>
      <c r="D1485" s="51" t="str">
        <v/>
      </c>
      <c r="E1485" s="51" t="str">
        <v/>
      </c>
      <c r="F1485" s="52" t="e">
        <v>#REF!</v>
      </c>
      <c r="G1485" s="48" t="e">
        <v>#REF!</v>
      </c>
      <c r="H1485" s="49">
        <v>0</v>
      </c>
      <c r="I1485" s="49" t="e">
        <v>#REF!</v>
      </c>
      <c r="J1485" s="50"/>
    </row>
    <row r="1486" outlineLevel="1" spans="1:10">
      <c r="A1486" s="50">
        <v>536</v>
      </c>
      <c r="B1486" s="51" t="str">
        <v>灯具-节能座灯头</v>
      </c>
      <c r="C1486" s="51" t="e">
        <v>#REF!</v>
      </c>
      <c r="D1486" s="51" t="str">
        <v/>
      </c>
      <c r="E1486" s="51" t="str">
        <v/>
      </c>
      <c r="F1486" s="52" t="e">
        <v>#REF!</v>
      </c>
      <c r="G1486" s="48" t="e">
        <v>#REF!</v>
      </c>
      <c r="H1486" s="49">
        <v>0</v>
      </c>
      <c r="I1486" s="49" t="e">
        <v>#REF!</v>
      </c>
      <c r="J1486" s="50"/>
    </row>
    <row r="1487" outlineLevel="1" spans="1:10">
      <c r="A1487" s="50">
        <v>537</v>
      </c>
      <c r="B1487" s="51" t="str">
        <v>灯具-普通座灯头</v>
      </c>
      <c r="C1487" s="51" t="e">
        <v>#REF!</v>
      </c>
      <c r="D1487" s="51" t="str">
        <v/>
      </c>
      <c r="E1487" s="51" t="str">
        <v/>
      </c>
      <c r="F1487" s="52" t="e">
        <v>#REF!</v>
      </c>
      <c r="G1487" s="48" t="e">
        <v>#REF!</v>
      </c>
      <c r="H1487" s="49">
        <v>0</v>
      </c>
      <c r="I1487" s="49" t="e">
        <v>#REF!</v>
      </c>
      <c r="J1487" s="50"/>
    </row>
    <row r="1488" outlineLevel="1" spans="1:10">
      <c r="A1488" s="50">
        <v>538</v>
      </c>
      <c r="B1488" s="51" t="str">
        <v>灯具-壁灯</v>
      </c>
      <c r="C1488" s="51" t="e">
        <v>#REF!</v>
      </c>
      <c r="D1488" s="51" t="str">
        <v/>
      </c>
      <c r="E1488" s="51" t="str">
        <v/>
      </c>
      <c r="F1488" s="52" t="e">
        <v>#REF!</v>
      </c>
      <c r="G1488" s="48" t="e">
        <v>#REF!</v>
      </c>
      <c r="H1488" s="49">
        <v>0</v>
      </c>
      <c r="I1488" s="49" t="e">
        <v>#REF!</v>
      </c>
      <c r="J1488" s="50"/>
    </row>
    <row r="1489" outlineLevel="1" spans="1:10">
      <c r="A1489" s="50">
        <v>539</v>
      </c>
      <c r="B1489" s="51" t="str">
        <v>灯具-吸顶灯</v>
      </c>
      <c r="C1489" s="51" t="e">
        <v>#REF!</v>
      </c>
      <c r="D1489" s="51" t="str">
        <v/>
      </c>
      <c r="E1489" s="51" t="str">
        <v/>
      </c>
      <c r="F1489" s="52" t="e">
        <v>#REF!</v>
      </c>
      <c r="G1489" s="48" t="e">
        <v>#REF!</v>
      </c>
      <c r="H1489" s="49">
        <v>0</v>
      </c>
      <c r="I1489" s="49" t="e">
        <v>#REF!</v>
      </c>
      <c r="J1489" s="50"/>
    </row>
    <row r="1490" ht="28.8" outlineLevel="1" spans="1:10">
      <c r="A1490" s="50">
        <v>540</v>
      </c>
      <c r="B1490" s="51" t="str">
        <v>灯具-吸顶灯(自带声光控开关) </v>
      </c>
      <c r="C1490" s="51" t="e">
        <v>#REF!</v>
      </c>
      <c r="D1490" s="51" t="str">
        <v/>
      </c>
      <c r="E1490" s="51" t="str">
        <v/>
      </c>
      <c r="F1490" s="52" t="e">
        <v>#REF!</v>
      </c>
      <c r="G1490" s="48" t="e">
        <v>#REF!</v>
      </c>
      <c r="H1490" s="49">
        <v>0</v>
      </c>
      <c r="I1490" s="49" t="e">
        <v>#REF!</v>
      </c>
      <c r="J1490" s="50"/>
    </row>
    <row r="1491" ht="28.8" outlineLevel="1" spans="1:10">
      <c r="A1491" s="50">
        <v>541</v>
      </c>
      <c r="B1491" s="51" t="str">
        <v>灯具-半圆球吸顶灯 灯罩直径(300mm以内)</v>
      </c>
      <c r="C1491" s="51" t="e">
        <v>#REF!</v>
      </c>
      <c r="D1491" s="51" t="str">
        <v/>
      </c>
      <c r="E1491" s="51" t="str">
        <v/>
      </c>
      <c r="F1491" s="52" t="e">
        <v>#REF!</v>
      </c>
      <c r="G1491" s="48" t="e">
        <v>#REF!</v>
      </c>
      <c r="H1491" s="49">
        <v>1</v>
      </c>
      <c r="I1491" s="49" t="e">
        <v>#REF!</v>
      </c>
      <c r="J1491" s="50"/>
    </row>
    <row r="1492" ht="28.8" outlineLevel="1" spans="1:10">
      <c r="A1492" s="50">
        <v>542</v>
      </c>
      <c r="B1492" s="51" t="str">
        <v>灯具-半圆球吸顶灯 灯罩直径(350mm以内)</v>
      </c>
      <c r="C1492" s="51" t="e">
        <v>#REF!</v>
      </c>
      <c r="D1492" s="51" t="str">
        <v/>
      </c>
      <c r="E1492" s="51" t="str">
        <v/>
      </c>
      <c r="F1492" s="52" t="e">
        <v>#REF!</v>
      </c>
      <c r="G1492" s="48" t="e">
        <v>#REF!</v>
      </c>
      <c r="H1492" s="49">
        <v>1</v>
      </c>
      <c r="I1492" s="49" t="e">
        <v>#REF!</v>
      </c>
      <c r="J1492" s="50"/>
    </row>
    <row r="1493" outlineLevel="1" spans="1:10">
      <c r="A1493" s="50">
        <v>543</v>
      </c>
      <c r="B1493" s="51" t="str">
        <v>灯具-紧凑型节能日光灯</v>
      </c>
      <c r="C1493" s="51" t="e">
        <v>#REF!</v>
      </c>
      <c r="D1493" s="51" t="str">
        <v/>
      </c>
      <c r="E1493" s="51" t="str">
        <v/>
      </c>
      <c r="F1493" s="52" t="e">
        <v>#REF!</v>
      </c>
      <c r="G1493" s="48" t="e">
        <v>#REF!</v>
      </c>
      <c r="H1493" s="49">
        <v>1</v>
      </c>
      <c r="I1493" s="49" t="e">
        <v>#REF!</v>
      </c>
      <c r="J1493" s="50"/>
    </row>
    <row r="1494" outlineLevel="1" spans="1:10">
      <c r="A1494" s="50">
        <v>544</v>
      </c>
      <c r="B1494" s="51" t="str">
        <v>灯具-单管荧光灯-吊链安装</v>
      </c>
      <c r="C1494" s="51" t="e">
        <v>#REF!</v>
      </c>
      <c r="D1494" s="51" t="str">
        <v/>
      </c>
      <c r="E1494" s="51" t="str">
        <v/>
      </c>
      <c r="F1494" s="52" t="e">
        <v>#REF!</v>
      </c>
      <c r="G1494" s="48" t="e">
        <v>#REF!</v>
      </c>
      <c r="H1494" s="49">
        <v>0</v>
      </c>
      <c r="I1494" s="49" t="e">
        <v>#REF!</v>
      </c>
      <c r="J1494" s="50"/>
    </row>
    <row r="1495" outlineLevel="1" spans="1:10">
      <c r="A1495" s="50">
        <v>545</v>
      </c>
      <c r="B1495" s="51" t="str">
        <v>灯具-单管荧光灯-壁装</v>
      </c>
      <c r="C1495" s="51" t="e">
        <v>#REF!</v>
      </c>
      <c r="D1495" s="51" t="str">
        <v/>
      </c>
      <c r="E1495" s="51" t="str">
        <v/>
      </c>
      <c r="F1495" s="52" t="e">
        <v>#REF!</v>
      </c>
      <c r="G1495" s="48" t="e">
        <v>#REF!</v>
      </c>
      <c r="H1495" s="49">
        <v>0</v>
      </c>
      <c r="I1495" s="49" t="e">
        <v>#REF!</v>
      </c>
      <c r="J1495" s="50"/>
    </row>
    <row r="1496" outlineLevel="1" spans="1:10">
      <c r="A1496" s="50">
        <v>546</v>
      </c>
      <c r="B1496" s="51" t="str">
        <v>灯具-单管荧光灯-吊杆安装</v>
      </c>
      <c r="C1496" s="51" t="e">
        <v>#REF!</v>
      </c>
      <c r="D1496" s="51" t="str">
        <v/>
      </c>
      <c r="E1496" s="51" t="str">
        <v/>
      </c>
      <c r="F1496" s="52" t="e">
        <v>#REF!</v>
      </c>
      <c r="G1496" s="48" t="e">
        <v>#REF!</v>
      </c>
      <c r="H1496" s="49">
        <v>2</v>
      </c>
      <c r="I1496" s="49" t="e">
        <v>#REF!</v>
      </c>
      <c r="J1496" s="50"/>
    </row>
    <row r="1497" outlineLevel="1" spans="1:10">
      <c r="A1497" s="50">
        <v>547</v>
      </c>
      <c r="B1497" s="51" t="str">
        <v>灯具-单管荧光灯-吸顶安装</v>
      </c>
      <c r="C1497" s="51" t="e">
        <v>#REF!</v>
      </c>
      <c r="D1497" s="51" t="str">
        <v/>
      </c>
      <c r="E1497" s="51" t="str">
        <v/>
      </c>
      <c r="F1497" s="52" t="e">
        <v>#REF!</v>
      </c>
      <c r="G1497" s="48" t="e">
        <v>#REF!</v>
      </c>
      <c r="H1497" s="49">
        <v>2</v>
      </c>
      <c r="I1497" s="49" t="e">
        <v>#REF!</v>
      </c>
      <c r="J1497" s="50"/>
    </row>
    <row r="1498" outlineLevel="1" spans="1:10">
      <c r="A1498" s="50">
        <v>548</v>
      </c>
      <c r="B1498" s="51" t="str">
        <v>疏散出口标志灯-带蓄电池</v>
      </c>
      <c r="C1498" s="51" t="e">
        <v>#REF!</v>
      </c>
      <c r="D1498" s="51" t="str">
        <v/>
      </c>
      <c r="E1498" s="51" t="str">
        <v/>
      </c>
      <c r="F1498" s="52" t="e">
        <v>#REF!</v>
      </c>
      <c r="G1498" s="48" t="e">
        <v>#REF!</v>
      </c>
      <c r="H1498" s="49">
        <v>0</v>
      </c>
      <c r="I1498" s="49" t="e">
        <v>#REF!</v>
      </c>
      <c r="J1498" s="50"/>
    </row>
    <row r="1499" ht="28.8" outlineLevel="1" spans="1:10">
      <c r="A1499" s="50">
        <v>549</v>
      </c>
      <c r="B1499" s="51" t="str">
        <v>疏散出口标志灯（防护等级IP67）带蓄电池</v>
      </c>
      <c r="C1499" s="51" t="e">
        <v>#REF!</v>
      </c>
      <c r="D1499" s="51" t="str">
        <v/>
      </c>
      <c r="E1499" s="51" t="str">
        <v/>
      </c>
      <c r="F1499" s="52" t="e">
        <v>#REF!</v>
      </c>
      <c r="G1499" s="48" t="e">
        <v>#REF!</v>
      </c>
      <c r="H1499" s="49">
        <v>0</v>
      </c>
      <c r="I1499" s="49" t="e">
        <v>#REF!</v>
      </c>
      <c r="J1499" s="50"/>
    </row>
    <row r="1500" outlineLevel="1" spans="1:10">
      <c r="A1500" s="50">
        <v>550</v>
      </c>
      <c r="B1500" s="51" t="str">
        <v>楼层指示标志灯-带蓄电池</v>
      </c>
      <c r="C1500" s="51" t="e">
        <v>#REF!</v>
      </c>
      <c r="D1500" s="51" t="str">
        <v/>
      </c>
      <c r="E1500" s="51" t="str">
        <v/>
      </c>
      <c r="F1500" s="52" t="e">
        <v>#REF!</v>
      </c>
      <c r="G1500" s="48" t="e">
        <v>#REF!</v>
      </c>
      <c r="H1500" s="49">
        <v>0</v>
      </c>
      <c r="I1500" s="49" t="e">
        <v>#REF!</v>
      </c>
      <c r="J1500" s="50"/>
    </row>
    <row r="1501" ht="28.8" outlineLevel="1" spans="1:10">
      <c r="A1501" s="50">
        <v>551</v>
      </c>
      <c r="B1501" s="51" t="str">
        <v>单向单面疏散指示标志灯-带蓄电池</v>
      </c>
      <c r="C1501" s="51" t="e">
        <v>#REF!</v>
      </c>
      <c r="D1501" s="51" t="str">
        <v/>
      </c>
      <c r="E1501" s="51" t="str">
        <v/>
      </c>
      <c r="F1501" s="52" t="e">
        <v>#REF!</v>
      </c>
      <c r="G1501" s="48" t="e">
        <v>#REF!</v>
      </c>
      <c r="H1501" s="49">
        <v>0</v>
      </c>
      <c r="I1501" s="49" t="e">
        <v>#REF!</v>
      </c>
      <c r="J1501" s="50"/>
    </row>
    <row r="1502" ht="28.8" outlineLevel="1" spans="1:10">
      <c r="A1502" s="50">
        <v>552</v>
      </c>
      <c r="B1502" s="51" t="str">
        <v>单向双面疏散指示标志灯-带蓄电池</v>
      </c>
      <c r="C1502" s="51" t="e">
        <v>#REF!</v>
      </c>
      <c r="D1502" s="51" t="str">
        <v/>
      </c>
      <c r="E1502" s="51" t="str">
        <v/>
      </c>
      <c r="F1502" s="52" t="e">
        <v>#REF!</v>
      </c>
      <c r="G1502" s="48" t="e">
        <v>#REF!</v>
      </c>
      <c r="H1502" s="49">
        <v>0</v>
      </c>
      <c r="I1502" s="49" t="e">
        <v>#REF!</v>
      </c>
      <c r="J1502" s="50"/>
    </row>
    <row r="1503" ht="28.8" outlineLevel="1" spans="1:10">
      <c r="A1503" s="50">
        <v>553</v>
      </c>
      <c r="B1503" s="51" t="str">
        <v>双向单面疏散指示标志灯-带蓄电池</v>
      </c>
      <c r="C1503" s="51" t="e">
        <v>#REF!</v>
      </c>
      <c r="D1503" s="51" t="str">
        <v/>
      </c>
      <c r="E1503" s="51" t="str">
        <v/>
      </c>
      <c r="F1503" s="52" t="e">
        <v>#REF!</v>
      </c>
      <c r="G1503" s="48" t="e">
        <v>#REF!</v>
      </c>
      <c r="H1503" s="49">
        <v>0</v>
      </c>
      <c r="I1503" s="49" t="e">
        <v>#REF!</v>
      </c>
      <c r="J1503" s="50"/>
    </row>
    <row r="1504" outlineLevel="1" spans="1:10">
      <c r="A1504" s="50">
        <v>554</v>
      </c>
      <c r="B1504" s="51" t="str">
        <v>安全出口标志灯-带蓄电池</v>
      </c>
      <c r="C1504" s="51" t="e">
        <v>#REF!</v>
      </c>
      <c r="D1504" s="51" t="str">
        <v/>
      </c>
      <c r="E1504" s="51" t="str">
        <v/>
      </c>
      <c r="F1504" s="52" t="e">
        <v>#REF!</v>
      </c>
      <c r="G1504" s="48" t="e">
        <v>#REF!</v>
      </c>
      <c r="H1504" s="49">
        <v>0</v>
      </c>
      <c r="I1504" s="49" t="e">
        <v>#REF!</v>
      </c>
      <c r="J1504" s="50"/>
    </row>
    <row r="1505" ht="28.8" outlineLevel="1" spans="1:10">
      <c r="A1505" s="50">
        <v>555</v>
      </c>
      <c r="B1505" s="51" t="str">
        <v>E-X带禁止入内的安全出口标志灯-带蓄电池</v>
      </c>
      <c r="C1505" s="51" t="e">
        <v>#REF!</v>
      </c>
      <c r="D1505" s="51" t="str">
        <v/>
      </c>
      <c r="E1505" s="51" t="str">
        <v/>
      </c>
      <c r="F1505" s="52" t="e">
        <v>#REF!</v>
      </c>
      <c r="G1505" s="48" t="e">
        <v>#REF!</v>
      </c>
      <c r="H1505" s="49">
        <v>0</v>
      </c>
      <c r="I1505" s="49" t="e">
        <v>#REF!</v>
      </c>
      <c r="J1505" s="50"/>
    </row>
    <row r="1506" outlineLevel="1" spans="1:10">
      <c r="A1506" s="50">
        <v>556</v>
      </c>
      <c r="B1506" s="51" t="str">
        <v>火灾禁入标志灯-带蓄电池</v>
      </c>
      <c r="C1506" s="51" t="e">
        <v>#REF!</v>
      </c>
      <c r="D1506" s="51" t="str">
        <v/>
      </c>
      <c r="E1506" s="51" t="str">
        <v/>
      </c>
      <c r="F1506" s="52" t="e">
        <v>#REF!</v>
      </c>
      <c r="G1506" s="48" t="e">
        <v>#REF!</v>
      </c>
      <c r="H1506" s="49">
        <v>0</v>
      </c>
      <c r="I1506" s="49" t="e">
        <v>#REF!</v>
      </c>
      <c r="J1506" s="50"/>
    </row>
    <row r="1507" outlineLevel="1" spans="1:10">
      <c r="A1507" s="50">
        <v>557</v>
      </c>
      <c r="B1507" s="51" t="str">
        <v>E1消防应急壁灯-带蓄电池</v>
      </c>
      <c r="C1507" s="51" t="e">
        <v>#REF!</v>
      </c>
      <c r="D1507" s="51" t="str">
        <v/>
      </c>
      <c r="E1507" s="51" t="str">
        <v/>
      </c>
      <c r="F1507" s="52" t="e">
        <v>#REF!</v>
      </c>
      <c r="G1507" s="48" t="e">
        <v>#REF!</v>
      </c>
      <c r="H1507" s="49">
        <v>0</v>
      </c>
      <c r="I1507" s="49" t="e">
        <v>#REF!</v>
      </c>
      <c r="J1507" s="50"/>
    </row>
    <row r="1508" outlineLevel="1" spans="1:10">
      <c r="A1508" s="50">
        <v>558</v>
      </c>
      <c r="B1508" s="51" t="str">
        <v>消防应急吸顶灯-带蓄电池</v>
      </c>
      <c r="C1508" s="51" t="e">
        <v>#REF!</v>
      </c>
      <c r="D1508" s="51" t="str">
        <v/>
      </c>
      <c r="E1508" s="51" t="str">
        <v/>
      </c>
      <c r="F1508" s="52" t="e">
        <v>#REF!</v>
      </c>
      <c r="G1508" s="48" t="e">
        <v>#REF!</v>
      </c>
      <c r="H1508" s="49">
        <v>0</v>
      </c>
      <c r="I1508" s="49" t="e">
        <v>#REF!</v>
      </c>
      <c r="J1508" s="50"/>
    </row>
    <row r="1509" ht="28.8" outlineLevel="1" spans="1:10">
      <c r="A1509" s="50">
        <v>559</v>
      </c>
      <c r="B1509" s="51" t="str">
        <v>消防应急吸顶灯（防护等级IP67）带蓄电池</v>
      </c>
      <c r="C1509" s="51" t="e">
        <v>#REF!</v>
      </c>
      <c r="D1509" s="51" t="str">
        <v/>
      </c>
      <c r="E1509" s="51" t="str">
        <v/>
      </c>
      <c r="F1509" s="52" t="e">
        <v>#REF!</v>
      </c>
      <c r="G1509" s="48" t="e">
        <v>#REF!</v>
      </c>
      <c r="H1509" s="49">
        <v>0</v>
      </c>
      <c r="I1509" s="49" t="e">
        <v>#REF!</v>
      </c>
      <c r="J1509" s="50"/>
    </row>
    <row r="1510" outlineLevel="1" spans="1:10">
      <c r="A1510" s="50">
        <v>560</v>
      </c>
      <c r="B1510" s="51" t="str">
        <v>灯具-安全出口标志灯</v>
      </c>
      <c r="C1510" s="51" t="e">
        <v>#REF!</v>
      </c>
      <c r="D1510" s="51" t="str">
        <v/>
      </c>
      <c r="E1510" s="51" t="str">
        <v/>
      </c>
      <c r="F1510" s="52" t="e">
        <v>#REF!</v>
      </c>
      <c r="G1510" s="48" t="e">
        <v>#REF!</v>
      </c>
      <c r="H1510" s="49">
        <v>0</v>
      </c>
      <c r="I1510" s="49" t="e">
        <v>#REF!</v>
      </c>
      <c r="J1510" s="50"/>
    </row>
    <row r="1511" outlineLevel="1" spans="1:10">
      <c r="A1511" s="50">
        <v>561</v>
      </c>
      <c r="B1511" s="51" t="str">
        <v>灯具-多信息复合标志灯</v>
      </c>
      <c r="C1511" s="51" t="e">
        <v>#REF!</v>
      </c>
      <c r="D1511" s="51" t="str">
        <v/>
      </c>
      <c r="E1511" s="51" t="str">
        <v/>
      </c>
      <c r="F1511" s="52" t="e">
        <v>#REF!</v>
      </c>
      <c r="G1511" s="48" t="e">
        <v>#REF!</v>
      </c>
      <c r="H1511" s="49">
        <v>0</v>
      </c>
      <c r="I1511" s="49" t="e">
        <v>#REF!</v>
      </c>
      <c r="J1511" s="50"/>
    </row>
    <row r="1512" outlineLevel="1" spans="1:10">
      <c r="A1512" s="50">
        <v>562</v>
      </c>
      <c r="B1512" s="51" t="str">
        <v>灯具-楼层指示标志灯</v>
      </c>
      <c r="C1512" s="51" t="e">
        <v>#REF!</v>
      </c>
      <c r="D1512" s="51" t="str">
        <v/>
      </c>
      <c r="E1512" s="51" t="str">
        <v/>
      </c>
      <c r="F1512" s="52" t="e">
        <v>#REF!</v>
      </c>
      <c r="G1512" s="48" t="e">
        <v>#REF!</v>
      </c>
      <c r="H1512" s="49">
        <v>0</v>
      </c>
      <c r="I1512" s="49" t="e">
        <v>#REF!</v>
      </c>
      <c r="J1512" s="50"/>
    </row>
    <row r="1513" outlineLevel="1" spans="1:10">
      <c r="A1513" s="50">
        <v>563</v>
      </c>
      <c r="B1513" s="51" t="str">
        <v>灯具-疏散出口标志灯</v>
      </c>
      <c r="C1513" s="51" t="e">
        <v>#REF!</v>
      </c>
      <c r="D1513" s="51" t="str">
        <v/>
      </c>
      <c r="E1513" s="51" t="str">
        <v/>
      </c>
      <c r="F1513" s="52" t="e">
        <v>#REF!</v>
      </c>
      <c r="G1513" s="48" t="e">
        <v>#REF!</v>
      </c>
      <c r="H1513" s="49">
        <v>0</v>
      </c>
      <c r="I1513" s="49" t="e">
        <v>#REF!</v>
      </c>
      <c r="J1513" s="50"/>
    </row>
    <row r="1514" ht="28.8" outlineLevel="1" spans="1:10">
      <c r="A1514" s="50">
        <v>564</v>
      </c>
      <c r="B1514" s="51" t="str">
        <v>灯具-单向双面疏散指示标志灯</v>
      </c>
      <c r="C1514" s="51" t="e">
        <v>#REF!</v>
      </c>
      <c r="D1514" s="51" t="str">
        <v/>
      </c>
      <c r="E1514" s="51" t="str">
        <v/>
      </c>
      <c r="F1514" s="52" t="e">
        <v>#REF!</v>
      </c>
      <c r="G1514" s="48" t="e">
        <v>#REF!</v>
      </c>
      <c r="H1514" s="49">
        <v>0</v>
      </c>
      <c r="I1514" s="49" t="e">
        <v>#REF!</v>
      </c>
      <c r="J1514" s="50"/>
    </row>
    <row r="1515" ht="28.8" outlineLevel="1" spans="1:10">
      <c r="A1515" s="50">
        <v>565</v>
      </c>
      <c r="B1515" s="51" t="str">
        <v>灯具-消防应急壁灯（微波感应）带蓄电池</v>
      </c>
      <c r="C1515" s="51" t="e">
        <v>#REF!</v>
      </c>
      <c r="D1515" s="51" t="str">
        <v/>
      </c>
      <c r="E1515" s="51" t="str">
        <v/>
      </c>
      <c r="F1515" s="52" t="e">
        <v>#REF!</v>
      </c>
      <c r="G1515" s="48" t="e">
        <v>#REF!</v>
      </c>
      <c r="H1515" s="49">
        <v>0</v>
      </c>
      <c r="I1515" s="49" t="e">
        <v>#REF!</v>
      </c>
      <c r="J1515" s="50"/>
    </row>
    <row r="1516" ht="28.8" outlineLevel="1" spans="1:10">
      <c r="A1516" s="50">
        <v>566</v>
      </c>
      <c r="B1516" s="51" t="str">
        <v>灯具-消防应急吸顶灯-附微波感应带蓄电池</v>
      </c>
      <c r="C1516" s="51" t="e">
        <v>#REF!</v>
      </c>
      <c r="D1516" s="51" t="str">
        <v/>
      </c>
      <c r="E1516" s="51" t="str">
        <v/>
      </c>
      <c r="F1516" s="52" t="e">
        <v>#REF!</v>
      </c>
      <c r="G1516" s="48" t="e">
        <v>#REF!</v>
      </c>
      <c r="H1516" s="49">
        <v>0</v>
      </c>
      <c r="I1516" s="49" t="e">
        <v>#REF!</v>
      </c>
      <c r="J1516" s="50"/>
    </row>
    <row r="1517" ht="28.8" outlineLevel="1" spans="1:10">
      <c r="A1517" s="50">
        <v>567</v>
      </c>
      <c r="B1517" s="51" t="str">
        <v>灯具-单向单面疏散指示标志灯</v>
      </c>
      <c r="C1517" s="51" t="e">
        <v>#REF!</v>
      </c>
      <c r="D1517" s="51" t="str">
        <v/>
      </c>
      <c r="E1517" s="51" t="str">
        <v/>
      </c>
      <c r="F1517" s="52" t="e">
        <v>#REF!</v>
      </c>
      <c r="G1517" s="48" t="e">
        <v>#REF!</v>
      </c>
      <c r="H1517" s="49">
        <v>0</v>
      </c>
      <c r="I1517" s="49" t="e">
        <v>#REF!</v>
      </c>
      <c r="J1517" s="50"/>
    </row>
    <row r="1518" outlineLevel="1" spans="1:10">
      <c r="A1518" s="50">
        <v>568</v>
      </c>
      <c r="B1518" s="51" t="str">
        <v>灯具-消防应急壁灯</v>
      </c>
      <c r="C1518" s="51" t="e">
        <v>#REF!</v>
      </c>
      <c r="D1518" s="51" t="str">
        <v/>
      </c>
      <c r="E1518" s="51" t="str">
        <v/>
      </c>
      <c r="F1518" s="52" t="e">
        <v>#REF!</v>
      </c>
      <c r="G1518" s="48" t="e">
        <v>#REF!</v>
      </c>
      <c r="H1518" s="49">
        <v>0</v>
      </c>
      <c r="I1518" s="49" t="e">
        <v>#REF!</v>
      </c>
      <c r="J1518" s="50"/>
    </row>
    <row r="1519" outlineLevel="1" spans="1:10">
      <c r="A1519" s="50">
        <v>569</v>
      </c>
      <c r="B1519" s="51" t="str">
        <v>灯具-应急单管荧光灯</v>
      </c>
      <c r="C1519" s="51" t="e">
        <v>#REF!</v>
      </c>
      <c r="D1519" s="51" t="str">
        <v/>
      </c>
      <c r="E1519" s="51" t="str">
        <v/>
      </c>
      <c r="F1519" s="52" t="e">
        <v>#REF!</v>
      </c>
      <c r="G1519" s="48" t="e">
        <v>#REF!</v>
      </c>
      <c r="H1519" s="49">
        <v>0</v>
      </c>
      <c r="I1519" s="49" t="e">
        <v>#REF!</v>
      </c>
      <c r="J1519" s="50"/>
    </row>
    <row r="1520" outlineLevel="1" spans="1:10">
      <c r="A1520" s="50" t="str">
        <v/>
      </c>
      <c r="B1520" s="51" t="str">
        <v>B.18.5开关插座</v>
      </c>
      <c r="C1520" s="51" t="str">
        <v/>
      </c>
      <c r="D1520" s="51" t="str">
        <v/>
      </c>
      <c r="E1520" s="51" t="str">
        <v/>
      </c>
      <c r="F1520" s="52" t="str">
        <v/>
      </c>
      <c r="G1520" s="48" t="str">
        <v/>
      </c>
      <c r="H1520" s="49">
        <v>0</v>
      </c>
      <c r="I1520" s="49" t="e">
        <v>#REF!</v>
      </c>
      <c r="J1520" s="50"/>
    </row>
    <row r="1521" outlineLevel="1" spans="1:10">
      <c r="A1521" s="50">
        <v>570</v>
      </c>
      <c r="B1521" s="51" t="str">
        <v>单联单控开关</v>
      </c>
      <c r="C1521" s="51" t="e">
        <v>#REF!</v>
      </c>
      <c r="D1521" s="51" t="str">
        <v/>
      </c>
      <c r="E1521" s="51" t="str">
        <v/>
      </c>
      <c r="F1521" s="52" t="e">
        <v>#REF!</v>
      </c>
      <c r="G1521" s="48" t="e">
        <v>#REF!</v>
      </c>
      <c r="H1521" s="49">
        <v>0</v>
      </c>
      <c r="I1521" s="49" t="e">
        <v>#REF!</v>
      </c>
      <c r="J1521" s="50"/>
    </row>
    <row r="1522" outlineLevel="1" spans="1:10">
      <c r="A1522" s="50">
        <v>571</v>
      </c>
      <c r="B1522" s="51" t="str">
        <v>单联双控开关</v>
      </c>
      <c r="C1522" s="51" t="e">
        <v>#REF!</v>
      </c>
      <c r="D1522" s="51" t="str">
        <v/>
      </c>
      <c r="E1522" s="51" t="str">
        <v/>
      </c>
      <c r="F1522" s="52" t="e">
        <v>#REF!</v>
      </c>
      <c r="G1522" s="48" t="e">
        <v>#REF!</v>
      </c>
      <c r="H1522" s="49">
        <v>0</v>
      </c>
      <c r="I1522" s="49" t="e">
        <v>#REF!</v>
      </c>
      <c r="J1522" s="50"/>
    </row>
    <row r="1523" outlineLevel="1" spans="1:10">
      <c r="A1523" s="50">
        <v>572</v>
      </c>
      <c r="B1523" s="51" t="str">
        <v>双联单控开关</v>
      </c>
      <c r="C1523" s="51" t="e">
        <v>#REF!</v>
      </c>
      <c r="D1523" s="51" t="str">
        <v/>
      </c>
      <c r="E1523" s="51" t="str">
        <v/>
      </c>
      <c r="F1523" s="52" t="e">
        <v>#REF!</v>
      </c>
      <c r="G1523" s="48" t="e">
        <v>#REF!</v>
      </c>
      <c r="H1523" s="49">
        <v>0</v>
      </c>
      <c r="I1523" s="49" t="e">
        <v>#REF!</v>
      </c>
      <c r="J1523" s="50"/>
    </row>
    <row r="1524" outlineLevel="1" spans="1:10">
      <c r="A1524" s="50">
        <v>573</v>
      </c>
      <c r="B1524" s="51" t="str">
        <v>三联单控开关</v>
      </c>
      <c r="C1524" s="51" t="e">
        <v>#REF!</v>
      </c>
      <c r="D1524" s="51" t="str">
        <v/>
      </c>
      <c r="E1524" s="51" t="str">
        <v/>
      </c>
      <c r="F1524" s="52" t="e">
        <v>#REF!</v>
      </c>
      <c r="G1524" s="48" t="e">
        <v>#REF!</v>
      </c>
      <c r="H1524" s="49">
        <v>0</v>
      </c>
      <c r="I1524" s="49" t="e">
        <v>#REF!</v>
      </c>
      <c r="J1524" s="50"/>
    </row>
    <row r="1525" outlineLevel="1" spans="1:10">
      <c r="A1525" s="50">
        <v>574</v>
      </c>
      <c r="B1525" s="51" t="str">
        <v>四联单控开关</v>
      </c>
      <c r="C1525" s="51" t="e">
        <v>#REF!</v>
      </c>
      <c r="D1525" s="51" t="str">
        <v/>
      </c>
      <c r="E1525" s="51" t="str">
        <v/>
      </c>
      <c r="F1525" s="52" t="e">
        <v>#REF!</v>
      </c>
      <c r="G1525" s="48" t="e">
        <v>#REF!</v>
      </c>
      <c r="H1525" s="49">
        <v>0</v>
      </c>
      <c r="I1525" s="49" t="e">
        <v>#REF!</v>
      </c>
      <c r="J1525" s="50"/>
    </row>
    <row r="1526" outlineLevel="1" spans="1:10">
      <c r="A1526" s="50">
        <v>575</v>
      </c>
      <c r="B1526" s="51" t="str">
        <v>五孔插座</v>
      </c>
      <c r="C1526" s="51" t="e">
        <v>#REF!</v>
      </c>
      <c r="D1526" s="51" t="str">
        <v/>
      </c>
      <c r="E1526" s="51" t="str">
        <v/>
      </c>
      <c r="F1526" s="52" t="e">
        <v>#REF!</v>
      </c>
      <c r="G1526" s="48" t="e">
        <v>#REF!</v>
      </c>
      <c r="H1526" s="49">
        <v>0</v>
      </c>
      <c r="I1526" s="49" t="e">
        <v>#REF!</v>
      </c>
      <c r="J1526" s="50"/>
    </row>
    <row r="1527" outlineLevel="1" spans="1:10">
      <c r="A1527" s="50">
        <v>576</v>
      </c>
      <c r="B1527" s="51" t="str">
        <v>电梯检修插座</v>
      </c>
      <c r="C1527" s="51" t="e">
        <v>#REF!</v>
      </c>
      <c r="D1527" s="51" t="str">
        <v/>
      </c>
      <c r="E1527" s="51" t="str">
        <v/>
      </c>
      <c r="F1527" s="52" t="e">
        <v>#REF!</v>
      </c>
      <c r="G1527" s="48" t="e">
        <v>#REF!</v>
      </c>
      <c r="H1527" s="49">
        <v>1</v>
      </c>
      <c r="I1527" s="49" t="e">
        <v>#REF!</v>
      </c>
      <c r="J1527" s="50"/>
    </row>
    <row r="1528" outlineLevel="1" spans="1:10">
      <c r="A1528" s="50">
        <v>577</v>
      </c>
      <c r="B1528" s="51" t="str">
        <v>卫生间五孔插座（IP54）</v>
      </c>
      <c r="C1528" s="51" t="e">
        <v>#REF!</v>
      </c>
      <c r="D1528" s="51" t="str">
        <v/>
      </c>
      <c r="E1528" s="51" t="str">
        <v/>
      </c>
      <c r="F1528" s="52" t="e">
        <v>#REF!</v>
      </c>
      <c r="G1528" s="48" t="e">
        <v>#REF!</v>
      </c>
      <c r="H1528" s="49">
        <v>0</v>
      </c>
      <c r="I1528" s="49" t="e">
        <v>#REF!</v>
      </c>
      <c r="J1528" s="50"/>
    </row>
    <row r="1529" outlineLevel="1" spans="1:10">
      <c r="A1529" s="50">
        <v>578</v>
      </c>
      <c r="B1529" s="51" t="str">
        <v>电磁阀五孔插座（IP54）</v>
      </c>
      <c r="C1529" s="51" t="e">
        <v>#REF!</v>
      </c>
      <c r="D1529" s="51" t="str">
        <v/>
      </c>
      <c r="E1529" s="51" t="str">
        <v/>
      </c>
      <c r="F1529" s="52" t="e">
        <v>#REF!</v>
      </c>
      <c r="G1529" s="48" t="e">
        <v>#REF!</v>
      </c>
      <c r="H1529" s="49">
        <v>0</v>
      </c>
      <c r="I1529" s="49" t="e">
        <v>#REF!</v>
      </c>
      <c r="J1529" s="50"/>
    </row>
    <row r="1530" ht="28.8" outlineLevel="1" spans="1:10">
      <c r="A1530" s="50">
        <v>579</v>
      </c>
      <c r="B1530" s="51" t="str">
        <v>空调挂机、柜机三孔插座-（带开关）</v>
      </c>
      <c r="C1530" s="51" t="e">
        <v>#REF!</v>
      </c>
      <c r="D1530" s="51" t="str">
        <v/>
      </c>
      <c r="E1530" s="51" t="str">
        <v/>
      </c>
      <c r="F1530" s="52" t="e">
        <v>#REF!</v>
      </c>
      <c r="G1530" s="48" t="e">
        <v>#REF!</v>
      </c>
      <c r="H1530" s="49">
        <v>30</v>
      </c>
      <c r="I1530" s="49" t="e">
        <v>#REF!</v>
      </c>
      <c r="J1530" s="50"/>
    </row>
    <row r="1531" outlineLevel="1" spans="1:10">
      <c r="A1531" s="50">
        <v>580</v>
      </c>
      <c r="B1531" s="51" t="str">
        <v>电动门五孔插座</v>
      </c>
      <c r="C1531" s="51" t="e">
        <v>#REF!</v>
      </c>
      <c r="D1531" s="51" t="str">
        <v/>
      </c>
      <c r="E1531" s="51" t="str">
        <v/>
      </c>
      <c r="F1531" s="52" t="e">
        <v>#REF!</v>
      </c>
      <c r="G1531" s="48" t="e">
        <v>#REF!</v>
      </c>
      <c r="H1531" s="49">
        <v>0</v>
      </c>
      <c r="I1531" s="49" t="e">
        <v>#REF!</v>
      </c>
      <c r="J1531" s="50"/>
    </row>
    <row r="1532" outlineLevel="1" spans="1:10">
      <c r="A1532" s="50">
        <v>581</v>
      </c>
      <c r="B1532" s="51" t="str">
        <v>五孔插座</v>
      </c>
      <c r="C1532" s="51" t="e">
        <v>#REF!</v>
      </c>
      <c r="D1532" s="51" t="str">
        <v/>
      </c>
      <c r="E1532" s="51" t="str">
        <v/>
      </c>
      <c r="F1532" s="52" t="e">
        <v>#REF!</v>
      </c>
      <c r="G1532" s="48" t="e">
        <v>#REF!</v>
      </c>
      <c r="H1532" s="49">
        <v>0</v>
      </c>
      <c r="I1532" s="49" t="e">
        <v>#REF!</v>
      </c>
      <c r="J1532" s="50"/>
    </row>
    <row r="1533" outlineLevel="1" spans="1:10">
      <c r="A1533" s="50">
        <v>582</v>
      </c>
      <c r="B1533" s="51" t="str">
        <v>电伴热插座</v>
      </c>
      <c r="C1533" s="51" t="e">
        <v>#REF!</v>
      </c>
      <c r="D1533" s="51" t="str">
        <v/>
      </c>
      <c r="E1533" s="51" t="str">
        <v/>
      </c>
      <c r="F1533" s="52" t="e">
        <v>#REF!</v>
      </c>
      <c r="G1533" s="48" t="e">
        <v>#REF!</v>
      </c>
      <c r="H1533" s="49">
        <v>0</v>
      </c>
      <c r="I1533" s="49" t="e">
        <v>#REF!</v>
      </c>
      <c r="J1533" s="50"/>
    </row>
    <row r="1534" outlineLevel="1" spans="1:10">
      <c r="A1534" s="50">
        <v>583</v>
      </c>
      <c r="B1534" s="51" t="str">
        <v>警报插座</v>
      </c>
      <c r="C1534" s="51" t="e">
        <v>#REF!</v>
      </c>
      <c r="D1534" s="51" t="str">
        <v/>
      </c>
      <c r="E1534" s="51" t="str">
        <v/>
      </c>
      <c r="F1534" s="52" t="e">
        <v>#REF!</v>
      </c>
      <c r="G1534" s="48" t="e">
        <v>#REF!</v>
      </c>
      <c r="H1534" s="49">
        <v>0</v>
      </c>
      <c r="I1534" s="49" t="e">
        <v>#REF!</v>
      </c>
      <c r="J1534" s="50"/>
    </row>
    <row r="1535" outlineLevel="1" spans="1:10">
      <c r="A1535" s="50">
        <v>584</v>
      </c>
      <c r="B1535" s="51" t="str">
        <v>滤毒室插座</v>
      </c>
      <c r="C1535" s="51" t="e">
        <v>#REF!</v>
      </c>
      <c r="D1535" s="51" t="str">
        <v/>
      </c>
      <c r="E1535" s="51" t="str">
        <v/>
      </c>
      <c r="F1535" s="52" t="e">
        <v>#REF!</v>
      </c>
      <c r="G1535" s="48" t="e">
        <v>#REF!</v>
      </c>
      <c r="H1535" s="49">
        <v>0</v>
      </c>
      <c r="I1535" s="49" t="e">
        <v>#REF!</v>
      </c>
      <c r="J1535" s="50"/>
    </row>
    <row r="1536" outlineLevel="1" spans="1:10">
      <c r="A1536" s="50">
        <v>585</v>
      </c>
      <c r="B1536" s="51" t="str">
        <v>人防呼唤按钮</v>
      </c>
      <c r="C1536" s="51" t="e">
        <v>#REF!</v>
      </c>
      <c r="D1536" s="51" t="str">
        <v/>
      </c>
      <c r="E1536" s="51" t="str">
        <v/>
      </c>
      <c r="F1536" s="52" t="e">
        <v>#REF!</v>
      </c>
      <c r="G1536" s="48" t="e">
        <v>#REF!</v>
      </c>
      <c r="H1536" s="49">
        <v>0</v>
      </c>
      <c r="I1536" s="49" t="e">
        <v>#REF!</v>
      </c>
      <c r="J1536" s="50"/>
    </row>
    <row r="1537" outlineLevel="1" spans="1:10">
      <c r="A1537" s="50">
        <v>586</v>
      </c>
      <c r="B1537" s="51" t="str">
        <v>电话插孔</v>
      </c>
      <c r="C1537" s="51" t="e">
        <v>#REF!</v>
      </c>
      <c r="D1537" s="51" t="str">
        <v/>
      </c>
      <c r="E1537" s="51" t="str">
        <v/>
      </c>
      <c r="F1537" s="52" t="e">
        <v>#REF!</v>
      </c>
      <c r="G1537" s="48" t="e">
        <v>#REF!</v>
      </c>
      <c r="H1537" s="49">
        <v>0</v>
      </c>
      <c r="I1537" s="49" t="e">
        <v>#REF!</v>
      </c>
      <c r="J1537" s="50"/>
    </row>
    <row r="1538" ht="28.8" outlineLevel="1" spans="1:10">
      <c r="A1538" s="50">
        <v>587</v>
      </c>
      <c r="B1538" s="51" t="str">
        <v>暗装排气扇接线盒（含面板）</v>
      </c>
      <c r="C1538" s="51" t="e">
        <v>#REF!</v>
      </c>
      <c r="D1538" s="51" t="str">
        <v/>
      </c>
      <c r="E1538" s="51" t="str">
        <v/>
      </c>
      <c r="F1538" s="52" t="e">
        <v>#REF!</v>
      </c>
      <c r="G1538" s="48" t="e">
        <v>#REF!</v>
      </c>
      <c r="H1538" s="49">
        <v>0</v>
      </c>
      <c r="I1538" s="49" t="e">
        <v>#REF!</v>
      </c>
      <c r="J1538" s="50"/>
    </row>
    <row r="1539" outlineLevel="1" spans="1:10">
      <c r="A1539" s="50">
        <v>588</v>
      </c>
      <c r="B1539" s="51" t="str">
        <v>空白面板</v>
      </c>
      <c r="C1539" s="51" t="e">
        <v>#REF!</v>
      </c>
      <c r="D1539" s="51" t="str">
        <v/>
      </c>
      <c r="E1539" s="51" t="str">
        <v/>
      </c>
      <c r="F1539" s="52" t="e">
        <v>#REF!</v>
      </c>
      <c r="G1539" s="48" t="e">
        <v>#REF!</v>
      </c>
      <c r="H1539" s="49">
        <v>0</v>
      </c>
      <c r="I1539" s="49" t="e">
        <v>#REF!</v>
      </c>
      <c r="J1539" s="50"/>
    </row>
    <row r="1540" outlineLevel="1" spans="1:10">
      <c r="A1540" s="50">
        <v>589</v>
      </c>
      <c r="B1540" s="51" t="str">
        <v>暗装塑料接线盒</v>
      </c>
      <c r="C1540" s="51" t="e">
        <v>#REF!</v>
      </c>
      <c r="D1540" s="51" t="str">
        <v/>
      </c>
      <c r="E1540" s="51" t="str">
        <v/>
      </c>
      <c r="F1540" s="52" t="e">
        <v>#REF!</v>
      </c>
      <c r="G1540" s="48" t="e">
        <v>#REF!</v>
      </c>
      <c r="H1540" s="49">
        <v>33</v>
      </c>
      <c r="I1540" s="49" t="e">
        <v>#REF!</v>
      </c>
      <c r="J1540" s="50"/>
    </row>
    <row r="1541" outlineLevel="1" spans="1:10">
      <c r="A1541" s="50">
        <v>590</v>
      </c>
      <c r="B1541" s="51" t="str">
        <v>暗装钢制接线盒</v>
      </c>
      <c r="C1541" s="51" t="e">
        <v>#REF!</v>
      </c>
      <c r="D1541" s="51" t="str">
        <v/>
      </c>
      <c r="E1541" s="51" t="str">
        <v/>
      </c>
      <c r="F1541" s="52" t="e">
        <v>#REF!</v>
      </c>
      <c r="G1541" s="48" t="e">
        <v>#REF!</v>
      </c>
      <c r="H1541" s="49">
        <v>0</v>
      </c>
      <c r="I1541" s="49" t="e">
        <v>#REF!</v>
      </c>
      <c r="J1541" s="50"/>
    </row>
    <row r="1542" outlineLevel="1" spans="1:10">
      <c r="A1542" s="50">
        <v>591</v>
      </c>
      <c r="B1542" s="51" t="str">
        <v>低压熔断器</v>
      </c>
      <c r="C1542" s="51" t="e">
        <v>#REF!</v>
      </c>
      <c r="D1542" s="51" t="str">
        <v/>
      </c>
      <c r="E1542" s="51" t="str">
        <v/>
      </c>
      <c r="F1542" s="52" t="e">
        <v>#REF!</v>
      </c>
      <c r="G1542" s="48" t="e">
        <v>#REF!</v>
      </c>
      <c r="H1542" s="49">
        <v>0</v>
      </c>
      <c r="I1542" s="49" t="e">
        <v>#REF!</v>
      </c>
      <c r="J1542" s="50"/>
    </row>
    <row r="1543" outlineLevel="1" spans="1:10">
      <c r="A1543" s="50" t="str">
        <v/>
      </c>
      <c r="B1543" s="51" t="str">
        <v>B.18.6防雷接地</v>
      </c>
      <c r="C1543" s="51" t="str">
        <v/>
      </c>
      <c r="D1543" s="51" t="str">
        <v/>
      </c>
      <c r="E1543" s="51" t="str">
        <v/>
      </c>
      <c r="F1543" s="52" t="str">
        <v/>
      </c>
      <c r="G1543" s="48" t="str">
        <v/>
      </c>
      <c r="H1543" s="49">
        <v>0</v>
      </c>
      <c r="I1543" s="49" t="e">
        <v>#REF!</v>
      </c>
      <c r="J1543" s="50"/>
    </row>
    <row r="1544" outlineLevel="1" spans="1:10">
      <c r="A1544" s="50">
        <v>592</v>
      </c>
      <c r="B1544" s="51" t="str">
        <v>接地极</v>
      </c>
      <c r="C1544" s="51" t="e">
        <v>#REF!</v>
      </c>
      <c r="D1544" s="51" t="str">
        <v/>
      </c>
      <c r="E1544" s="51" t="str">
        <v/>
      </c>
      <c r="F1544" s="52" t="e">
        <v>#REF!</v>
      </c>
      <c r="G1544" s="48" t="e">
        <v>#REF!</v>
      </c>
      <c r="H1544" s="49">
        <v>1</v>
      </c>
      <c r="I1544" s="49" t="e">
        <v>#REF!</v>
      </c>
      <c r="J1544" s="50"/>
    </row>
    <row r="1545" outlineLevel="1" spans="1:10">
      <c r="A1545" s="50">
        <v>593</v>
      </c>
      <c r="B1545" s="51" t="str">
        <v>避雷引下线1</v>
      </c>
      <c r="C1545" s="51" t="e">
        <v>#REF!</v>
      </c>
      <c r="D1545" s="51" t="str">
        <v/>
      </c>
      <c r="E1545" s="51" t="str">
        <v/>
      </c>
      <c r="F1545" s="52" t="e">
        <v>#REF!</v>
      </c>
      <c r="G1545" s="48" t="e">
        <v>#REF!</v>
      </c>
      <c r="H1545" s="49">
        <v>0</v>
      </c>
      <c r="I1545" s="49" t="e">
        <v>#REF!</v>
      </c>
      <c r="J1545" s="50"/>
    </row>
    <row r="1546" outlineLevel="1" spans="1:10">
      <c r="A1546" s="50">
        <v>594</v>
      </c>
      <c r="B1546" s="51" t="str">
        <v>局部等电位端子箱</v>
      </c>
      <c r="C1546" s="51" t="e">
        <v>#REF!</v>
      </c>
      <c r="D1546" s="51" t="str">
        <v/>
      </c>
      <c r="E1546" s="51" t="str">
        <v/>
      </c>
      <c r="F1546" s="52" t="e">
        <v>#REF!</v>
      </c>
      <c r="G1546" s="48" t="e">
        <v>#REF!</v>
      </c>
      <c r="H1546" s="49">
        <v>0</v>
      </c>
      <c r="I1546" s="49" t="e">
        <v>#REF!</v>
      </c>
      <c r="J1546" s="50"/>
    </row>
    <row r="1547" outlineLevel="1" spans="1:10">
      <c r="A1547" s="50">
        <v>595</v>
      </c>
      <c r="B1547" s="51" t="str">
        <v>总等电位连接端子箱</v>
      </c>
      <c r="C1547" s="51" t="e">
        <v>#REF!</v>
      </c>
      <c r="D1547" s="51" t="str">
        <v/>
      </c>
      <c r="E1547" s="51" t="str">
        <v/>
      </c>
      <c r="F1547" s="52" t="e">
        <v>#REF!</v>
      </c>
      <c r="G1547" s="48" t="e">
        <v>#REF!</v>
      </c>
      <c r="H1547" s="49">
        <v>1</v>
      </c>
      <c r="I1547" s="49" t="e">
        <v>#REF!</v>
      </c>
      <c r="J1547" s="50"/>
    </row>
    <row r="1548" ht="28.8" outlineLevel="1" spans="1:10">
      <c r="A1548" s="50">
        <v>596</v>
      </c>
      <c r="B1548" s="51" t="str">
        <v>进出户管道、突出金属物接地</v>
      </c>
      <c r="C1548" s="51" t="e">
        <v>#REF!</v>
      </c>
      <c r="D1548" s="51" t="str">
        <v/>
      </c>
      <c r="E1548" s="51" t="str">
        <v/>
      </c>
      <c r="F1548" s="52" t="e">
        <v>#REF!</v>
      </c>
      <c r="G1548" s="48" t="e">
        <v>#REF!</v>
      </c>
      <c r="H1548" s="49">
        <v>10</v>
      </c>
      <c r="I1548" s="49" t="e">
        <v>#REF!</v>
      </c>
      <c r="J1548" s="50"/>
    </row>
    <row r="1549" outlineLevel="1" spans="1:10">
      <c r="A1549" s="50">
        <v>597</v>
      </c>
      <c r="B1549" s="51" t="str">
        <v>钢铝窗接地</v>
      </c>
      <c r="C1549" s="51" t="e">
        <v>#REF!</v>
      </c>
      <c r="D1549" s="51" t="str">
        <v/>
      </c>
      <c r="E1549" s="51" t="str">
        <v/>
      </c>
      <c r="F1549" s="52" t="e">
        <v>#REF!</v>
      </c>
      <c r="G1549" s="48" t="e">
        <v>#REF!</v>
      </c>
      <c r="H1549" s="49">
        <v>0</v>
      </c>
      <c r="I1549" s="49" t="e">
        <v>#REF!</v>
      </c>
      <c r="J1549" s="50"/>
    </row>
    <row r="1550" outlineLevel="1" spans="1:10">
      <c r="A1550" s="50">
        <v>598</v>
      </c>
      <c r="B1550" s="51" t="str">
        <v>接地跨接线</v>
      </c>
      <c r="C1550" s="51" t="e">
        <v>#REF!</v>
      </c>
      <c r="D1550" s="51" t="str">
        <v/>
      </c>
      <c r="E1550" s="51" t="str">
        <v/>
      </c>
      <c r="F1550" s="52" t="e">
        <v>#REF!</v>
      </c>
      <c r="G1550" s="48" t="e">
        <v>#REF!</v>
      </c>
      <c r="H1550" s="49">
        <v>0</v>
      </c>
      <c r="I1550" s="49" t="e">
        <v>#REF!</v>
      </c>
      <c r="J1550" s="50"/>
    </row>
    <row r="1551" outlineLevel="1" spans="1:10">
      <c r="A1551" s="50">
        <v>599</v>
      </c>
      <c r="B1551" s="51" t="str">
        <v>接地端子板</v>
      </c>
      <c r="C1551" s="51" t="e">
        <v>#REF!</v>
      </c>
      <c r="D1551" s="51" t="str">
        <v/>
      </c>
      <c r="E1551" s="51" t="str">
        <v/>
      </c>
      <c r="F1551" s="52" t="e">
        <v>#REF!</v>
      </c>
      <c r="G1551" s="48" t="e">
        <v>#REF!</v>
      </c>
      <c r="H1551" s="49">
        <v>0</v>
      </c>
      <c r="I1551" s="49" t="e">
        <v>#REF!</v>
      </c>
      <c r="J1551" s="50"/>
    </row>
    <row r="1552" outlineLevel="1" spans="1:10">
      <c r="A1552" s="50">
        <v>600</v>
      </c>
      <c r="B1552" s="51" t="str">
        <v>接地连接板</v>
      </c>
      <c r="C1552" s="51" t="e">
        <v>#REF!</v>
      </c>
      <c r="D1552" s="51" t="str">
        <v/>
      </c>
      <c r="E1552" s="51" t="str">
        <v/>
      </c>
      <c r="F1552" s="52" t="e">
        <v>#REF!</v>
      </c>
      <c r="G1552" s="48" t="e">
        <v>#REF!</v>
      </c>
      <c r="H1552" s="49">
        <v>0</v>
      </c>
      <c r="I1552" s="49" t="e">
        <v>#REF!</v>
      </c>
      <c r="J1552" s="50"/>
    </row>
    <row r="1553" outlineLevel="1" spans="1:10">
      <c r="A1553" s="50">
        <v>601</v>
      </c>
      <c r="B1553" s="51" t="str">
        <v>镀锌钢板接地极</v>
      </c>
      <c r="C1553" s="51" t="e">
        <v>#REF!</v>
      </c>
      <c r="D1553" s="51" t="str">
        <v/>
      </c>
      <c r="E1553" s="51" t="str">
        <v/>
      </c>
      <c r="F1553" s="52" t="e">
        <v>#REF!</v>
      </c>
      <c r="G1553" s="48" t="e">
        <v>#REF!</v>
      </c>
      <c r="H1553" s="49">
        <v>0</v>
      </c>
      <c r="I1553" s="49" t="e">
        <v>#REF!</v>
      </c>
      <c r="J1553" s="50"/>
    </row>
    <row r="1554" outlineLevel="1" spans="1:10">
      <c r="A1554" s="50">
        <v>602</v>
      </c>
      <c r="B1554" s="51" t="str">
        <v>接地母线-40*4（室外）</v>
      </c>
      <c r="C1554" s="51" t="e">
        <v>#REF!</v>
      </c>
      <c r="D1554" s="51" t="str">
        <v/>
      </c>
      <c r="E1554" s="51" t="str">
        <v/>
      </c>
      <c r="F1554" s="52" t="e">
        <v>#REF!</v>
      </c>
      <c r="G1554" s="48" t="e">
        <v>#REF!</v>
      </c>
      <c r="H1554" s="49">
        <v>0</v>
      </c>
      <c r="I1554" s="49" t="e">
        <v>#REF!</v>
      </c>
      <c r="J1554" s="50"/>
    </row>
    <row r="1555" outlineLevel="1" spans="1:10">
      <c r="A1555" s="50">
        <v>603</v>
      </c>
      <c r="B1555" s="51" t="str">
        <v>接地母线-50*5</v>
      </c>
      <c r="C1555" s="51" t="e">
        <v>#REF!</v>
      </c>
      <c r="D1555" s="51" t="str">
        <v/>
      </c>
      <c r="E1555" s="51" t="str">
        <v/>
      </c>
      <c r="F1555" s="52" t="e">
        <v>#REF!</v>
      </c>
      <c r="G1555" s="48" t="e">
        <v>#REF!</v>
      </c>
      <c r="H1555" s="49">
        <v>0</v>
      </c>
      <c r="I1555" s="49" t="e">
        <v>#REF!</v>
      </c>
      <c r="J1555" s="50"/>
    </row>
    <row r="1556" outlineLevel="1" spans="1:10">
      <c r="A1556" s="50">
        <v>604</v>
      </c>
      <c r="B1556" s="51" t="str">
        <v>接地母线-40*4</v>
      </c>
      <c r="C1556" s="51" t="e">
        <v>#REF!</v>
      </c>
      <c r="D1556" s="51" t="str">
        <v/>
      </c>
      <c r="E1556" s="51" t="str">
        <v/>
      </c>
      <c r="F1556" s="52" t="e">
        <v>#REF!</v>
      </c>
      <c r="G1556" s="48" t="e">
        <v>#REF!</v>
      </c>
      <c r="H1556" s="49">
        <v>0</v>
      </c>
      <c r="I1556" s="49" t="e">
        <v>#REF!</v>
      </c>
      <c r="J1556" s="50"/>
    </row>
    <row r="1557" outlineLevel="1" spans="1:10">
      <c r="A1557" s="50">
        <v>605</v>
      </c>
      <c r="B1557" s="51" t="str">
        <v>阻燃塑料管配管-PC32-暗配</v>
      </c>
      <c r="C1557" s="51" t="e">
        <v>#REF!</v>
      </c>
      <c r="D1557" s="51" t="str">
        <v/>
      </c>
      <c r="E1557" s="51" t="str">
        <v/>
      </c>
      <c r="F1557" s="52" t="e">
        <v>#REF!</v>
      </c>
      <c r="G1557" s="48" t="e">
        <v>#REF!</v>
      </c>
      <c r="H1557" s="49">
        <v>1</v>
      </c>
      <c r="I1557" s="49" t="e">
        <v>#REF!</v>
      </c>
      <c r="J1557" s="50"/>
    </row>
    <row r="1558" outlineLevel="1" spans="1:10">
      <c r="A1558" s="50">
        <v>606</v>
      </c>
      <c r="B1558" s="51" t="str">
        <v>综合配线-BV25</v>
      </c>
      <c r="C1558" s="51" t="e">
        <v>#REF!</v>
      </c>
      <c r="D1558" s="51" t="str">
        <v/>
      </c>
      <c r="E1558" s="51" t="str">
        <v/>
      </c>
      <c r="F1558" s="52" t="e">
        <v>#REF!</v>
      </c>
      <c r="G1558" s="48" t="e">
        <v>#REF!</v>
      </c>
      <c r="H1558" s="49">
        <v>1</v>
      </c>
      <c r="I1558" s="49" t="e">
        <v>#REF!</v>
      </c>
      <c r="J1558" s="50"/>
    </row>
    <row r="1559" outlineLevel="1" spans="1:10">
      <c r="A1559" s="50">
        <v>607</v>
      </c>
      <c r="B1559" s="51" t="str">
        <v>接地装置</v>
      </c>
      <c r="C1559" s="51" t="e">
        <v>#REF!</v>
      </c>
      <c r="D1559" s="51" t="str">
        <v/>
      </c>
      <c r="E1559" s="51" t="str">
        <v/>
      </c>
      <c r="F1559" s="52" t="e">
        <v>#REF!</v>
      </c>
      <c r="G1559" s="48" t="e">
        <v>#REF!</v>
      </c>
      <c r="H1559" s="49">
        <v>1</v>
      </c>
      <c r="I1559" s="49" t="e">
        <v>#REF!</v>
      </c>
      <c r="J1559" s="50"/>
    </row>
    <row r="1560" outlineLevel="1" spans="1:10">
      <c r="A1560" s="50" t="str">
        <v/>
      </c>
      <c r="B1560" s="51" t="str">
        <v>B.19弱电工程</v>
      </c>
      <c r="C1560" s="51" t="str">
        <v/>
      </c>
      <c r="D1560" s="51" t="str">
        <v/>
      </c>
      <c r="E1560" s="51" t="str">
        <v/>
      </c>
      <c r="F1560" s="52" t="str">
        <v/>
      </c>
      <c r="G1560" s="48" t="str">
        <v/>
      </c>
      <c r="H1560" s="49">
        <v>0</v>
      </c>
      <c r="I1560" s="49" t="e">
        <v>#REF!</v>
      </c>
      <c r="J1560" s="50"/>
    </row>
    <row r="1561" outlineLevel="1" spans="1:10">
      <c r="A1561" s="50">
        <v>608</v>
      </c>
      <c r="B1561" s="51" t="str">
        <v>金属桥架-100*100</v>
      </c>
      <c r="C1561" s="51" t="e">
        <v>#REF!</v>
      </c>
      <c r="D1561" s="51" t="str">
        <v/>
      </c>
      <c r="E1561" s="51" t="str">
        <v/>
      </c>
      <c r="F1561" s="52" t="e">
        <v>#REF!</v>
      </c>
      <c r="G1561" s="48" t="e">
        <v>#REF!</v>
      </c>
      <c r="H1561" s="49">
        <v>0</v>
      </c>
      <c r="I1561" s="49" t="e">
        <v>#REF!</v>
      </c>
      <c r="J1561" s="50"/>
    </row>
    <row r="1562" outlineLevel="1" spans="1:10">
      <c r="A1562" s="50">
        <v>609</v>
      </c>
      <c r="B1562" s="51" t="str">
        <v>金属桥架-300*200</v>
      </c>
      <c r="C1562" s="51" t="e">
        <v>#REF!</v>
      </c>
      <c r="D1562" s="51" t="str">
        <v/>
      </c>
      <c r="E1562" s="51" t="str">
        <v/>
      </c>
      <c r="F1562" s="52" t="e">
        <v>#REF!</v>
      </c>
      <c r="G1562" s="48" t="e">
        <v>#REF!</v>
      </c>
      <c r="H1562" s="49">
        <v>0</v>
      </c>
      <c r="I1562" s="49" t="e">
        <v>#REF!</v>
      </c>
      <c r="J1562" s="50"/>
    </row>
    <row r="1563" outlineLevel="1" spans="1:10">
      <c r="A1563" s="50">
        <v>610</v>
      </c>
      <c r="B1563" s="51" t="str">
        <v>金属桥架-200*200</v>
      </c>
      <c r="C1563" s="51" t="e">
        <v>#REF!</v>
      </c>
      <c r="D1563" s="51" t="str">
        <v/>
      </c>
      <c r="E1563" s="51" t="str">
        <v/>
      </c>
      <c r="F1563" s="52" t="e">
        <v>#REF!</v>
      </c>
      <c r="G1563" s="48" t="e">
        <v>#REF!</v>
      </c>
      <c r="H1563" s="49">
        <v>0</v>
      </c>
      <c r="I1563" s="49" t="e">
        <v>#REF!</v>
      </c>
      <c r="J1563" s="50"/>
    </row>
    <row r="1564" outlineLevel="1" spans="1:10">
      <c r="A1564" s="50">
        <v>611</v>
      </c>
      <c r="B1564" s="51" t="str">
        <v>金属桥架-200*100</v>
      </c>
      <c r="C1564" s="51" t="e">
        <v>#REF!</v>
      </c>
      <c r="D1564" s="51" t="str">
        <v/>
      </c>
      <c r="E1564" s="51" t="str">
        <v/>
      </c>
      <c r="F1564" s="52" t="e">
        <v>#REF!</v>
      </c>
      <c r="G1564" s="48" t="e">
        <v>#REF!</v>
      </c>
      <c r="H1564" s="49">
        <v>1</v>
      </c>
      <c r="I1564" s="49" t="e">
        <v>#REF!</v>
      </c>
      <c r="J1564" s="50"/>
    </row>
    <row r="1565" outlineLevel="1" spans="1:10">
      <c r="A1565" s="50">
        <v>612</v>
      </c>
      <c r="B1565" s="51" t="str">
        <v>金属桥架-150*100</v>
      </c>
      <c r="C1565" s="51" t="e">
        <v>#REF!</v>
      </c>
      <c r="D1565" s="51" t="str">
        <v/>
      </c>
      <c r="E1565" s="51" t="str">
        <v/>
      </c>
      <c r="F1565" s="52" t="e">
        <v>#REF!</v>
      </c>
      <c r="G1565" s="48" t="e">
        <v>#REF!</v>
      </c>
      <c r="H1565" s="49">
        <v>1</v>
      </c>
      <c r="I1565" s="49" t="e">
        <v>#REF!</v>
      </c>
      <c r="J1565" s="50"/>
    </row>
    <row r="1566" outlineLevel="1" spans="1:10">
      <c r="A1566" s="50">
        <v>613</v>
      </c>
      <c r="B1566" s="51" t="str">
        <v>金属桥架-150*100</v>
      </c>
      <c r="C1566" s="51" t="e">
        <v>#REF!</v>
      </c>
      <c r="D1566" s="51" t="str">
        <v/>
      </c>
      <c r="E1566" s="51" t="str">
        <v/>
      </c>
      <c r="F1566" s="52" t="e">
        <v>#REF!</v>
      </c>
      <c r="G1566" s="48" t="e">
        <v>#REF!</v>
      </c>
      <c r="H1566" s="49">
        <v>0</v>
      </c>
      <c r="I1566" s="49" t="e">
        <v>#REF!</v>
      </c>
      <c r="J1566" s="50"/>
    </row>
    <row r="1567" outlineLevel="1" spans="1:10">
      <c r="A1567" s="50">
        <v>614</v>
      </c>
      <c r="B1567" s="51" t="str">
        <v>金属桥架-200*100</v>
      </c>
      <c r="C1567" s="51" t="e">
        <v>#REF!</v>
      </c>
      <c r="D1567" s="51" t="str">
        <v/>
      </c>
      <c r="E1567" s="51" t="str">
        <v/>
      </c>
      <c r="F1567" s="52" t="e">
        <v>#REF!</v>
      </c>
      <c r="G1567" s="48" t="e">
        <v>#REF!</v>
      </c>
      <c r="H1567" s="49">
        <v>0</v>
      </c>
      <c r="I1567" s="49" t="e">
        <v>#REF!</v>
      </c>
      <c r="J1567" s="50"/>
    </row>
    <row r="1568" outlineLevel="1" spans="1:10">
      <c r="A1568" s="50">
        <v>615</v>
      </c>
      <c r="B1568" s="51" t="str">
        <v>金属桥架-80*50</v>
      </c>
      <c r="C1568" s="51" t="e">
        <v>#REF!</v>
      </c>
      <c r="D1568" s="51" t="str">
        <v/>
      </c>
      <c r="E1568" s="51" t="str">
        <v/>
      </c>
      <c r="F1568" s="52" t="e">
        <v>#REF!</v>
      </c>
      <c r="G1568" s="48" t="e">
        <v>#REF!</v>
      </c>
      <c r="H1568" s="49">
        <v>0</v>
      </c>
      <c r="I1568" s="49" t="e">
        <v>#REF!</v>
      </c>
      <c r="J1568" s="50"/>
    </row>
    <row r="1569" outlineLevel="1" spans="1:10">
      <c r="A1569" s="50">
        <v>616</v>
      </c>
      <c r="B1569" s="51" t="str">
        <v>金属桥架-100*50</v>
      </c>
      <c r="C1569" s="51" t="e">
        <v>#REF!</v>
      </c>
      <c r="D1569" s="51" t="str">
        <v/>
      </c>
      <c r="E1569" s="51" t="str">
        <v/>
      </c>
      <c r="F1569" s="52" t="e">
        <v>#REF!</v>
      </c>
      <c r="G1569" s="48" t="e">
        <v>#REF!</v>
      </c>
      <c r="H1569" s="49">
        <v>0</v>
      </c>
      <c r="I1569" s="49" t="e">
        <v>#REF!</v>
      </c>
      <c r="J1569" s="50"/>
    </row>
    <row r="1570" outlineLevel="1" spans="1:10">
      <c r="A1570" s="50">
        <v>617</v>
      </c>
      <c r="B1570" s="51" t="str">
        <v>防火堵洞</v>
      </c>
      <c r="C1570" s="51" t="e">
        <v>#REF!</v>
      </c>
      <c r="D1570" s="51" t="str">
        <v/>
      </c>
      <c r="E1570" s="51" t="str">
        <v/>
      </c>
      <c r="F1570" s="52" t="e">
        <v>#REF!</v>
      </c>
      <c r="G1570" s="48" t="e">
        <v>#REF!</v>
      </c>
      <c r="H1570" s="49">
        <v>0</v>
      </c>
      <c r="I1570" s="49" t="e">
        <v>#REF!</v>
      </c>
      <c r="J1570" s="50"/>
    </row>
    <row r="1571" outlineLevel="1" spans="1:10">
      <c r="A1571" s="50">
        <v>618</v>
      </c>
      <c r="B1571" s="51" t="str">
        <v>阻燃塑料管配管-PC20-暗配</v>
      </c>
      <c r="C1571" s="51" t="e">
        <v>#REF!</v>
      </c>
      <c r="D1571" s="51" t="str">
        <v/>
      </c>
      <c r="E1571" s="51" t="str">
        <v/>
      </c>
      <c r="F1571" s="52" t="e">
        <v>#REF!</v>
      </c>
      <c r="G1571" s="48" t="e">
        <v>#REF!</v>
      </c>
      <c r="H1571" s="49">
        <v>0</v>
      </c>
      <c r="I1571" s="49" t="e">
        <v>#REF!</v>
      </c>
      <c r="J1571" s="50"/>
    </row>
    <row r="1572" outlineLevel="1" spans="1:10">
      <c r="A1572" s="50">
        <v>619</v>
      </c>
      <c r="B1572" s="51" t="str">
        <v>阻燃塑料管配管-PC25-暗配</v>
      </c>
      <c r="C1572" s="51" t="e">
        <v>#REF!</v>
      </c>
      <c r="D1572" s="51" t="str">
        <v/>
      </c>
      <c r="E1572" s="51" t="str">
        <v/>
      </c>
      <c r="F1572" s="52" t="e">
        <v>#REF!</v>
      </c>
      <c r="G1572" s="48" t="e">
        <v>#REF!</v>
      </c>
      <c r="H1572" s="49">
        <v>0</v>
      </c>
      <c r="I1572" s="49" t="e">
        <v>#REF!</v>
      </c>
      <c r="J1572" s="50"/>
    </row>
    <row r="1573" outlineLevel="1" spans="1:10">
      <c r="A1573" s="50">
        <v>620</v>
      </c>
      <c r="B1573" s="51" t="str">
        <v>薄壁钢导管配管-JDG20-暗配</v>
      </c>
      <c r="C1573" s="51" t="e">
        <v>#REF!</v>
      </c>
      <c r="D1573" s="51" t="str">
        <v/>
      </c>
      <c r="E1573" s="51" t="str">
        <v/>
      </c>
      <c r="F1573" s="52" t="e">
        <v>#REF!</v>
      </c>
      <c r="G1573" s="48" t="e">
        <v>#REF!</v>
      </c>
      <c r="H1573" s="49">
        <v>0</v>
      </c>
      <c r="I1573" s="49" t="e">
        <v>#REF!</v>
      </c>
      <c r="J1573" s="50"/>
    </row>
    <row r="1574" outlineLevel="1" spans="1:10">
      <c r="A1574" s="50">
        <v>621</v>
      </c>
      <c r="B1574" s="51" t="str">
        <v>薄壁钢导管配管-JDG25-暗配</v>
      </c>
      <c r="C1574" s="51" t="e">
        <v>#REF!</v>
      </c>
      <c r="D1574" s="51" t="str">
        <v/>
      </c>
      <c r="E1574" s="51" t="str">
        <v/>
      </c>
      <c r="F1574" s="52" t="e">
        <v>#REF!</v>
      </c>
      <c r="G1574" s="48" t="e">
        <v>#REF!</v>
      </c>
      <c r="H1574" s="49">
        <v>0</v>
      </c>
      <c r="I1574" s="49" t="e">
        <v>#REF!</v>
      </c>
      <c r="J1574" s="50"/>
    </row>
    <row r="1575" outlineLevel="1" spans="1:10">
      <c r="A1575" s="50">
        <v>622</v>
      </c>
      <c r="B1575" s="51" t="str">
        <v>SC20-暗配</v>
      </c>
      <c r="C1575" s="51" t="e">
        <v>#REF!</v>
      </c>
      <c r="D1575" s="51" t="str">
        <v/>
      </c>
      <c r="E1575" s="51" t="str">
        <v/>
      </c>
      <c r="F1575" s="52" t="e">
        <v>#REF!</v>
      </c>
      <c r="G1575" s="48" t="e">
        <v>#REF!</v>
      </c>
      <c r="H1575" s="49">
        <v>0</v>
      </c>
      <c r="I1575" s="49" t="e">
        <v>#REF!</v>
      </c>
      <c r="J1575" s="50"/>
    </row>
    <row r="1576" outlineLevel="1" spans="1:10">
      <c r="A1576" s="50">
        <v>623</v>
      </c>
      <c r="B1576" s="51" t="str">
        <v>SC40-暗配</v>
      </c>
      <c r="C1576" s="51" t="e">
        <v>#REF!</v>
      </c>
      <c r="D1576" s="51" t="str">
        <v/>
      </c>
      <c r="E1576" s="51" t="str">
        <v/>
      </c>
      <c r="F1576" s="52" t="e">
        <v>#REF!</v>
      </c>
      <c r="G1576" s="48" t="e">
        <v>#REF!</v>
      </c>
      <c r="H1576" s="49">
        <v>11.86</v>
      </c>
      <c r="I1576" s="49" t="e">
        <v>#REF!</v>
      </c>
      <c r="J1576" s="50"/>
    </row>
    <row r="1577" outlineLevel="1" spans="1:10">
      <c r="A1577" s="50">
        <v>624</v>
      </c>
      <c r="B1577" s="51" t="str">
        <v>SC80-暗配</v>
      </c>
      <c r="C1577" s="51" t="e">
        <v>#REF!</v>
      </c>
      <c r="D1577" s="51" t="str">
        <v/>
      </c>
      <c r="E1577" s="51" t="str">
        <v/>
      </c>
      <c r="F1577" s="52" t="e">
        <v>#REF!</v>
      </c>
      <c r="G1577" s="48" t="e">
        <v>#REF!</v>
      </c>
      <c r="H1577" s="49">
        <v>0</v>
      </c>
      <c r="I1577" s="49" t="e">
        <v>#REF!</v>
      </c>
      <c r="J1577" s="50"/>
    </row>
    <row r="1578" outlineLevel="1" spans="1:10">
      <c r="A1578" s="50">
        <v>625</v>
      </c>
      <c r="B1578" s="51" t="str">
        <v>暗装塑料接线盒</v>
      </c>
      <c r="C1578" s="51" t="e">
        <v>#REF!</v>
      </c>
      <c r="D1578" s="51" t="str">
        <v/>
      </c>
      <c r="E1578" s="51" t="str">
        <v/>
      </c>
      <c r="F1578" s="52" t="e">
        <v>#REF!</v>
      </c>
      <c r="G1578" s="48" t="e">
        <v>#REF!</v>
      </c>
      <c r="H1578" s="49">
        <v>0</v>
      </c>
      <c r="I1578" s="49" t="e">
        <v>#REF!</v>
      </c>
      <c r="J1578" s="50"/>
    </row>
    <row r="1579" outlineLevel="1" spans="1:10">
      <c r="A1579" s="50">
        <v>626</v>
      </c>
      <c r="B1579" s="51" t="str">
        <v>暗装钢制接线盒</v>
      </c>
      <c r="C1579" s="51" t="e">
        <v>#REF!</v>
      </c>
      <c r="D1579" s="51" t="str">
        <v/>
      </c>
      <c r="E1579" s="51" t="str">
        <v/>
      </c>
      <c r="F1579" s="52" t="e">
        <v>#REF!</v>
      </c>
      <c r="G1579" s="48" t="e">
        <v>#REF!</v>
      </c>
      <c r="H1579" s="49">
        <v>0</v>
      </c>
      <c r="I1579" s="49" t="e">
        <v>#REF!</v>
      </c>
      <c r="J1579" s="50"/>
    </row>
    <row r="1580" outlineLevel="1" spans="1:10">
      <c r="A1580" s="50">
        <v>627</v>
      </c>
      <c r="B1580" s="51" t="str">
        <v>空白面板</v>
      </c>
      <c r="C1580" s="51" t="e">
        <v>#REF!</v>
      </c>
      <c r="D1580" s="51" t="str">
        <v/>
      </c>
      <c r="E1580" s="51" t="str">
        <v/>
      </c>
      <c r="F1580" s="52" t="e">
        <v>#REF!</v>
      </c>
      <c r="G1580" s="48" t="e">
        <v>#REF!</v>
      </c>
      <c r="H1580" s="49">
        <v>0</v>
      </c>
      <c r="I1580" s="49" t="e">
        <v>#REF!</v>
      </c>
      <c r="J1580" s="50"/>
    </row>
    <row r="1581" outlineLevel="1" spans="1:10">
      <c r="A1581" s="50">
        <v>628</v>
      </c>
      <c r="B1581" s="51" t="str">
        <v>管内穿铁丝</v>
      </c>
      <c r="C1581" s="51" t="e">
        <v>#REF!</v>
      </c>
      <c r="D1581" s="51" t="str">
        <v/>
      </c>
      <c r="E1581" s="51" t="str">
        <v/>
      </c>
      <c r="F1581" s="52" t="e">
        <v>#REF!</v>
      </c>
      <c r="G1581" s="48" t="e">
        <v>#REF!</v>
      </c>
      <c r="H1581" s="49">
        <v>0</v>
      </c>
      <c r="I1581" s="49" t="e">
        <v>#REF!</v>
      </c>
      <c r="J1581" s="50"/>
    </row>
    <row r="1582" outlineLevel="1" spans="1:10">
      <c r="A1582" s="50">
        <v>629</v>
      </c>
      <c r="B1582" s="51" t="str">
        <v>电缆保护管-RC80</v>
      </c>
      <c r="C1582" s="51" t="e">
        <v>#REF!</v>
      </c>
      <c r="D1582" s="51" t="str">
        <v/>
      </c>
      <c r="E1582" s="51" t="str">
        <v/>
      </c>
      <c r="F1582" s="52" t="e">
        <v>#REF!</v>
      </c>
      <c r="G1582" s="48" t="e">
        <v>#REF!</v>
      </c>
      <c r="H1582" s="49">
        <v>0</v>
      </c>
      <c r="I1582" s="49" t="e">
        <v>#REF!</v>
      </c>
      <c r="J1582" s="50"/>
    </row>
    <row r="1583" outlineLevel="1" spans="1:10">
      <c r="A1583" s="50" t="str">
        <v/>
      </c>
      <c r="B1583" s="51" t="str">
        <v>B.20消防工程</v>
      </c>
      <c r="C1583" s="51" t="str">
        <v/>
      </c>
      <c r="D1583" s="51" t="str">
        <v/>
      </c>
      <c r="E1583" s="51" t="str">
        <v/>
      </c>
      <c r="F1583" s="52" t="str">
        <v/>
      </c>
      <c r="G1583" s="48" t="str">
        <v/>
      </c>
      <c r="H1583" s="49">
        <v>0</v>
      </c>
      <c r="I1583" s="49" t="e">
        <v>#REF!</v>
      </c>
      <c r="J1583" s="50"/>
    </row>
    <row r="1584" outlineLevel="1" spans="1:10">
      <c r="A1584" s="50">
        <v>630</v>
      </c>
      <c r="B1584" s="51" t="str">
        <v>防火桥架-100*100</v>
      </c>
      <c r="C1584" s="51" t="e">
        <v>#REF!</v>
      </c>
      <c r="D1584" s="51" t="str">
        <v/>
      </c>
      <c r="E1584" s="51" t="str">
        <v/>
      </c>
      <c r="F1584" s="52" t="e">
        <v>#REF!</v>
      </c>
      <c r="G1584" s="48" t="e">
        <v>#REF!</v>
      </c>
      <c r="H1584" s="49">
        <v>1</v>
      </c>
      <c r="I1584" s="49" t="e">
        <v>#REF!</v>
      </c>
      <c r="J1584" s="50"/>
    </row>
    <row r="1585" outlineLevel="1" spans="1:10">
      <c r="A1585" s="50">
        <v>631</v>
      </c>
      <c r="B1585" s="51" t="str">
        <v>防火桥架-200*100</v>
      </c>
      <c r="C1585" s="51" t="e">
        <v>#REF!</v>
      </c>
      <c r="D1585" s="51" t="str">
        <v/>
      </c>
      <c r="E1585" s="51" t="str">
        <v/>
      </c>
      <c r="F1585" s="52" t="e">
        <v>#REF!</v>
      </c>
      <c r="G1585" s="48" t="e">
        <v>#REF!</v>
      </c>
      <c r="H1585" s="49">
        <v>0</v>
      </c>
      <c r="I1585" s="49" t="e">
        <v>#REF!</v>
      </c>
      <c r="J1585" s="50"/>
    </row>
    <row r="1586" outlineLevel="1" spans="1:10">
      <c r="A1586" s="50">
        <v>632</v>
      </c>
      <c r="B1586" s="51" t="str">
        <v>防火桥架-200*150</v>
      </c>
      <c r="C1586" s="51" t="e">
        <v>#REF!</v>
      </c>
      <c r="D1586" s="51" t="str">
        <v/>
      </c>
      <c r="E1586" s="51" t="str">
        <v/>
      </c>
      <c r="F1586" s="52" t="e">
        <v>#REF!</v>
      </c>
      <c r="G1586" s="48" t="e">
        <v>#REF!</v>
      </c>
      <c r="H1586" s="49">
        <v>0</v>
      </c>
      <c r="I1586" s="49" t="e">
        <v>#REF!</v>
      </c>
      <c r="J1586" s="50"/>
    </row>
    <row r="1587" outlineLevel="1" spans="1:10">
      <c r="A1587" s="50">
        <v>633</v>
      </c>
      <c r="B1587" s="51" t="str">
        <v>防火桥架-200*200</v>
      </c>
      <c r="C1587" s="51" t="e">
        <v>#REF!</v>
      </c>
      <c r="D1587" s="51" t="str">
        <v/>
      </c>
      <c r="E1587" s="51" t="str">
        <v/>
      </c>
      <c r="F1587" s="52" t="e">
        <v>#REF!</v>
      </c>
      <c r="G1587" s="48" t="e">
        <v>#REF!</v>
      </c>
      <c r="H1587" s="49">
        <v>0</v>
      </c>
      <c r="I1587" s="49" t="e">
        <v>#REF!</v>
      </c>
      <c r="J1587" s="50"/>
    </row>
    <row r="1588" outlineLevel="1" spans="1:10">
      <c r="A1588" s="50">
        <v>634</v>
      </c>
      <c r="B1588" s="51" t="str">
        <v>防火桥架-300*150</v>
      </c>
      <c r="C1588" s="51" t="e">
        <v>#REF!</v>
      </c>
      <c r="D1588" s="51" t="str">
        <v/>
      </c>
      <c r="E1588" s="51" t="str">
        <v/>
      </c>
      <c r="F1588" s="52" t="e">
        <v>#REF!</v>
      </c>
      <c r="G1588" s="48" t="e">
        <v>#REF!</v>
      </c>
      <c r="H1588" s="49">
        <v>0</v>
      </c>
      <c r="I1588" s="49" t="e">
        <v>#REF!</v>
      </c>
      <c r="J1588" s="50"/>
    </row>
    <row r="1589" outlineLevel="1" spans="1:10">
      <c r="A1589" s="50">
        <v>635</v>
      </c>
      <c r="B1589" s="51" t="str">
        <v>防火桥架-300*200</v>
      </c>
      <c r="C1589" s="51" t="e">
        <v>#REF!</v>
      </c>
      <c r="D1589" s="51" t="str">
        <v/>
      </c>
      <c r="E1589" s="51" t="str">
        <v/>
      </c>
      <c r="F1589" s="52" t="e">
        <v>#REF!</v>
      </c>
      <c r="G1589" s="48" t="e">
        <v>#REF!</v>
      </c>
      <c r="H1589" s="49">
        <v>0</v>
      </c>
      <c r="I1589" s="49" t="e">
        <v>#REF!</v>
      </c>
      <c r="J1589" s="50"/>
    </row>
    <row r="1590" outlineLevel="1" spans="1:10">
      <c r="A1590" s="50">
        <v>636</v>
      </c>
      <c r="B1590" s="51" t="str">
        <v>防火桥架-400*150</v>
      </c>
      <c r="C1590" s="51" t="e">
        <v>#REF!</v>
      </c>
      <c r="D1590" s="51" t="str">
        <v/>
      </c>
      <c r="E1590" s="51" t="str">
        <v/>
      </c>
      <c r="F1590" s="52" t="e">
        <v>#REF!</v>
      </c>
      <c r="G1590" s="48" t="e">
        <v>#REF!</v>
      </c>
      <c r="H1590" s="49">
        <v>0</v>
      </c>
      <c r="I1590" s="49" t="e">
        <v>#REF!</v>
      </c>
      <c r="J1590" s="50"/>
    </row>
    <row r="1591" outlineLevel="1" spans="1:10">
      <c r="A1591" s="50">
        <v>637</v>
      </c>
      <c r="B1591" s="51" t="str">
        <v>防火桥架-400*200</v>
      </c>
      <c r="C1591" s="51" t="e">
        <v>#REF!</v>
      </c>
      <c r="D1591" s="51" t="str">
        <v/>
      </c>
      <c r="E1591" s="51" t="str">
        <v/>
      </c>
      <c r="F1591" s="52" t="e">
        <v>#REF!</v>
      </c>
      <c r="G1591" s="48" t="e">
        <v>#REF!</v>
      </c>
      <c r="H1591" s="49">
        <v>0</v>
      </c>
      <c r="I1591" s="49" t="e">
        <v>#REF!</v>
      </c>
      <c r="J1591" s="50"/>
    </row>
    <row r="1592" outlineLevel="1" spans="1:10">
      <c r="A1592" s="50">
        <v>636</v>
      </c>
      <c r="B1592" s="51" t="str">
        <v>防火堵洞</v>
      </c>
      <c r="C1592" s="51" t="e">
        <v>#REF!</v>
      </c>
      <c r="D1592" s="51" t="str">
        <v/>
      </c>
      <c r="E1592" s="51" t="str">
        <v/>
      </c>
      <c r="F1592" s="52" t="e">
        <v>#REF!</v>
      </c>
      <c r="G1592" s="48" t="e">
        <v>#REF!</v>
      </c>
      <c r="H1592" s="49">
        <v>1</v>
      </c>
      <c r="I1592" s="49" t="e">
        <v>#REF!</v>
      </c>
      <c r="J1592" s="50"/>
    </row>
    <row r="1593" outlineLevel="1" spans="1:10">
      <c r="A1593" s="50">
        <v>638</v>
      </c>
      <c r="B1593" s="51" t="str">
        <v>薄壁钢导管配管-JDG20-暗配</v>
      </c>
      <c r="C1593" s="51" t="e">
        <v>#REF!</v>
      </c>
      <c r="D1593" s="51" t="str">
        <v/>
      </c>
      <c r="E1593" s="51" t="str">
        <v/>
      </c>
      <c r="F1593" s="52" t="e">
        <v>#REF!</v>
      </c>
      <c r="G1593" s="48" t="e">
        <v>#REF!</v>
      </c>
      <c r="H1593" s="49">
        <v>0</v>
      </c>
      <c r="I1593" s="49" t="e">
        <v>#REF!</v>
      </c>
      <c r="J1593" s="50"/>
    </row>
    <row r="1594" outlineLevel="1" spans="1:10">
      <c r="A1594" s="50">
        <v>639</v>
      </c>
      <c r="B1594" s="51" t="str">
        <v>薄壁钢导管配管-JDG25-暗配</v>
      </c>
      <c r="C1594" s="51" t="e">
        <v>#REF!</v>
      </c>
      <c r="D1594" s="51" t="str">
        <v/>
      </c>
      <c r="E1594" s="51" t="str">
        <v/>
      </c>
      <c r="F1594" s="52" t="e">
        <v>#REF!</v>
      </c>
      <c r="G1594" s="48" t="e">
        <v>#REF!</v>
      </c>
      <c r="H1594" s="49">
        <v>0</v>
      </c>
      <c r="I1594" s="49" t="e">
        <v>#REF!</v>
      </c>
      <c r="J1594" s="50"/>
    </row>
    <row r="1595" outlineLevel="1" spans="1:10">
      <c r="A1595" s="50">
        <v>640</v>
      </c>
      <c r="B1595" s="51" t="str">
        <v>SC15-暗配</v>
      </c>
      <c r="C1595" s="51" t="e">
        <v>#REF!</v>
      </c>
      <c r="D1595" s="51" t="str">
        <v/>
      </c>
      <c r="E1595" s="51" t="str">
        <v/>
      </c>
      <c r="F1595" s="52" t="e">
        <v>#REF!</v>
      </c>
      <c r="G1595" s="48" t="e">
        <v>#REF!</v>
      </c>
      <c r="H1595" s="49">
        <v>1</v>
      </c>
      <c r="I1595" s="49" t="e">
        <v>#REF!</v>
      </c>
      <c r="J1595" s="50"/>
    </row>
    <row r="1596" outlineLevel="1" spans="1:10">
      <c r="A1596" s="50">
        <v>641</v>
      </c>
      <c r="B1596" s="51" t="str">
        <v>SC20-暗配</v>
      </c>
      <c r="C1596" s="51" t="e">
        <v>#REF!</v>
      </c>
      <c r="D1596" s="51" t="str">
        <v/>
      </c>
      <c r="E1596" s="51" t="str">
        <v/>
      </c>
      <c r="F1596" s="52" t="e">
        <v>#REF!</v>
      </c>
      <c r="G1596" s="48" t="e">
        <v>#REF!</v>
      </c>
      <c r="H1596" s="49">
        <v>1</v>
      </c>
      <c r="I1596" s="49" t="e">
        <v>#REF!</v>
      </c>
      <c r="J1596" s="50"/>
    </row>
    <row r="1597" outlineLevel="1" spans="1:10">
      <c r="A1597" s="50">
        <v>642</v>
      </c>
      <c r="B1597" s="51" t="str">
        <v>SC25-暗配</v>
      </c>
      <c r="C1597" s="51" t="e">
        <v>#REF!</v>
      </c>
      <c r="D1597" s="51" t="str">
        <v/>
      </c>
      <c r="E1597" s="51" t="str">
        <v/>
      </c>
      <c r="F1597" s="52" t="e">
        <v>#REF!</v>
      </c>
      <c r="G1597" s="48" t="e">
        <v>#REF!</v>
      </c>
      <c r="H1597" s="49">
        <v>1</v>
      </c>
      <c r="I1597" s="49" t="e">
        <v>#REF!</v>
      </c>
      <c r="J1597" s="50"/>
    </row>
    <row r="1598" outlineLevel="1" spans="1:10">
      <c r="A1598" s="50">
        <v>643</v>
      </c>
      <c r="B1598" s="51" t="str">
        <v>管内穿铁丝</v>
      </c>
      <c r="C1598" s="51" t="e">
        <v>#REF!</v>
      </c>
      <c r="D1598" s="51" t="str">
        <v/>
      </c>
      <c r="E1598" s="51" t="str">
        <v/>
      </c>
      <c r="F1598" s="52" t="e">
        <v>#REF!</v>
      </c>
      <c r="G1598" s="48" t="e">
        <v>#REF!</v>
      </c>
      <c r="H1598" s="49">
        <v>1</v>
      </c>
      <c r="I1598" s="49" t="e">
        <v>#REF!</v>
      </c>
      <c r="J1598" s="50"/>
    </row>
    <row r="1599" outlineLevel="1" spans="1:10">
      <c r="A1599" s="50">
        <v>644</v>
      </c>
      <c r="B1599" s="51" t="str">
        <v>暗装钢制接线盒</v>
      </c>
      <c r="C1599" s="51" t="e">
        <v>#REF!</v>
      </c>
      <c r="D1599" s="51" t="str">
        <v/>
      </c>
      <c r="E1599" s="51" t="str">
        <v/>
      </c>
      <c r="F1599" s="52" t="e">
        <v>#REF!</v>
      </c>
      <c r="G1599" s="48" t="e">
        <v>#REF!</v>
      </c>
      <c r="H1599" s="49">
        <v>1</v>
      </c>
      <c r="I1599" s="49" t="e">
        <v>#REF!</v>
      </c>
      <c r="J1599" s="50"/>
    </row>
    <row r="1600" outlineLevel="1" spans="1:10">
      <c r="A1600" s="50" t="str">
        <v/>
      </c>
      <c r="B1600" s="51" t="str">
        <v>地上电气</v>
      </c>
      <c r="C1600" s="51" t="str">
        <v/>
      </c>
      <c r="D1600" s="51" t="str">
        <v/>
      </c>
      <c r="E1600" s="51" t="str">
        <v/>
      </c>
      <c r="F1600" s="52" t="str">
        <v/>
      </c>
      <c r="G1600" s="48" t="str">
        <v/>
      </c>
      <c r="H1600" s="49">
        <v>0</v>
      </c>
      <c r="I1600" s="49" t="e">
        <v>#REF!</v>
      </c>
      <c r="J1600" s="50"/>
    </row>
    <row r="1601" outlineLevel="1" spans="1:10">
      <c r="A1601" s="50" t="str">
        <v/>
      </c>
      <c r="B1601" s="51" t="str">
        <v>B.21强电工程</v>
      </c>
      <c r="C1601" s="51" t="str">
        <v/>
      </c>
      <c r="D1601" s="51" t="str">
        <v/>
      </c>
      <c r="E1601" s="51" t="str">
        <v/>
      </c>
      <c r="F1601" s="52" t="str">
        <v/>
      </c>
      <c r="G1601" s="48" t="str">
        <v/>
      </c>
      <c r="H1601" s="49">
        <v>0</v>
      </c>
      <c r="I1601" s="49" t="e">
        <v>#REF!</v>
      </c>
      <c r="J1601" s="50"/>
    </row>
    <row r="1602" outlineLevel="1" spans="1:10">
      <c r="A1602" s="50" t="str">
        <v/>
      </c>
      <c r="B1602" s="51" t="str">
        <v>B.21.1配电箱</v>
      </c>
      <c r="C1602" s="51" t="str">
        <v/>
      </c>
      <c r="D1602" s="51" t="str">
        <v/>
      </c>
      <c r="E1602" s="51" t="str">
        <v/>
      </c>
      <c r="F1602" s="52" t="str">
        <v/>
      </c>
      <c r="G1602" s="48" t="str">
        <v/>
      </c>
      <c r="H1602" s="49">
        <v>0</v>
      </c>
      <c r="I1602" s="49" t="e">
        <v>#REF!</v>
      </c>
      <c r="J1602" s="50"/>
    </row>
    <row r="1603" outlineLevel="1" spans="1:10">
      <c r="A1603" s="50">
        <v>645</v>
      </c>
      <c r="B1603" s="51" t="str">
        <v>AL1配电箱</v>
      </c>
      <c r="C1603" s="51" t="e">
        <v>#REF!</v>
      </c>
      <c r="D1603" s="51" t="str">
        <v/>
      </c>
      <c r="E1603" s="51" t="str">
        <v/>
      </c>
      <c r="F1603" s="52" t="e">
        <v>#REF!</v>
      </c>
      <c r="G1603" s="48" t="e">
        <v>#REF!</v>
      </c>
      <c r="H1603" s="49">
        <v>0</v>
      </c>
      <c r="I1603" s="49" t="e">
        <v>#REF!</v>
      </c>
      <c r="J1603" s="50"/>
    </row>
    <row r="1604" outlineLevel="1" spans="1:10">
      <c r="A1604" s="50">
        <v>646</v>
      </c>
      <c r="B1604" s="51" t="str">
        <v>AL2配电箱</v>
      </c>
      <c r="C1604" s="51" t="e">
        <v>#REF!</v>
      </c>
      <c r="D1604" s="51" t="str">
        <v/>
      </c>
      <c r="E1604" s="51" t="str">
        <v/>
      </c>
      <c r="F1604" s="52" t="e">
        <v>#REF!</v>
      </c>
      <c r="G1604" s="48" t="e">
        <v>#REF!</v>
      </c>
      <c r="H1604" s="49">
        <v>0</v>
      </c>
      <c r="I1604" s="49" t="e">
        <v>#REF!</v>
      </c>
      <c r="J1604" s="50"/>
    </row>
    <row r="1605" ht="28.8" outlineLevel="1" spans="1:10">
      <c r="A1605" s="50">
        <v>647</v>
      </c>
      <c r="B1605" s="51" t="str">
        <v>应急照明配电箱-0.3KW DC36V</v>
      </c>
      <c r="C1605" s="51" t="e">
        <v>#REF!</v>
      </c>
      <c r="D1605" s="51" t="str">
        <v/>
      </c>
      <c r="E1605" s="51" t="str">
        <v/>
      </c>
      <c r="F1605" s="52" t="e">
        <v>#REF!</v>
      </c>
      <c r="G1605" s="48" t="e">
        <v>#REF!</v>
      </c>
      <c r="H1605" s="49">
        <v>0</v>
      </c>
      <c r="I1605" s="49" t="e">
        <v>#REF!</v>
      </c>
      <c r="J1605" s="50"/>
    </row>
    <row r="1606" ht="28.8" outlineLevel="1" spans="1:10">
      <c r="A1606" s="50">
        <v>648</v>
      </c>
      <c r="B1606" s="51" t="str">
        <v>应急照明配电箱-0.6KW DC36V</v>
      </c>
      <c r="C1606" s="51" t="e">
        <v>#REF!</v>
      </c>
      <c r="D1606" s="51" t="str">
        <v/>
      </c>
      <c r="E1606" s="51" t="str">
        <v/>
      </c>
      <c r="F1606" s="52" t="e">
        <v>#REF!</v>
      </c>
      <c r="G1606" s="48" t="e">
        <v>#REF!</v>
      </c>
      <c r="H1606" s="49">
        <v>0</v>
      </c>
      <c r="I1606" s="49" t="e">
        <v>#REF!</v>
      </c>
      <c r="J1606" s="50"/>
    </row>
    <row r="1607" ht="28.8" outlineLevel="1" spans="1:10">
      <c r="A1607" s="50">
        <v>649</v>
      </c>
      <c r="B1607" s="51" t="str">
        <v>应急照明配电箱-0.9KW DC36V</v>
      </c>
      <c r="C1607" s="51" t="e">
        <v>#REF!</v>
      </c>
      <c r="D1607" s="51" t="str">
        <v/>
      </c>
      <c r="E1607" s="51" t="str">
        <v/>
      </c>
      <c r="F1607" s="52" t="e">
        <v>#REF!</v>
      </c>
      <c r="G1607" s="48" t="e">
        <v>#REF!</v>
      </c>
      <c r="H1607" s="49">
        <v>0</v>
      </c>
      <c r="I1607" s="49" t="e">
        <v>#REF!</v>
      </c>
      <c r="J1607" s="50"/>
    </row>
    <row r="1608" ht="28.8" outlineLevel="1" spans="1:10">
      <c r="A1608" s="50">
        <v>650</v>
      </c>
      <c r="B1608" s="51" t="str">
        <v>公区电源箱（半周长1.0m以内）</v>
      </c>
      <c r="C1608" s="51" t="e">
        <v>#REF!</v>
      </c>
      <c r="D1608" s="51" t="str">
        <v/>
      </c>
      <c r="E1608" s="51" t="str">
        <v/>
      </c>
      <c r="F1608" s="52" t="e">
        <v>#REF!</v>
      </c>
      <c r="G1608" s="48" t="e">
        <v>#REF!</v>
      </c>
      <c r="H1608" s="49">
        <v>0</v>
      </c>
      <c r="I1608" s="49" t="e">
        <v>#REF!</v>
      </c>
      <c r="J1608" s="50"/>
    </row>
    <row r="1609" ht="28.8" outlineLevel="1" spans="1:10">
      <c r="A1609" s="50">
        <v>651</v>
      </c>
      <c r="B1609" s="51" t="str">
        <v>公区电源箱（半周长1.5m以内）</v>
      </c>
      <c r="C1609" s="51" t="e">
        <v>#REF!</v>
      </c>
      <c r="D1609" s="51" t="str">
        <v/>
      </c>
      <c r="E1609" s="51" t="str">
        <v/>
      </c>
      <c r="F1609" s="52" t="e">
        <v>#REF!</v>
      </c>
      <c r="G1609" s="48" t="e">
        <v>#REF!</v>
      </c>
      <c r="H1609" s="49">
        <v>3</v>
      </c>
      <c r="I1609" s="49" t="e">
        <v>#REF!</v>
      </c>
      <c r="J1609" s="50"/>
    </row>
    <row r="1610" ht="28.8" outlineLevel="1" spans="1:10">
      <c r="A1610" s="50">
        <v>652</v>
      </c>
      <c r="B1610" s="51" t="str">
        <v>公区电源箱（半周长2m以内）</v>
      </c>
      <c r="C1610" s="51" t="e">
        <v>#REF!</v>
      </c>
      <c r="D1610" s="51" t="str">
        <v/>
      </c>
      <c r="E1610" s="51" t="str">
        <v/>
      </c>
      <c r="F1610" s="52" t="e">
        <v>#REF!</v>
      </c>
      <c r="G1610" s="48" t="e">
        <v>#REF!</v>
      </c>
      <c r="H1610" s="49">
        <v>0</v>
      </c>
      <c r="I1610" s="49" t="e">
        <v>#REF!</v>
      </c>
      <c r="J1610" s="50"/>
    </row>
    <row r="1611" outlineLevel="1" spans="1:10">
      <c r="A1611" s="50">
        <v>653</v>
      </c>
      <c r="B1611" s="51" t="str">
        <v>应急电源配电箱</v>
      </c>
      <c r="C1611" s="51" t="e">
        <v>#REF!</v>
      </c>
      <c r="D1611" s="51" t="str">
        <v/>
      </c>
      <c r="E1611" s="51" t="str">
        <v/>
      </c>
      <c r="F1611" s="52" t="e">
        <v>#REF!</v>
      </c>
      <c r="G1611" s="48" t="e">
        <v>#REF!</v>
      </c>
      <c r="H1611" s="49">
        <v>2</v>
      </c>
      <c r="I1611" s="49" t="e">
        <v>#REF!</v>
      </c>
      <c r="J1611" s="50"/>
    </row>
    <row r="1612" outlineLevel="1" spans="1:10">
      <c r="A1612" s="50" t="str">
        <v/>
      </c>
      <c r="B1612" s="51" t="str">
        <v>B.21.2电力桥架</v>
      </c>
      <c r="C1612" s="51" t="str">
        <v/>
      </c>
      <c r="D1612" s="51" t="str">
        <v/>
      </c>
      <c r="E1612" s="51" t="str">
        <v/>
      </c>
      <c r="F1612" s="52" t="str">
        <v/>
      </c>
      <c r="G1612" s="48" t="str">
        <v/>
      </c>
      <c r="H1612" s="49">
        <v>0</v>
      </c>
      <c r="I1612" s="49" t="e">
        <v>#REF!</v>
      </c>
      <c r="J1612" s="50"/>
    </row>
    <row r="1613" outlineLevel="1" spans="1:10">
      <c r="A1613" s="50">
        <v>654</v>
      </c>
      <c r="B1613" s="51" t="str">
        <v>防火桥架-100*100</v>
      </c>
      <c r="C1613" s="51" t="e">
        <v>#REF!</v>
      </c>
      <c r="D1613" s="51" t="str">
        <v/>
      </c>
      <c r="E1613" s="51" t="str">
        <v/>
      </c>
      <c r="F1613" s="52" t="e">
        <v>#REF!</v>
      </c>
      <c r="G1613" s="48" t="e">
        <v>#REF!</v>
      </c>
      <c r="H1613" s="49">
        <v>0</v>
      </c>
      <c r="I1613" s="49" t="e">
        <v>#REF!</v>
      </c>
      <c r="J1613" s="50"/>
    </row>
    <row r="1614" outlineLevel="1" spans="1:10">
      <c r="A1614" s="50">
        <v>655</v>
      </c>
      <c r="B1614" s="51" t="str">
        <v>防火桥架-200*100</v>
      </c>
      <c r="C1614" s="51" t="e">
        <v>#REF!</v>
      </c>
      <c r="D1614" s="51" t="str">
        <v/>
      </c>
      <c r="E1614" s="51" t="str">
        <v/>
      </c>
      <c r="F1614" s="52" t="e">
        <v>#REF!</v>
      </c>
      <c r="G1614" s="48" t="e">
        <v>#REF!</v>
      </c>
      <c r="H1614" s="49">
        <v>0</v>
      </c>
      <c r="I1614" s="49" t="e">
        <v>#REF!</v>
      </c>
      <c r="J1614" s="50"/>
    </row>
    <row r="1615" outlineLevel="1" spans="1:10">
      <c r="A1615" s="50">
        <v>656</v>
      </c>
      <c r="B1615" s="51" t="str">
        <v>防火桥架-300*150</v>
      </c>
      <c r="C1615" s="51" t="e">
        <v>#REF!</v>
      </c>
      <c r="D1615" s="51" t="str">
        <v/>
      </c>
      <c r="E1615" s="51" t="str">
        <v/>
      </c>
      <c r="F1615" s="52" t="e">
        <v>#REF!</v>
      </c>
      <c r="G1615" s="48" t="e">
        <v>#REF!</v>
      </c>
      <c r="H1615" s="49">
        <v>1</v>
      </c>
      <c r="I1615" s="49" t="e">
        <v>#REF!</v>
      </c>
      <c r="J1615" s="50"/>
    </row>
    <row r="1616" outlineLevel="1" spans="1:10">
      <c r="A1616" s="50">
        <v>657</v>
      </c>
      <c r="B1616" s="51" t="str">
        <v>电业桥架-200*150</v>
      </c>
      <c r="C1616" s="51" t="e">
        <v>#REF!</v>
      </c>
      <c r="D1616" s="51" t="str">
        <v/>
      </c>
      <c r="E1616" s="51" t="str">
        <v/>
      </c>
      <c r="F1616" s="52" t="e">
        <v>#REF!</v>
      </c>
      <c r="G1616" s="48" t="e">
        <v>#REF!</v>
      </c>
      <c r="H1616" s="49">
        <v>0</v>
      </c>
      <c r="I1616" s="49" t="e">
        <v>#REF!</v>
      </c>
      <c r="J1616" s="50"/>
    </row>
    <row r="1617" outlineLevel="1" spans="1:10">
      <c r="A1617" s="50">
        <v>658</v>
      </c>
      <c r="B1617" s="51" t="str">
        <v>电业桥架-200*200</v>
      </c>
      <c r="C1617" s="51" t="e">
        <v>#REF!</v>
      </c>
      <c r="D1617" s="51" t="str">
        <v/>
      </c>
      <c r="E1617" s="51" t="str">
        <v/>
      </c>
      <c r="F1617" s="52" t="e">
        <v>#REF!</v>
      </c>
      <c r="G1617" s="48" t="e">
        <v>#REF!</v>
      </c>
      <c r="H1617" s="49">
        <v>0</v>
      </c>
      <c r="I1617" s="49" t="e">
        <v>#REF!</v>
      </c>
      <c r="J1617" s="50"/>
    </row>
    <row r="1618" outlineLevel="1" spans="1:10">
      <c r="A1618" s="50">
        <v>659</v>
      </c>
      <c r="B1618" s="51" t="str">
        <v>电业桥架-300*150</v>
      </c>
      <c r="C1618" s="51" t="e">
        <v>#REF!</v>
      </c>
      <c r="D1618" s="51" t="str">
        <v/>
      </c>
      <c r="E1618" s="51" t="str">
        <v/>
      </c>
      <c r="F1618" s="52" t="e">
        <v>#REF!</v>
      </c>
      <c r="G1618" s="48" t="e">
        <v>#REF!</v>
      </c>
      <c r="H1618" s="49">
        <v>0</v>
      </c>
      <c r="I1618" s="49" t="e">
        <v>#REF!</v>
      </c>
      <c r="J1618" s="50"/>
    </row>
    <row r="1619" outlineLevel="1" spans="1:10">
      <c r="A1619" s="50">
        <v>660</v>
      </c>
      <c r="B1619" s="51" t="str">
        <v>电业桥架-300*200</v>
      </c>
      <c r="C1619" s="51" t="e">
        <v>#REF!</v>
      </c>
      <c r="D1619" s="51" t="str">
        <v/>
      </c>
      <c r="E1619" s="51" t="str">
        <v/>
      </c>
      <c r="F1619" s="52" t="e">
        <v>#REF!</v>
      </c>
      <c r="G1619" s="48" t="e">
        <v>#REF!</v>
      </c>
      <c r="H1619" s="49">
        <v>0</v>
      </c>
      <c r="I1619" s="49" t="e">
        <v>#REF!</v>
      </c>
      <c r="J1619" s="50"/>
    </row>
    <row r="1620" outlineLevel="1" spans="1:10">
      <c r="A1620" s="50">
        <v>661</v>
      </c>
      <c r="B1620" s="51" t="str">
        <v>电业桥架-400*200</v>
      </c>
      <c r="C1620" s="51" t="e">
        <v>#REF!</v>
      </c>
      <c r="D1620" s="51" t="str">
        <v/>
      </c>
      <c r="E1620" s="51" t="str">
        <v/>
      </c>
      <c r="F1620" s="52" t="e">
        <v>#REF!</v>
      </c>
      <c r="G1620" s="48" t="e">
        <v>#REF!</v>
      </c>
      <c r="H1620" s="49">
        <v>0</v>
      </c>
      <c r="I1620" s="49" t="e">
        <v>#REF!</v>
      </c>
      <c r="J1620" s="50"/>
    </row>
    <row r="1621" outlineLevel="1" spans="1:10">
      <c r="A1621" s="50">
        <v>662</v>
      </c>
      <c r="B1621" s="51" t="str">
        <v>防火堵洞</v>
      </c>
      <c r="C1621" s="51" t="e">
        <v>#REF!</v>
      </c>
      <c r="D1621" s="51" t="str">
        <v/>
      </c>
      <c r="E1621" s="51" t="str">
        <v/>
      </c>
      <c r="F1621" s="52" t="e">
        <v>#REF!</v>
      </c>
      <c r="G1621" s="48" t="e">
        <v>#REF!</v>
      </c>
      <c r="H1621" s="49">
        <v>0</v>
      </c>
      <c r="I1621" s="49" t="e">
        <v>#REF!</v>
      </c>
      <c r="J1621" s="50"/>
    </row>
    <row r="1622" outlineLevel="1" spans="1:10">
      <c r="A1622" s="50" t="str">
        <v/>
      </c>
      <c r="B1622" s="51" t="str">
        <v>B.21.3配管配线</v>
      </c>
      <c r="C1622" s="51" t="str">
        <v/>
      </c>
      <c r="D1622" s="51" t="str">
        <v/>
      </c>
      <c r="E1622" s="51" t="str">
        <v/>
      </c>
      <c r="F1622" s="52" t="str">
        <v/>
      </c>
      <c r="G1622" s="48" t="str">
        <v/>
      </c>
      <c r="H1622" s="49">
        <v>0</v>
      </c>
      <c r="I1622" s="49" t="e">
        <v>#REF!</v>
      </c>
      <c r="J1622" s="50"/>
    </row>
    <row r="1623" outlineLevel="1" spans="1:10">
      <c r="A1623" s="50">
        <v>663</v>
      </c>
      <c r="B1623" s="51" t="str">
        <v>阻燃塑料管配管-PC20-暗配</v>
      </c>
      <c r="C1623" s="51" t="e">
        <v>#REF!</v>
      </c>
      <c r="D1623" s="51" t="str">
        <v/>
      </c>
      <c r="E1623" s="51" t="str">
        <v/>
      </c>
      <c r="F1623" s="52" t="e">
        <v>#REF!</v>
      </c>
      <c r="G1623" s="48" t="e">
        <v>#REF!</v>
      </c>
      <c r="H1623" s="49">
        <v>815.36</v>
      </c>
      <c r="I1623" s="49" t="e">
        <v>#REF!</v>
      </c>
      <c r="J1623" s="50"/>
    </row>
    <row r="1624" outlineLevel="1" spans="1:10">
      <c r="A1624" s="50">
        <v>664</v>
      </c>
      <c r="B1624" s="51" t="str">
        <v>阻燃塑料管配管-PC25-暗配</v>
      </c>
      <c r="C1624" s="51" t="e">
        <v>#REF!</v>
      </c>
      <c r="D1624" s="51" t="str">
        <v/>
      </c>
      <c r="E1624" s="51" t="str">
        <v/>
      </c>
      <c r="F1624" s="52" t="e">
        <v>#REF!</v>
      </c>
      <c r="G1624" s="48" t="e">
        <v>#REF!</v>
      </c>
      <c r="H1624" s="49">
        <v>430.76</v>
      </c>
      <c r="I1624" s="49" t="e">
        <v>#REF!</v>
      </c>
      <c r="J1624" s="50"/>
    </row>
    <row r="1625" outlineLevel="1" spans="1:10">
      <c r="A1625" s="50">
        <v>665</v>
      </c>
      <c r="B1625" s="51" t="str">
        <v>阻燃塑料管配管-PC32-暗配</v>
      </c>
      <c r="C1625" s="51" t="e">
        <v>#REF!</v>
      </c>
      <c r="D1625" s="51" t="str">
        <v/>
      </c>
      <c r="E1625" s="51" t="str">
        <v/>
      </c>
      <c r="F1625" s="52" t="e">
        <v>#REF!</v>
      </c>
      <c r="G1625" s="48" t="e">
        <v>#REF!</v>
      </c>
      <c r="H1625" s="49">
        <v>1</v>
      </c>
      <c r="I1625" s="49" t="e">
        <v>#REF!</v>
      </c>
      <c r="J1625" s="50"/>
    </row>
    <row r="1626" outlineLevel="1" spans="1:10">
      <c r="A1626" s="50">
        <v>666</v>
      </c>
      <c r="B1626" s="51" t="str">
        <v>薄壁钢导管配管-JDG15-暗配</v>
      </c>
      <c r="C1626" s="51" t="e">
        <v>#REF!</v>
      </c>
      <c r="D1626" s="51" t="str">
        <v/>
      </c>
      <c r="E1626" s="51" t="str">
        <v/>
      </c>
      <c r="F1626" s="52" t="e">
        <v>#REF!</v>
      </c>
      <c r="G1626" s="48" t="e">
        <v>#REF!</v>
      </c>
      <c r="H1626" s="49">
        <v>0</v>
      </c>
      <c r="I1626" s="49" t="e">
        <v>#REF!</v>
      </c>
      <c r="J1626" s="50"/>
    </row>
    <row r="1627" outlineLevel="1" spans="1:10">
      <c r="A1627" s="50">
        <v>667</v>
      </c>
      <c r="B1627" s="51" t="str">
        <v>薄壁钢导管配管-JDG20-暗配</v>
      </c>
      <c r="C1627" s="51" t="e">
        <v>#REF!</v>
      </c>
      <c r="D1627" s="51" t="str">
        <v/>
      </c>
      <c r="E1627" s="51" t="str">
        <v/>
      </c>
      <c r="F1627" s="52" t="e">
        <v>#REF!</v>
      </c>
      <c r="G1627" s="48" t="e">
        <v>#REF!</v>
      </c>
      <c r="H1627" s="49">
        <v>0</v>
      </c>
      <c r="I1627" s="49" t="e">
        <v>#REF!</v>
      </c>
      <c r="J1627" s="50"/>
    </row>
    <row r="1628" outlineLevel="1" spans="1:10">
      <c r="A1628" s="50">
        <v>668</v>
      </c>
      <c r="B1628" s="51" t="str">
        <v>薄壁钢导管配管-JDG25-暗配</v>
      </c>
      <c r="C1628" s="51" t="e">
        <v>#REF!</v>
      </c>
      <c r="D1628" s="51" t="str">
        <v/>
      </c>
      <c r="E1628" s="51" t="str">
        <v/>
      </c>
      <c r="F1628" s="52" t="e">
        <v>#REF!</v>
      </c>
      <c r="G1628" s="48" t="e">
        <v>#REF!</v>
      </c>
      <c r="H1628" s="49">
        <v>0</v>
      </c>
      <c r="I1628" s="49" t="e">
        <v>#REF!</v>
      </c>
      <c r="J1628" s="50"/>
    </row>
    <row r="1629" outlineLevel="1" spans="1:10">
      <c r="A1629" s="50">
        <v>669</v>
      </c>
      <c r="B1629" s="51" t="str">
        <v>薄壁钢导管配管-JDG32-暗配</v>
      </c>
      <c r="C1629" s="51" t="e">
        <v>#REF!</v>
      </c>
      <c r="D1629" s="51" t="str">
        <v/>
      </c>
      <c r="E1629" s="51" t="str">
        <v/>
      </c>
      <c r="F1629" s="52" t="e">
        <v>#REF!</v>
      </c>
      <c r="G1629" s="48" t="e">
        <v>#REF!</v>
      </c>
      <c r="H1629" s="49">
        <v>0</v>
      </c>
      <c r="I1629" s="49" t="e">
        <v>#REF!</v>
      </c>
      <c r="J1629" s="50"/>
    </row>
    <row r="1630" outlineLevel="1" spans="1:10">
      <c r="A1630" s="50">
        <v>670</v>
      </c>
      <c r="B1630" s="51" t="str">
        <v>薄壁钢导管配管-JDG40-暗配</v>
      </c>
      <c r="C1630" s="51" t="e">
        <v>#REF!</v>
      </c>
      <c r="D1630" s="51" t="str">
        <v/>
      </c>
      <c r="E1630" s="51" t="str">
        <v/>
      </c>
      <c r="F1630" s="52" t="e">
        <v>#REF!</v>
      </c>
      <c r="G1630" s="48" t="e">
        <v>#REF!</v>
      </c>
      <c r="H1630" s="49">
        <v>0</v>
      </c>
      <c r="I1630" s="49" t="e">
        <v>#REF!</v>
      </c>
      <c r="J1630" s="50"/>
    </row>
    <row r="1631" outlineLevel="1" spans="1:10">
      <c r="A1631" s="50">
        <v>671</v>
      </c>
      <c r="B1631" s="51" t="str">
        <v>薄壁钢导管配管-JDG15-明配</v>
      </c>
      <c r="C1631" s="51" t="e">
        <v>#REF!</v>
      </c>
      <c r="D1631" s="51" t="str">
        <v/>
      </c>
      <c r="E1631" s="51" t="str">
        <v/>
      </c>
      <c r="F1631" s="52" t="e">
        <v>#REF!</v>
      </c>
      <c r="G1631" s="48" t="e">
        <v>#REF!</v>
      </c>
      <c r="H1631" s="49">
        <v>0</v>
      </c>
      <c r="I1631" s="49" t="e">
        <v>#REF!</v>
      </c>
      <c r="J1631" s="50"/>
    </row>
    <row r="1632" outlineLevel="1" spans="1:10">
      <c r="A1632" s="50">
        <v>672</v>
      </c>
      <c r="B1632" s="51" t="str">
        <v>薄壁钢导管配管-JDG20-明配</v>
      </c>
      <c r="C1632" s="51" t="e">
        <v>#REF!</v>
      </c>
      <c r="D1632" s="51" t="str">
        <v/>
      </c>
      <c r="E1632" s="51" t="str">
        <v/>
      </c>
      <c r="F1632" s="52" t="e">
        <v>#REF!</v>
      </c>
      <c r="G1632" s="48" t="e">
        <v>#REF!</v>
      </c>
      <c r="H1632" s="49">
        <v>0</v>
      </c>
      <c r="I1632" s="49" t="e">
        <v>#REF!</v>
      </c>
      <c r="J1632" s="50"/>
    </row>
    <row r="1633" outlineLevel="1" spans="1:10">
      <c r="A1633" s="50">
        <v>673</v>
      </c>
      <c r="B1633" s="51" t="str">
        <v>薄壁钢导管配管-JDG25-明配</v>
      </c>
      <c r="C1633" s="51" t="e">
        <v>#REF!</v>
      </c>
      <c r="D1633" s="51" t="str">
        <v/>
      </c>
      <c r="E1633" s="51" t="str">
        <v/>
      </c>
      <c r="F1633" s="52" t="e">
        <v>#REF!</v>
      </c>
      <c r="G1633" s="48" t="e">
        <v>#REF!</v>
      </c>
      <c r="H1633" s="49">
        <v>0</v>
      </c>
      <c r="I1633" s="49" t="e">
        <v>#REF!</v>
      </c>
      <c r="J1633" s="50"/>
    </row>
    <row r="1634" outlineLevel="1" spans="1:10">
      <c r="A1634" s="50">
        <v>674</v>
      </c>
      <c r="B1634" s="51" t="str">
        <v>薄壁钢导管配管-JDG32-明配</v>
      </c>
      <c r="C1634" s="51" t="e">
        <v>#REF!</v>
      </c>
      <c r="D1634" s="51" t="str">
        <v/>
      </c>
      <c r="E1634" s="51" t="str">
        <v/>
      </c>
      <c r="F1634" s="52" t="e">
        <v>#REF!</v>
      </c>
      <c r="G1634" s="48" t="e">
        <v>#REF!</v>
      </c>
      <c r="H1634" s="49">
        <v>0</v>
      </c>
      <c r="I1634" s="49" t="e">
        <v>#REF!</v>
      </c>
      <c r="J1634" s="50"/>
    </row>
    <row r="1635" outlineLevel="1" spans="1:10">
      <c r="A1635" s="50">
        <v>675</v>
      </c>
      <c r="B1635" s="51" t="str">
        <v>薄壁钢导管配管-JDG40-明配</v>
      </c>
      <c r="C1635" s="51" t="e">
        <v>#REF!</v>
      </c>
      <c r="D1635" s="51" t="str">
        <v/>
      </c>
      <c r="E1635" s="51" t="str">
        <v/>
      </c>
      <c r="F1635" s="52" t="e">
        <v>#REF!</v>
      </c>
      <c r="G1635" s="48" t="e">
        <v>#REF!</v>
      </c>
      <c r="H1635" s="49">
        <v>0</v>
      </c>
      <c r="I1635" s="49" t="e">
        <v>#REF!</v>
      </c>
      <c r="J1635" s="50"/>
    </row>
    <row r="1636" outlineLevel="1" spans="1:10">
      <c r="A1636" s="50">
        <v>676</v>
      </c>
      <c r="B1636" s="51" t="str">
        <v>SC15-暗配</v>
      </c>
      <c r="C1636" s="51" t="e">
        <v>#REF!</v>
      </c>
      <c r="D1636" s="51" t="str">
        <v/>
      </c>
      <c r="E1636" s="51" t="str">
        <v/>
      </c>
      <c r="F1636" s="52" t="e">
        <v>#REF!</v>
      </c>
      <c r="G1636" s="48" t="e">
        <v>#REF!</v>
      </c>
      <c r="H1636" s="49">
        <v>0</v>
      </c>
      <c r="I1636" s="49" t="e">
        <v>#REF!</v>
      </c>
      <c r="J1636" s="50"/>
    </row>
    <row r="1637" outlineLevel="1" spans="1:10">
      <c r="A1637" s="50">
        <v>677</v>
      </c>
      <c r="B1637" s="51" t="str">
        <v>SC20-暗配</v>
      </c>
      <c r="C1637" s="51" t="e">
        <v>#REF!</v>
      </c>
      <c r="D1637" s="51" t="str">
        <v/>
      </c>
      <c r="E1637" s="51" t="str">
        <v/>
      </c>
      <c r="F1637" s="52" t="e">
        <v>#REF!</v>
      </c>
      <c r="G1637" s="48" t="e">
        <v>#REF!</v>
      </c>
      <c r="H1637" s="49">
        <v>590.7</v>
      </c>
      <c r="I1637" s="49" t="e">
        <v>#REF!</v>
      </c>
      <c r="J1637" s="50"/>
    </row>
    <row r="1638" outlineLevel="1" spans="1:10">
      <c r="A1638" s="50">
        <v>678</v>
      </c>
      <c r="B1638" s="51" t="str">
        <v>SC25-暗配</v>
      </c>
      <c r="C1638" s="51" t="e">
        <v>#REF!</v>
      </c>
      <c r="D1638" s="51" t="str">
        <v/>
      </c>
      <c r="E1638" s="51" t="str">
        <v/>
      </c>
      <c r="F1638" s="52" t="e">
        <v>#REF!</v>
      </c>
      <c r="G1638" s="48" t="e">
        <v>#REF!</v>
      </c>
      <c r="H1638" s="49">
        <v>0</v>
      </c>
      <c r="I1638" s="49" t="e">
        <v>#REF!</v>
      </c>
      <c r="J1638" s="50"/>
    </row>
    <row r="1639" outlineLevel="1" spans="1:10">
      <c r="A1639" s="50">
        <v>679</v>
      </c>
      <c r="B1639" s="51" t="str">
        <v>SC32-暗配</v>
      </c>
      <c r="C1639" s="51" t="e">
        <v>#REF!</v>
      </c>
      <c r="D1639" s="51" t="str">
        <v/>
      </c>
      <c r="E1639" s="51" t="str">
        <v/>
      </c>
      <c r="F1639" s="52" t="e">
        <v>#REF!</v>
      </c>
      <c r="G1639" s="48" t="e">
        <v>#REF!</v>
      </c>
      <c r="H1639" s="49">
        <v>1</v>
      </c>
      <c r="I1639" s="49" t="e">
        <v>#REF!</v>
      </c>
      <c r="J1639" s="50"/>
    </row>
    <row r="1640" outlineLevel="1" spans="1:10">
      <c r="A1640" s="50">
        <v>680</v>
      </c>
      <c r="B1640" s="51" t="str">
        <v>SC40-暗配</v>
      </c>
      <c r="C1640" s="51" t="e">
        <v>#REF!</v>
      </c>
      <c r="D1640" s="51" t="str">
        <v/>
      </c>
      <c r="E1640" s="51" t="str">
        <v/>
      </c>
      <c r="F1640" s="52" t="e">
        <v>#REF!</v>
      </c>
      <c r="G1640" s="48" t="e">
        <v>#REF!</v>
      </c>
      <c r="H1640" s="49">
        <v>38.69</v>
      </c>
      <c r="I1640" s="49" t="e">
        <v>#REF!</v>
      </c>
      <c r="J1640" s="50"/>
    </row>
    <row r="1641" outlineLevel="1" spans="1:10">
      <c r="A1641" s="50">
        <v>681</v>
      </c>
      <c r="B1641" s="51" t="str">
        <v>SC50-暗配</v>
      </c>
      <c r="C1641" s="51" t="e">
        <v>#REF!</v>
      </c>
      <c r="D1641" s="51" t="str">
        <v/>
      </c>
      <c r="E1641" s="51" t="str">
        <v/>
      </c>
      <c r="F1641" s="52" t="e">
        <v>#REF!</v>
      </c>
      <c r="G1641" s="48" t="e">
        <v>#REF!</v>
      </c>
      <c r="H1641" s="49">
        <v>5.11</v>
      </c>
      <c r="I1641" s="49" t="e">
        <v>#REF!</v>
      </c>
      <c r="J1641" s="50"/>
    </row>
    <row r="1642" outlineLevel="1" spans="1:10">
      <c r="A1642" s="50">
        <v>682</v>
      </c>
      <c r="B1642" s="51" t="str">
        <v>SC70-暗配</v>
      </c>
      <c r="C1642" s="51" t="e">
        <v>#REF!</v>
      </c>
      <c r="D1642" s="51" t="str">
        <v/>
      </c>
      <c r="E1642" s="51" t="str">
        <v/>
      </c>
      <c r="F1642" s="52" t="e">
        <v>#REF!</v>
      </c>
      <c r="G1642" s="48" t="e">
        <v>#REF!</v>
      </c>
      <c r="H1642" s="49">
        <v>1</v>
      </c>
      <c r="I1642" s="49" t="e">
        <v>#REF!</v>
      </c>
      <c r="J1642" s="50"/>
    </row>
    <row r="1643" outlineLevel="1" spans="1:10">
      <c r="A1643" s="50">
        <v>683</v>
      </c>
      <c r="B1643" s="51" t="str">
        <v>金属软管配管-DN20</v>
      </c>
      <c r="C1643" s="51" t="e">
        <v>#REF!</v>
      </c>
      <c r="D1643" s="51" t="str">
        <v/>
      </c>
      <c r="E1643" s="51" t="str">
        <v/>
      </c>
      <c r="F1643" s="52" t="e">
        <v>#REF!</v>
      </c>
      <c r="G1643" s="48" t="e">
        <v>#REF!</v>
      </c>
      <c r="H1643" s="49">
        <v>0</v>
      </c>
      <c r="I1643" s="49" t="e">
        <v>#REF!</v>
      </c>
      <c r="J1643" s="50"/>
    </row>
    <row r="1644" outlineLevel="1" spans="1:10">
      <c r="A1644" s="50">
        <v>684</v>
      </c>
      <c r="B1644" s="51" t="str">
        <v>金属软管配管-DN25</v>
      </c>
      <c r="C1644" s="51" t="e">
        <v>#REF!</v>
      </c>
      <c r="D1644" s="51" t="str">
        <v/>
      </c>
      <c r="E1644" s="51" t="str">
        <v/>
      </c>
      <c r="F1644" s="52" t="e">
        <v>#REF!</v>
      </c>
      <c r="G1644" s="48" t="e">
        <v>#REF!</v>
      </c>
      <c r="H1644" s="49">
        <v>0</v>
      </c>
      <c r="I1644" s="49" t="e">
        <v>#REF!</v>
      </c>
      <c r="J1644" s="50"/>
    </row>
    <row r="1645" outlineLevel="1" spans="1:10">
      <c r="A1645" s="50">
        <v>685</v>
      </c>
      <c r="B1645" s="51" t="str">
        <v>金属软管配管-DN32</v>
      </c>
      <c r="C1645" s="51" t="e">
        <v>#REF!</v>
      </c>
      <c r="D1645" s="51" t="str">
        <v/>
      </c>
      <c r="E1645" s="51" t="str">
        <v/>
      </c>
      <c r="F1645" s="52" t="e">
        <v>#REF!</v>
      </c>
      <c r="G1645" s="48" t="e">
        <v>#REF!</v>
      </c>
      <c r="H1645" s="49">
        <v>0</v>
      </c>
      <c r="I1645" s="49" t="e">
        <v>#REF!</v>
      </c>
      <c r="J1645" s="50"/>
    </row>
    <row r="1646" outlineLevel="1" spans="1:10">
      <c r="A1646" s="50">
        <v>686</v>
      </c>
      <c r="B1646" s="51" t="str">
        <v>综合配线-BV2.5</v>
      </c>
      <c r="C1646" s="51" t="e">
        <v>#REF!</v>
      </c>
      <c r="D1646" s="51" t="str">
        <v/>
      </c>
      <c r="E1646" s="51" t="str">
        <v/>
      </c>
      <c r="F1646" s="52" t="e">
        <v>#REF!</v>
      </c>
      <c r="G1646" s="48" t="e">
        <v>#REF!</v>
      </c>
      <c r="H1646" s="49">
        <v>2801.15</v>
      </c>
      <c r="I1646" s="49" t="e">
        <v>#REF!</v>
      </c>
      <c r="J1646" s="50"/>
    </row>
    <row r="1647" outlineLevel="1" spans="1:10">
      <c r="A1647" s="50">
        <v>687</v>
      </c>
      <c r="B1647" s="51" t="str">
        <v>综合配线-BV4</v>
      </c>
      <c r="C1647" s="51" t="e">
        <v>#REF!</v>
      </c>
      <c r="D1647" s="51" t="str">
        <v/>
      </c>
      <c r="E1647" s="51" t="str">
        <v/>
      </c>
      <c r="F1647" s="52" t="e">
        <v>#REF!</v>
      </c>
      <c r="G1647" s="48" t="e">
        <v>#REF!</v>
      </c>
      <c r="H1647" s="49">
        <v>1043.12</v>
      </c>
      <c r="I1647" s="49" t="e">
        <v>#REF!</v>
      </c>
      <c r="J1647" s="50"/>
    </row>
    <row r="1648" outlineLevel="1" spans="1:10">
      <c r="A1648" s="50">
        <v>688</v>
      </c>
      <c r="B1648" s="51" t="str">
        <v>综合配线-BV6</v>
      </c>
      <c r="C1648" s="51" t="e">
        <v>#REF!</v>
      </c>
      <c r="D1648" s="51" t="str">
        <v/>
      </c>
      <c r="E1648" s="51" t="str">
        <v/>
      </c>
      <c r="F1648" s="52" t="e">
        <v>#REF!</v>
      </c>
      <c r="G1648" s="48" t="e">
        <v>#REF!</v>
      </c>
      <c r="H1648" s="49">
        <v>0</v>
      </c>
      <c r="I1648" s="49" t="e">
        <v>#REF!</v>
      </c>
      <c r="J1648" s="50"/>
    </row>
    <row r="1649" outlineLevel="1" spans="1:10">
      <c r="A1649" s="50">
        <v>689</v>
      </c>
      <c r="B1649" s="51" t="str">
        <v>综合配线-BV10</v>
      </c>
      <c r="C1649" s="51" t="e">
        <v>#REF!</v>
      </c>
      <c r="D1649" s="51" t="str">
        <v/>
      </c>
      <c r="E1649" s="51" t="str">
        <v/>
      </c>
      <c r="F1649" s="52" t="e">
        <v>#REF!</v>
      </c>
      <c r="G1649" s="48" t="e">
        <v>#REF!</v>
      </c>
      <c r="H1649" s="49">
        <v>0</v>
      </c>
      <c r="I1649" s="49" t="e">
        <v>#REF!</v>
      </c>
      <c r="J1649" s="50"/>
    </row>
    <row r="1650" outlineLevel="1" spans="1:10">
      <c r="A1650" s="50">
        <v>690</v>
      </c>
      <c r="B1650" s="51" t="str">
        <v>综合配线-BV16</v>
      </c>
      <c r="C1650" s="51" t="e">
        <v>#REF!</v>
      </c>
      <c r="D1650" s="51" t="str">
        <v/>
      </c>
      <c r="E1650" s="51" t="str">
        <v/>
      </c>
      <c r="F1650" s="52" t="e">
        <v>#REF!</v>
      </c>
      <c r="G1650" s="48" t="e">
        <v>#REF!</v>
      </c>
      <c r="H1650" s="49">
        <v>155.46</v>
      </c>
      <c r="I1650" s="49" t="e">
        <v>#REF!</v>
      </c>
      <c r="J1650" s="50"/>
    </row>
    <row r="1651" outlineLevel="1" spans="1:10">
      <c r="A1651" s="50">
        <v>691</v>
      </c>
      <c r="B1651" s="51" t="str">
        <v>综合配线-BV25</v>
      </c>
      <c r="C1651" s="51" t="e">
        <v>#REF!</v>
      </c>
      <c r="D1651" s="51" t="str">
        <v/>
      </c>
      <c r="E1651" s="51" t="str">
        <v/>
      </c>
      <c r="F1651" s="52" t="e">
        <v>#REF!</v>
      </c>
      <c r="G1651" s="48" t="e">
        <v>#REF!</v>
      </c>
      <c r="H1651" s="49">
        <v>0</v>
      </c>
      <c r="I1651" s="49" t="e">
        <v>#REF!</v>
      </c>
      <c r="J1651" s="50"/>
    </row>
    <row r="1652" outlineLevel="1" spans="1:10">
      <c r="A1652" s="50">
        <v>692</v>
      </c>
      <c r="B1652" s="51" t="str">
        <v>综合配线-BVR4</v>
      </c>
      <c r="C1652" s="51" t="e">
        <v>#REF!</v>
      </c>
      <c r="D1652" s="51" t="str">
        <v/>
      </c>
      <c r="E1652" s="51" t="str">
        <v/>
      </c>
      <c r="F1652" s="52" t="e">
        <v>#REF!</v>
      </c>
      <c r="G1652" s="48" t="e">
        <v>#REF!</v>
      </c>
      <c r="H1652" s="49">
        <v>0</v>
      </c>
      <c r="I1652" s="49" t="e">
        <v>#REF!</v>
      </c>
      <c r="J1652" s="50"/>
    </row>
    <row r="1653" outlineLevel="1" spans="1:10">
      <c r="A1653" s="50">
        <v>693</v>
      </c>
      <c r="B1653" s="51" t="str">
        <v>综合配线-NHBV2.5</v>
      </c>
      <c r="C1653" s="51" t="e">
        <v>#REF!</v>
      </c>
      <c r="D1653" s="51" t="str">
        <v/>
      </c>
      <c r="E1653" s="51" t="str">
        <v/>
      </c>
      <c r="F1653" s="52" t="e">
        <v>#REF!</v>
      </c>
      <c r="G1653" s="48" t="e">
        <v>#REF!</v>
      </c>
      <c r="H1653" s="49">
        <v>27.31</v>
      </c>
      <c r="I1653" s="49" t="e">
        <v>#REF!</v>
      </c>
      <c r="J1653" s="50"/>
    </row>
    <row r="1654" outlineLevel="1" spans="1:10">
      <c r="A1654" s="50">
        <v>694</v>
      </c>
      <c r="B1654" s="51" t="str">
        <v>综合配线-NHBV4</v>
      </c>
      <c r="C1654" s="51" t="e">
        <v>#REF!</v>
      </c>
      <c r="D1654" s="51" t="str">
        <v/>
      </c>
      <c r="E1654" s="51" t="str">
        <v/>
      </c>
      <c r="F1654" s="52" t="e">
        <v>#REF!</v>
      </c>
      <c r="G1654" s="48" t="e">
        <v>#REF!</v>
      </c>
      <c r="H1654" s="49">
        <v>1</v>
      </c>
      <c r="I1654" s="49" t="e">
        <v>#REF!</v>
      </c>
      <c r="J1654" s="50"/>
    </row>
    <row r="1655" outlineLevel="1" spans="1:10">
      <c r="A1655" s="50">
        <v>695</v>
      </c>
      <c r="B1655" s="51" t="str">
        <v>综合配线-WDZNBYJ2.5</v>
      </c>
      <c r="C1655" s="51" t="e">
        <v>#REF!</v>
      </c>
      <c r="D1655" s="51" t="str">
        <v/>
      </c>
      <c r="E1655" s="51" t="str">
        <v/>
      </c>
      <c r="F1655" s="52" t="e">
        <v>#REF!</v>
      </c>
      <c r="G1655" s="48" t="e">
        <v>#REF!</v>
      </c>
      <c r="H1655" s="49">
        <v>48.81</v>
      </c>
      <c r="I1655" s="49" t="e">
        <v>#REF!</v>
      </c>
      <c r="J1655" s="50"/>
    </row>
    <row r="1656" outlineLevel="1" spans="1:10">
      <c r="A1656" s="50">
        <v>696</v>
      </c>
      <c r="B1656" s="51" t="str">
        <v>综合配线-WDZBYJ2.5</v>
      </c>
      <c r="C1656" s="51" t="e">
        <v>#REF!</v>
      </c>
      <c r="D1656" s="51" t="str">
        <v/>
      </c>
      <c r="E1656" s="51" t="str">
        <v/>
      </c>
      <c r="F1656" s="52" t="e">
        <v>#REF!</v>
      </c>
      <c r="G1656" s="48" t="e">
        <v>#REF!</v>
      </c>
      <c r="H1656" s="49">
        <v>0</v>
      </c>
      <c r="I1656" s="49" t="e">
        <v>#REF!</v>
      </c>
      <c r="J1656" s="50"/>
    </row>
    <row r="1657" outlineLevel="1" spans="1:10">
      <c r="A1657" s="50">
        <v>697</v>
      </c>
      <c r="B1657" s="51" t="str">
        <v>综合配线-WDZNBYJ4</v>
      </c>
      <c r="C1657" s="51" t="e">
        <v>#REF!</v>
      </c>
      <c r="D1657" s="51" t="str">
        <v/>
      </c>
      <c r="E1657" s="51" t="str">
        <v/>
      </c>
      <c r="F1657" s="52" t="e">
        <v>#REF!</v>
      </c>
      <c r="G1657" s="48" t="e">
        <v>#REF!</v>
      </c>
      <c r="H1657" s="49">
        <v>0</v>
      </c>
      <c r="I1657" s="49" t="e">
        <v>#REF!</v>
      </c>
      <c r="J1657" s="50"/>
    </row>
    <row r="1658" outlineLevel="1" spans="1:10">
      <c r="A1658" s="50">
        <v>698</v>
      </c>
      <c r="B1658" s="51" t="str">
        <v>综合配线-WDZBYJ10</v>
      </c>
      <c r="C1658" s="51" t="e">
        <v>#REF!</v>
      </c>
      <c r="D1658" s="51" t="str">
        <v/>
      </c>
      <c r="E1658" s="51" t="str">
        <v/>
      </c>
      <c r="F1658" s="52" t="e">
        <v>#REF!</v>
      </c>
      <c r="G1658" s="48" t="e">
        <v>#REF!</v>
      </c>
      <c r="H1658" s="49">
        <v>0</v>
      </c>
      <c r="I1658" s="49" t="e">
        <v>#REF!</v>
      </c>
      <c r="J1658" s="50"/>
    </row>
    <row r="1659" outlineLevel="1" spans="1:10">
      <c r="A1659" s="50">
        <v>699</v>
      </c>
      <c r="B1659" s="51" t="str">
        <v>综合配线-WDZNRYJS2*2.5</v>
      </c>
      <c r="C1659" s="51" t="e">
        <v>#REF!</v>
      </c>
      <c r="D1659" s="51" t="str">
        <v/>
      </c>
      <c r="E1659" s="51" t="str">
        <v/>
      </c>
      <c r="F1659" s="52" t="e">
        <v>#REF!</v>
      </c>
      <c r="G1659" s="48" t="e">
        <v>#REF!</v>
      </c>
      <c r="H1659" s="49">
        <v>591.99</v>
      </c>
      <c r="I1659" s="49" t="e">
        <v>#REF!</v>
      </c>
      <c r="J1659" s="50"/>
    </row>
    <row r="1660" outlineLevel="1" spans="1:10">
      <c r="A1660" s="50">
        <v>700</v>
      </c>
      <c r="B1660" s="51" t="str">
        <v>综合配线-RVV-3*1.0</v>
      </c>
      <c r="C1660" s="51" t="e">
        <v>#REF!</v>
      </c>
      <c r="D1660" s="51" t="str">
        <v/>
      </c>
      <c r="E1660" s="51" t="str">
        <v/>
      </c>
      <c r="F1660" s="52" t="e">
        <v>#REF!</v>
      </c>
      <c r="G1660" s="48" t="e">
        <v>#REF!</v>
      </c>
      <c r="H1660" s="49">
        <v>0</v>
      </c>
      <c r="I1660" s="49" t="e">
        <v>#REF!</v>
      </c>
      <c r="J1660" s="50"/>
    </row>
    <row r="1661" outlineLevel="1" spans="1:10">
      <c r="A1661" s="50">
        <v>701</v>
      </c>
      <c r="B1661" s="51" t="str">
        <v>综合配线-RVV-4*1.0</v>
      </c>
      <c r="C1661" s="51" t="e">
        <v>#REF!</v>
      </c>
      <c r="D1661" s="51" t="str">
        <v/>
      </c>
      <c r="E1661" s="51" t="str">
        <v/>
      </c>
      <c r="F1661" s="52" t="e">
        <v>#REF!</v>
      </c>
      <c r="G1661" s="48" t="e">
        <v>#REF!</v>
      </c>
      <c r="H1661" s="49">
        <v>0</v>
      </c>
      <c r="I1661" s="49" t="e">
        <v>#REF!</v>
      </c>
      <c r="J1661" s="50"/>
    </row>
    <row r="1662" outlineLevel="1" spans="1:10">
      <c r="A1662" s="50">
        <v>702</v>
      </c>
      <c r="B1662" s="51" t="str">
        <v>综合配线-RVV-5*1.0</v>
      </c>
      <c r="C1662" s="51" t="e">
        <v>#REF!</v>
      </c>
      <c r="D1662" s="51" t="str">
        <v/>
      </c>
      <c r="E1662" s="51" t="str">
        <v/>
      </c>
      <c r="F1662" s="52" t="e">
        <v>#REF!</v>
      </c>
      <c r="G1662" s="48" t="e">
        <v>#REF!</v>
      </c>
      <c r="H1662" s="49">
        <v>0</v>
      </c>
      <c r="I1662" s="49" t="e">
        <v>#REF!</v>
      </c>
      <c r="J1662" s="50"/>
    </row>
    <row r="1663" outlineLevel="1" spans="1:10">
      <c r="A1663" s="50">
        <v>703</v>
      </c>
      <c r="B1663" s="51" t="str">
        <v>钢套管DN15-32</v>
      </c>
      <c r="C1663" s="51" t="e">
        <v>#REF!</v>
      </c>
      <c r="D1663" s="51" t="str">
        <v/>
      </c>
      <c r="E1663" s="51" t="str">
        <v/>
      </c>
      <c r="F1663" s="52" t="e">
        <v>#REF!</v>
      </c>
      <c r="G1663" s="48" t="e">
        <v>#REF!</v>
      </c>
      <c r="H1663" s="49">
        <v>0</v>
      </c>
      <c r="I1663" s="49" t="e">
        <v>#REF!</v>
      </c>
      <c r="J1663" s="50"/>
    </row>
    <row r="1664" outlineLevel="1" spans="1:10">
      <c r="A1664" s="50">
        <v>704</v>
      </c>
      <c r="B1664" s="51" t="str">
        <v>钢套管DN40-50</v>
      </c>
      <c r="C1664" s="51" t="e">
        <v>#REF!</v>
      </c>
      <c r="D1664" s="51" t="str">
        <v/>
      </c>
      <c r="E1664" s="51" t="str">
        <v/>
      </c>
      <c r="F1664" s="52" t="e">
        <v>#REF!</v>
      </c>
      <c r="G1664" s="48" t="e">
        <v>#REF!</v>
      </c>
      <c r="H1664" s="49">
        <v>0</v>
      </c>
      <c r="I1664" s="49" t="e">
        <v>#REF!</v>
      </c>
      <c r="J1664" s="50"/>
    </row>
    <row r="1665" outlineLevel="1" spans="1:10">
      <c r="A1665" s="50">
        <v>705</v>
      </c>
      <c r="B1665" s="51" t="str">
        <v>钢套管DN65-70</v>
      </c>
      <c r="C1665" s="51" t="e">
        <v>#REF!</v>
      </c>
      <c r="D1665" s="51" t="str">
        <v/>
      </c>
      <c r="E1665" s="51" t="str">
        <v/>
      </c>
      <c r="F1665" s="52" t="e">
        <v>#REF!</v>
      </c>
      <c r="G1665" s="48" t="e">
        <v>#REF!</v>
      </c>
      <c r="H1665" s="49">
        <v>0</v>
      </c>
      <c r="I1665" s="49" t="e">
        <v>#REF!</v>
      </c>
      <c r="J1665" s="50"/>
    </row>
    <row r="1666" outlineLevel="1" spans="1:10">
      <c r="A1666" s="50">
        <v>706</v>
      </c>
      <c r="B1666" s="51" t="str">
        <v>钢套管DN80-100</v>
      </c>
      <c r="C1666" s="51" t="e">
        <v>#REF!</v>
      </c>
      <c r="D1666" s="51" t="str">
        <v/>
      </c>
      <c r="E1666" s="51" t="str">
        <v/>
      </c>
      <c r="F1666" s="52" t="e">
        <v>#REF!</v>
      </c>
      <c r="G1666" s="48" t="e">
        <v>#REF!</v>
      </c>
      <c r="H1666" s="49">
        <v>0</v>
      </c>
      <c r="I1666" s="49" t="e">
        <v>#REF!</v>
      </c>
      <c r="J1666" s="50"/>
    </row>
    <row r="1667" outlineLevel="1" spans="1:10">
      <c r="A1667" s="50" t="str">
        <v/>
      </c>
      <c r="B1667" s="51" t="str">
        <v>B.21.4照明器具</v>
      </c>
      <c r="C1667" s="51" t="str">
        <v/>
      </c>
      <c r="D1667" s="51" t="str">
        <v/>
      </c>
      <c r="E1667" s="51" t="str">
        <v/>
      </c>
      <c r="F1667" s="52" t="str">
        <v/>
      </c>
      <c r="G1667" s="48" t="str">
        <v/>
      </c>
      <c r="H1667" s="49">
        <v>0</v>
      </c>
      <c r="I1667" s="49" t="e">
        <v>#REF!</v>
      </c>
      <c r="J1667" s="50"/>
    </row>
    <row r="1668" outlineLevel="1" spans="1:10">
      <c r="A1668" s="50">
        <v>707</v>
      </c>
      <c r="B1668" s="51" t="str">
        <v>灯具-门上座灯</v>
      </c>
      <c r="C1668" s="51" t="e">
        <v>#REF!</v>
      </c>
      <c r="D1668" s="51" t="str">
        <v/>
      </c>
      <c r="E1668" s="51" t="str">
        <v/>
      </c>
      <c r="F1668" s="52" t="e">
        <v>#REF!</v>
      </c>
      <c r="G1668" s="48" t="e">
        <v>#REF!</v>
      </c>
      <c r="H1668" s="49">
        <v>1</v>
      </c>
      <c r="I1668" s="49" t="e">
        <v>#REF!</v>
      </c>
      <c r="J1668" s="50"/>
    </row>
    <row r="1669" outlineLevel="1" spans="1:10">
      <c r="A1669" s="50">
        <v>708</v>
      </c>
      <c r="B1669" s="51" t="str">
        <v>灯具-普通座灯头</v>
      </c>
      <c r="C1669" s="51" t="e">
        <v>#REF!</v>
      </c>
      <c r="D1669" s="51" t="str">
        <v/>
      </c>
      <c r="E1669" s="51" t="str">
        <v/>
      </c>
      <c r="F1669" s="52" t="e">
        <v>#REF!</v>
      </c>
      <c r="G1669" s="48" t="e">
        <v>#REF!</v>
      </c>
      <c r="H1669" s="49">
        <v>95</v>
      </c>
      <c r="I1669" s="49" t="e">
        <v>#REF!</v>
      </c>
      <c r="J1669" s="50"/>
    </row>
    <row r="1670" outlineLevel="1" spans="1:10">
      <c r="A1670" s="50">
        <v>709</v>
      </c>
      <c r="B1670" s="51" t="str">
        <v>灯具-单管荧光灯-吊链安装</v>
      </c>
      <c r="C1670" s="51" t="e">
        <v>#REF!</v>
      </c>
      <c r="D1670" s="51" t="str">
        <v/>
      </c>
      <c r="E1670" s="51" t="str">
        <v/>
      </c>
      <c r="F1670" s="52" t="e">
        <v>#REF!</v>
      </c>
      <c r="G1670" s="48" t="e">
        <v>#REF!</v>
      </c>
      <c r="H1670" s="49">
        <v>2</v>
      </c>
      <c r="I1670" s="49" t="e">
        <v>#REF!</v>
      </c>
      <c r="J1670" s="50"/>
    </row>
    <row r="1671" outlineLevel="1" spans="1:10">
      <c r="A1671" s="50">
        <v>710</v>
      </c>
      <c r="B1671" s="51" t="str">
        <v>疏散出口标志灯-带蓄电池</v>
      </c>
      <c r="C1671" s="51" t="e">
        <v>#REF!</v>
      </c>
      <c r="D1671" s="51" t="str">
        <v/>
      </c>
      <c r="E1671" s="51" t="str">
        <v/>
      </c>
      <c r="F1671" s="52" t="e">
        <v>#REF!</v>
      </c>
      <c r="G1671" s="48" t="e">
        <v>#REF!</v>
      </c>
      <c r="H1671" s="49">
        <v>0</v>
      </c>
      <c r="I1671" s="49" t="e">
        <v>#REF!</v>
      </c>
      <c r="J1671" s="50"/>
    </row>
    <row r="1672" ht="28.8" outlineLevel="1" spans="1:10">
      <c r="A1672" s="50">
        <v>711</v>
      </c>
      <c r="B1672" s="51" t="str">
        <v>疏散出口标志灯（防护等级IP67）带蓄电池</v>
      </c>
      <c r="C1672" s="51" t="e">
        <v>#REF!</v>
      </c>
      <c r="D1672" s="51" t="str">
        <v/>
      </c>
      <c r="E1672" s="51" t="str">
        <v/>
      </c>
      <c r="F1672" s="52" t="e">
        <v>#REF!</v>
      </c>
      <c r="G1672" s="48" t="e">
        <v>#REF!</v>
      </c>
      <c r="H1672" s="49">
        <v>0</v>
      </c>
      <c r="I1672" s="49" t="e">
        <v>#REF!</v>
      </c>
      <c r="J1672" s="50"/>
    </row>
    <row r="1673" outlineLevel="1" spans="1:10">
      <c r="A1673" s="50">
        <v>712</v>
      </c>
      <c r="B1673" s="51" t="str">
        <v>楼层指示标志灯-带蓄电池</v>
      </c>
      <c r="C1673" s="51" t="e">
        <v>#REF!</v>
      </c>
      <c r="D1673" s="51" t="str">
        <v/>
      </c>
      <c r="E1673" s="51" t="str">
        <v/>
      </c>
      <c r="F1673" s="52" t="e">
        <v>#REF!</v>
      </c>
      <c r="G1673" s="48" t="e">
        <v>#REF!</v>
      </c>
      <c r="H1673" s="49">
        <v>0</v>
      </c>
      <c r="I1673" s="49" t="e">
        <v>#REF!</v>
      </c>
      <c r="J1673" s="50"/>
    </row>
    <row r="1674" ht="28.8" outlineLevel="1" spans="1:10">
      <c r="A1674" s="50">
        <v>713</v>
      </c>
      <c r="B1674" s="51" t="str">
        <v>单向单面疏散指示标志灯-带蓄电池</v>
      </c>
      <c r="C1674" s="51" t="e">
        <v>#REF!</v>
      </c>
      <c r="D1674" s="51" t="str">
        <v/>
      </c>
      <c r="E1674" s="51" t="str">
        <v/>
      </c>
      <c r="F1674" s="52" t="e">
        <v>#REF!</v>
      </c>
      <c r="G1674" s="48" t="e">
        <v>#REF!</v>
      </c>
      <c r="H1674" s="49">
        <v>0</v>
      </c>
      <c r="I1674" s="49" t="e">
        <v>#REF!</v>
      </c>
      <c r="J1674" s="50"/>
    </row>
    <row r="1675" ht="28.8" outlineLevel="1" spans="1:10">
      <c r="A1675" s="50">
        <v>714</v>
      </c>
      <c r="B1675" s="51" t="str">
        <v>单向双面疏散指示标志灯-带蓄电池</v>
      </c>
      <c r="C1675" s="51" t="e">
        <v>#REF!</v>
      </c>
      <c r="D1675" s="51" t="str">
        <v/>
      </c>
      <c r="E1675" s="51" t="str">
        <v/>
      </c>
      <c r="F1675" s="52" t="e">
        <v>#REF!</v>
      </c>
      <c r="G1675" s="48" t="e">
        <v>#REF!</v>
      </c>
      <c r="H1675" s="49">
        <v>0</v>
      </c>
      <c r="I1675" s="49" t="e">
        <v>#REF!</v>
      </c>
      <c r="J1675" s="50"/>
    </row>
    <row r="1676" ht="28.8" outlineLevel="1" spans="1:10">
      <c r="A1676" s="50">
        <v>715</v>
      </c>
      <c r="B1676" s="51" t="str">
        <v>双向单面疏散指示标志灯-带蓄电池</v>
      </c>
      <c r="C1676" s="51" t="e">
        <v>#REF!</v>
      </c>
      <c r="D1676" s="51" t="str">
        <v/>
      </c>
      <c r="E1676" s="51" t="str">
        <v/>
      </c>
      <c r="F1676" s="52" t="e">
        <v>#REF!</v>
      </c>
      <c r="G1676" s="48" t="e">
        <v>#REF!</v>
      </c>
      <c r="H1676" s="49">
        <v>0</v>
      </c>
      <c r="I1676" s="49" t="e">
        <v>#REF!</v>
      </c>
      <c r="J1676" s="50"/>
    </row>
    <row r="1677" outlineLevel="1" spans="1:10">
      <c r="A1677" s="50">
        <v>716</v>
      </c>
      <c r="B1677" s="51" t="str">
        <v>安全出口标志灯-带蓄电池</v>
      </c>
      <c r="C1677" s="51" t="e">
        <v>#REF!</v>
      </c>
      <c r="D1677" s="51" t="str">
        <v/>
      </c>
      <c r="E1677" s="51" t="str">
        <v/>
      </c>
      <c r="F1677" s="52" t="e">
        <v>#REF!</v>
      </c>
      <c r="G1677" s="48" t="e">
        <v>#REF!</v>
      </c>
      <c r="H1677" s="49">
        <v>0</v>
      </c>
      <c r="I1677" s="49" t="e">
        <v>#REF!</v>
      </c>
      <c r="J1677" s="50"/>
    </row>
    <row r="1678" ht="28.8" outlineLevel="1" spans="1:10">
      <c r="A1678" s="50">
        <v>717</v>
      </c>
      <c r="B1678" s="51" t="str">
        <v>E-X带禁止入内的安全出口标志灯-带蓄电池</v>
      </c>
      <c r="C1678" s="51" t="e">
        <v>#REF!</v>
      </c>
      <c r="D1678" s="51" t="str">
        <v/>
      </c>
      <c r="E1678" s="51" t="str">
        <v/>
      </c>
      <c r="F1678" s="52" t="e">
        <v>#REF!</v>
      </c>
      <c r="G1678" s="48" t="e">
        <v>#REF!</v>
      </c>
      <c r="H1678" s="49">
        <v>0</v>
      </c>
      <c r="I1678" s="49" t="e">
        <v>#REF!</v>
      </c>
      <c r="J1678" s="50"/>
    </row>
    <row r="1679" outlineLevel="1" spans="1:10">
      <c r="A1679" s="50">
        <v>718</v>
      </c>
      <c r="B1679" s="51" t="str">
        <v>火灾禁入标志灯-带蓄电池</v>
      </c>
      <c r="C1679" s="51" t="e">
        <v>#REF!</v>
      </c>
      <c r="D1679" s="51" t="str">
        <v/>
      </c>
      <c r="E1679" s="51" t="str">
        <v/>
      </c>
      <c r="F1679" s="52" t="e">
        <v>#REF!</v>
      </c>
      <c r="G1679" s="48" t="e">
        <v>#REF!</v>
      </c>
      <c r="H1679" s="49">
        <v>0</v>
      </c>
      <c r="I1679" s="49" t="e">
        <v>#REF!</v>
      </c>
      <c r="J1679" s="50"/>
    </row>
    <row r="1680" outlineLevel="1" spans="1:10">
      <c r="A1680" s="50">
        <v>719</v>
      </c>
      <c r="B1680" s="51" t="str">
        <v>E1消防应急壁灯-带蓄电池</v>
      </c>
      <c r="C1680" s="51" t="e">
        <v>#REF!</v>
      </c>
      <c r="D1680" s="51" t="str">
        <v/>
      </c>
      <c r="E1680" s="51" t="str">
        <v/>
      </c>
      <c r="F1680" s="52" t="e">
        <v>#REF!</v>
      </c>
      <c r="G1680" s="48" t="e">
        <v>#REF!</v>
      </c>
      <c r="H1680" s="49">
        <v>0</v>
      </c>
      <c r="I1680" s="49" t="e">
        <v>#REF!</v>
      </c>
      <c r="J1680" s="50"/>
    </row>
    <row r="1681" outlineLevel="1" spans="1:10">
      <c r="A1681" s="50">
        <v>720</v>
      </c>
      <c r="B1681" s="51" t="str">
        <v>消防应急吸顶灯-带蓄电池</v>
      </c>
      <c r="C1681" s="51" t="e">
        <v>#REF!</v>
      </c>
      <c r="D1681" s="51" t="str">
        <v/>
      </c>
      <c r="E1681" s="51" t="str">
        <v/>
      </c>
      <c r="F1681" s="52" t="e">
        <v>#REF!</v>
      </c>
      <c r="G1681" s="48" t="e">
        <v>#REF!</v>
      </c>
      <c r="H1681" s="49">
        <v>0</v>
      </c>
      <c r="I1681" s="49" t="e">
        <v>#REF!</v>
      </c>
      <c r="J1681" s="50"/>
    </row>
    <row r="1682" ht="28.8" outlineLevel="1" spans="1:10">
      <c r="A1682" s="50">
        <v>721</v>
      </c>
      <c r="B1682" s="51" t="str">
        <v>消防应急吸顶灯（防护等级IP67）带蓄电池</v>
      </c>
      <c r="C1682" s="51" t="e">
        <v>#REF!</v>
      </c>
      <c r="D1682" s="51" t="str">
        <v/>
      </c>
      <c r="E1682" s="51" t="str">
        <v/>
      </c>
      <c r="F1682" s="52" t="e">
        <v>#REF!</v>
      </c>
      <c r="G1682" s="48" t="e">
        <v>#REF!</v>
      </c>
      <c r="H1682" s="49">
        <v>0</v>
      </c>
      <c r="I1682" s="49" t="e">
        <v>#REF!</v>
      </c>
      <c r="J1682" s="50"/>
    </row>
    <row r="1683" outlineLevel="1" spans="1:10">
      <c r="A1683" s="50">
        <v>722</v>
      </c>
      <c r="B1683" s="51" t="str">
        <v>灯具-安全出口标志灯</v>
      </c>
      <c r="C1683" s="51" t="e">
        <v>#REF!</v>
      </c>
      <c r="D1683" s="51" t="str">
        <v/>
      </c>
      <c r="E1683" s="51" t="str">
        <v/>
      </c>
      <c r="F1683" s="52" t="e">
        <v>#REF!</v>
      </c>
      <c r="G1683" s="48" t="e">
        <v>#REF!</v>
      </c>
      <c r="H1683" s="49">
        <v>4</v>
      </c>
      <c r="I1683" s="49" t="e">
        <v>#REF!</v>
      </c>
      <c r="J1683" s="50"/>
    </row>
    <row r="1684" outlineLevel="1" spans="1:10">
      <c r="A1684" s="50">
        <v>723</v>
      </c>
      <c r="B1684" s="51" t="str">
        <v>灯具-疏散出口标志灯</v>
      </c>
      <c r="C1684" s="51" t="e">
        <v>#REF!</v>
      </c>
      <c r="D1684" s="51" t="str">
        <v/>
      </c>
      <c r="E1684" s="51" t="str">
        <v/>
      </c>
      <c r="F1684" s="52" t="e">
        <v>#REF!</v>
      </c>
      <c r="G1684" s="48" t="e">
        <v>#REF!</v>
      </c>
      <c r="H1684" s="49">
        <v>1</v>
      </c>
      <c r="I1684" s="49" t="e">
        <v>#REF!</v>
      </c>
      <c r="J1684" s="50"/>
    </row>
    <row r="1685" outlineLevel="1" spans="1:10">
      <c r="A1685" s="50">
        <v>724</v>
      </c>
      <c r="B1685" s="51" t="str">
        <v>灯具-火灾禁入标志灯</v>
      </c>
      <c r="C1685" s="51" t="e">
        <v>#REF!</v>
      </c>
      <c r="D1685" s="51" t="str">
        <v/>
      </c>
      <c r="E1685" s="51" t="str">
        <v/>
      </c>
      <c r="F1685" s="52" t="e">
        <v>#REF!</v>
      </c>
      <c r="G1685" s="48" t="e">
        <v>#REF!</v>
      </c>
      <c r="H1685" s="49">
        <v>4</v>
      </c>
      <c r="I1685" s="49" t="e">
        <v>#REF!</v>
      </c>
      <c r="J1685" s="50"/>
    </row>
    <row r="1686" outlineLevel="1" spans="1:10">
      <c r="A1686" s="50">
        <v>725</v>
      </c>
      <c r="B1686" s="51" t="str">
        <v>灯具-楼层指示标志灯</v>
      </c>
      <c r="C1686" s="51" t="e">
        <v>#REF!</v>
      </c>
      <c r="D1686" s="51" t="str">
        <v/>
      </c>
      <c r="E1686" s="51" t="str">
        <v/>
      </c>
      <c r="F1686" s="52" t="e">
        <v>#REF!</v>
      </c>
      <c r="G1686" s="48" t="e">
        <v>#REF!</v>
      </c>
      <c r="H1686" s="49">
        <v>6</v>
      </c>
      <c r="I1686" s="49" t="e">
        <v>#REF!</v>
      </c>
      <c r="J1686" s="50"/>
    </row>
    <row r="1687" ht="28.8" outlineLevel="1" spans="1:10">
      <c r="A1687" s="50">
        <v>726</v>
      </c>
      <c r="B1687" s="51" t="str">
        <v>灯具-消防应急壁灯（微波感应）带蓄电池</v>
      </c>
      <c r="C1687" s="51" t="e">
        <v>#REF!</v>
      </c>
      <c r="D1687" s="51" t="str">
        <v/>
      </c>
      <c r="E1687" s="51" t="str">
        <v/>
      </c>
      <c r="F1687" s="52" t="e">
        <v>#REF!</v>
      </c>
      <c r="G1687" s="48" t="e">
        <v>#REF!</v>
      </c>
      <c r="H1687" s="49">
        <v>52</v>
      </c>
      <c r="I1687" s="49" t="e">
        <v>#REF!</v>
      </c>
      <c r="J1687" s="50"/>
    </row>
    <row r="1688" ht="28.8" outlineLevel="1" spans="1:10">
      <c r="A1688" s="50">
        <v>727</v>
      </c>
      <c r="B1688" s="51" t="str">
        <v>灯具-消防应急吸顶灯-附微波感应带蓄电池</v>
      </c>
      <c r="C1688" s="51" t="e">
        <v>#REF!</v>
      </c>
      <c r="D1688" s="51" t="str">
        <v/>
      </c>
      <c r="E1688" s="51" t="str">
        <v/>
      </c>
      <c r="F1688" s="52" t="e">
        <v>#REF!</v>
      </c>
      <c r="G1688" s="48" t="e">
        <v>#REF!</v>
      </c>
      <c r="H1688" s="49">
        <v>2</v>
      </c>
      <c r="I1688" s="49" t="e">
        <v>#REF!</v>
      </c>
      <c r="J1688" s="50"/>
    </row>
    <row r="1689" ht="28.8" outlineLevel="1" spans="1:10">
      <c r="A1689" s="50">
        <v>728</v>
      </c>
      <c r="B1689" s="51" t="str">
        <v>灯具-单向单面疏散指示标志灯</v>
      </c>
      <c r="C1689" s="51" t="e">
        <v>#REF!</v>
      </c>
      <c r="D1689" s="51" t="str">
        <v/>
      </c>
      <c r="E1689" s="51" t="str">
        <v/>
      </c>
      <c r="F1689" s="52" t="e">
        <v>#REF!</v>
      </c>
      <c r="G1689" s="48" t="e">
        <v>#REF!</v>
      </c>
      <c r="H1689" s="49">
        <v>18</v>
      </c>
      <c r="I1689" s="49" t="e">
        <v>#REF!</v>
      </c>
      <c r="J1689" s="50"/>
    </row>
    <row r="1690" outlineLevel="1" spans="1:10">
      <c r="A1690" s="50" t="str">
        <v/>
      </c>
      <c r="B1690" s="51" t="str">
        <v>B.21.5开关插座</v>
      </c>
      <c r="C1690" s="51" t="str">
        <v/>
      </c>
      <c r="D1690" s="51" t="str">
        <v/>
      </c>
      <c r="E1690" s="51" t="str">
        <v/>
      </c>
      <c r="F1690" s="52" t="str">
        <v/>
      </c>
      <c r="G1690" s="48" t="str">
        <v/>
      </c>
      <c r="H1690" s="49">
        <v>0</v>
      </c>
      <c r="I1690" s="49" t="e">
        <v>#REF!</v>
      </c>
      <c r="J1690" s="50"/>
    </row>
    <row r="1691" outlineLevel="1" spans="1:10">
      <c r="A1691" s="50">
        <v>729</v>
      </c>
      <c r="B1691" s="51" t="str">
        <v>五孔插座</v>
      </c>
      <c r="C1691" s="51" t="e">
        <v>#REF!</v>
      </c>
      <c r="D1691" s="51" t="str">
        <v/>
      </c>
      <c r="E1691" s="51" t="str">
        <v/>
      </c>
      <c r="F1691" s="52" t="e">
        <v>#REF!</v>
      </c>
      <c r="G1691" s="48" t="e">
        <v>#REF!</v>
      </c>
      <c r="H1691" s="49">
        <v>67</v>
      </c>
      <c r="I1691" s="49" t="e">
        <v>#REF!</v>
      </c>
      <c r="J1691" s="50"/>
    </row>
    <row r="1692" outlineLevel="1" spans="1:10">
      <c r="A1692" s="50">
        <v>730</v>
      </c>
      <c r="B1692" s="51" t="str">
        <v>电伴热插座</v>
      </c>
      <c r="C1692" s="51" t="e">
        <v>#REF!</v>
      </c>
      <c r="D1692" s="51" t="str">
        <v/>
      </c>
      <c r="E1692" s="51" t="str">
        <v/>
      </c>
      <c r="F1692" s="52" t="e">
        <v>#REF!</v>
      </c>
      <c r="G1692" s="48" t="e">
        <v>#REF!</v>
      </c>
      <c r="H1692" s="49">
        <v>0</v>
      </c>
      <c r="I1692" s="49" t="e">
        <v>#REF!</v>
      </c>
      <c r="J1692" s="50"/>
    </row>
    <row r="1693" outlineLevel="1" spans="1:10">
      <c r="A1693" s="50">
        <v>731</v>
      </c>
      <c r="B1693" s="51" t="str">
        <v>洗衣机插座</v>
      </c>
      <c r="C1693" s="51" t="e">
        <v>#REF!</v>
      </c>
      <c r="D1693" s="51" t="str">
        <v/>
      </c>
      <c r="E1693" s="51" t="str">
        <v/>
      </c>
      <c r="F1693" s="52" t="e">
        <v>#REF!</v>
      </c>
      <c r="G1693" s="48" t="e">
        <v>#REF!</v>
      </c>
      <c r="H1693" s="49">
        <v>0</v>
      </c>
      <c r="I1693" s="49" t="e">
        <v>#REF!</v>
      </c>
      <c r="J1693" s="50"/>
    </row>
    <row r="1694" outlineLevel="1" spans="1:10">
      <c r="A1694" s="50">
        <v>732</v>
      </c>
      <c r="B1694" s="51" t="str">
        <v>安全型燃气插座</v>
      </c>
      <c r="C1694" s="51" t="e">
        <v>#REF!</v>
      </c>
      <c r="D1694" s="51" t="str">
        <v/>
      </c>
      <c r="E1694" s="51" t="str">
        <v/>
      </c>
      <c r="F1694" s="52" t="e">
        <v>#REF!</v>
      </c>
      <c r="G1694" s="48" t="e">
        <v>#REF!</v>
      </c>
      <c r="H1694" s="49">
        <v>0</v>
      </c>
      <c r="I1694" s="49" t="e">
        <v>#REF!</v>
      </c>
      <c r="J1694" s="50"/>
    </row>
    <row r="1695" outlineLevel="1" spans="1:10">
      <c r="A1695" s="50">
        <v>733</v>
      </c>
      <c r="B1695" s="51" t="str">
        <v>电辅热插座</v>
      </c>
      <c r="C1695" s="51" t="e">
        <v>#REF!</v>
      </c>
      <c r="D1695" s="51" t="str">
        <v/>
      </c>
      <c r="E1695" s="51" t="str">
        <v/>
      </c>
      <c r="F1695" s="52" t="e">
        <v>#REF!</v>
      </c>
      <c r="G1695" s="48" t="e">
        <v>#REF!</v>
      </c>
      <c r="H1695" s="49">
        <v>0</v>
      </c>
      <c r="I1695" s="49" t="e">
        <v>#REF!</v>
      </c>
      <c r="J1695" s="50"/>
    </row>
    <row r="1696" outlineLevel="1" spans="1:10">
      <c r="A1696" s="50">
        <v>734</v>
      </c>
      <c r="B1696" s="51" t="str">
        <v>油烟机插座</v>
      </c>
      <c r="C1696" s="51" t="e">
        <v>#REF!</v>
      </c>
      <c r="D1696" s="51" t="str">
        <v/>
      </c>
      <c r="E1696" s="51" t="str">
        <v/>
      </c>
      <c r="F1696" s="52" t="e">
        <v>#REF!</v>
      </c>
      <c r="G1696" s="48" t="e">
        <v>#REF!</v>
      </c>
      <c r="H1696" s="49">
        <v>0</v>
      </c>
      <c r="I1696" s="49" t="e">
        <v>#REF!</v>
      </c>
      <c r="J1696" s="50"/>
    </row>
    <row r="1697" outlineLevel="1" spans="1:10">
      <c r="A1697" s="50">
        <v>735</v>
      </c>
      <c r="B1697" s="51" t="str">
        <v>厨房五孔插座</v>
      </c>
      <c r="C1697" s="51" t="e">
        <v>#REF!</v>
      </c>
      <c r="D1697" s="51" t="str">
        <v/>
      </c>
      <c r="E1697" s="51" t="str">
        <v/>
      </c>
      <c r="F1697" s="52" t="e">
        <v>#REF!</v>
      </c>
      <c r="G1697" s="48" t="e">
        <v>#REF!</v>
      </c>
      <c r="H1697" s="49">
        <v>0</v>
      </c>
      <c r="I1697" s="49" t="e">
        <v>#REF!</v>
      </c>
      <c r="J1697" s="50"/>
    </row>
    <row r="1698" outlineLevel="1" spans="1:10">
      <c r="A1698" s="50">
        <v>736</v>
      </c>
      <c r="B1698" s="51" t="str">
        <v>剃须刀插座</v>
      </c>
      <c r="C1698" s="51" t="e">
        <v>#REF!</v>
      </c>
      <c r="D1698" s="51" t="str">
        <v/>
      </c>
      <c r="E1698" s="51" t="str">
        <v/>
      </c>
      <c r="F1698" s="52" t="e">
        <v>#REF!</v>
      </c>
      <c r="G1698" s="48" t="e">
        <v>#REF!</v>
      </c>
      <c r="H1698" s="49">
        <v>3</v>
      </c>
      <c r="I1698" s="49" t="e">
        <v>#REF!</v>
      </c>
      <c r="J1698" s="50"/>
    </row>
    <row r="1699" outlineLevel="1" spans="1:10">
      <c r="A1699" s="50">
        <v>737</v>
      </c>
      <c r="B1699" s="51" t="str">
        <v>七孔插座</v>
      </c>
      <c r="C1699" s="51" t="e">
        <v>#REF!</v>
      </c>
      <c r="D1699" s="51" t="str">
        <v/>
      </c>
      <c r="E1699" s="51" t="str">
        <v/>
      </c>
      <c r="F1699" s="52" t="e">
        <v>#REF!</v>
      </c>
      <c r="G1699" s="48" t="e">
        <v>#REF!</v>
      </c>
      <c r="H1699" s="49">
        <v>0</v>
      </c>
      <c r="I1699" s="49" t="e">
        <v>#REF!</v>
      </c>
      <c r="J1699" s="50"/>
    </row>
    <row r="1700" outlineLevel="1" spans="1:10">
      <c r="A1700" s="50">
        <v>738</v>
      </c>
      <c r="B1700" s="51" t="str">
        <v>防溅盒</v>
      </c>
      <c r="C1700" s="51" t="e">
        <v>#REF!</v>
      </c>
      <c r="D1700" s="51" t="str">
        <v/>
      </c>
      <c r="E1700" s="51" t="str">
        <v/>
      </c>
      <c r="F1700" s="52" t="e">
        <v>#REF!</v>
      </c>
      <c r="G1700" s="48" t="e">
        <v>#REF!</v>
      </c>
      <c r="H1700" s="49">
        <v>0</v>
      </c>
      <c r="I1700" s="49" t="e">
        <v>#REF!</v>
      </c>
      <c r="J1700" s="50"/>
    </row>
    <row r="1701" outlineLevel="1" spans="1:10">
      <c r="A1701" s="50">
        <v>739</v>
      </c>
      <c r="B1701" s="51" t="str">
        <v>智能马桶插座</v>
      </c>
      <c r="C1701" s="51" t="e">
        <v>#REF!</v>
      </c>
      <c r="D1701" s="51" t="str">
        <v/>
      </c>
      <c r="E1701" s="51" t="str">
        <v/>
      </c>
      <c r="F1701" s="52" t="e">
        <v>#REF!</v>
      </c>
      <c r="G1701" s="48" t="e">
        <v>#REF!</v>
      </c>
      <c r="H1701" s="49">
        <v>0</v>
      </c>
      <c r="I1701" s="49" t="e">
        <v>#REF!</v>
      </c>
      <c r="J1701" s="50"/>
    </row>
    <row r="1702" outlineLevel="1" spans="1:10">
      <c r="A1702" s="50">
        <v>740</v>
      </c>
      <c r="B1702" s="51" t="str">
        <v>冰箱插座</v>
      </c>
      <c r="C1702" s="51" t="e">
        <v>#REF!</v>
      </c>
      <c r="D1702" s="51" t="str">
        <v/>
      </c>
      <c r="E1702" s="51" t="str">
        <v/>
      </c>
      <c r="F1702" s="52" t="e">
        <v>#REF!</v>
      </c>
      <c r="G1702" s="48" t="e">
        <v>#REF!</v>
      </c>
      <c r="H1702" s="49">
        <v>0</v>
      </c>
      <c r="I1702" s="49" t="e">
        <v>#REF!</v>
      </c>
      <c r="J1702" s="50"/>
    </row>
    <row r="1703" ht="28.8" outlineLevel="1" spans="1:10">
      <c r="A1703" s="50">
        <v>741</v>
      </c>
      <c r="B1703" s="51" t="str">
        <v>空调挂机、柜机三孔插座-（带开关）</v>
      </c>
      <c r="C1703" s="51" t="e">
        <v>#REF!</v>
      </c>
      <c r="D1703" s="51" t="str">
        <v/>
      </c>
      <c r="E1703" s="51" t="str">
        <v/>
      </c>
      <c r="F1703" s="52" t="e">
        <v>#REF!</v>
      </c>
      <c r="G1703" s="48" t="e">
        <v>#REF!</v>
      </c>
      <c r="H1703" s="49">
        <v>10</v>
      </c>
      <c r="I1703" s="49" t="e">
        <v>#REF!</v>
      </c>
      <c r="J1703" s="50"/>
    </row>
    <row r="1704" outlineLevel="1" spans="1:10">
      <c r="A1704" s="50">
        <v>742</v>
      </c>
      <c r="B1704" s="51" t="str">
        <v>热水器插座</v>
      </c>
      <c r="C1704" s="51" t="e">
        <v>#REF!</v>
      </c>
      <c r="D1704" s="51" t="str">
        <v/>
      </c>
      <c r="E1704" s="51" t="str">
        <v/>
      </c>
      <c r="F1704" s="52" t="e">
        <v>#REF!</v>
      </c>
      <c r="G1704" s="48" t="e">
        <v>#REF!</v>
      </c>
      <c r="H1704" s="49">
        <v>0</v>
      </c>
      <c r="I1704" s="49" t="e">
        <v>#REF!</v>
      </c>
      <c r="J1704" s="50"/>
    </row>
    <row r="1705" outlineLevel="1" spans="1:10">
      <c r="A1705" s="50">
        <v>743</v>
      </c>
      <c r="B1705" s="51" t="str">
        <v>单联双控开关</v>
      </c>
      <c r="C1705" s="51" t="e">
        <v>#REF!</v>
      </c>
      <c r="D1705" s="51" t="str">
        <v/>
      </c>
      <c r="E1705" s="51" t="str">
        <v/>
      </c>
      <c r="F1705" s="52" t="e">
        <v>#REF!</v>
      </c>
      <c r="G1705" s="48" t="e">
        <v>#REF!</v>
      </c>
      <c r="H1705" s="49">
        <v>1</v>
      </c>
      <c r="I1705" s="49" t="e">
        <v>#REF!</v>
      </c>
      <c r="J1705" s="50"/>
    </row>
    <row r="1706" outlineLevel="1" spans="1:10">
      <c r="A1706" s="50">
        <v>744</v>
      </c>
      <c r="B1706" s="51" t="str">
        <v>单联单控开关</v>
      </c>
      <c r="C1706" s="51" t="e">
        <v>#REF!</v>
      </c>
      <c r="D1706" s="51" t="str">
        <v/>
      </c>
      <c r="E1706" s="51" t="str">
        <v/>
      </c>
      <c r="F1706" s="52" t="e">
        <v>#REF!</v>
      </c>
      <c r="G1706" s="48" t="e">
        <v>#REF!</v>
      </c>
      <c r="H1706" s="49">
        <v>13</v>
      </c>
      <c r="I1706" s="49" t="e">
        <v>#REF!</v>
      </c>
      <c r="J1706" s="50"/>
    </row>
    <row r="1707" outlineLevel="1" spans="1:10">
      <c r="A1707" s="50">
        <v>745</v>
      </c>
      <c r="B1707" s="51" t="str">
        <v>双联单控开关</v>
      </c>
      <c r="C1707" s="51" t="e">
        <v>#REF!</v>
      </c>
      <c r="D1707" s="51" t="str">
        <v/>
      </c>
      <c r="E1707" s="51" t="str">
        <v/>
      </c>
      <c r="F1707" s="52" t="e">
        <v>#REF!</v>
      </c>
      <c r="G1707" s="48" t="e">
        <v>#REF!</v>
      </c>
      <c r="H1707" s="49">
        <v>18</v>
      </c>
      <c r="I1707" s="49" t="e">
        <v>#REF!</v>
      </c>
      <c r="J1707" s="50"/>
    </row>
    <row r="1708" outlineLevel="1" spans="1:10">
      <c r="A1708" s="50">
        <v>746</v>
      </c>
      <c r="B1708" s="51" t="str">
        <v>三联单控开关</v>
      </c>
      <c r="C1708" s="51" t="e">
        <v>#REF!</v>
      </c>
      <c r="D1708" s="51" t="str">
        <v/>
      </c>
      <c r="E1708" s="51" t="str">
        <v/>
      </c>
      <c r="F1708" s="52" t="e">
        <v>#REF!</v>
      </c>
      <c r="G1708" s="48" t="e">
        <v>#REF!</v>
      </c>
      <c r="H1708" s="49">
        <v>0</v>
      </c>
      <c r="I1708" s="49" t="e">
        <v>#REF!</v>
      </c>
      <c r="J1708" s="50"/>
    </row>
    <row r="1709" outlineLevel="1" spans="1:10">
      <c r="A1709" s="50">
        <v>747</v>
      </c>
      <c r="B1709" s="51" t="str">
        <v>热力温控开关</v>
      </c>
      <c r="C1709" s="51" t="e">
        <v>#REF!</v>
      </c>
      <c r="D1709" s="51" t="str">
        <v/>
      </c>
      <c r="E1709" s="51" t="str">
        <v/>
      </c>
      <c r="F1709" s="52" t="e">
        <v>#REF!</v>
      </c>
      <c r="G1709" s="48" t="e">
        <v>#REF!</v>
      </c>
      <c r="H1709" s="49">
        <v>0</v>
      </c>
      <c r="I1709" s="49" t="e">
        <v>#REF!</v>
      </c>
      <c r="J1709" s="50"/>
    </row>
    <row r="1710" ht="28.8" outlineLevel="1" spans="1:10">
      <c r="A1710" s="50">
        <v>748</v>
      </c>
      <c r="B1710" s="51" t="str">
        <v>暗装排气扇接线盒（含面板）</v>
      </c>
      <c r="C1710" s="51" t="e">
        <v>#REF!</v>
      </c>
      <c r="D1710" s="51" t="str">
        <v/>
      </c>
      <c r="E1710" s="51" t="str">
        <v/>
      </c>
      <c r="F1710" s="52" t="e">
        <v>#REF!</v>
      </c>
      <c r="G1710" s="48" t="e">
        <v>#REF!</v>
      </c>
      <c r="H1710" s="49">
        <v>0</v>
      </c>
      <c r="I1710" s="49" t="e">
        <v>#REF!</v>
      </c>
      <c r="J1710" s="50"/>
    </row>
    <row r="1711" outlineLevel="1" spans="1:10">
      <c r="A1711" s="50">
        <v>749</v>
      </c>
      <c r="B1711" s="51" t="str">
        <v>密闭接线盒</v>
      </c>
      <c r="C1711" s="51" t="e">
        <v>#REF!</v>
      </c>
      <c r="D1711" s="51" t="str">
        <v/>
      </c>
      <c r="E1711" s="51" t="str">
        <v/>
      </c>
      <c r="F1711" s="52" t="e">
        <v>#REF!</v>
      </c>
      <c r="G1711" s="48" t="e">
        <v>#REF!</v>
      </c>
      <c r="H1711" s="49">
        <v>0</v>
      </c>
      <c r="I1711" s="49" t="e">
        <v>#REF!</v>
      </c>
      <c r="J1711" s="50"/>
    </row>
    <row r="1712" outlineLevel="1" spans="1:10">
      <c r="A1712" s="50">
        <v>750</v>
      </c>
      <c r="B1712" s="51" t="str">
        <v>暗装塑料接线盒</v>
      </c>
      <c r="C1712" s="51" t="e">
        <v>#REF!</v>
      </c>
      <c r="D1712" s="51" t="str">
        <v/>
      </c>
      <c r="E1712" s="51" t="str">
        <v/>
      </c>
      <c r="F1712" s="52" t="e">
        <v>#REF!</v>
      </c>
      <c r="G1712" s="48" t="e">
        <v>#REF!</v>
      </c>
      <c r="H1712" s="49">
        <v>212</v>
      </c>
      <c r="I1712" s="49" t="e">
        <v>#REF!</v>
      </c>
      <c r="J1712" s="50"/>
    </row>
    <row r="1713" outlineLevel="1" spans="1:10">
      <c r="A1713" s="50">
        <v>751</v>
      </c>
      <c r="B1713" s="51" t="str">
        <v>暗装钢制接线盒</v>
      </c>
      <c r="C1713" s="51" t="e">
        <v>#REF!</v>
      </c>
      <c r="D1713" s="51" t="str">
        <v/>
      </c>
      <c r="E1713" s="51" t="str">
        <v/>
      </c>
      <c r="F1713" s="52" t="e">
        <v>#REF!</v>
      </c>
      <c r="G1713" s="48" t="e">
        <v>#REF!</v>
      </c>
      <c r="H1713" s="49">
        <v>87</v>
      </c>
      <c r="I1713" s="49" t="e">
        <v>#REF!</v>
      </c>
      <c r="J1713" s="50"/>
    </row>
    <row r="1714" outlineLevel="1" spans="1:10">
      <c r="A1714" s="50" t="str">
        <v/>
      </c>
      <c r="B1714" s="51" t="str">
        <v>B.21.6防雷接地</v>
      </c>
      <c r="C1714" s="51" t="str">
        <v/>
      </c>
      <c r="D1714" s="51" t="str">
        <v/>
      </c>
      <c r="E1714" s="51" t="str">
        <v/>
      </c>
      <c r="F1714" s="52" t="str">
        <v/>
      </c>
      <c r="G1714" s="48" t="str">
        <v/>
      </c>
      <c r="H1714" s="49">
        <v>0</v>
      </c>
      <c r="I1714" s="49" t="e">
        <v>#REF!</v>
      </c>
      <c r="J1714" s="50"/>
    </row>
    <row r="1715" outlineLevel="1" spans="1:10">
      <c r="A1715" s="50">
        <v>752</v>
      </c>
      <c r="B1715" s="51" t="str">
        <v>避雷引下线1</v>
      </c>
      <c r="C1715" s="51" t="e">
        <v>#REF!</v>
      </c>
      <c r="D1715" s="51" t="str">
        <v/>
      </c>
      <c r="E1715" s="51" t="str">
        <v/>
      </c>
      <c r="F1715" s="52" t="e">
        <v>#REF!</v>
      </c>
      <c r="G1715" s="48" t="e">
        <v>#REF!</v>
      </c>
      <c r="H1715" s="49">
        <v>243.13</v>
      </c>
      <c r="I1715" s="49" t="e">
        <v>#REF!</v>
      </c>
      <c r="J1715" s="50"/>
    </row>
    <row r="1716" outlineLevel="1" spans="1:10">
      <c r="A1716" s="50">
        <v>753</v>
      </c>
      <c r="B1716" s="51" t="str">
        <v>避雷引下线2</v>
      </c>
      <c r="C1716" s="51" t="e">
        <v>#REF!</v>
      </c>
      <c r="D1716" s="51" t="str">
        <v/>
      </c>
      <c r="E1716" s="51" t="str">
        <v/>
      </c>
      <c r="F1716" s="52" t="e">
        <v>#REF!</v>
      </c>
      <c r="G1716" s="48" t="e">
        <v>#REF!</v>
      </c>
      <c r="H1716" s="49">
        <v>0</v>
      </c>
      <c r="I1716" s="49" t="e">
        <v>#REF!</v>
      </c>
      <c r="J1716" s="50"/>
    </row>
    <row r="1717" outlineLevel="1" spans="1:10">
      <c r="A1717" s="50">
        <v>754</v>
      </c>
      <c r="B1717" s="51" t="str">
        <v>均压环</v>
      </c>
      <c r="C1717" s="51" t="e">
        <v>#REF!</v>
      </c>
      <c r="D1717" s="51" t="str">
        <v/>
      </c>
      <c r="E1717" s="51" t="str">
        <v/>
      </c>
      <c r="F1717" s="52" t="e">
        <v>#REF!</v>
      </c>
      <c r="G1717" s="48" t="e">
        <v>#REF!</v>
      </c>
      <c r="H1717" s="49">
        <v>0</v>
      </c>
      <c r="I1717" s="49" t="e">
        <v>#REF!</v>
      </c>
      <c r="J1717" s="50"/>
    </row>
    <row r="1718" outlineLevel="1" spans="1:10">
      <c r="A1718" s="50">
        <v>755</v>
      </c>
      <c r="B1718" s="51" t="str">
        <v>接地母线-25*4</v>
      </c>
      <c r="C1718" s="51" t="e">
        <v>#REF!</v>
      </c>
      <c r="D1718" s="51" t="str">
        <v/>
      </c>
      <c r="E1718" s="51" t="str">
        <v/>
      </c>
      <c r="F1718" s="52" t="e">
        <v>#REF!</v>
      </c>
      <c r="G1718" s="48" t="e">
        <v>#REF!</v>
      </c>
      <c r="H1718" s="49">
        <v>0</v>
      </c>
      <c r="I1718" s="49" t="e">
        <v>#REF!</v>
      </c>
      <c r="J1718" s="50"/>
    </row>
    <row r="1719" outlineLevel="1" spans="1:10">
      <c r="A1719" s="50">
        <v>756</v>
      </c>
      <c r="B1719" s="51" t="str">
        <v>接地母线-40*4</v>
      </c>
      <c r="C1719" s="51" t="e">
        <v>#REF!</v>
      </c>
      <c r="D1719" s="51" t="str">
        <v/>
      </c>
      <c r="E1719" s="51" t="str">
        <v/>
      </c>
      <c r="F1719" s="52" t="e">
        <v>#REF!</v>
      </c>
      <c r="G1719" s="48" t="e">
        <v>#REF!</v>
      </c>
      <c r="H1719" s="49">
        <v>175.96</v>
      </c>
      <c r="I1719" s="49" t="e">
        <v>#REF!</v>
      </c>
      <c r="J1719" s="50"/>
    </row>
    <row r="1720" outlineLevel="1" spans="1:10">
      <c r="A1720" s="50">
        <v>757</v>
      </c>
      <c r="B1720" s="51" t="str">
        <v>接地端子板</v>
      </c>
      <c r="C1720" s="51" t="e">
        <v>#REF!</v>
      </c>
      <c r="D1720" s="51" t="str">
        <v/>
      </c>
      <c r="E1720" s="51" t="str">
        <v/>
      </c>
      <c r="F1720" s="52" t="e">
        <v>#REF!</v>
      </c>
      <c r="G1720" s="48" t="e">
        <v>#REF!</v>
      </c>
      <c r="H1720" s="49">
        <v>1</v>
      </c>
      <c r="I1720" s="49" t="e">
        <v>#REF!</v>
      </c>
      <c r="J1720" s="50"/>
    </row>
    <row r="1721" outlineLevel="1" spans="1:10">
      <c r="A1721" s="50">
        <v>758</v>
      </c>
      <c r="B1721" s="51" t="str">
        <v>卫生间等电位接地</v>
      </c>
      <c r="C1721" s="51" t="e">
        <v>#REF!</v>
      </c>
      <c r="D1721" s="51" t="str">
        <v/>
      </c>
      <c r="E1721" s="51" t="str">
        <v/>
      </c>
      <c r="F1721" s="52" t="e">
        <v>#REF!</v>
      </c>
      <c r="G1721" s="48" t="e">
        <v>#REF!</v>
      </c>
      <c r="H1721" s="49">
        <v>2</v>
      </c>
      <c r="I1721" s="49" t="e">
        <v>#REF!</v>
      </c>
      <c r="J1721" s="50"/>
    </row>
    <row r="1722" outlineLevel="1" spans="1:10">
      <c r="A1722" s="50">
        <v>759</v>
      </c>
      <c r="B1722" s="51" t="str">
        <v>避雷网1</v>
      </c>
      <c r="C1722" s="51" t="e">
        <v>#REF!</v>
      </c>
      <c r="D1722" s="51" t="str">
        <v/>
      </c>
      <c r="E1722" s="51" t="str">
        <v/>
      </c>
      <c r="F1722" s="52" t="e">
        <v>#REF!</v>
      </c>
      <c r="G1722" s="48" t="e">
        <v>#REF!</v>
      </c>
      <c r="H1722" s="49">
        <v>278.67</v>
      </c>
      <c r="I1722" s="49" t="e">
        <v>#REF!</v>
      </c>
      <c r="J1722" s="50"/>
    </row>
    <row r="1723" outlineLevel="1" spans="1:10">
      <c r="A1723" s="50" t="str">
        <v/>
      </c>
      <c r="B1723" s="51" t="str">
        <v>B.22弱电工程</v>
      </c>
      <c r="C1723" s="51" t="str">
        <v/>
      </c>
      <c r="D1723" s="51" t="str">
        <v/>
      </c>
      <c r="E1723" s="51" t="str">
        <v/>
      </c>
      <c r="F1723" s="52" t="str">
        <v/>
      </c>
      <c r="G1723" s="48" t="str">
        <v/>
      </c>
      <c r="H1723" s="49">
        <v>0</v>
      </c>
      <c r="I1723" s="49" t="e">
        <v>#REF!</v>
      </c>
      <c r="J1723" s="50"/>
    </row>
    <row r="1724" outlineLevel="1" spans="1:10">
      <c r="A1724" s="50">
        <v>760</v>
      </c>
      <c r="B1724" s="51" t="str">
        <v>弱电箱</v>
      </c>
      <c r="C1724" s="51" t="e">
        <v>#REF!</v>
      </c>
      <c r="D1724" s="51" t="str">
        <v/>
      </c>
      <c r="E1724" s="51" t="str">
        <v/>
      </c>
      <c r="F1724" s="52" t="e">
        <v>#REF!</v>
      </c>
      <c r="G1724" s="48" t="e">
        <v>#REF!</v>
      </c>
      <c r="H1724" s="49">
        <v>0</v>
      </c>
      <c r="I1724" s="49" t="e">
        <v>#REF!</v>
      </c>
      <c r="J1724" s="50"/>
    </row>
    <row r="1725" outlineLevel="1" spans="1:10">
      <c r="A1725" s="50">
        <v>761</v>
      </c>
      <c r="B1725" s="51" t="str">
        <v>金属桥架-100*100</v>
      </c>
      <c r="C1725" s="51" t="e">
        <v>#REF!</v>
      </c>
      <c r="D1725" s="51" t="str">
        <v/>
      </c>
      <c r="E1725" s="51" t="str">
        <v/>
      </c>
      <c r="F1725" s="52" t="e">
        <v>#REF!</v>
      </c>
      <c r="G1725" s="48" t="e">
        <v>#REF!</v>
      </c>
      <c r="H1725" s="49">
        <v>1</v>
      </c>
      <c r="I1725" s="49" t="e">
        <v>#REF!</v>
      </c>
      <c r="J1725" s="50"/>
    </row>
    <row r="1726" outlineLevel="1" spans="1:10">
      <c r="A1726" s="50">
        <v>762</v>
      </c>
      <c r="B1726" s="51" t="str">
        <v>金属桥架-150*100</v>
      </c>
      <c r="C1726" s="51" t="e">
        <v>#REF!</v>
      </c>
      <c r="D1726" s="51" t="str">
        <v/>
      </c>
      <c r="E1726" s="51" t="str">
        <v/>
      </c>
      <c r="F1726" s="52" t="e">
        <v>#REF!</v>
      </c>
      <c r="G1726" s="48" t="e">
        <v>#REF!</v>
      </c>
      <c r="H1726" s="49">
        <v>1</v>
      </c>
      <c r="I1726" s="49" t="e">
        <v>#REF!</v>
      </c>
      <c r="J1726" s="50"/>
    </row>
    <row r="1727" outlineLevel="1" spans="1:10">
      <c r="A1727" s="50">
        <v>763</v>
      </c>
      <c r="B1727" s="51" t="str">
        <v>防火堵洞</v>
      </c>
      <c r="C1727" s="51" t="e">
        <v>#REF!</v>
      </c>
      <c r="D1727" s="51" t="str">
        <v/>
      </c>
      <c r="E1727" s="51" t="str">
        <v/>
      </c>
      <c r="F1727" s="52" t="e">
        <v>#REF!</v>
      </c>
      <c r="G1727" s="48" t="e">
        <v>#REF!</v>
      </c>
      <c r="H1727" s="49">
        <v>1</v>
      </c>
      <c r="I1727" s="49" t="e">
        <v>#REF!</v>
      </c>
      <c r="J1727" s="50"/>
    </row>
    <row r="1728" outlineLevel="1" spans="1:10">
      <c r="A1728" s="50">
        <v>764</v>
      </c>
      <c r="B1728" s="51" t="str">
        <v>阻燃塑料管配管-PC20-暗配</v>
      </c>
      <c r="C1728" s="51" t="e">
        <v>#REF!</v>
      </c>
      <c r="D1728" s="51" t="str">
        <v/>
      </c>
      <c r="E1728" s="51" t="str">
        <v/>
      </c>
      <c r="F1728" s="52" t="e">
        <v>#REF!</v>
      </c>
      <c r="G1728" s="48" t="e">
        <v>#REF!</v>
      </c>
      <c r="H1728" s="49">
        <v>264.33</v>
      </c>
      <c r="I1728" s="49" t="e">
        <v>#REF!</v>
      </c>
      <c r="J1728" s="50"/>
    </row>
    <row r="1729" outlineLevel="1" spans="1:10">
      <c r="A1729" s="50">
        <v>765</v>
      </c>
      <c r="B1729" s="51" t="str">
        <v>阻燃塑料管配管-PC25-暗配</v>
      </c>
      <c r="C1729" s="51" t="e">
        <v>#REF!</v>
      </c>
      <c r="D1729" s="51" t="str">
        <v/>
      </c>
      <c r="E1729" s="51" t="str">
        <v/>
      </c>
      <c r="F1729" s="52" t="e">
        <v>#REF!</v>
      </c>
      <c r="G1729" s="48" t="e">
        <v>#REF!</v>
      </c>
      <c r="H1729" s="49">
        <v>49</v>
      </c>
      <c r="I1729" s="49" t="e">
        <v>#REF!</v>
      </c>
      <c r="J1729" s="50"/>
    </row>
    <row r="1730" outlineLevel="1" spans="1:10">
      <c r="A1730" s="50">
        <v>766</v>
      </c>
      <c r="B1730" s="51" t="str">
        <v>阻燃塑料管配管-PC32-暗配</v>
      </c>
      <c r="C1730" s="51" t="e">
        <v>#REF!</v>
      </c>
      <c r="D1730" s="51" t="str">
        <v/>
      </c>
      <c r="E1730" s="51" t="str">
        <v/>
      </c>
      <c r="F1730" s="52" t="e">
        <v>#REF!</v>
      </c>
      <c r="G1730" s="48" t="e">
        <v>#REF!</v>
      </c>
      <c r="H1730" s="49">
        <v>0</v>
      </c>
      <c r="I1730" s="49" t="e">
        <v>#REF!</v>
      </c>
      <c r="J1730" s="50"/>
    </row>
    <row r="1731" outlineLevel="1" spans="1:10">
      <c r="A1731" s="50">
        <v>767</v>
      </c>
      <c r="B1731" s="51" t="str">
        <v>薄壁钢导管配管-JDG20-暗配</v>
      </c>
      <c r="C1731" s="51" t="e">
        <v>#REF!</v>
      </c>
      <c r="D1731" s="51" t="str">
        <v/>
      </c>
      <c r="E1731" s="51" t="str">
        <v/>
      </c>
      <c r="F1731" s="52" t="e">
        <v>#REF!</v>
      </c>
      <c r="G1731" s="48" t="e">
        <v>#REF!</v>
      </c>
      <c r="H1731" s="49">
        <v>0</v>
      </c>
      <c r="I1731" s="49" t="e">
        <v>#REF!</v>
      </c>
      <c r="J1731" s="50"/>
    </row>
    <row r="1732" outlineLevel="1" spans="1:10">
      <c r="A1732" s="50">
        <v>768</v>
      </c>
      <c r="B1732" s="51" t="str">
        <v>薄壁钢导管配管-JDG25-暗配</v>
      </c>
      <c r="C1732" s="51" t="e">
        <v>#REF!</v>
      </c>
      <c r="D1732" s="51" t="str">
        <v/>
      </c>
      <c r="E1732" s="51" t="str">
        <v/>
      </c>
      <c r="F1732" s="52" t="e">
        <v>#REF!</v>
      </c>
      <c r="G1732" s="48" t="e">
        <v>#REF!</v>
      </c>
      <c r="H1732" s="49">
        <v>0</v>
      </c>
      <c r="I1732" s="49" t="e">
        <v>#REF!</v>
      </c>
      <c r="J1732" s="50"/>
    </row>
    <row r="1733" outlineLevel="1" spans="1:10">
      <c r="A1733" s="50">
        <v>769</v>
      </c>
      <c r="B1733" s="51" t="str">
        <v>薄壁钢导管配管-JDG20-明配</v>
      </c>
      <c r="C1733" s="51" t="e">
        <v>#REF!</v>
      </c>
      <c r="D1733" s="51" t="str">
        <v/>
      </c>
      <c r="E1733" s="51" t="str">
        <v/>
      </c>
      <c r="F1733" s="52" t="e">
        <v>#REF!</v>
      </c>
      <c r="G1733" s="48" t="e">
        <v>#REF!</v>
      </c>
      <c r="H1733" s="49">
        <v>0</v>
      </c>
      <c r="I1733" s="49" t="e">
        <v>#REF!</v>
      </c>
      <c r="J1733" s="50"/>
    </row>
    <row r="1734" outlineLevel="1" spans="1:10">
      <c r="A1734" s="50">
        <v>770</v>
      </c>
      <c r="B1734" s="51" t="str">
        <v>薄壁钢导管配管-JDG25-明配</v>
      </c>
      <c r="C1734" s="51" t="e">
        <v>#REF!</v>
      </c>
      <c r="D1734" s="51" t="str">
        <v/>
      </c>
      <c r="E1734" s="51" t="str">
        <v/>
      </c>
      <c r="F1734" s="52" t="e">
        <v>#REF!</v>
      </c>
      <c r="G1734" s="48" t="e">
        <v>#REF!</v>
      </c>
      <c r="H1734" s="49">
        <v>0</v>
      </c>
      <c r="I1734" s="49" t="e">
        <v>#REF!</v>
      </c>
      <c r="J1734" s="50"/>
    </row>
    <row r="1735" outlineLevel="1" spans="1:10">
      <c r="A1735" s="50">
        <v>771</v>
      </c>
      <c r="B1735" s="51" t="str">
        <v>SC20-暗配</v>
      </c>
      <c r="C1735" s="51" t="e">
        <v>#REF!</v>
      </c>
      <c r="D1735" s="51" t="str">
        <v/>
      </c>
      <c r="E1735" s="51" t="str">
        <v/>
      </c>
      <c r="F1735" s="52" t="e">
        <v>#REF!</v>
      </c>
      <c r="G1735" s="48" t="e">
        <v>#REF!</v>
      </c>
      <c r="H1735" s="49">
        <v>10.3</v>
      </c>
      <c r="I1735" s="49" t="e">
        <v>#REF!</v>
      </c>
      <c r="J1735" s="50"/>
    </row>
    <row r="1736" outlineLevel="1" spans="1:10">
      <c r="A1736" s="50">
        <v>772</v>
      </c>
      <c r="B1736" s="51" t="str">
        <v>金属软管配管-DN25</v>
      </c>
      <c r="C1736" s="51" t="e">
        <v>#REF!</v>
      </c>
      <c r="D1736" s="51" t="str">
        <v/>
      </c>
      <c r="E1736" s="51" t="str">
        <v/>
      </c>
      <c r="F1736" s="52" t="e">
        <v>#REF!</v>
      </c>
      <c r="G1736" s="48" t="e">
        <v>#REF!</v>
      </c>
      <c r="H1736" s="49">
        <v>0</v>
      </c>
      <c r="I1736" s="49" t="e">
        <v>#REF!</v>
      </c>
      <c r="J1736" s="50"/>
    </row>
    <row r="1737" outlineLevel="1" spans="1:10">
      <c r="A1737" s="50">
        <v>773</v>
      </c>
      <c r="B1737" s="51" t="str">
        <v>暗装塑料接线盒</v>
      </c>
      <c r="C1737" s="51" t="e">
        <v>#REF!</v>
      </c>
      <c r="D1737" s="51" t="str">
        <v/>
      </c>
      <c r="E1737" s="51" t="str">
        <v/>
      </c>
      <c r="F1737" s="52" t="e">
        <v>#REF!</v>
      </c>
      <c r="G1737" s="48" t="e">
        <v>#REF!</v>
      </c>
      <c r="H1737" s="49">
        <v>19</v>
      </c>
      <c r="I1737" s="49" t="e">
        <v>#REF!</v>
      </c>
      <c r="J1737" s="50"/>
    </row>
    <row r="1738" outlineLevel="1" spans="1:10">
      <c r="A1738" s="50">
        <v>774</v>
      </c>
      <c r="B1738" s="51" t="str">
        <v>暗装钢制接线盒</v>
      </c>
      <c r="C1738" s="51" t="e">
        <v>#REF!</v>
      </c>
      <c r="D1738" s="51" t="str">
        <v/>
      </c>
      <c r="E1738" s="51" t="str">
        <v/>
      </c>
      <c r="F1738" s="52" t="e">
        <v>#REF!</v>
      </c>
      <c r="G1738" s="48" t="e">
        <v>#REF!</v>
      </c>
      <c r="H1738" s="49">
        <v>1</v>
      </c>
      <c r="I1738" s="49" t="e">
        <v>#REF!</v>
      </c>
      <c r="J1738" s="50"/>
    </row>
    <row r="1739" outlineLevel="1" spans="1:10">
      <c r="A1739" s="50">
        <v>775</v>
      </c>
      <c r="B1739" s="51" t="str">
        <v>空白面板</v>
      </c>
      <c r="C1739" s="51" t="e">
        <v>#REF!</v>
      </c>
      <c r="D1739" s="51" t="str">
        <v/>
      </c>
      <c r="E1739" s="51" t="str">
        <v/>
      </c>
      <c r="F1739" s="52" t="e">
        <v>#REF!</v>
      </c>
      <c r="G1739" s="48" t="e">
        <v>#REF!</v>
      </c>
      <c r="H1739" s="49">
        <v>1</v>
      </c>
      <c r="I1739" s="49" t="e">
        <v>#REF!</v>
      </c>
      <c r="J1739" s="50"/>
    </row>
    <row r="1740" outlineLevel="1" spans="1:10">
      <c r="A1740" s="50">
        <v>776</v>
      </c>
      <c r="B1740" s="51" t="str">
        <v>管内穿铁丝</v>
      </c>
      <c r="C1740" s="51" t="e">
        <v>#REF!</v>
      </c>
      <c r="D1740" s="51" t="str">
        <v/>
      </c>
      <c r="E1740" s="51" t="str">
        <v/>
      </c>
      <c r="F1740" s="52" t="e">
        <v>#REF!</v>
      </c>
      <c r="G1740" s="48" t="e">
        <v>#REF!</v>
      </c>
      <c r="H1740" s="49">
        <v>335.49</v>
      </c>
      <c r="I1740" s="49" t="e">
        <v>#REF!</v>
      </c>
      <c r="J1740" s="50"/>
    </row>
    <row r="1741" outlineLevel="1" spans="1:10">
      <c r="A1741" s="50" t="str">
        <v/>
      </c>
      <c r="B1741" s="51" t="str">
        <v>B.23消防工程</v>
      </c>
      <c r="C1741" s="51" t="str">
        <v/>
      </c>
      <c r="D1741" s="51" t="str">
        <v/>
      </c>
      <c r="E1741" s="51" t="str">
        <v/>
      </c>
      <c r="F1741" s="52" t="str">
        <v/>
      </c>
      <c r="G1741" s="48" t="str">
        <v/>
      </c>
      <c r="H1741" s="49">
        <v>0</v>
      </c>
      <c r="I1741" s="49" t="e">
        <v>#REF!</v>
      </c>
      <c r="J1741" s="50"/>
    </row>
    <row r="1742" outlineLevel="1" spans="1:10">
      <c r="A1742" s="50">
        <v>777</v>
      </c>
      <c r="B1742" s="51" t="str">
        <v>防火桥架-100*100</v>
      </c>
      <c r="C1742" s="51" t="e">
        <v>#REF!</v>
      </c>
      <c r="D1742" s="51" t="str">
        <v/>
      </c>
      <c r="E1742" s="51" t="str">
        <v/>
      </c>
      <c r="F1742" s="52" t="e">
        <v>#REF!</v>
      </c>
      <c r="G1742" s="48" t="e">
        <v>#REF!</v>
      </c>
      <c r="H1742" s="49">
        <v>1</v>
      </c>
      <c r="I1742" s="49" t="e">
        <v>#REF!</v>
      </c>
      <c r="J1742" s="50"/>
    </row>
    <row r="1743" outlineLevel="1" spans="1:10">
      <c r="A1743" s="50">
        <v>778</v>
      </c>
      <c r="B1743" s="51" t="str">
        <v>防火桥架-150*100</v>
      </c>
      <c r="C1743" s="51" t="e">
        <v>#REF!</v>
      </c>
      <c r="D1743" s="51" t="str">
        <v/>
      </c>
      <c r="E1743" s="51" t="str">
        <v/>
      </c>
      <c r="F1743" s="52" t="e">
        <v>#REF!</v>
      </c>
      <c r="G1743" s="48" t="e">
        <v>#REF!</v>
      </c>
      <c r="H1743" s="49">
        <v>0</v>
      </c>
      <c r="I1743" s="49" t="e">
        <v>#REF!</v>
      </c>
      <c r="J1743" s="50"/>
    </row>
    <row r="1744" outlineLevel="1" spans="1:10">
      <c r="A1744" s="50">
        <v>779</v>
      </c>
      <c r="B1744" s="51" t="str">
        <v>防火堵洞</v>
      </c>
      <c r="C1744" s="51" t="e">
        <v>#REF!</v>
      </c>
      <c r="D1744" s="51" t="str">
        <v/>
      </c>
      <c r="E1744" s="51" t="str">
        <v/>
      </c>
      <c r="F1744" s="52" t="e">
        <v>#REF!</v>
      </c>
      <c r="G1744" s="48" t="e">
        <v>#REF!</v>
      </c>
      <c r="H1744" s="49">
        <v>1</v>
      </c>
      <c r="I1744" s="49" t="e">
        <v>#REF!</v>
      </c>
      <c r="J1744" s="50"/>
    </row>
    <row r="1745" outlineLevel="1" spans="1:10">
      <c r="A1745" s="50">
        <v>780</v>
      </c>
      <c r="B1745" s="51" t="str">
        <v>SC15-暗配</v>
      </c>
      <c r="C1745" s="51" t="e">
        <v>#REF!</v>
      </c>
      <c r="D1745" s="51" t="str">
        <v/>
      </c>
      <c r="E1745" s="51" t="str">
        <v/>
      </c>
      <c r="F1745" s="52" t="e">
        <v>#REF!</v>
      </c>
      <c r="G1745" s="48" t="e">
        <v>#REF!</v>
      </c>
      <c r="H1745" s="49">
        <v>1</v>
      </c>
      <c r="I1745" s="49" t="e">
        <v>#REF!</v>
      </c>
      <c r="J1745" s="50"/>
    </row>
    <row r="1746" outlineLevel="1" spans="1:10">
      <c r="A1746" s="50">
        <v>781</v>
      </c>
      <c r="B1746" s="51" t="str">
        <v>SC20-暗配</v>
      </c>
      <c r="C1746" s="51" t="e">
        <v>#REF!</v>
      </c>
      <c r="D1746" s="51" t="str">
        <v/>
      </c>
      <c r="E1746" s="51" t="str">
        <v/>
      </c>
      <c r="F1746" s="52" t="e">
        <v>#REF!</v>
      </c>
      <c r="G1746" s="48" t="e">
        <v>#REF!</v>
      </c>
      <c r="H1746" s="49">
        <v>1</v>
      </c>
      <c r="I1746" s="49" t="e">
        <v>#REF!</v>
      </c>
      <c r="J1746" s="50"/>
    </row>
    <row r="1747" outlineLevel="1" spans="1:10">
      <c r="A1747" s="50">
        <v>782</v>
      </c>
      <c r="B1747" s="51" t="str">
        <v>SC25-暗配</v>
      </c>
      <c r="C1747" s="51" t="e">
        <v>#REF!</v>
      </c>
      <c r="D1747" s="51" t="str">
        <v/>
      </c>
      <c r="E1747" s="51" t="str">
        <v/>
      </c>
      <c r="F1747" s="52" t="e">
        <v>#REF!</v>
      </c>
      <c r="G1747" s="48" t="e">
        <v>#REF!</v>
      </c>
      <c r="H1747" s="49">
        <v>1</v>
      </c>
      <c r="I1747" s="49" t="e">
        <v>#REF!</v>
      </c>
      <c r="J1747" s="50"/>
    </row>
    <row r="1748" outlineLevel="1" spans="1:10">
      <c r="A1748" s="50">
        <v>783</v>
      </c>
      <c r="B1748" s="51" t="str">
        <v>薄壁钢导管配管-JDG20-明配</v>
      </c>
      <c r="C1748" s="51" t="e">
        <v>#REF!</v>
      </c>
      <c r="D1748" s="51" t="str">
        <v/>
      </c>
      <c r="E1748" s="51" t="str">
        <v/>
      </c>
      <c r="F1748" s="52" t="e">
        <v>#REF!</v>
      </c>
      <c r="G1748" s="48" t="e">
        <v>#REF!</v>
      </c>
      <c r="H1748" s="49">
        <v>0</v>
      </c>
      <c r="I1748" s="49" t="e">
        <v>#REF!</v>
      </c>
      <c r="J1748" s="50"/>
    </row>
    <row r="1749" outlineLevel="1" spans="1:10">
      <c r="A1749" s="50">
        <v>784</v>
      </c>
      <c r="B1749" s="51" t="str">
        <v>薄壁钢导管配管-JDG25-暗配</v>
      </c>
      <c r="C1749" s="51" t="e">
        <v>#REF!</v>
      </c>
      <c r="D1749" s="51" t="str">
        <v/>
      </c>
      <c r="E1749" s="51" t="str">
        <v/>
      </c>
      <c r="F1749" s="52" t="e">
        <v>#REF!</v>
      </c>
      <c r="G1749" s="48" t="e">
        <v>#REF!</v>
      </c>
      <c r="H1749" s="49">
        <v>0</v>
      </c>
      <c r="I1749" s="49" t="e">
        <v>#REF!</v>
      </c>
      <c r="J1749" s="50"/>
    </row>
    <row r="1750" outlineLevel="1" spans="1:10">
      <c r="A1750" s="50">
        <v>785</v>
      </c>
      <c r="B1750" s="51" t="str">
        <v>薄壁钢导管配管-JDG32-暗配</v>
      </c>
      <c r="C1750" s="51" t="e">
        <v>#REF!</v>
      </c>
      <c r="D1750" s="51" t="str">
        <v/>
      </c>
      <c r="E1750" s="51" t="str">
        <v/>
      </c>
      <c r="F1750" s="52" t="e">
        <v>#REF!</v>
      </c>
      <c r="G1750" s="48" t="e">
        <v>#REF!</v>
      </c>
      <c r="H1750" s="49">
        <v>0</v>
      </c>
      <c r="I1750" s="49" t="e">
        <v>#REF!</v>
      </c>
      <c r="J1750" s="50"/>
    </row>
    <row r="1751" outlineLevel="1" spans="1:10">
      <c r="A1751" s="50">
        <v>786</v>
      </c>
      <c r="B1751" s="51" t="str">
        <v>金属软管配管-DN20</v>
      </c>
      <c r="C1751" s="51" t="e">
        <v>#REF!</v>
      </c>
      <c r="D1751" s="51" t="str">
        <v/>
      </c>
      <c r="E1751" s="51" t="str">
        <v/>
      </c>
      <c r="F1751" s="52" t="e">
        <v>#REF!</v>
      </c>
      <c r="G1751" s="48" t="e">
        <v>#REF!</v>
      </c>
      <c r="H1751" s="49">
        <v>0</v>
      </c>
      <c r="I1751" s="49" t="e">
        <v>#REF!</v>
      </c>
      <c r="J1751" s="50"/>
    </row>
    <row r="1752" outlineLevel="1" spans="1:10">
      <c r="A1752" s="50">
        <v>787</v>
      </c>
      <c r="B1752" s="51" t="str">
        <v>管内穿铁丝</v>
      </c>
      <c r="C1752" s="51" t="e">
        <v>#REF!</v>
      </c>
      <c r="D1752" s="51" t="str">
        <v/>
      </c>
      <c r="E1752" s="51" t="str">
        <v/>
      </c>
      <c r="F1752" s="52" t="e">
        <v>#REF!</v>
      </c>
      <c r="G1752" s="48" t="e">
        <v>#REF!</v>
      </c>
      <c r="H1752" s="49">
        <v>1</v>
      </c>
      <c r="I1752" s="49" t="e">
        <v>#REF!</v>
      </c>
      <c r="J1752" s="50"/>
    </row>
    <row r="1753" outlineLevel="1" spans="1:10">
      <c r="A1753" s="50">
        <v>788</v>
      </c>
      <c r="B1753" s="51" t="str">
        <v>暗装钢制接线盒</v>
      </c>
      <c r="C1753" s="51" t="e">
        <v>#REF!</v>
      </c>
      <c r="D1753" s="51" t="str">
        <v/>
      </c>
      <c r="E1753" s="51" t="str">
        <v/>
      </c>
      <c r="F1753" s="52" t="e">
        <v>#REF!</v>
      </c>
      <c r="G1753" s="48" t="e">
        <v>#REF!</v>
      </c>
      <c r="H1753" s="49">
        <v>1</v>
      </c>
      <c r="I1753" s="49" t="e">
        <v>#REF!</v>
      </c>
      <c r="J1753" s="50"/>
    </row>
    <row r="1754" outlineLevel="1" spans="1:10">
      <c r="A1754" s="50" t="str">
        <v/>
      </c>
      <c r="B1754" s="51" t="str">
        <v/>
      </c>
      <c r="C1754" s="51" t="str">
        <v/>
      </c>
      <c r="D1754" s="51" t="str">
        <v/>
      </c>
      <c r="E1754" s="51" t="str">
        <v/>
      </c>
      <c r="F1754" s="52" t="str">
        <v/>
      </c>
      <c r="G1754" s="48" t="str">
        <v/>
      </c>
      <c r="H1754" s="49">
        <v>0</v>
      </c>
      <c r="I1754" s="49">
        <v>0</v>
      </c>
      <c r="J1754" s="50"/>
    </row>
    <row r="1755" outlineLevel="1" spans="1:10">
      <c r="A1755" s="50" t="str">
        <v/>
      </c>
      <c r="B1755" s="51" t="str">
        <v/>
      </c>
      <c r="C1755" s="51" t="str">
        <v/>
      </c>
      <c r="D1755" s="51" t="str">
        <v/>
      </c>
      <c r="E1755" s="51" t="str">
        <v/>
      </c>
      <c r="F1755" s="52" t="str">
        <v/>
      </c>
      <c r="G1755" s="48" t="str">
        <v/>
      </c>
      <c r="H1755" s="49">
        <v>0</v>
      </c>
      <c r="I1755" s="49">
        <v>0</v>
      </c>
      <c r="J1755" s="50"/>
    </row>
    <row r="1756" outlineLevel="1" spans="1:10">
      <c r="A1756" s="50" t="str">
        <v/>
      </c>
      <c r="B1756" s="51" t="str">
        <v/>
      </c>
      <c r="C1756" s="51" t="str">
        <v/>
      </c>
      <c r="D1756" s="51" t="str">
        <v/>
      </c>
      <c r="E1756" s="51" t="str">
        <v/>
      </c>
      <c r="F1756" s="52" t="str">
        <v/>
      </c>
      <c r="G1756" s="48" t="str">
        <v/>
      </c>
      <c r="H1756" s="49">
        <v>0</v>
      </c>
      <c r="I1756" s="49">
        <v>0</v>
      </c>
      <c r="J1756" s="50"/>
    </row>
    <row r="1757" outlineLevel="1" spans="1:10">
      <c r="A1757" s="50" t="str">
        <v/>
      </c>
      <c r="B1757" s="51" t="str">
        <v/>
      </c>
      <c r="C1757" s="51" t="str">
        <v/>
      </c>
      <c r="D1757" s="51" t="str">
        <v/>
      </c>
      <c r="E1757" s="51" t="str">
        <v/>
      </c>
      <c r="F1757" s="52" t="str">
        <v/>
      </c>
      <c r="G1757" s="48" t="str">
        <v/>
      </c>
      <c r="H1757" s="49">
        <v>0</v>
      </c>
      <c r="I1757" s="49">
        <v>0</v>
      </c>
      <c r="J1757" s="50"/>
    </row>
    <row r="1758" outlineLevel="1" spans="1:10">
      <c r="A1758" s="50" t="str">
        <v/>
      </c>
      <c r="B1758" s="51" t="str">
        <v/>
      </c>
      <c r="C1758" s="51" t="str">
        <v/>
      </c>
      <c r="D1758" s="51" t="str">
        <v/>
      </c>
      <c r="E1758" s="51" t="str">
        <v/>
      </c>
      <c r="F1758" s="52" t="str">
        <v/>
      </c>
      <c r="G1758" s="48" t="str">
        <v/>
      </c>
      <c r="H1758" s="49">
        <v>0</v>
      </c>
      <c r="I1758" s="49">
        <v>0</v>
      </c>
      <c r="J1758" s="50"/>
    </row>
    <row r="1759" outlineLevel="1" spans="1:10">
      <c r="A1759" s="50" t="str">
        <v/>
      </c>
      <c r="B1759" s="51" t="str">
        <v/>
      </c>
      <c r="C1759" s="51" t="str">
        <v/>
      </c>
      <c r="D1759" s="51" t="str">
        <v/>
      </c>
      <c r="E1759" s="51" t="str">
        <v/>
      </c>
      <c r="F1759" s="52" t="str">
        <v/>
      </c>
      <c r="G1759" s="48" t="str">
        <v/>
      </c>
      <c r="H1759" s="49">
        <v>0</v>
      </c>
      <c r="I1759" s="49">
        <v>0</v>
      </c>
      <c r="J1759" s="50"/>
    </row>
    <row r="1760" outlineLevel="1" spans="1:10">
      <c r="A1760" s="50" t="str">
        <v/>
      </c>
      <c r="B1760" s="51" t="str">
        <v/>
      </c>
      <c r="C1760" s="51" t="str">
        <v/>
      </c>
      <c r="D1760" s="51" t="str">
        <v/>
      </c>
      <c r="E1760" s="51" t="str">
        <v/>
      </c>
      <c r="F1760" s="52" t="str">
        <v/>
      </c>
      <c r="G1760" s="48" t="str">
        <v/>
      </c>
      <c r="H1760" s="49">
        <v>0</v>
      </c>
      <c r="I1760" s="49">
        <v>0</v>
      </c>
      <c r="J1760" s="50"/>
    </row>
    <row r="1761" outlineLevel="1" spans="1:10">
      <c r="A1761" s="50" t="str">
        <v/>
      </c>
      <c r="B1761" s="51" t="str">
        <v/>
      </c>
      <c r="C1761" s="51" t="str">
        <v/>
      </c>
      <c r="D1761" s="51" t="str">
        <v/>
      </c>
      <c r="E1761" s="51" t="str">
        <v/>
      </c>
      <c r="F1761" s="52" t="str">
        <v/>
      </c>
      <c r="G1761" s="48" t="str">
        <v/>
      </c>
      <c r="H1761" s="49">
        <v>0</v>
      </c>
      <c r="I1761" s="49">
        <v>0</v>
      </c>
      <c r="J1761" s="50"/>
    </row>
    <row r="1762" outlineLevel="1" spans="1:10">
      <c r="A1762" s="50" t="str">
        <v/>
      </c>
      <c r="B1762" s="51" t="str">
        <v/>
      </c>
      <c r="C1762" s="51" t="str">
        <v/>
      </c>
      <c r="D1762" s="51" t="str">
        <v/>
      </c>
      <c r="E1762" s="51" t="str">
        <v/>
      </c>
      <c r="F1762" s="52" t="str">
        <v/>
      </c>
      <c r="G1762" s="48" t="str">
        <v/>
      </c>
      <c r="H1762" s="49">
        <v>0</v>
      </c>
      <c r="I1762" s="49">
        <v>0</v>
      </c>
      <c r="J1762" s="50"/>
    </row>
    <row r="1763" outlineLevel="1" spans="1:10">
      <c r="A1763" s="50" t="str">
        <v/>
      </c>
      <c r="B1763" s="51" t="str">
        <v/>
      </c>
      <c r="C1763" s="51" t="str">
        <v/>
      </c>
      <c r="D1763" s="51" t="str">
        <v/>
      </c>
      <c r="E1763" s="51" t="str">
        <v/>
      </c>
      <c r="F1763" s="52" t="str">
        <v/>
      </c>
      <c r="G1763" s="48" t="str">
        <v/>
      </c>
      <c r="H1763" s="49">
        <v>0</v>
      </c>
      <c r="I1763" s="49">
        <v>0</v>
      </c>
      <c r="J1763" s="50"/>
    </row>
    <row r="1764" outlineLevel="1" spans="1:10">
      <c r="A1764" s="50" t="str">
        <v/>
      </c>
      <c r="B1764" s="51" t="str">
        <v/>
      </c>
      <c r="C1764" s="51" t="str">
        <v/>
      </c>
      <c r="D1764" s="51" t="str">
        <v/>
      </c>
      <c r="E1764" s="51" t="str">
        <v/>
      </c>
      <c r="F1764" s="52" t="str">
        <v/>
      </c>
      <c r="G1764" s="48" t="str">
        <v/>
      </c>
      <c r="H1764" s="49">
        <v>0</v>
      </c>
      <c r="I1764" s="49">
        <v>0</v>
      </c>
      <c r="J1764" s="50"/>
    </row>
    <row r="1765" outlineLevel="1" spans="1:10">
      <c r="A1765" s="50" t="str">
        <v/>
      </c>
      <c r="B1765" s="51" t="str">
        <v/>
      </c>
      <c r="C1765" s="51" t="str">
        <v/>
      </c>
      <c r="D1765" s="51" t="str">
        <v/>
      </c>
      <c r="E1765" s="51" t="str">
        <v/>
      </c>
      <c r="F1765" s="52" t="str">
        <v/>
      </c>
      <c r="G1765" s="48" t="str">
        <v/>
      </c>
      <c r="H1765" s="49">
        <v>0</v>
      </c>
      <c r="I1765" s="49">
        <v>0</v>
      </c>
      <c r="J1765" s="50"/>
    </row>
    <row r="1766" outlineLevel="1" spans="1:10">
      <c r="A1766" s="50" t="str">
        <v/>
      </c>
      <c r="B1766" s="51" t="str">
        <v/>
      </c>
      <c r="C1766" s="51" t="str">
        <v/>
      </c>
      <c r="D1766" s="51" t="str">
        <v/>
      </c>
      <c r="E1766" s="51" t="str">
        <v/>
      </c>
      <c r="F1766" s="52" t="str">
        <v/>
      </c>
      <c r="G1766" s="48" t="str">
        <v/>
      </c>
      <c r="H1766" s="49">
        <v>0</v>
      </c>
      <c r="I1766" s="49">
        <v>0</v>
      </c>
      <c r="J1766" s="50"/>
    </row>
    <row r="1767" outlineLevel="1" spans="1:10">
      <c r="A1767" s="50" t="str">
        <v/>
      </c>
      <c r="B1767" s="51" t="str">
        <v/>
      </c>
      <c r="C1767" s="51" t="str">
        <v/>
      </c>
      <c r="D1767" s="51" t="str">
        <v/>
      </c>
      <c r="E1767" s="51" t="str">
        <v/>
      </c>
      <c r="F1767" s="52" t="str">
        <v/>
      </c>
      <c r="G1767" s="48" t="str">
        <v/>
      </c>
      <c r="H1767" s="49">
        <v>0</v>
      </c>
      <c r="I1767" s="49">
        <v>0</v>
      </c>
      <c r="J1767" s="50"/>
    </row>
    <row r="1768" outlineLevel="1" spans="1:10">
      <c r="A1768" s="50" t="str">
        <v/>
      </c>
      <c r="B1768" s="51" t="str">
        <v/>
      </c>
      <c r="C1768" s="51" t="str">
        <v/>
      </c>
      <c r="D1768" s="51" t="str">
        <v/>
      </c>
      <c r="E1768" s="51" t="str">
        <v/>
      </c>
      <c r="F1768" s="52" t="str">
        <v/>
      </c>
      <c r="G1768" s="48" t="str">
        <v/>
      </c>
      <c r="H1768" s="49">
        <v>0</v>
      </c>
      <c r="I1768" s="49">
        <v>0</v>
      </c>
      <c r="J1768" s="50"/>
    </row>
    <row r="1769" outlineLevel="1" spans="1:10">
      <c r="A1769" s="50" t="str">
        <v/>
      </c>
      <c r="B1769" s="51" t="str">
        <v/>
      </c>
      <c r="C1769" s="51" t="str">
        <v/>
      </c>
      <c r="D1769" s="51" t="str">
        <v/>
      </c>
      <c r="E1769" s="51" t="str">
        <v/>
      </c>
      <c r="F1769" s="52" t="str">
        <v/>
      </c>
      <c r="G1769" s="48" t="str">
        <v/>
      </c>
      <c r="H1769" s="49">
        <v>0</v>
      </c>
      <c r="I1769" s="49">
        <v>0</v>
      </c>
      <c r="J1769" s="50"/>
    </row>
    <row r="1770" outlineLevel="1" spans="1:10">
      <c r="A1770" s="50" t="str">
        <v/>
      </c>
      <c r="B1770" s="51" t="str">
        <v/>
      </c>
      <c r="C1770" s="51" t="str">
        <v/>
      </c>
      <c r="D1770" s="51" t="str">
        <v/>
      </c>
      <c r="E1770" s="51" t="str">
        <v/>
      </c>
      <c r="F1770" s="52" t="str">
        <v/>
      </c>
      <c r="G1770" s="48" t="str">
        <v/>
      </c>
      <c r="H1770" s="49">
        <v>0</v>
      </c>
      <c r="I1770" s="49">
        <v>0</v>
      </c>
      <c r="J1770" s="50"/>
    </row>
    <row r="1771" outlineLevel="1" spans="1:10">
      <c r="A1771" s="50" t="str">
        <v/>
      </c>
      <c r="B1771" s="51" t="str">
        <v/>
      </c>
      <c r="C1771" s="51" t="str">
        <v/>
      </c>
      <c r="D1771" s="51" t="str">
        <v/>
      </c>
      <c r="E1771" s="51" t="str">
        <v/>
      </c>
      <c r="F1771" s="52" t="str">
        <v/>
      </c>
      <c r="G1771" s="48" t="str">
        <v/>
      </c>
      <c r="H1771" s="49">
        <v>0</v>
      </c>
      <c r="I1771" s="49">
        <v>0</v>
      </c>
      <c r="J1771" s="50"/>
    </row>
    <row r="1772" outlineLevel="1" spans="1:10">
      <c r="A1772" s="50" t="str">
        <v/>
      </c>
      <c r="B1772" s="51" t="str">
        <v/>
      </c>
      <c r="C1772" s="51" t="str">
        <v/>
      </c>
      <c r="D1772" s="51" t="str">
        <v/>
      </c>
      <c r="E1772" s="51" t="str">
        <v/>
      </c>
      <c r="F1772" s="52" t="str">
        <v/>
      </c>
      <c r="G1772" s="48" t="str">
        <v/>
      </c>
      <c r="H1772" s="49">
        <v>0</v>
      </c>
      <c r="I1772" s="49">
        <v>0</v>
      </c>
      <c r="J1772" s="50"/>
    </row>
    <row r="1773" outlineLevel="1" spans="1:10">
      <c r="A1773" s="50" t="str">
        <v/>
      </c>
      <c r="B1773" s="51" t="str">
        <v/>
      </c>
      <c r="C1773" s="51" t="str">
        <v/>
      </c>
      <c r="D1773" s="51" t="str">
        <v/>
      </c>
      <c r="E1773" s="51" t="str">
        <v/>
      </c>
      <c r="F1773" s="52" t="str">
        <v/>
      </c>
      <c r="G1773" s="48" t="str">
        <v/>
      </c>
      <c r="H1773" s="49">
        <v>0</v>
      </c>
      <c r="I1773" s="49">
        <v>0</v>
      </c>
      <c r="J1773" s="50"/>
    </row>
    <row r="1774" outlineLevel="1" spans="1:10">
      <c r="A1774" s="50" t="str">
        <v/>
      </c>
      <c r="B1774" s="51" t="str">
        <v/>
      </c>
      <c r="C1774" s="51" t="str">
        <v/>
      </c>
      <c r="D1774" s="51" t="str">
        <v/>
      </c>
      <c r="E1774" s="51" t="str">
        <v/>
      </c>
      <c r="F1774" s="52" t="str">
        <v/>
      </c>
      <c r="G1774" s="48" t="str">
        <v/>
      </c>
      <c r="H1774" s="49">
        <v>0</v>
      </c>
      <c r="I1774" s="49">
        <v>0</v>
      </c>
      <c r="J1774" s="50"/>
    </row>
    <row r="1775" outlineLevel="1" spans="1:10">
      <c r="A1775" s="50" t="str">
        <v/>
      </c>
      <c r="B1775" s="51" t="str">
        <v/>
      </c>
      <c r="C1775" s="51" t="str">
        <v/>
      </c>
      <c r="D1775" s="51" t="str">
        <v/>
      </c>
      <c r="E1775" s="51" t="str">
        <v/>
      </c>
      <c r="F1775" s="52" t="str">
        <v/>
      </c>
      <c r="G1775" s="48" t="str">
        <v/>
      </c>
      <c r="H1775" s="49">
        <v>0</v>
      </c>
      <c r="I1775" s="49">
        <v>0</v>
      </c>
      <c r="J1775" s="50"/>
    </row>
    <row r="1776" outlineLevel="1" spans="1:10">
      <c r="A1776" s="50" t="str">
        <v/>
      </c>
      <c r="B1776" s="51" t="str">
        <v/>
      </c>
      <c r="C1776" s="51" t="str">
        <v/>
      </c>
      <c r="D1776" s="51" t="str">
        <v/>
      </c>
      <c r="E1776" s="51" t="str">
        <v/>
      </c>
      <c r="F1776" s="52" t="str">
        <v/>
      </c>
      <c r="G1776" s="48" t="str">
        <v/>
      </c>
      <c r="H1776" s="49">
        <v>0</v>
      </c>
      <c r="I1776" s="49">
        <v>0</v>
      </c>
      <c r="J1776" s="50"/>
    </row>
    <row r="1777" outlineLevel="1" spans="1:10">
      <c r="A1777" s="50" t="str">
        <v/>
      </c>
      <c r="B1777" s="51" t="str">
        <v/>
      </c>
      <c r="C1777" s="51" t="str">
        <v/>
      </c>
      <c r="D1777" s="51" t="str">
        <v/>
      </c>
      <c r="E1777" s="51" t="str">
        <v/>
      </c>
      <c r="F1777" s="52" t="str">
        <v/>
      </c>
      <c r="G1777" s="48" t="str">
        <v/>
      </c>
      <c r="H1777" s="49">
        <v>0</v>
      </c>
      <c r="I1777" s="49">
        <v>0</v>
      </c>
      <c r="J1777" s="50"/>
    </row>
    <row r="1778" outlineLevel="1" spans="1:10">
      <c r="A1778" s="50" t="str">
        <v/>
      </c>
      <c r="B1778" s="51" t="str">
        <v/>
      </c>
      <c r="C1778" s="51" t="str">
        <v/>
      </c>
      <c r="D1778" s="51" t="str">
        <v/>
      </c>
      <c r="E1778" s="51" t="str">
        <v/>
      </c>
      <c r="F1778" s="52" t="str">
        <v/>
      </c>
      <c r="G1778" s="48" t="str">
        <v/>
      </c>
      <c r="H1778" s="49">
        <v>0</v>
      </c>
      <c r="I1778" s="49">
        <v>0</v>
      </c>
      <c r="J1778" s="50"/>
    </row>
    <row r="1779" outlineLevel="1" spans="1:10">
      <c r="A1779" s="50" t="str">
        <v/>
      </c>
      <c r="B1779" s="51" t="str">
        <v/>
      </c>
      <c r="C1779" s="51" t="str">
        <v/>
      </c>
      <c r="D1779" s="51" t="str">
        <v/>
      </c>
      <c r="E1779" s="51" t="str">
        <v/>
      </c>
      <c r="F1779" s="52" t="str">
        <v/>
      </c>
      <c r="G1779" s="48" t="str">
        <v/>
      </c>
      <c r="H1779" s="49">
        <v>0</v>
      </c>
      <c r="I1779" s="49">
        <v>0</v>
      </c>
      <c r="J1779" s="50"/>
    </row>
    <row r="1780" outlineLevel="1" spans="1:10">
      <c r="A1780" s="50" t="str">
        <v/>
      </c>
      <c r="B1780" s="51" t="str">
        <v/>
      </c>
      <c r="C1780" s="51" t="str">
        <v/>
      </c>
      <c r="D1780" s="51" t="str">
        <v/>
      </c>
      <c r="E1780" s="51" t="str">
        <v/>
      </c>
      <c r="F1780" s="52" t="str">
        <v/>
      </c>
      <c r="G1780" s="48" t="str">
        <v/>
      </c>
      <c r="H1780" s="49">
        <v>0</v>
      </c>
      <c r="I1780" s="49">
        <v>0</v>
      </c>
      <c r="J1780" s="50"/>
    </row>
    <row r="1781" outlineLevel="1" spans="1:10">
      <c r="A1781" s="50" t="str">
        <v/>
      </c>
      <c r="B1781" s="51" t="str">
        <v/>
      </c>
      <c r="C1781" s="51" t="str">
        <v/>
      </c>
      <c r="D1781" s="51" t="str">
        <v/>
      </c>
      <c r="E1781" s="51" t="str">
        <v/>
      </c>
      <c r="F1781" s="52" t="str">
        <v/>
      </c>
      <c r="G1781" s="48" t="str">
        <v/>
      </c>
      <c r="H1781" s="49">
        <v>0</v>
      </c>
      <c r="I1781" s="49">
        <v>0</v>
      </c>
      <c r="J1781" s="50"/>
    </row>
    <row r="1782" outlineLevel="1" spans="1:10">
      <c r="A1782" s="50" t="str">
        <v/>
      </c>
      <c r="B1782" s="51" t="str">
        <v/>
      </c>
      <c r="C1782" s="51" t="str">
        <v/>
      </c>
      <c r="D1782" s="51" t="str">
        <v/>
      </c>
      <c r="E1782" s="51" t="str">
        <v/>
      </c>
      <c r="F1782" s="52" t="str">
        <v/>
      </c>
      <c r="G1782" s="48" t="str">
        <v/>
      </c>
      <c r="H1782" s="49">
        <v>0</v>
      </c>
      <c r="I1782" s="49">
        <v>0</v>
      </c>
      <c r="J1782" s="50"/>
    </row>
    <row r="1783" outlineLevel="1" spans="1:10">
      <c r="A1783" s="50" t="str">
        <v/>
      </c>
      <c r="B1783" s="51" t="str">
        <v/>
      </c>
      <c r="C1783" s="51" t="str">
        <v/>
      </c>
      <c r="D1783" s="51" t="str">
        <v/>
      </c>
      <c r="E1783" s="51" t="str">
        <v/>
      </c>
      <c r="F1783" s="52" t="str">
        <v/>
      </c>
      <c r="G1783" s="48" t="str">
        <v/>
      </c>
      <c r="H1783" s="49">
        <v>0</v>
      </c>
      <c r="I1783" s="49">
        <v>0</v>
      </c>
      <c r="J1783" s="50"/>
    </row>
    <row r="1784" outlineLevel="1" spans="1:10">
      <c r="A1784" s="50" t="str">
        <v/>
      </c>
      <c r="B1784" s="51" t="str">
        <v/>
      </c>
      <c r="C1784" s="51" t="str">
        <v/>
      </c>
      <c r="D1784" s="51" t="str">
        <v/>
      </c>
      <c r="E1784" s="51" t="str">
        <v/>
      </c>
      <c r="F1784" s="52" t="str">
        <v/>
      </c>
      <c r="G1784" s="48" t="str">
        <v/>
      </c>
      <c r="H1784" s="49">
        <v>0</v>
      </c>
      <c r="I1784" s="49">
        <v>0</v>
      </c>
      <c r="J1784" s="50"/>
    </row>
    <row r="1785" outlineLevel="1" spans="1:10">
      <c r="A1785" s="50" t="str">
        <v/>
      </c>
      <c r="B1785" s="51" t="str">
        <v/>
      </c>
      <c r="C1785" s="51" t="str">
        <v/>
      </c>
      <c r="D1785" s="51" t="str">
        <v/>
      </c>
      <c r="E1785" s="51" t="str">
        <v/>
      </c>
      <c r="F1785" s="52" t="str">
        <v/>
      </c>
      <c r="G1785" s="48" t="str">
        <v/>
      </c>
      <c r="H1785" s="49">
        <v>0</v>
      </c>
      <c r="I1785" s="49">
        <v>0</v>
      </c>
      <c r="J1785" s="50"/>
    </row>
    <row r="1786" outlineLevel="1" spans="1:10">
      <c r="A1786" s="50" t="str">
        <v/>
      </c>
      <c r="B1786" s="51" t="str">
        <v/>
      </c>
      <c r="C1786" s="51" t="str">
        <v/>
      </c>
      <c r="D1786" s="51" t="str">
        <v/>
      </c>
      <c r="E1786" s="51" t="str">
        <v/>
      </c>
      <c r="F1786" s="52" t="str">
        <v/>
      </c>
      <c r="G1786" s="48" t="str">
        <v/>
      </c>
      <c r="H1786" s="49">
        <v>0</v>
      </c>
      <c r="I1786" s="49">
        <v>0</v>
      </c>
      <c r="J1786" s="50"/>
    </row>
    <row r="1787" outlineLevel="1" spans="1:10">
      <c r="A1787" s="50" t="str">
        <v/>
      </c>
      <c r="B1787" s="51" t="str">
        <v/>
      </c>
      <c r="C1787" s="51" t="str">
        <v/>
      </c>
      <c r="D1787" s="51" t="str">
        <v/>
      </c>
      <c r="E1787" s="51" t="str">
        <v/>
      </c>
      <c r="F1787" s="52" t="str">
        <v/>
      </c>
      <c r="G1787" s="48" t="str">
        <v/>
      </c>
      <c r="H1787" s="49">
        <v>0</v>
      </c>
      <c r="I1787" s="49">
        <v>0</v>
      </c>
      <c r="J1787" s="50"/>
    </row>
    <row r="1788" outlineLevel="1" spans="1:10">
      <c r="A1788" s="50" t="str">
        <v/>
      </c>
      <c r="B1788" s="51" t="str">
        <v/>
      </c>
      <c r="C1788" s="51" t="str">
        <v/>
      </c>
      <c r="D1788" s="51" t="str">
        <v/>
      </c>
      <c r="E1788" s="51" t="str">
        <v/>
      </c>
      <c r="F1788" s="52" t="str">
        <v/>
      </c>
      <c r="G1788" s="48" t="str">
        <v/>
      </c>
      <c r="H1788" s="49">
        <v>0</v>
      </c>
      <c r="I1788" s="49">
        <v>0</v>
      </c>
      <c r="J1788" s="50"/>
    </row>
    <row r="1789" outlineLevel="1" spans="1:10">
      <c r="A1789" s="50" t="str">
        <v/>
      </c>
      <c r="B1789" s="51" t="str">
        <v/>
      </c>
      <c r="C1789" s="51" t="str">
        <v/>
      </c>
      <c r="D1789" s="51" t="str">
        <v/>
      </c>
      <c r="E1789" s="51" t="str">
        <v/>
      </c>
      <c r="F1789" s="52" t="str">
        <v/>
      </c>
      <c r="G1789" s="48" t="str">
        <v/>
      </c>
      <c r="H1789" s="49">
        <v>0</v>
      </c>
      <c r="I1789" s="49">
        <v>0</v>
      </c>
      <c r="J1789" s="50"/>
    </row>
    <row r="1790" outlineLevel="1" spans="1:10">
      <c r="A1790" s="50" t="str">
        <v/>
      </c>
      <c r="B1790" s="51" t="str">
        <v/>
      </c>
      <c r="C1790" s="51" t="str">
        <v/>
      </c>
      <c r="D1790" s="51" t="str">
        <v/>
      </c>
      <c r="E1790" s="51" t="str">
        <v/>
      </c>
      <c r="F1790" s="52" t="str">
        <v/>
      </c>
      <c r="G1790" s="48" t="str">
        <v/>
      </c>
      <c r="H1790" s="49">
        <v>0</v>
      </c>
      <c r="I1790" s="49">
        <v>0</v>
      </c>
      <c r="J1790" s="50"/>
    </row>
    <row r="1791" outlineLevel="1" spans="1:10">
      <c r="A1791" s="50" t="str">
        <v/>
      </c>
      <c r="B1791" s="51" t="str">
        <v/>
      </c>
      <c r="C1791" s="51" t="str">
        <v/>
      </c>
      <c r="D1791" s="51" t="str">
        <v/>
      </c>
      <c r="E1791" s="51" t="str">
        <v/>
      </c>
      <c r="F1791" s="52" t="str">
        <v/>
      </c>
      <c r="G1791" s="48" t="str">
        <v/>
      </c>
      <c r="H1791" s="49">
        <v>0</v>
      </c>
      <c r="I1791" s="49">
        <v>0</v>
      </c>
      <c r="J1791" s="50"/>
    </row>
    <row r="1792" outlineLevel="1" spans="1:10">
      <c r="A1792" s="50" t="str">
        <v/>
      </c>
      <c r="B1792" s="51" t="str">
        <v/>
      </c>
      <c r="C1792" s="51" t="str">
        <v/>
      </c>
      <c r="D1792" s="51" t="str">
        <v/>
      </c>
      <c r="E1792" s="51" t="str">
        <v/>
      </c>
      <c r="F1792" s="52" t="str">
        <v/>
      </c>
      <c r="G1792" s="48" t="str">
        <v/>
      </c>
      <c r="H1792" s="49">
        <v>0</v>
      </c>
      <c r="I1792" s="49">
        <v>0</v>
      </c>
      <c r="J1792" s="50"/>
    </row>
    <row r="1793" outlineLevel="1" spans="1:10">
      <c r="A1793" s="50" t="str">
        <v/>
      </c>
      <c r="B1793" s="51" t="str">
        <v/>
      </c>
      <c r="C1793" s="51" t="str">
        <v/>
      </c>
      <c r="D1793" s="51" t="str">
        <v/>
      </c>
      <c r="E1793" s="51" t="str">
        <v/>
      </c>
      <c r="F1793" s="52" t="str">
        <v/>
      </c>
      <c r="G1793" s="48" t="str">
        <v/>
      </c>
      <c r="H1793" s="49">
        <v>0</v>
      </c>
      <c r="I1793" s="49">
        <v>0</v>
      </c>
      <c r="J1793" s="50"/>
    </row>
    <row r="1794" outlineLevel="1" spans="1:10">
      <c r="A1794" s="50" t="str">
        <v/>
      </c>
      <c r="B1794" s="51" t="str">
        <v/>
      </c>
      <c r="C1794" s="51" t="str">
        <v/>
      </c>
      <c r="D1794" s="51" t="str">
        <v/>
      </c>
      <c r="E1794" s="51" t="str">
        <v/>
      </c>
      <c r="F1794" s="52" t="str">
        <v/>
      </c>
      <c r="G1794" s="48" t="str">
        <v/>
      </c>
      <c r="H1794" s="49">
        <v>0</v>
      </c>
      <c r="I1794" s="49">
        <v>0</v>
      </c>
      <c r="J1794" s="50"/>
    </row>
    <row r="1795" outlineLevel="1" spans="1:10">
      <c r="A1795" s="50" t="str">
        <v/>
      </c>
      <c r="B1795" s="51" t="str">
        <v/>
      </c>
      <c r="C1795" s="51" t="str">
        <v/>
      </c>
      <c r="D1795" s="51" t="str">
        <v/>
      </c>
      <c r="E1795" s="51" t="str">
        <v/>
      </c>
      <c r="F1795" s="52" t="str">
        <v/>
      </c>
      <c r="G1795" s="48" t="str">
        <v/>
      </c>
      <c r="H1795" s="49">
        <v>0</v>
      </c>
      <c r="I1795" s="49">
        <v>0</v>
      </c>
      <c r="J1795" s="50"/>
    </row>
    <row r="1796" outlineLevel="1" spans="1:10">
      <c r="A1796" s="50" t="str">
        <v/>
      </c>
      <c r="B1796" s="51" t="str">
        <v/>
      </c>
      <c r="C1796" s="51" t="str">
        <v/>
      </c>
      <c r="D1796" s="51" t="str">
        <v/>
      </c>
      <c r="E1796" s="51" t="str">
        <v/>
      </c>
      <c r="F1796" s="52" t="str">
        <v/>
      </c>
      <c r="G1796" s="48" t="str">
        <v/>
      </c>
      <c r="H1796" s="49">
        <v>0</v>
      </c>
      <c r="I1796" s="49">
        <v>0</v>
      </c>
      <c r="J1796" s="50"/>
    </row>
    <row r="1797" outlineLevel="1" spans="1:10">
      <c r="A1797" s="50" t="str">
        <v/>
      </c>
      <c r="B1797" s="51" t="str">
        <v/>
      </c>
      <c r="C1797" s="51" t="str">
        <v/>
      </c>
      <c r="D1797" s="51" t="str">
        <v/>
      </c>
      <c r="E1797" s="51" t="str">
        <v/>
      </c>
      <c r="F1797" s="52" t="str">
        <v/>
      </c>
      <c r="G1797" s="48" t="str">
        <v/>
      </c>
      <c r="H1797" s="49">
        <v>0</v>
      </c>
      <c r="I1797" s="49">
        <v>0</v>
      </c>
      <c r="J1797" s="50"/>
    </row>
    <row r="1798" outlineLevel="1" spans="1:10">
      <c r="A1798" s="50" t="str">
        <v/>
      </c>
      <c r="B1798" s="51" t="str">
        <v/>
      </c>
      <c r="C1798" s="51" t="str">
        <v/>
      </c>
      <c r="D1798" s="51" t="str">
        <v/>
      </c>
      <c r="E1798" s="51" t="str">
        <v/>
      </c>
      <c r="F1798" s="52" t="str">
        <v/>
      </c>
      <c r="G1798" s="48" t="str">
        <v/>
      </c>
      <c r="H1798" s="49">
        <v>0</v>
      </c>
      <c r="I1798" s="49">
        <v>0</v>
      </c>
      <c r="J1798" s="50"/>
    </row>
    <row r="1799" s="29" customFormat="1" spans="1:11">
      <c r="A1799" s="40"/>
      <c r="B1799" s="41" t="s">
        <v>2357</v>
      </c>
      <c r="C1799" s="41"/>
      <c r="D1799" s="41"/>
      <c r="E1799" s="41"/>
      <c r="F1799" s="42"/>
      <c r="G1799" s="43"/>
      <c r="H1799" s="44"/>
      <c r="I1799" s="44"/>
      <c r="J1799" s="40"/>
      <c r="K1799" s="54"/>
    </row>
    <row r="1800" outlineLevel="1" spans="1:10">
      <c r="A1800" s="50" t="str">
        <f ca="1" t="array" ref="A1800:G1916">IF(INDIRECT(K3&amp;"!A4:G120")=0,"",INDIRECT(K3&amp;"!A4:G120"))</f>
        <v/>
      </c>
      <c r="B1800" s="51" t="str">
        <v>E.01单价措施费</v>
      </c>
      <c r="C1800" s="51" t="str">
        <v/>
      </c>
      <c r="D1800" s="51" t="str">
        <v/>
      </c>
      <c r="E1800" s="51" t="str">
        <v/>
      </c>
      <c r="F1800" s="52" t="str">
        <v/>
      </c>
      <c r="G1800" s="48" t="str">
        <v/>
      </c>
      <c r="H1800" s="49">
        <f ca="1" t="array" ref="H1800:H1916">INDIRECT(K3&amp;"!O4:O120")</f>
        <v>0</v>
      </c>
      <c r="I1800" s="49" t="e">
        <f ca="1" t="array" ref="I1800:I1916">INDIRECT(K3&amp;"!Y4:Y120")</f>
        <v>#REF!</v>
      </c>
      <c r="J1800" s="50"/>
    </row>
    <row r="1801" outlineLevel="1" spans="1:10">
      <c r="A1801" s="50" t="str">
        <v>地下</v>
      </c>
      <c r="B1801" s="51" t="str">
        <v>主体结构</v>
      </c>
      <c r="C1801" s="51" t="str">
        <v/>
      </c>
      <c r="D1801" s="51" t="str">
        <v/>
      </c>
      <c r="E1801" s="51" t="str">
        <v/>
      </c>
      <c r="F1801" s="52" t="str">
        <v/>
      </c>
      <c r="G1801" s="48" t="str">
        <v/>
      </c>
      <c r="H1801" s="49">
        <v>0</v>
      </c>
      <c r="I1801" s="49" t="e">
        <v>#REF!</v>
      </c>
      <c r="J1801" s="50"/>
    </row>
    <row r="1802" outlineLevel="1" spans="1:10">
      <c r="A1802" s="50" t="str">
        <v>一</v>
      </c>
      <c r="B1802" s="51" t="str">
        <v>E.01.01模板工程</v>
      </c>
      <c r="C1802" s="51" t="str">
        <v/>
      </c>
      <c r="D1802" s="51" t="str">
        <v/>
      </c>
      <c r="E1802" s="51" t="str">
        <v/>
      </c>
      <c r="F1802" s="52" t="str">
        <v/>
      </c>
      <c r="G1802" s="48" t="str">
        <v/>
      </c>
      <c r="H1802" s="49">
        <v>508.96</v>
      </c>
      <c r="I1802" s="49" t="e">
        <v>#REF!</v>
      </c>
      <c r="J1802" s="50"/>
    </row>
    <row r="1803" ht="28.8" outlineLevel="1" spans="1:10">
      <c r="A1803" s="50">
        <v>1</v>
      </c>
      <c r="B1803" s="51" t="str">
        <v>垫层模板</v>
      </c>
      <c r="C1803" s="51" t="e">
        <v>#REF!</v>
      </c>
      <c r="D1803" s="51" t="str">
        <v>地下模板</v>
      </c>
      <c r="E1803" s="51" t="str">
        <v>地下模板</v>
      </c>
      <c r="F1803" s="52" t="e">
        <v>#REF!</v>
      </c>
      <c r="G1803" s="48" t="e">
        <v>#REF!</v>
      </c>
      <c r="H1803" s="49">
        <v>48.15</v>
      </c>
      <c r="I1803" s="49" t="e">
        <v>#REF!</v>
      </c>
      <c r="J1803" s="50"/>
    </row>
    <row r="1804" ht="28.8" outlineLevel="1" spans="1:10">
      <c r="A1804" s="50">
        <v>2</v>
      </c>
      <c r="B1804" s="51" t="str">
        <v>满堂基础模板</v>
      </c>
      <c r="C1804" s="51" t="e">
        <v>#REF!</v>
      </c>
      <c r="D1804" s="51" t="str">
        <v>地下模板</v>
      </c>
      <c r="E1804" s="51" t="str">
        <v>地下模板</v>
      </c>
      <c r="F1804" s="52" t="e">
        <v>#REF!</v>
      </c>
      <c r="G1804" s="48" t="e">
        <v>#REF!</v>
      </c>
      <c r="H1804" s="49">
        <v>390.75</v>
      </c>
      <c r="I1804" s="49" t="e">
        <v>#REF!</v>
      </c>
      <c r="J1804" s="50"/>
    </row>
    <row r="1805" ht="28.8" outlineLevel="1" spans="1:10">
      <c r="A1805" s="50">
        <v>3</v>
      </c>
      <c r="B1805" s="51" t="str">
        <v>独立基础模板</v>
      </c>
      <c r="C1805" s="51" t="e">
        <v>#REF!</v>
      </c>
      <c r="D1805" s="51" t="str">
        <v>地下模板</v>
      </c>
      <c r="E1805" s="51" t="str">
        <v>地下模板</v>
      </c>
      <c r="F1805" s="52" t="e">
        <v>#REF!</v>
      </c>
      <c r="G1805" s="48" t="e">
        <v>#REF!</v>
      </c>
      <c r="H1805" s="49">
        <v>70.06</v>
      </c>
      <c r="I1805" s="49" t="e">
        <v>#REF!</v>
      </c>
      <c r="J1805" s="50"/>
    </row>
    <row r="1806" ht="28.8" outlineLevel="1" spans="1:10">
      <c r="A1806" s="50">
        <v>4</v>
      </c>
      <c r="B1806" s="51" t="str">
        <v>矩形柱模板</v>
      </c>
      <c r="C1806" s="51" t="e">
        <v>#REF!</v>
      </c>
      <c r="D1806" s="51" t="str">
        <v>地下模板</v>
      </c>
      <c r="E1806" s="51" t="str">
        <v>地下模板</v>
      </c>
      <c r="F1806" s="52" t="e">
        <v>#REF!</v>
      </c>
      <c r="G1806" s="48" t="e">
        <v>#REF!</v>
      </c>
      <c r="H1806" s="49">
        <v>0</v>
      </c>
      <c r="I1806" s="49" t="e">
        <v>#REF!</v>
      </c>
      <c r="J1806" s="50"/>
    </row>
    <row r="1807" ht="28.8" outlineLevel="1" spans="1:10">
      <c r="A1807" s="50">
        <v>5</v>
      </c>
      <c r="B1807" s="51" t="str">
        <v>矩形梁模板</v>
      </c>
      <c r="C1807" s="51" t="e">
        <v>#REF!</v>
      </c>
      <c r="D1807" s="51" t="str">
        <v>地下模板</v>
      </c>
      <c r="E1807" s="51" t="str">
        <v>地下模板</v>
      </c>
      <c r="F1807" s="52" t="e">
        <v>#REF!</v>
      </c>
      <c r="G1807" s="48" t="e">
        <v>#REF!</v>
      </c>
      <c r="H1807" s="49">
        <v>0</v>
      </c>
      <c r="I1807" s="49" t="e">
        <v>#REF!</v>
      </c>
      <c r="J1807" s="50"/>
    </row>
    <row r="1808" ht="28.8" outlineLevel="1" spans="1:10">
      <c r="A1808" s="50">
        <v>6</v>
      </c>
      <c r="B1808" s="51" t="str">
        <v>预制梁模板</v>
      </c>
      <c r="C1808" s="51" t="e">
        <v>#REF!</v>
      </c>
      <c r="D1808" s="51" t="str">
        <v>地下模板</v>
      </c>
      <c r="E1808" s="51" t="str">
        <v>地下模板</v>
      </c>
      <c r="F1808" s="52" t="e">
        <v>#REF!</v>
      </c>
      <c r="G1808" s="48" t="e">
        <v>#REF!</v>
      </c>
      <c r="H1808" s="49">
        <v>0</v>
      </c>
      <c r="I1808" s="49" t="e">
        <v>#REF!</v>
      </c>
      <c r="J1808" s="50"/>
    </row>
    <row r="1809" ht="28.8" outlineLevel="1" spans="1:10">
      <c r="A1809" s="50">
        <v>7</v>
      </c>
      <c r="B1809" s="51" t="str">
        <v>斜梁模板</v>
      </c>
      <c r="C1809" s="51" t="e">
        <v>#REF!</v>
      </c>
      <c r="D1809" s="51" t="str">
        <v>地下模板</v>
      </c>
      <c r="E1809" s="51" t="str">
        <v>地下模板</v>
      </c>
      <c r="F1809" s="52" t="e">
        <v>#REF!</v>
      </c>
      <c r="G1809" s="48" t="e">
        <v>#REF!</v>
      </c>
      <c r="H1809" s="49">
        <v>0</v>
      </c>
      <c r="I1809" s="49" t="e">
        <v>#REF!</v>
      </c>
      <c r="J1809" s="50"/>
    </row>
    <row r="1810" ht="28.8" outlineLevel="1" spans="1:10">
      <c r="A1810" s="50">
        <v>8</v>
      </c>
      <c r="B1810" s="51" t="str">
        <v>剪力墙内墙模板</v>
      </c>
      <c r="C1810" s="51" t="e">
        <v>#REF!</v>
      </c>
      <c r="D1810" s="51" t="str">
        <v>地下模板</v>
      </c>
      <c r="E1810" s="51" t="str">
        <v>地下模板</v>
      </c>
      <c r="F1810" s="52" t="e">
        <v>#REF!</v>
      </c>
      <c r="G1810" s="48" t="e">
        <v>#REF!</v>
      </c>
      <c r="H1810" s="49">
        <v>0</v>
      </c>
      <c r="I1810" s="49" t="e">
        <v>#REF!</v>
      </c>
      <c r="J1810" s="50"/>
    </row>
    <row r="1811" ht="28.8" outlineLevel="1" spans="1:10">
      <c r="A1811" s="50">
        <v>9</v>
      </c>
      <c r="B1811" s="51" t="str">
        <v>地下剪力墙外墙模.板</v>
      </c>
      <c r="C1811" s="51" t="e">
        <v>#REF!</v>
      </c>
      <c r="D1811" s="51" t="str">
        <v>地下模板</v>
      </c>
      <c r="E1811" s="51" t="str">
        <v>地下模板</v>
      </c>
      <c r="F1811" s="52" t="e">
        <v>#REF!</v>
      </c>
      <c r="G1811" s="48" t="e">
        <v>#REF!</v>
      </c>
      <c r="H1811" s="49">
        <v>0</v>
      </c>
      <c r="I1811" s="49" t="e">
        <v>#REF!</v>
      </c>
      <c r="J1811" s="50"/>
    </row>
    <row r="1812" ht="28.8" outlineLevel="1" spans="1:10">
      <c r="A1812" s="50">
        <v>10</v>
      </c>
      <c r="B1812" s="51" t="str">
        <v>电梯井壁模板</v>
      </c>
      <c r="C1812" s="51" t="e">
        <v>#REF!</v>
      </c>
      <c r="D1812" s="51" t="str">
        <v>地下模板</v>
      </c>
      <c r="E1812" s="51" t="str">
        <v>地下模板</v>
      </c>
      <c r="F1812" s="52" t="e">
        <v>#REF!</v>
      </c>
      <c r="G1812" s="48" t="e">
        <v>#REF!</v>
      </c>
      <c r="H1812" s="49">
        <v>0</v>
      </c>
      <c r="I1812" s="49" t="e">
        <v>#REF!</v>
      </c>
      <c r="J1812" s="50"/>
    </row>
    <row r="1813" ht="28.8" outlineLevel="1" spans="1:10">
      <c r="A1813" s="50">
        <v>11</v>
      </c>
      <c r="B1813" s="51" t="str">
        <v>平板模板</v>
      </c>
      <c r="C1813" s="51" t="e">
        <v>#REF!</v>
      </c>
      <c r="D1813" s="51" t="str">
        <v>地下模板</v>
      </c>
      <c r="E1813" s="51" t="str">
        <v>地下模板</v>
      </c>
      <c r="F1813" s="52" t="e">
        <v>#REF!</v>
      </c>
      <c r="G1813" s="48" t="e">
        <v>#REF!</v>
      </c>
      <c r="H1813" s="49">
        <v>0</v>
      </c>
      <c r="I1813" s="49" t="e">
        <v>#REF!</v>
      </c>
      <c r="J1813" s="50"/>
    </row>
    <row r="1814" ht="28.8" outlineLevel="1" spans="1:10">
      <c r="A1814" s="50">
        <v>12</v>
      </c>
      <c r="B1814" s="51" t="str">
        <v>无梁板模板</v>
      </c>
      <c r="C1814" s="51" t="e">
        <v>#REF!</v>
      </c>
      <c r="D1814" s="51" t="str">
        <v>地下模板</v>
      </c>
      <c r="E1814" s="51" t="str">
        <v>地下模板</v>
      </c>
      <c r="F1814" s="52" t="e">
        <v>#REF!</v>
      </c>
      <c r="G1814" s="48" t="e">
        <v>#REF!</v>
      </c>
      <c r="H1814" s="49">
        <v>0</v>
      </c>
      <c r="I1814" s="49" t="e">
        <v>#REF!</v>
      </c>
      <c r="J1814" s="50"/>
    </row>
    <row r="1815" ht="28.8" outlineLevel="1" spans="1:10">
      <c r="A1815" s="50">
        <v>13</v>
      </c>
      <c r="B1815" s="51" t="str">
        <v>斜板模板</v>
      </c>
      <c r="C1815" s="51" t="e">
        <v>#REF!</v>
      </c>
      <c r="D1815" s="51" t="str">
        <v>地下模板</v>
      </c>
      <c r="E1815" s="51" t="str">
        <v>地下模板</v>
      </c>
      <c r="F1815" s="52" t="e">
        <v>#REF!</v>
      </c>
      <c r="G1815" s="48" t="e">
        <v>#REF!</v>
      </c>
      <c r="H1815" s="49">
        <v>0</v>
      </c>
      <c r="I1815" s="49" t="e">
        <v>#REF!</v>
      </c>
      <c r="J1815" s="50"/>
    </row>
    <row r="1816" ht="28.8" outlineLevel="1" spans="1:10">
      <c r="A1816" s="50">
        <v>14</v>
      </c>
      <c r="B1816" s="51" t="str">
        <v>天沟、檐沟模板</v>
      </c>
      <c r="C1816" s="51" t="e">
        <v>#REF!</v>
      </c>
      <c r="D1816" s="51" t="str">
        <v>地下模板</v>
      </c>
      <c r="E1816" s="51" t="str">
        <v>地下模板</v>
      </c>
      <c r="F1816" s="52" t="e">
        <v>#REF!</v>
      </c>
      <c r="G1816" s="48" t="e">
        <v>#REF!</v>
      </c>
      <c r="H1816" s="49">
        <v>0</v>
      </c>
      <c r="I1816" s="49" t="e">
        <v>#REF!</v>
      </c>
      <c r="J1816" s="50"/>
    </row>
    <row r="1817" ht="28.8" outlineLevel="1" spans="1:10">
      <c r="A1817" s="50">
        <v>15</v>
      </c>
      <c r="B1817" s="51" t="str">
        <v>楼梯模.板</v>
      </c>
      <c r="C1817" s="51" t="e">
        <v>#REF!</v>
      </c>
      <c r="D1817" s="51" t="str">
        <v>地下模板</v>
      </c>
      <c r="E1817" s="51" t="str">
        <v>地下模板</v>
      </c>
      <c r="F1817" s="52" t="e">
        <v>#REF!</v>
      </c>
      <c r="G1817" s="48" t="e">
        <v>#REF!</v>
      </c>
      <c r="H1817" s="49">
        <v>0</v>
      </c>
      <c r="I1817" s="49" t="e">
        <v>#REF!</v>
      </c>
      <c r="J1817" s="50"/>
    </row>
    <row r="1818" ht="28.8" outlineLevel="1" spans="1:10">
      <c r="A1818" s="50">
        <v>16</v>
      </c>
      <c r="B1818" s="51" t="str">
        <v>预制板模板</v>
      </c>
      <c r="C1818" s="51" t="e">
        <v>#REF!</v>
      </c>
      <c r="D1818" s="51" t="str">
        <v>地下模板</v>
      </c>
      <c r="E1818" s="51" t="str">
        <v>地下模板</v>
      </c>
      <c r="F1818" s="52" t="e">
        <v>#REF!</v>
      </c>
      <c r="G1818" s="48" t="e">
        <v>#REF!</v>
      </c>
      <c r="H1818" s="49">
        <v>0</v>
      </c>
      <c r="I1818" s="49" t="e">
        <v>#REF!</v>
      </c>
      <c r="J1818" s="50"/>
    </row>
    <row r="1819" ht="28.8" outlineLevel="1" spans="1:10">
      <c r="A1819" s="50">
        <v>17</v>
      </c>
      <c r="B1819" s="51" t="str">
        <v>梁后浇带模板</v>
      </c>
      <c r="C1819" s="51" t="e">
        <v>#REF!</v>
      </c>
      <c r="D1819" s="51" t="str">
        <v>地下模板</v>
      </c>
      <c r="E1819" s="51" t="str">
        <v>地下模板</v>
      </c>
      <c r="F1819" s="52" t="e">
        <v>#REF!</v>
      </c>
      <c r="G1819" s="48" t="e">
        <v>#REF!</v>
      </c>
      <c r="H1819" s="49">
        <v>0</v>
      </c>
      <c r="I1819" s="49" t="e">
        <v>#REF!</v>
      </c>
      <c r="J1819" s="50"/>
    </row>
    <row r="1820" ht="28.8" outlineLevel="1" spans="1:10">
      <c r="A1820" s="50">
        <v>18</v>
      </c>
      <c r="B1820" s="51" t="str">
        <v>板后浇带模板</v>
      </c>
      <c r="C1820" s="51" t="e">
        <v>#REF!</v>
      </c>
      <c r="D1820" s="51" t="str">
        <v>地下模板</v>
      </c>
      <c r="E1820" s="51" t="str">
        <v>地下模板</v>
      </c>
      <c r="F1820" s="52" t="e">
        <v>#REF!</v>
      </c>
      <c r="G1820" s="48" t="e">
        <v>#REF!</v>
      </c>
      <c r="H1820" s="49">
        <v>0</v>
      </c>
      <c r="I1820" s="49" t="e">
        <v>#REF!</v>
      </c>
      <c r="J1820" s="50"/>
    </row>
    <row r="1821" ht="28.8" outlineLevel="1" spans="1:10">
      <c r="A1821" s="50">
        <v>19</v>
      </c>
      <c r="B1821" s="51" t="str">
        <v>墙后浇带模板</v>
      </c>
      <c r="C1821" s="51" t="e">
        <v>#REF!</v>
      </c>
      <c r="D1821" s="51" t="str">
        <v>地下模板</v>
      </c>
      <c r="E1821" s="51" t="str">
        <v>地下模板</v>
      </c>
      <c r="F1821" s="52" t="e">
        <v>#REF!</v>
      </c>
      <c r="G1821" s="48" t="e">
        <v>#REF!</v>
      </c>
      <c r="H1821" s="49">
        <v>0</v>
      </c>
      <c r="I1821" s="49" t="e">
        <v>#REF!</v>
      </c>
      <c r="J1821" s="50"/>
    </row>
    <row r="1822" ht="28.8" outlineLevel="1" spans="1:10">
      <c r="A1822" s="50">
        <v>20</v>
      </c>
      <c r="B1822" s="51" t="str">
        <v>基础后浇带模板</v>
      </c>
      <c r="C1822" s="51" t="e">
        <v>#REF!</v>
      </c>
      <c r="D1822" s="51" t="str">
        <v>地下模板</v>
      </c>
      <c r="E1822" s="51" t="str">
        <v>地下模板</v>
      </c>
      <c r="F1822" s="52" t="e">
        <v>#REF!</v>
      </c>
      <c r="G1822" s="48" t="e">
        <v>#REF!</v>
      </c>
      <c r="H1822" s="49">
        <v>0</v>
      </c>
      <c r="I1822" s="49" t="e">
        <v>#REF!</v>
      </c>
      <c r="J1822" s="50"/>
    </row>
    <row r="1823" ht="28.8" outlineLevel="1" spans="1:10">
      <c r="A1823" s="50">
        <v>21</v>
      </c>
      <c r="B1823" s="51" t="str">
        <v>后浇带收口网</v>
      </c>
      <c r="C1823" s="51" t="e">
        <v>#REF!</v>
      </c>
      <c r="D1823" s="51" t="str">
        <v>地下模板</v>
      </c>
      <c r="E1823" s="51" t="str">
        <v>地下模板</v>
      </c>
      <c r="F1823" s="52" t="e">
        <v>#REF!</v>
      </c>
      <c r="G1823" s="48" t="e">
        <v>#REF!</v>
      </c>
      <c r="H1823" s="49">
        <v>0</v>
      </c>
      <c r="I1823" s="49" t="e">
        <v>#REF!</v>
      </c>
      <c r="J1823" s="50"/>
    </row>
    <row r="1824" ht="28.8" outlineLevel="1" spans="1:10">
      <c r="A1824" s="50">
        <v>22</v>
      </c>
      <c r="B1824" s="51" t="str">
        <v>排水沟模板</v>
      </c>
      <c r="C1824" s="51" t="e">
        <v>#REF!</v>
      </c>
      <c r="D1824" s="51" t="str">
        <v>地下模板</v>
      </c>
      <c r="E1824" s="51" t="str">
        <v>地下模板</v>
      </c>
      <c r="F1824" s="52" t="e">
        <v>#REF!</v>
      </c>
      <c r="G1824" s="48" t="e">
        <v>#REF!</v>
      </c>
      <c r="H1824" s="49">
        <v>0</v>
      </c>
      <c r="I1824" s="49" t="e">
        <v>#REF!</v>
      </c>
      <c r="J1824" s="50"/>
    </row>
    <row r="1825" ht="28.8" outlineLevel="1" spans="1:10">
      <c r="A1825" s="50">
        <v>23</v>
      </c>
      <c r="B1825" s="51" t="str">
        <v>消防水池池底模板</v>
      </c>
      <c r="C1825" s="51" t="e">
        <v>#REF!</v>
      </c>
      <c r="D1825" s="51" t="str">
        <v>地下模板</v>
      </c>
      <c r="E1825" s="51" t="str">
        <v>地下模板</v>
      </c>
      <c r="F1825" s="52" t="e">
        <v>#REF!</v>
      </c>
      <c r="G1825" s="48" t="e">
        <v>#REF!</v>
      </c>
      <c r="H1825" s="49">
        <v>0</v>
      </c>
      <c r="I1825" s="49" t="e">
        <v>#REF!</v>
      </c>
      <c r="J1825" s="50"/>
    </row>
    <row r="1826" ht="28.8" outlineLevel="1" spans="1:10">
      <c r="A1826" s="50">
        <v>24</v>
      </c>
      <c r="B1826" s="51" t="str">
        <v>消防水池池壁模板</v>
      </c>
      <c r="C1826" s="51" t="e">
        <v>#REF!</v>
      </c>
      <c r="D1826" s="51" t="str">
        <v>地下模板</v>
      </c>
      <c r="E1826" s="51" t="str">
        <v>地下模板</v>
      </c>
      <c r="F1826" s="52" t="e">
        <v>#REF!</v>
      </c>
      <c r="G1826" s="48" t="e">
        <v>#REF!</v>
      </c>
      <c r="H1826" s="49">
        <v>0</v>
      </c>
      <c r="I1826" s="49" t="e">
        <v>#REF!</v>
      </c>
      <c r="J1826" s="50"/>
    </row>
    <row r="1827" ht="28.8" outlineLevel="1" spans="1:10">
      <c r="A1827" s="50">
        <v>25</v>
      </c>
      <c r="B1827" s="51" t="str">
        <v>设备基础模板</v>
      </c>
      <c r="C1827" s="51" t="e">
        <v>#REF!</v>
      </c>
      <c r="D1827" s="51" t="str">
        <v>地下模板</v>
      </c>
      <c r="E1827" s="51" t="str">
        <v>地下模板</v>
      </c>
      <c r="F1827" s="52" t="e">
        <v>#REF!</v>
      </c>
      <c r="G1827" s="48" t="e">
        <v>#REF!</v>
      </c>
      <c r="H1827" s="49">
        <v>0</v>
      </c>
      <c r="I1827" s="49" t="e">
        <v>#REF!</v>
      </c>
      <c r="J1827" s="50"/>
    </row>
    <row r="1828" ht="28.8" outlineLevel="1" spans="1:10">
      <c r="A1828" s="50">
        <v>26</v>
      </c>
      <c r="B1828" s="51" t="str">
        <v>地下室顶板找坡模板</v>
      </c>
      <c r="C1828" s="51" t="e">
        <v>#REF!</v>
      </c>
      <c r="D1828" s="51" t="str">
        <v>地下模板</v>
      </c>
      <c r="E1828" s="51" t="str">
        <v>地下模板</v>
      </c>
      <c r="F1828" s="52" t="e">
        <v>#REF!</v>
      </c>
      <c r="G1828" s="48" t="e">
        <v>#REF!</v>
      </c>
      <c r="H1828" s="49">
        <v>0</v>
      </c>
      <c r="I1828" s="49" t="e">
        <v>#REF!</v>
      </c>
      <c r="J1828" s="50"/>
    </row>
    <row r="1829" ht="28.8" outlineLevel="1" spans="1:10">
      <c r="A1829" s="50">
        <v>27</v>
      </c>
      <c r="B1829" s="51" t="str">
        <v>散水及坡道模板</v>
      </c>
      <c r="C1829" s="51" t="e">
        <v>#REF!</v>
      </c>
      <c r="D1829" s="51" t="str">
        <v>地下模板</v>
      </c>
      <c r="E1829" s="51" t="str">
        <v>地下模板</v>
      </c>
      <c r="F1829" s="52" t="e">
        <v>#REF!</v>
      </c>
      <c r="G1829" s="48" t="e">
        <v>#REF!</v>
      </c>
      <c r="H1829" s="49">
        <v>0</v>
      </c>
      <c r="I1829" s="49" t="e">
        <v>#REF!</v>
      </c>
      <c r="J1829" s="50"/>
    </row>
    <row r="1830" ht="28.8" outlineLevel="1" spans="1:10">
      <c r="A1830" s="50">
        <v>28</v>
      </c>
      <c r="B1830" s="51" t="str">
        <v>栏板模板</v>
      </c>
      <c r="C1830" s="51" t="e">
        <v>#REF!</v>
      </c>
      <c r="D1830" s="51" t="str">
        <v>地下模板</v>
      </c>
      <c r="E1830" s="51" t="str">
        <v>地下模板</v>
      </c>
      <c r="F1830" s="52" t="e">
        <v>#REF!</v>
      </c>
      <c r="G1830" s="48" t="e">
        <v>#REF!</v>
      </c>
      <c r="H1830" s="49">
        <v>0</v>
      </c>
      <c r="I1830" s="49" t="e">
        <v>#REF!</v>
      </c>
      <c r="J1830" s="50"/>
    </row>
    <row r="1831" outlineLevel="1" spans="1:10">
      <c r="A1831" s="50" t="str">
        <v>二</v>
      </c>
      <c r="B1831" s="51" t="str">
        <v>E.01.02脚手架工程</v>
      </c>
      <c r="C1831" s="51" t="str">
        <v/>
      </c>
      <c r="D1831" s="51" t="str">
        <v/>
      </c>
      <c r="E1831" s="51" t="str">
        <v/>
      </c>
      <c r="F1831" s="52" t="str">
        <v/>
      </c>
      <c r="G1831" s="48" t="str">
        <v/>
      </c>
      <c r="H1831" s="49">
        <v>247.86</v>
      </c>
      <c r="I1831" s="49" t="e">
        <v>#REF!</v>
      </c>
      <c r="J1831" s="50"/>
    </row>
    <row r="1832" ht="43.2" outlineLevel="1" spans="1:10">
      <c r="A1832" s="50">
        <v>1</v>
      </c>
      <c r="B1832" s="51" t="str">
        <v>地下外墙双排脚手架</v>
      </c>
      <c r="C1832" s="51" t="e">
        <v>#REF!</v>
      </c>
      <c r="D1832" s="51" t="str">
        <v>地下综合脚手架</v>
      </c>
      <c r="E1832" s="51" t="str">
        <v>地下综合脚手架</v>
      </c>
      <c r="F1832" s="52" t="e">
        <v>#REF!</v>
      </c>
      <c r="G1832" s="48" t="e">
        <v>#REF!</v>
      </c>
      <c r="H1832" s="49">
        <v>0</v>
      </c>
      <c r="I1832" s="49" t="e">
        <v>#REF!</v>
      </c>
      <c r="J1832" s="50"/>
    </row>
    <row r="1833" ht="43.2" outlineLevel="1" spans="1:10">
      <c r="A1833" s="50">
        <v>2</v>
      </c>
      <c r="B1833" s="51" t="str">
        <v>主楼基础满堂脚手架</v>
      </c>
      <c r="C1833" s="51" t="e">
        <v>#REF!</v>
      </c>
      <c r="D1833" s="51" t="str">
        <v>地下综合脚手架</v>
      </c>
      <c r="E1833" s="51" t="str">
        <v>地下综合脚手架</v>
      </c>
      <c r="F1833" s="52" t="e">
        <v>#REF!</v>
      </c>
      <c r="G1833" s="48" t="e">
        <v>#REF!</v>
      </c>
      <c r="H1833" s="49">
        <v>247.86</v>
      </c>
      <c r="I1833" s="49" t="e">
        <v>#REF!</v>
      </c>
      <c r="J1833" s="50"/>
    </row>
    <row r="1834" ht="43.2" outlineLevel="1" spans="1:10">
      <c r="A1834" s="50" t="str">
        <v/>
      </c>
      <c r="B1834" s="51" t="str">
        <v>地库基础满堂脚手架</v>
      </c>
      <c r="C1834" s="51" t="e">
        <v>#REF!</v>
      </c>
      <c r="D1834" s="51" t="str">
        <v>地下综合脚手架</v>
      </c>
      <c r="E1834" s="51" t="str">
        <v>地下综合脚手架</v>
      </c>
      <c r="F1834" s="52" t="e">
        <v>#REF!</v>
      </c>
      <c r="G1834" s="48" t="e">
        <v>#REF!</v>
      </c>
      <c r="H1834" s="49">
        <v>0</v>
      </c>
      <c r="I1834" s="49" t="e">
        <v>#REF!</v>
      </c>
      <c r="J1834" s="50"/>
    </row>
    <row r="1835" outlineLevel="1" spans="1:10">
      <c r="A1835" s="50" t="str">
        <v>地下</v>
      </c>
      <c r="B1835" s="51" t="str">
        <v>二次结构</v>
      </c>
      <c r="C1835" s="51" t="str">
        <v/>
      </c>
      <c r="D1835" s="51" t="str">
        <v/>
      </c>
      <c r="E1835" s="51" t="str">
        <v/>
      </c>
      <c r="F1835" s="52" t="str">
        <v/>
      </c>
      <c r="G1835" s="48" t="str">
        <v/>
      </c>
      <c r="H1835" s="49">
        <v>0</v>
      </c>
      <c r="I1835" s="49" t="e">
        <v>#REF!</v>
      </c>
      <c r="J1835" s="50"/>
    </row>
    <row r="1836" outlineLevel="1" spans="1:10">
      <c r="A1836" s="50" t="str">
        <v>一</v>
      </c>
      <c r="B1836" s="51" t="str">
        <v>E.01.01模板工程</v>
      </c>
      <c r="C1836" s="51" t="str">
        <v/>
      </c>
      <c r="D1836" s="51" t="str">
        <v/>
      </c>
      <c r="E1836" s="51" t="str">
        <v/>
      </c>
      <c r="F1836" s="52" t="str">
        <v/>
      </c>
      <c r="G1836" s="48" t="str">
        <v/>
      </c>
      <c r="H1836" s="49">
        <v>0</v>
      </c>
      <c r="I1836" s="49" t="e">
        <v>#REF!</v>
      </c>
      <c r="J1836" s="50"/>
    </row>
    <row r="1837" ht="28.8" outlineLevel="1" spans="1:10">
      <c r="A1837" s="50">
        <v>1</v>
      </c>
      <c r="B1837" s="51" t="str">
        <v>圈梁模板</v>
      </c>
      <c r="C1837" s="51" t="e">
        <v>#REF!</v>
      </c>
      <c r="D1837" s="51" t="str">
        <v>地下模板</v>
      </c>
      <c r="E1837" s="51" t="str">
        <v>地下模板</v>
      </c>
      <c r="F1837" s="52" t="e">
        <v>#REF!</v>
      </c>
      <c r="G1837" s="48" t="e">
        <v>#REF!</v>
      </c>
      <c r="H1837" s="49">
        <v>0</v>
      </c>
      <c r="I1837" s="49" t="e">
        <v>#REF!</v>
      </c>
      <c r="J1837" s="50"/>
    </row>
    <row r="1838" ht="28.8" outlineLevel="1" spans="1:10">
      <c r="A1838" s="50">
        <v>2</v>
      </c>
      <c r="B1838" s="51" t="str">
        <v>构造柱模板</v>
      </c>
      <c r="C1838" s="51" t="e">
        <v>#REF!</v>
      </c>
      <c r="D1838" s="51" t="str">
        <v>地下模板</v>
      </c>
      <c r="E1838" s="51" t="str">
        <v>地下模板</v>
      </c>
      <c r="F1838" s="52" t="e">
        <v>#REF!</v>
      </c>
      <c r="G1838" s="48" t="e">
        <v>#REF!</v>
      </c>
      <c r="H1838" s="49">
        <v>0</v>
      </c>
      <c r="I1838" s="49" t="e">
        <v>#REF!</v>
      </c>
      <c r="J1838" s="50"/>
    </row>
    <row r="1839" ht="28.8" outlineLevel="1" spans="1:10">
      <c r="A1839" s="50">
        <v>3</v>
      </c>
      <c r="B1839" s="51" t="str">
        <v>过梁模板</v>
      </c>
      <c r="C1839" s="51" t="e">
        <v>#REF!</v>
      </c>
      <c r="D1839" s="51" t="str">
        <v>地下模板</v>
      </c>
      <c r="E1839" s="51" t="str">
        <v>地下模板</v>
      </c>
      <c r="F1839" s="52" t="e">
        <v>#REF!</v>
      </c>
      <c r="G1839" s="48" t="e">
        <v>#REF!</v>
      </c>
      <c r="H1839" s="49">
        <v>0</v>
      </c>
      <c r="I1839" s="49" t="e">
        <v>#REF!</v>
      </c>
      <c r="J1839" s="50"/>
    </row>
    <row r="1840" ht="28.8" outlineLevel="1" spans="1:10">
      <c r="A1840" s="50">
        <v>4</v>
      </c>
      <c r="B1840" s="51" t="str">
        <v>压顶模板</v>
      </c>
      <c r="C1840" s="51" t="e">
        <v>#REF!</v>
      </c>
      <c r="D1840" s="51" t="str">
        <v>地下模板</v>
      </c>
      <c r="E1840" s="51" t="str">
        <v>地下模板</v>
      </c>
      <c r="F1840" s="52" t="e">
        <v>#REF!</v>
      </c>
      <c r="G1840" s="48" t="e">
        <v>#REF!</v>
      </c>
      <c r="H1840" s="49">
        <v>0</v>
      </c>
      <c r="I1840" s="49" t="e">
        <v>#REF!</v>
      </c>
      <c r="J1840" s="50"/>
    </row>
    <row r="1841" outlineLevel="1" spans="1:10">
      <c r="A1841" s="50" t="str">
        <v>二</v>
      </c>
      <c r="B1841" s="51" t="str">
        <v>E.01.02脚手架工程</v>
      </c>
      <c r="C1841" s="51" t="str">
        <v/>
      </c>
      <c r="D1841" s="51" t="str">
        <v/>
      </c>
      <c r="E1841" s="51" t="str">
        <v/>
      </c>
      <c r="F1841" s="52" t="str">
        <v/>
      </c>
      <c r="G1841" s="48" t="str">
        <v/>
      </c>
      <c r="H1841" s="49">
        <v>0</v>
      </c>
      <c r="I1841" s="49" t="e">
        <v>#REF!</v>
      </c>
      <c r="J1841" s="50"/>
    </row>
    <row r="1842" ht="43.2" outlineLevel="1" spans="1:10">
      <c r="A1842" s="50">
        <v>1</v>
      </c>
      <c r="B1842" s="51" t="str">
        <v>内墙砌筑脚手架</v>
      </c>
      <c r="C1842" s="51" t="e">
        <v>#REF!</v>
      </c>
      <c r="D1842" s="51" t="str">
        <v>地下综合脚手架</v>
      </c>
      <c r="E1842" s="51" t="str">
        <v>地下综合脚手架</v>
      </c>
      <c r="F1842" s="52" t="e">
        <v>#REF!</v>
      </c>
      <c r="G1842" s="48" t="e">
        <v>#REF!</v>
      </c>
      <c r="H1842" s="49">
        <v>0</v>
      </c>
      <c r="I1842" s="49" t="e">
        <v>#REF!</v>
      </c>
      <c r="J1842" s="50"/>
    </row>
    <row r="1843" ht="43.2" outlineLevel="1" spans="1:10">
      <c r="A1843" s="50">
        <v>2</v>
      </c>
      <c r="B1843" s="51" t="str">
        <v>装饰满堂脚手架</v>
      </c>
      <c r="C1843" s="51" t="e">
        <v>#REF!</v>
      </c>
      <c r="D1843" s="51" t="str">
        <v>地下综合脚手架</v>
      </c>
      <c r="E1843" s="51" t="str">
        <v>地下综合脚手架</v>
      </c>
      <c r="F1843" s="52" t="e">
        <v>#REF!</v>
      </c>
      <c r="G1843" s="48" t="e">
        <v>#REF!</v>
      </c>
      <c r="H1843" s="49">
        <v>0</v>
      </c>
      <c r="I1843" s="49" t="e">
        <v>#REF!</v>
      </c>
      <c r="J1843" s="50"/>
    </row>
    <row r="1844" ht="43.2" outlineLevel="1" spans="1:10">
      <c r="A1844" s="50">
        <v>3</v>
      </c>
      <c r="B1844" s="51" t="str">
        <v>简易墙面脚手架</v>
      </c>
      <c r="C1844" s="51" t="e">
        <v>#REF!</v>
      </c>
      <c r="D1844" s="51" t="str">
        <v>地下综合脚手架</v>
      </c>
      <c r="E1844" s="51" t="str">
        <v>地下综合脚手架</v>
      </c>
      <c r="F1844" s="52" t="e">
        <v>#REF!</v>
      </c>
      <c r="G1844" s="48" t="e">
        <v>#REF!</v>
      </c>
      <c r="H1844" s="49">
        <v>0</v>
      </c>
      <c r="I1844" s="49" t="e">
        <v>#REF!</v>
      </c>
      <c r="J1844" s="50"/>
    </row>
    <row r="1845" ht="43.2" outlineLevel="1" spans="1:10">
      <c r="A1845" s="50">
        <v>4</v>
      </c>
      <c r="B1845" s="51" t="str">
        <v>简易天棚脚手架</v>
      </c>
      <c r="C1845" s="51" t="e">
        <v>#REF!</v>
      </c>
      <c r="D1845" s="51" t="str">
        <v>地下综合脚手架</v>
      </c>
      <c r="E1845" s="51" t="str">
        <v>地下综合脚手架</v>
      </c>
      <c r="F1845" s="52" t="e">
        <v>#REF!</v>
      </c>
      <c r="G1845" s="48" t="e">
        <v>#REF!</v>
      </c>
      <c r="H1845" s="49">
        <v>0</v>
      </c>
      <c r="I1845" s="49" t="e">
        <v>#REF!</v>
      </c>
      <c r="J1845" s="50"/>
    </row>
    <row r="1846" outlineLevel="1" spans="1:10">
      <c r="A1846" s="50" t="str">
        <v>地上</v>
      </c>
      <c r="B1846" s="51" t="str">
        <v>主体结构</v>
      </c>
      <c r="C1846" s="51" t="str">
        <v/>
      </c>
      <c r="D1846" s="51" t="str">
        <v/>
      </c>
      <c r="E1846" s="51" t="str">
        <v/>
      </c>
      <c r="F1846" s="52" t="str">
        <v/>
      </c>
      <c r="G1846" s="48" t="str">
        <v/>
      </c>
      <c r="H1846" s="49">
        <v>0</v>
      </c>
      <c r="I1846" s="49" t="e">
        <v>#REF!</v>
      </c>
      <c r="J1846" s="50"/>
    </row>
    <row r="1847" outlineLevel="1" spans="1:10">
      <c r="A1847" s="50" t="str">
        <v>一</v>
      </c>
      <c r="B1847" s="51" t="str">
        <v>E.01.01模板工程</v>
      </c>
      <c r="C1847" s="51" t="str">
        <v/>
      </c>
      <c r="D1847" s="51" t="str">
        <v/>
      </c>
      <c r="E1847" s="51" t="str">
        <v/>
      </c>
      <c r="F1847" s="52" t="str">
        <v/>
      </c>
      <c r="G1847" s="48" t="str">
        <v/>
      </c>
      <c r="H1847" s="49">
        <v>1902.98</v>
      </c>
      <c r="I1847" s="49" t="e">
        <v>#REF!</v>
      </c>
      <c r="J1847" s="50"/>
    </row>
    <row r="1848" ht="28.8" outlineLevel="1" spans="1:10">
      <c r="A1848" s="50">
        <v>1</v>
      </c>
      <c r="B1848" s="51" t="str">
        <v>设备基础模板</v>
      </c>
      <c r="C1848" s="51" t="e">
        <v>#REF!</v>
      </c>
      <c r="D1848" s="51" t="str">
        <v>地上模板</v>
      </c>
      <c r="E1848" s="51" t="str">
        <v>地上模板</v>
      </c>
      <c r="F1848" s="52" t="e">
        <v>#REF!</v>
      </c>
      <c r="G1848" s="48" t="e">
        <v>#REF!</v>
      </c>
      <c r="H1848" s="49">
        <v>0</v>
      </c>
      <c r="I1848" s="49" t="e">
        <v>#REF!</v>
      </c>
      <c r="J1848" s="50"/>
    </row>
    <row r="1849" ht="28.8" outlineLevel="1" spans="1:10">
      <c r="A1849" s="50">
        <v>2</v>
      </c>
      <c r="B1849" s="51" t="str">
        <v>矩形柱模板</v>
      </c>
      <c r="C1849" s="51" t="e">
        <v>#REF!</v>
      </c>
      <c r="D1849" s="51" t="str">
        <v>地上模板</v>
      </c>
      <c r="E1849" s="51" t="str">
        <v>地上模板</v>
      </c>
      <c r="F1849" s="52" t="e">
        <v>#REF!</v>
      </c>
      <c r="G1849" s="48" t="e">
        <v>#REF!</v>
      </c>
      <c r="H1849" s="49">
        <v>698.74</v>
      </c>
      <c r="I1849" s="49" t="e">
        <v>#REF!</v>
      </c>
      <c r="J1849" s="50"/>
    </row>
    <row r="1850" ht="28.8" outlineLevel="1" spans="1:10">
      <c r="A1850" s="50">
        <v>3</v>
      </c>
      <c r="B1850" s="51" t="str">
        <v>矩形梁模板</v>
      </c>
      <c r="C1850" s="51" t="e">
        <v>#REF!</v>
      </c>
      <c r="D1850" s="51" t="str">
        <v>地上模板</v>
      </c>
      <c r="E1850" s="51" t="str">
        <v>地上模板</v>
      </c>
      <c r="F1850" s="52" t="e">
        <v>#REF!</v>
      </c>
      <c r="G1850" s="48" t="e">
        <v>#REF!</v>
      </c>
      <c r="H1850" s="49">
        <v>785.3</v>
      </c>
      <c r="I1850" s="49" t="e">
        <v>#REF!</v>
      </c>
      <c r="J1850" s="50"/>
    </row>
    <row r="1851" ht="28.8" outlineLevel="1" spans="1:10">
      <c r="A1851" s="50">
        <v>4</v>
      </c>
      <c r="B1851" s="51" t="str">
        <v>弧形、拱形梁模板</v>
      </c>
      <c r="C1851" s="51" t="e">
        <v>#REF!</v>
      </c>
      <c r="D1851" s="51" t="str">
        <v>地上模板</v>
      </c>
      <c r="E1851" s="51" t="str">
        <v>地上模板</v>
      </c>
      <c r="F1851" s="52" t="e">
        <v>#REF!</v>
      </c>
      <c r="G1851" s="48" t="e">
        <v>#REF!</v>
      </c>
      <c r="H1851" s="49">
        <v>0</v>
      </c>
      <c r="I1851" s="49" t="e">
        <v>#REF!</v>
      </c>
      <c r="J1851" s="50"/>
    </row>
    <row r="1852" ht="28.8" outlineLevel="1" spans="1:10">
      <c r="A1852" s="50">
        <v>5</v>
      </c>
      <c r="B1852" s="51" t="str">
        <v>剪力墙内墙模板</v>
      </c>
      <c r="C1852" s="51" t="e">
        <v>#REF!</v>
      </c>
      <c r="D1852" s="51" t="str">
        <v>地上模板</v>
      </c>
      <c r="E1852" s="51" t="str">
        <v>地上模板</v>
      </c>
      <c r="F1852" s="52" t="e">
        <v>#REF!</v>
      </c>
      <c r="G1852" s="48" t="e">
        <v>#REF!</v>
      </c>
      <c r="H1852" s="49">
        <v>0</v>
      </c>
      <c r="I1852" s="49" t="e">
        <v>#REF!</v>
      </c>
      <c r="J1852" s="50"/>
    </row>
    <row r="1853" ht="28.8" outlineLevel="1" spans="1:10">
      <c r="A1853" s="50" t="str">
        <v/>
      </c>
      <c r="B1853" s="51" t="str">
        <v>地上剪力墙外墙模.板</v>
      </c>
      <c r="C1853" s="51" t="e">
        <v>#REF!</v>
      </c>
      <c r="D1853" s="51" t="str">
        <v>地上模板</v>
      </c>
      <c r="E1853" s="51" t="str">
        <v>地上模板</v>
      </c>
      <c r="F1853" s="52" t="e">
        <v>#REF!</v>
      </c>
      <c r="G1853" s="48" t="e">
        <v>#REF!</v>
      </c>
      <c r="H1853" s="49">
        <v>0</v>
      </c>
      <c r="I1853" s="49" t="e">
        <v>#REF!</v>
      </c>
      <c r="J1853" s="50"/>
    </row>
    <row r="1854" ht="28.8" outlineLevel="1" spans="1:10">
      <c r="A1854" s="50">
        <v>6</v>
      </c>
      <c r="B1854" s="51" t="str">
        <v>电梯井壁模板</v>
      </c>
      <c r="C1854" s="51" t="e">
        <v>#REF!</v>
      </c>
      <c r="D1854" s="51" t="str">
        <v>地上模板</v>
      </c>
      <c r="E1854" s="51" t="str">
        <v>地上模板</v>
      </c>
      <c r="F1854" s="52" t="e">
        <v>#REF!</v>
      </c>
      <c r="G1854" s="48" t="e">
        <v>#REF!</v>
      </c>
      <c r="H1854" s="49">
        <v>0</v>
      </c>
      <c r="I1854" s="49" t="e">
        <v>#REF!</v>
      </c>
      <c r="J1854" s="50"/>
    </row>
    <row r="1855" ht="28.8" outlineLevel="1" spans="1:10">
      <c r="A1855" s="50">
        <v>7</v>
      </c>
      <c r="B1855" s="51" t="str">
        <v>平板模板</v>
      </c>
      <c r="C1855" s="51" t="e">
        <v>#REF!</v>
      </c>
      <c r="D1855" s="51" t="str">
        <v>地上模板</v>
      </c>
      <c r="E1855" s="51" t="str">
        <v>地上模板</v>
      </c>
      <c r="F1855" s="52" t="e">
        <v>#REF!</v>
      </c>
      <c r="G1855" s="48" t="e">
        <v>#REF!</v>
      </c>
      <c r="H1855" s="49">
        <v>79</v>
      </c>
      <c r="I1855" s="49" t="e">
        <v>#REF!</v>
      </c>
      <c r="J1855" s="50"/>
    </row>
    <row r="1856" ht="28.8" outlineLevel="1" spans="1:10">
      <c r="A1856" s="50">
        <v>8</v>
      </c>
      <c r="B1856" s="51" t="str">
        <v>斜板模板</v>
      </c>
      <c r="C1856" s="51" t="e">
        <v>#REF!</v>
      </c>
      <c r="D1856" s="51" t="str">
        <v>地上模板</v>
      </c>
      <c r="E1856" s="51" t="str">
        <v>地上模板</v>
      </c>
      <c r="F1856" s="52" t="e">
        <v>#REF!</v>
      </c>
      <c r="G1856" s="48" t="e">
        <v>#REF!</v>
      </c>
      <c r="H1856" s="49">
        <v>0</v>
      </c>
      <c r="I1856" s="49" t="e">
        <v>#REF!</v>
      </c>
      <c r="J1856" s="50"/>
    </row>
    <row r="1857" ht="28.8" outlineLevel="1" spans="1:10">
      <c r="A1857" s="50">
        <v>9</v>
      </c>
      <c r="B1857" s="51" t="str">
        <v>拱板模板</v>
      </c>
      <c r="C1857" s="51" t="e">
        <v>#REF!</v>
      </c>
      <c r="D1857" s="51" t="str">
        <v>地上模板</v>
      </c>
      <c r="E1857" s="51" t="str">
        <v>地上模板</v>
      </c>
      <c r="F1857" s="52" t="e">
        <v>#REF!</v>
      </c>
      <c r="G1857" s="48" t="e">
        <v>#REF!</v>
      </c>
      <c r="H1857" s="49">
        <v>0</v>
      </c>
      <c r="I1857" s="49" t="e">
        <v>#REF!</v>
      </c>
      <c r="J1857" s="50"/>
    </row>
    <row r="1858" ht="28.8" outlineLevel="1" spans="1:10">
      <c r="A1858" s="50">
        <v>10</v>
      </c>
      <c r="B1858" s="51" t="str">
        <v>PC板补板缝模板</v>
      </c>
      <c r="C1858" s="51" t="e">
        <v>#REF!</v>
      </c>
      <c r="D1858" s="51" t="str">
        <v>地上模板</v>
      </c>
      <c r="E1858" s="51" t="str">
        <v>地上模板</v>
      </c>
      <c r="F1858" s="52" t="e">
        <v>#REF!</v>
      </c>
      <c r="G1858" s="48" t="e">
        <v>#REF!</v>
      </c>
      <c r="H1858" s="49">
        <v>83</v>
      </c>
      <c r="I1858" s="49" t="e">
        <v>#REF!</v>
      </c>
      <c r="J1858" s="50"/>
    </row>
    <row r="1859" ht="28.8" outlineLevel="1" spans="1:10">
      <c r="A1859" s="50">
        <v>11</v>
      </c>
      <c r="B1859" s="51" t="str">
        <v>天沟、檐沟模板</v>
      </c>
      <c r="C1859" s="51" t="e">
        <v>#REF!</v>
      </c>
      <c r="D1859" s="51" t="str">
        <v>地上模板</v>
      </c>
      <c r="E1859" s="51" t="str">
        <v>地上模板</v>
      </c>
      <c r="F1859" s="52" t="e">
        <v>#REF!</v>
      </c>
      <c r="G1859" s="48" t="e">
        <v>#REF!</v>
      </c>
      <c r="H1859" s="49">
        <v>104.32</v>
      </c>
      <c r="I1859" s="49" t="e">
        <v>#REF!</v>
      </c>
      <c r="J1859" s="50"/>
    </row>
    <row r="1860" ht="28.8" outlineLevel="1" spans="1:10">
      <c r="A1860" s="50">
        <v>12</v>
      </c>
      <c r="B1860" s="51" t="str">
        <v>栏板模板</v>
      </c>
      <c r="C1860" s="51" t="e">
        <v>#REF!</v>
      </c>
      <c r="D1860" s="51" t="str">
        <v>地上模板</v>
      </c>
      <c r="E1860" s="51" t="str">
        <v>地上模板</v>
      </c>
      <c r="F1860" s="52" t="e">
        <v>#REF!</v>
      </c>
      <c r="G1860" s="48" t="e">
        <v>#REF!</v>
      </c>
      <c r="H1860" s="49">
        <v>137.62</v>
      </c>
      <c r="I1860" s="49" t="e">
        <v>#REF!</v>
      </c>
      <c r="J1860" s="50"/>
    </row>
    <row r="1861" ht="28.8" outlineLevel="1" spans="1:10">
      <c r="A1861" s="50">
        <v>13</v>
      </c>
      <c r="B1861" s="51" t="str">
        <v>雨篷模板</v>
      </c>
      <c r="C1861" s="51" t="e">
        <v>#REF!</v>
      </c>
      <c r="D1861" s="51" t="str">
        <v>地上模板</v>
      </c>
      <c r="E1861" s="51" t="str">
        <v>地上模板</v>
      </c>
      <c r="F1861" s="52" t="e">
        <v>#REF!</v>
      </c>
      <c r="G1861" s="48" t="e">
        <v>#REF!</v>
      </c>
      <c r="H1861" s="49">
        <v>0</v>
      </c>
      <c r="I1861" s="49" t="e">
        <v>#REF!</v>
      </c>
      <c r="J1861" s="50"/>
    </row>
    <row r="1862" ht="28.8" outlineLevel="1" spans="1:10">
      <c r="A1862" s="50">
        <v>14</v>
      </c>
      <c r="B1862" s="51" t="str">
        <v>楼梯模.板</v>
      </c>
      <c r="C1862" s="51" t="e">
        <v>#REF!</v>
      </c>
      <c r="D1862" s="51" t="str">
        <v>地上模板</v>
      </c>
      <c r="E1862" s="51" t="str">
        <v>地上模板</v>
      </c>
      <c r="F1862" s="52" t="e">
        <v>#REF!</v>
      </c>
      <c r="G1862" s="48" t="e">
        <v>#REF!</v>
      </c>
      <c r="H1862" s="49">
        <v>15</v>
      </c>
      <c r="I1862" s="49" t="e">
        <v>#REF!</v>
      </c>
      <c r="J1862" s="50"/>
    </row>
    <row r="1863" outlineLevel="1" spans="1:10">
      <c r="A1863" s="50" t="str">
        <v>二</v>
      </c>
      <c r="B1863" s="51" t="str">
        <v>E.01.02脚手架工程</v>
      </c>
      <c r="C1863" s="51" t="str">
        <v/>
      </c>
      <c r="D1863" s="51" t="str">
        <v/>
      </c>
      <c r="E1863" s="51" t="str">
        <v/>
      </c>
      <c r="F1863" s="52" t="str">
        <v/>
      </c>
      <c r="G1863" s="48" t="str">
        <v/>
      </c>
      <c r="H1863" s="49">
        <v>1015.6</v>
      </c>
      <c r="I1863" s="49" t="e">
        <v>#REF!</v>
      </c>
      <c r="J1863" s="50"/>
    </row>
    <row r="1864" ht="43.2" outlineLevel="1" spans="1:10">
      <c r="A1864" s="50">
        <v>1</v>
      </c>
      <c r="B1864" s="51" t="str">
        <v>外墙双排脚手架</v>
      </c>
      <c r="C1864" s="51" t="e">
        <v>#REF!</v>
      </c>
      <c r="D1864" s="51" t="str">
        <v>地上综合脚手架</v>
      </c>
      <c r="E1864" s="51" t="str">
        <v>地上综合脚手架</v>
      </c>
      <c r="F1864" s="52" t="e">
        <v>#REF!</v>
      </c>
      <c r="G1864" s="48" t="e">
        <v>#REF!</v>
      </c>
      <c r="H1864" s="49">
        <v>1015.6</v>
      </c>
      <c r="I1864" s="49" t="e">
        <v>#REF!</v>
      </c>
      <c r="J1864" s="50"/>
    </row>
    <row r="1865" ht="43.2" outlineLevel="1" spans="1:10">
      <c r="A1865" s="50">
        <v>2</v>
      </c>
      <c r="B1865" s="51" t="str">
        <v>外墙悬挑脚手架</v>
      </c>
      <c r="C1865" s="51" t="e">
        <v>#REF!</v>
      </c>
      <c r="D1865" s="51" t="str">
        <v>地上综合脚手架</v>
      </c>
      <c r="E1865" s="51" t="str">
        <v>地上综合脚手架</v>
      </c>
      <c r="F1865" s="52" t="e">
        <v>#REF!</v>
      </c>
      <c r="G1865" s="48" t="e">
        <v>#REF!</v>
      </c>
      <c r="H1865" s="49">
        <v>0</v>
      </c>
      <c r="I1865" s="49" t="e">
        <v>#REF!</v>
      </c>
      <c r="J1865" s="50"/>
    </row>
    <row r="1866" ht="43.2" outlineLevel="1" spans="1:10">
      <c r="A1866" s="50">
        <v>3</v>
      </c>
      <c r="B1866" s="51" t="str">
        <v>电梯井字脚手架-70m以内</v>
      </c>
      <c r="C1866" s="51" t="e">
        <v>#REF!</v>
      </c>
      <c r="D1866" s="51" t="str">
        <v>地上综合脚手架</v>
      </c>
      <c r="E1866" s="51" t="str">
        <v>地上综合脚手架</v>
      </c>
      <c r="F1866" s="52" t="e">
        <v>#REF!</v>
      </c>
      <c r="G1866" s="48" t="e">
        <v>#REF!</v>
      </c>
      <c r="H1866" s="49">
        <v>0</v>
      </c>
      <c r="I1866" s="49" t="e">
        <v>#REF!</v>
      </c>
      <c r="J1866" s="50"/>
    </row>
    <row r="1867" outlineLevel="1" spans="1:10">
      <c r="A1867" s="50">
        <v>4</v>
      </c>
      <c r="B1867" s="51" t="str">
        <v>电梯井字脚手架-50m以内</v>
      </c>
      <c r="C1867" s="51" t="e">
        <v>#REF!</v>
      </c>
      <c r="D1867" s="51" t="str">
        <v/>
      </c>
      <c r="E1867" s="51" t="str">
        <v/>
      </c>
      <c r="F1867" s="52" t="e">
        <v>#REF!</v>
      </c>
      <c r="G1867" s="48" t="e">
        <v>#REF!</v>
      </c>
      <c r="H1867" s="49">
        <v>0</v>
      </c>
      <c r="I1867" s="49" t="e">
        <v>#REF!</v>
      </c>
      <c r="J1867" s="50"/>
    </row>
    <row r="1868" outlineLevel="1" spans="1:10">
      <c r="A1868" s="50" t="str">
        <v>地上</v>
      </c>
      <c r="B1868" s="51" t="str">
        <v>二次结构</v>
      </c>
      <c r="C1868" s="51" t="str">
        <v/>
      </c>
      <c r="D1868" s="51" t="str">
        <v/>
      </c>
      <c r="E1868" s="51" t="str">
        <v/>
      </c>
      <c r="F1868" s="52" t="str">
        <v/>
      </c>
      <c r="G1868" s="48" t="str">
        <v/>
      </c>
      <c r="H1868" s="49">
        <v>0</v>
      </c>
      <c r="I1868" s="49" t="e">
        <v>#REF!</v>
      </c>
      <c r="J1868" s="50"/>
    </row>
    <row r="1869" outlineLevel="1" spans="1:10">
      <c r="A1869" s="50" t="str">
        <v>一</v>
      </c>
      <c r="B1869" s="51" t="str">
        <v>E.01.01模板工程</v>
      </c>
      <c r="C1869" s="51" t="str">
        <v/>
      </c>
      <c r="D1869" s="51" t="str">
        <v/>
      </c>
      <c r="E1869" s="51" t="str">
        <v/>
      </c>
      <c r="F1869" s="52" t="str">
        <v/>
      </c>
      <c r="G1869" s="48" t="str">
        <v/>
      </c>
      <c r="H1869" s="49">
        <v>159.7</v>
      </c>
      <c r="I1869" s="49" t="e">
        <v>#REF!</v>
      </c>
      <c r="J1869" s="50"/>
    </row>
    <row r="1870" ht="28.8" outlineLevel="1" spans="1:10">
      <c r="A1870" s="50">
        <v>1</v>
      </c>
      <c r="B1870" s="51" t="str">
        <v>构造柱模板</v>
      </c>
      <c r="C1870" s="51" t="e">
        <v>#REF!</v>
      </c>
      <c r="D1870" s="51" t="str">
        <v>地上模板</v>
      </c>
      <c r="E1870" s="51" t="str">
        <v>地上模板</v>
      </c>
      <c r="F1870" s="52" t="e">
        <v>#REF!</v>
      </c>
      <c r="G1870" s="48" t="e">
        <v>#REF!</v>
      </c>
      <c r="H1870" s="49">
        <v>111.07</v>
      </c>
      <c r="I1870" s="49" t="e">
        <v>#REF!</v>
      </c>
      <c r="J1870" s="50"/>
    </row>
    <row r="1871" ht="28.8" outlineLevel="1" spans="1:10">
      <c r="A1871" s="50">
        <v>2</v>
      </c>
      <c r="B1871" s="51" t="str">
        <v>圈梁模板</v>
      </c>
      <c r="C1871" s="51" t="e">
        <v>#REF!</v>
      </c>
      <c r="D1871" s="51" t="str">
        <v>地上模板</v>
      </c>
      <c r="E1871" s="51" t="str">
        <v>地上模板</v>
      </c>
      <c r="F1871" s="52" t="e">
        <v>#REF!</v>
      </c>
      <c r="G1871" s="48" t="e">
        <v>#REF!</v>
      </c>
      <c r="H1871" s="49">
        <v>2.91</v>
      </c>
      <c r="I1871" s="49" t="e">
        <v>#REF!</v>
      </c>
      <c r="J1871" s="50"/>
    </row>
    <row r="1872" ht="28.8" outlineLevel="1" spans="1:10">
      <c r="A1872" s="50">
        <v>3</v>
      </c>
      <c r="B1872" s="51" t="str">
        <v>门槛模板</v>
      </c>
      <c r="C1872" s="51" t="e">
        <v>#REF!</v>
      </c>
      <c r="D1872" s="51" t="str">
        <v>地上模板</v>
      </c>
      <c r="E1872" s="51" t="str">
        <v>地上模板</v>
      </c>
      <c r="F1872" s="52" t="e">
        <v>#REF!</v>
      </c>
      <c r="G1872" s="48" t="e">
        <v>#REF!</v>
      </c>
      <c r="H1872" s="49">
        <v>1</v>
      </c>
      <c r="I1872" s="49" t="e">
        <v>#REF!</v>
      </c>
      <c r="J1872" s="50"/>
    </row>
    <row r="1873" ht="28.8" outlineLevel="1" spans="1:10">
      <c r="A1873" s="50">
        <v>4</v>
      </c>
      <c r="B1873" s="51" t="str">
        <v>卫生间、厨房、分户墙、电井翻沿模板</v>
      </c>
      <c r="C1873" s="51" t="e">
        <v>#REF!</v>
      </c>
      <c r="D1873" s="51" t="str">
        <v>地上模板</v>
      </c>
      <c r="E1873" s="51" t="str">
        <v>地上模板</v>
      </c>
      <c r="F1873" s="52" t="e">
        <v>#REF!</v>
      </c>
      <c r="G1873" s="48" t="e">
        <v>#REF!</v>
      </c>
      <c r="H1873" s="49">
        <v>0</v>
      </c>
      <c r="I1873" s="49" t="e">
        <v>#REF!</v>
      </c>
      <c r="J1873" s="50"/>
    </row>
    <row r="1874" ht="28.8" outlineLevel="1" spans="1:10">
      <c r="A1874" s="50">
        <v>5</v>
      </c>
      <c r="B1874" s="51" t="str">
        <v>过梁模板</v>
      </c>
      <c r="C1874" s="51" t="e">
        <v>#REF!</v>
      </c>
      <c r="D1874" s="51" t="str">
        <v>地上模板</v>
      </c>
      <c r="E1874" s="51" t="str">
        <v>地上模板</v>
      </c>
      <c r="F1874" s="52" t="e">
        <v>#REF!</v>
      </c>
      <c r="G1874" s="48" t="e">
        <v>#REF!</v>
      </c>
      <c r="H1874" s="49">
        <v>19.02</v>
      </c>
      <c r="I1874" s="49" t="e">
        <v>#REF!</v>
      </c>
      <c r="J1874" s="50"/>
    </row>
    <row r="1875" ht="28.8" outlineLevel="1" spans="1:10">
      <c r="A1875" s="50">
        <v>6</v>
      </c>
      <c r="B1875" s="51" t="str">
        <v>压顶模板</v>
      </c>
      <c r="C1875" s="51" t="e">
        <v>#REF!</v>
      </c>
      <c r="D1875" s="51" t="str">
        <v>地上模板</v>
      </c>
      <c r="E1875" s="51" t="str">
        <v>地上模板</v>
      </c>
      <c r="F1875" s="52" t="e">
        <v>#REF!</v>
      </c>
      <c r="G1875" s="48" t="e">
        <v>#REF!</v>
      </c>
      <c r="H1875" s="49">
        <v>10.7</v>
      </c>
      <c r="I1875" s="49" t="e">
        <v>#REF!</v>
      </c>
      <c r="J1875" s="50"/>
    </row>
    <row r="1876" ht="28.8" outlineLevel="1" spans="1:10">
      <c r="A1876" s="50">
        <v>7</v>
      </c>
      <c r="B1876" s="51" t="str">
        <v>散水模板</v>
      </c>
      <c r="C1876" s="51" t="e">
        <v>#REF!</v>
      </c>
      <c r="D1876" s="51" t="str">
        <v>地上模板</v>
      </c>
      <c r="E1876" s="51" t="str">
        <v>地上模板</v>
      </c>
      <c r="F1876" s="52" t="e">
        <v>#REF!</v>
      </c>
      <c r="G1876" s="48" t="e">
        <v>#REF!</v>
      </c>
      <c r="H1876" s="49">
        <v>6</v>
      </c>
      <c r="I1876" s="49" t="e">
        <v>#REF!</v>
      </c>
      <c r="J1876" s="50"/>
    </row>
    <row r="1877" ht="28.8" outlineLevel="1" spans="1:10">
      <c r="A1877" s="50">
        <v>8</v>
      </c>
      <c r="B1877" s="51" t="str">
        <v>坡道模板</v>
      </c>
      <c r="C1877" s="51" t="e">
        <v>#REF!</v>
      </c>
      <c r="D1877" s="51" t="str">
        <v>地上模板</v>
      </c>
      <c r="E1877" s="51" t="str">
        <v>地上模板</v>
      </c>
      <c r="F1877" s="52" t="e">
        <v>#REF!</v>
      </c>
      <c r="G1877" s="48" t="e">
        <v>#REF!</v>
      </c>
      <c r="H1877" s="49">
        <v>5.1</v>
      </c>
      <c r="I1877" s="49" t="e">
        <v>#REF!</v>
      </c>
      <c r="J1877" s="50"/>
    </row>
    <row r="1878" ht="28.8" outlineLevel="1" spans="1:10">
      <c r="A1878" s="50">
        <v>9</v>
      </c>
      <c r="B1878" s="51" t="str">
        <v>台阶模板</v>
      </c>
      <c r="C1878" s="51" t="e">
        <v>#REF!</v>
      </c>
      <c r="D1878" s="51" t="str">
        <v>地上模板</v>
      </c>
      <c r="E1878" s="51" t="str">
        <v>地上模板</v>
      </c>
      <c r="F1878" s="52" t="e">
        <v>#REF!</v>
      </c>
      <c r="G1878" s="48" t="e">
        <v>#REF!</v>
      </c>
      <c r="H1878" s="49">
        <v>2.9</v>
      </c>
      <c r="I1878" s="49" t="e">
        <v>#REF!</v>
      </c>
      <c r="J1878" s="50"/>
    </row>
    <row r="1879" ht="28.8" outlineLevel="1" spans="1:10">
      <c r="A1879" s="50">
        <v>10</v>
      </c>
      <c r="B1879" s="51" t="str">
        <v>水簸箕模板</v>
      </c>
      <c r="C1879" s="51" t="e">
        <v>#REF!</v>
      </c>
      <c r="D1879" s="51" t="str">
        <v>地上模板</v>
      </c>
      <c r="E1879" s="51" t="str">
        <v>地上模板</v>
      </c>
      <c r="F1879" s="52" t="e">
        <v>#REF!</v>
      </c>
      <c r="G1879" s="48" t="e">
        <v>#REF!</v>
      </c>
      <c r="H1879" s="49">
        <v>1</v>
      </c>
      <c r="I1879" s="49" t="e">
        <v>#REF!</v>
      </c>
      <c r="J1879" s="50"/>
    </row>
    <row r="1880" outlineLevel="1" spans="1:10">
      <c r="A1880" s="50" t="str">
        <v>二</v>
      </c>
      <c r="B1880" s="51" t="str">
        <v>E.01.02脚手架工程</v>
      </c>
      <c r="C1880" s="51" t="str">
        <v/>
      </c>
      <c r="D1880" s="51" t="str">
        <v/>
      </c>
      <c r="E1880" s="51" t="str">
        <v/>
      </c>
      <c r="F1880" s="52" t="str">
        <v/>
      </c>
      <c r="G1880" s="48" t="str">
        <v/>
      </c>
      <c r="H1880" s="49">
        <v>218.73</v>
      </c>
      <c r="I1880" s="49" t="e">
        <v>#REF!</v>
      </c>
      <c r="J1880" s="50"/>
    </row>
    <row r="1881" ht="43.2" outlineLevel="1" spans="1:10">
      <c r="A1881" s="50">
        <v>1</v>
      </c>
      <c r="B1881" s="51" t="str">
        <v>内墙砌筑脚手架</v>
      </c>
      <c r="C1881" s="51" t="e">
        <v>#REF!</v>
      </c>
      <c r="D1881" s="51" t="str">
        <v>地上综合脚手架</v>
      </c>
      <c r="E1881" s="51" t="str">
        <v>地上综合脚手架</v>
      </c>
      <c r="F1881" s="52" t="e">
        <v>#REF!</v>
      </c>
      <c r="G1881" s="48" t="e">
        <v>#REF!</v>
      </c>
      <c r="H1881" s="49">
        <v>218.73</v>
      </c>
      <c r="I1881" s="49" t="e">
        <v>#REF!</v>
      </c>
      <c r="J1881" s="50"/>
    </row>
    <row r="1882" ht="43.2" outlineLevel="1" spans="1:10">
      <c r="A1882" s="50">
        <v>2</v>
      </c>
      <c r="B1882" s="51" t="str">
        <v>简易墙面脚手架</v>
      </c>
      <c r="C1882" s="51" t="e">
        <v>#REF!</v>
      </c>
      <c r="D1882" s="51" t="str">
        <v>地上综合脚手架</v>
      </c>
      <c r="E1882" s="51" t="str">
        <v>地上综合脚手架</v>
      </c>
      <c r="F1882" s="52" t="e">
        <v>#REF!</v>
      </c>
      <c r="G1882" s="48" t="e">
        <v>#REF!</v>
      </c>
      <c r="H1882" s="49">
        <v>0</v>
      </c>
      <c r="I1882" s="49" t="e">
        <v>#REF!</v>
      </c>
      <c r="J1882" s="50"/>
    </row>
    <row r="1883" ht="43.2" outlineLevel="1" spans="1:10">
      <c r="A1883" s="50">
        <v>3</v>
      </c>
      <c r="B1883" s="51" t="str">
        <v>简易天棚脚手架</v>
      </c>
      <c r="C1883" s="51" t="e">
        <v>#REF!</v>
      </c>
      <c r="D1883" s="51" t="str">
        <v>地上综合脚手架</v>
      </c>
      <c r="E1883" s="51" t="str">
        <v>地上综合脚手架</v>
      </c>
      <c r="F1883" s="52" t="e">
        <v>#REF!</v>
      </c>
      <c r="G1883" s="48" t="e">
        <v>#REF!</v>
      </c>
      <c r="H1883" s="49">
        <v>0</v>
      </c>
      <c r="I1883" s="49" t="e">
        <v>#REF!</v>
      </c>
      <c r="J1883" s="50"/>
    </row>
    <row r="1884" ht="28.8" outlineLevel="1" spans="1:10">
      <c r="A1884" s="50" t="str">
        <v/>
      </c>
      <c r="B1884" s="51" t="str">
        <v>E.02总价措施费（整体措施费）</v>
      </c>
      <c r="C1884" s="51" t="e">
        <v>#REF!</v>
      </c>
      <c r="D1884" s="51" t="str">
        <v/>
      </c>
      <c r="E1884" s="51" t="str">
        <v/>
      </c>
      <c r="F1884" s="52" t="e">
        <v>#REF!</v>
      </c>
      <c r="G1884" s="48" t="e">
        <v>#REF!</v>
      </c>
      <c r="H1884" s="49" t="e">
        <v>#REF!</v>
      </c>
      <c r="I1884" s="49" t="e">
        <v>#REF!</v>
      </c>
      <c r="J1884" s="50"/>
    </row>
    <row r="1885" ht="43.2" outlineLevel="1" spans="1:10">
      <c r="A1885" s="50" t="str">
        <v>地上</v>
      </c>
      <c r="B1885" s="51" t="str">
        <v>E.02总价措施费（整体措施费）</v>
      </c>
      <c r="C1885" s="51" t="e">
        <v>#REF!</v>
      </c>
      <c r="D1885" s="51" t="str">
        <v>地上总价措施费</v>
      </c>
      <c r="E1885" s="51" t="str">
        <v>地上总价措施费</v>
      </c>
      <c r="F1885" s="52" t="e">
        <v>#REF!</v>
      </c>
      <c r="G1885" s="48" t="e">
        <v>#REF!</v>
      </c>
      <c r="H1885" s="49" t="e">
        <v>#REF!</v>
      </c>
      <c r="I1885" s="49" t="e">
        <v>#REF!</v>
      </c>
      <c r="J1885" s="50"/>
    </row>
    <row r="1886" ht="43.2" outlineLevel="1" spans="1:10">
      <c r="A1886" s="50" t="str">
        <v>地下</v>
      </c>
      <c r="B1886" s="51" t="str">
        <v>E.02总价措施费（整体措施费）</v>
      </c>
      <c r="C1886" s="51" t="e">
        <v>#REF!</v>
      </c>
      <c r="D1886" s="51" t="str">
        <v>地下总价措施费</v>
      </c>
      <c r="E1886" s="51" t="str">
        <v>地下总价措施费</v>
      </c>
      <c r="F1886" s="52" t="e">
        <v>#REF!</v>
      </c>
      <c r="G1886" s="48" t="e">
        <v>#REF!</v>
      </c>
      <c r="H1886" s="49" t="e">
        <v>#REF!</v>
      </c>
      <c r="I1886" s="49" t="e">
        <v>#REF!</v>
      </c>
      <c r="J1886" s="50"/>
    </row>
    <row r="1887" outlineLevel="1" spans="1:10">
      <c r="A1887" s="50" t="str">
        <v/>
      </c>
      <c r="B1887" s="51" t="str">
        <v>E.03垂直运输</v>
      </c>
      <c r="C1887" s="51" t="str">
        <v/>
      </c>
      <c r="D1887" s="51" t="str">
        <v/>
      </c>
      <c r="E1887" s="51" t="str">
        <v/>
      </c>
      <c r="F1887" s="52" t="str">
        <v/>
      </c>
      <c r="G1887" s="48" t="str">
        <v/>
      </c>
      <c r="H1887" s="49">
        <v>0</v>
      </c>
      <c r="I1887" s="49" t="e">
        <v>#REF!</v>
      </c>
      <c r="J1887" s="50"/>
    </row>
    <row r="1888" outlineLevel="1" spans="1:10">
      <c r="A1888" s="50" t="str">
        <v>地上</v>
      </c>
      <c r="B1888" s="51" t="str">
        <v>E.03垂直运输</v>
      </c>
      <c r="C1888" s="51" t="e">
        <v>#REF!</v>
      </c>
      <c r="D1888" s="51" t="str">
        <v/>
      </c>
      <c r="E1888" s="51" t="str">
        <v/>
      </c>
      <c r="F1888" s="52" t="str">
        <v/>
      </c>
      <c r="G1888" s="48" t="str">
        <v/>
      </c>
      <c r="H1888" s="49" t="e">
        <v>#REF!</v>
      </c>
      <c r="I1888" s="49" t="e">
        <v>#REF!</v>
      </c>
      <c r="J1888" s="50"/>
    </row>
    <row r="1889" ht="43.2" outlineLevel="1" spans="1:10">
      <c r="A1889" s="50" t="str">
        <v/>
      </c>
      <c r="B1889" s="51" t="str">
        <v>垂运-装配式</v>
      </c>
      <c r="C1889" s="51" t="e">
        <v>#REF!</v>
      </c>
      <c r="D1889" s="51" t="str">
        <v>地上总价措施费</v>
      </c>
      <c r="E1889" s="51" t="str">
        <v>地上总价措施费</v>
      </c>
      <c r="F1889" s="52" t="e">
        <v>#REF!</v>
      </c>
      <c r="G1889" s="48" t="e">
        <v>#REF!</v>
      </c>
      <c r="H1889" s="49">
        <v>0</v>
      </c>
      <c r="I1889" s="49" t="e">
        <v>#REF!</v>
      </c>
      <c r="J1889" s="50"/>
    </row>
    <row r="1890" ht="43.2" outlineLevel="1" spans="1:10">
      <c r="A1890" s="50" t="str">
        <v/>
      </c>
      <c r="B1890" s="51" t="str">
        <v>垂运-非装配式</v>
      </c>
      <c r="C1890" s="51" t="e">
        <v>#REF!</v>
      </c>
      <c r="D1890" s="51" t="str">
        <v>地上总价措施费</v>
      </c>
      <c r="E1890" s="51" t="str">
        <v>地上总价措施费</v>
      </c>
      <c r="F1890" s="52" t="e">
        <v>#REF!</v>
      </c>
      <c r="G1890" s="48" t="e">
        <v>#REF!</v>
      </c>
      <c r="H1890" s="49">
        <v>0</v>
      </c>
      <c r="I1890" s="49" t="e">
        <v>#REF!</v>
      </c>
      <c r="J1890" s="50"/>
    </row>
    <row r="1891" ht="43.2" outlineLevel="1" spans="1:10">
      <c r="A1891" s="50" t="str">
        <v/>
      </c>
      <c r="B1891" s="51" t="str">
        <v>垂运-配套</v>
      </c>
      <c r="C1891" s="51" t="e">
        <v>#REF!</v>
      </c>
      <c r="D1891" s="51" t="str">
        <v>地上总价措施费</v>
      </c>
      <c r="E1891" s="51" t="str">
        <v>地上总价措施费</v>
      </c>
      <c r="F1891" s="52" t="e">
        <v>#REF!</v>
      </c>
      <c r="G1891" s="48" t="e">
        <v>#REF!</v>
      </c>
      <c r="H1891" s="49" t="e">
        <v>#REF!</v>
      </c>
      <c r="I1891" s="49" t="e">
        <v>#REF!</v>
      </c>
      <c r="J1891" s="50"/>
    </row>
    <row r="1892" ht="43.2" outlineLevel="1" spans="1:10">
      <c r="A1892" s="50" t="str">
        <v/>
      </c>
      <c r="B1892" s="51" t="str">
        <v>垂运-地下车库</v>
      </c>
      <c r="C1892" s="51" t="e">
        <v>#REF!</v>
      </c>
      <c r="D1892" s="51" t="str">
        <v>地上总价措施费</v>
      </c>
      <c r="E1892" s="51" t="str">
        <v>地上总价措施费</v>
      </c>
      <c r="F1892" s="52" t="e">
        <v>#REF!</v>
      </c>
      <c r="G1892" s="48" t="e">
        <v>#REF!</v>
      </c>
      <c r="H1892" s="49">
        <v>0</v>
      </c>
      <c r="I1892" s="49" t="e">
        <v>#REF!</v>
      </c>
      <c r="J1892" s="50"/>
    </row>
    <row r="1893" outlineLevel="1" spans="1:10">
      <c r="A1893" s="50" t="str">
        <v>地下</v>
      </c>
      <c r="B1893" s="51" t="str">
        <v>E.03垂直运输</v>
      </c>
      <c r="C1893" s="51" t="e">
        <v>#REF!</v>
      </c>
      <c r="D1893" s="51" t="str">
        <v/>
      </c>
      <c r="E1893" s="51" t="str">
        <v/>
      </c>
      <c r="F1893" s="52" t="str">
        <v/>
      </c>
      <c r="G1893" s="48" t="str">
        <v/>
      </c>
      <c r="H1893" s="49" t="e">
        <v>#REF!</v>
      </c>
      <c r="I1893" s="49" t="e">
        <v>#REF!</v>
      </c>
      <c r="J1893" s="50"/>
    </row>
    <row r="1894" ht="43.2" outlineLevel="1" spans="1:10">
      <c r="A1894" s="50" t="str">
        <v/>
      </c>
      <c r="B1894" s="51" t="str">
        <v>垂运-装配式</v>
      </c>
      <c r="C1894" s="51" t="e">
        <v>#REF!</v>
      </c>
      <c r="D1894" s="51" t="str">
        <v>地下总价措施费</v>
      </c>
      <c r="E1894" s="51" t="str">
        <v>地下总价措施费</v>
      </c>
      <c r="F1894" s="52" t="e">
        <v>#REF!</v>
      </c>
      <c r="G1894" s="48" t="e">
        <v>#REF!</v>
      </c>
      <c r="H1894" s="49">
        <v>0</v>
      </c>
      <c r="I1894" s="49" t="e">
        <v>#REF!</v>
      </c>
      <c r="J1894" s="50"/>
    </row>
    <row r="1895" ht="43.2" outlineLevel="1" spans="1:10">
      <c r="A1895" s="50" t="str">
        <v/>
      </c>
      <c r="B1895" s="51" t="str">
        <v>垂运-非装配式</v>
      </c>
      <c r="C1895" s="51" t="e">
        <v>#REF!</v>
      </c>
      <c r="D1895" s="51" t="str">
        <v>地下总价措施费</v>
      </c>
      <c r="E1895" s="51" t="str">
        <v>地下总价措施费</v>
      </c>
      <c r="F1895" s="52" t="e">
        <v>#REF!</v>
      </c>
      <c r="G1895" s="48" t="e">
        <v>#REF!</v>
      </c>
      <c r="H1895" s="49">
        <v>0</v>
      </c>
      <c r="I1895" s="49" t="e">
        <v>#REF!</v>
      </c>
      <c r="J1895" s="50"/>
    </row>
    <row r="1896" ht="43.2" outlineLevel="1" spans="1:10">
      <c r="A1896" s="50" t="str">
        <v/>
      </c>
      <c r="B1896" s="51" t="str">
        <v>垂运-配套</v>
      </c>
      <c r="C1896" s="51" t="e">
        <v>#REF!</v>
      </c>
      <c r="D1896" s="51" t="str">
        <v>地下总价措施费</v>
      </c>
      <c r="E1896" s="51" t="str">
        <v>地下总价措施费</v>
      </c>
      <c r="F1896" s="52" t="e">
        <v>#REF!</v>
      </c>
      <c r="G1896" s="48" t="e">
        <v>#REF!</v>
      </c>
      <c r="H1896" s="49" t="e">
        <v>#REF!</v>
      </c>
      <c r="I1896" s="49" t="e">
        <v>#REF!</v>
      </c>
      <c r="J1896" s="50"/>
    </row>
    <row r="1897" ht="43.2" outlineLevel="1" spans="1:10">
      <c r="A1897" s="50" t="str">
        <v/>
      </c>
      <c r="B1897" s="51" t="str">
        <v>垂运-地下车库</v>
      </c>
      <c r="C1897" s="51" t="e">
        <v>#REF!</v>
      </c>
      <c r="D1897" s="51" t="str">
        <v>地下总价措施费</v>
      </c>
      <c r="E1897" s="51" t="str">
        <v>地下总价措施费</v>
      </c>
      <c r="F1897" s="52" t="e">
        <v>#REF!</v>
      </c>
      <c r="G1897" s="48" t="e">
        <v>#REF!</v>
      </c>
      <c r="H1897" s="49">
        <v>0</v>
      </c>
      <c r="I1897" s="49" t="e">
        <v>#REF!</v>
      </c>
      <c r="J1897" s="50"/>
    </row>
    <row r="1898" outlineLevel="1" spans="1:10">
      <c r="A1898" s="50" t="str">
        <v/>
      </c>
      <c r="B1898" s="51" t="str">
        <v>合计</v>
      </c>
      <c r="C1898" s="51" t="str">
        <v/>
      </c>
      <c r="D1898" s="51" t="str">
        <v/>
      </c>
      <c r="E1898" s="51" t="str">
        <v/>
      </c>
      <c r="F1898" s="52" t="str">
        <v/>
      </c>
      <c r="G1898" s="48" t="str">
        <v/>
      </c>
      <c r="H1898" s="49">
        <v>0</v>
      </c>
      <c r="I1898" s="49" t="e">
        <v>#REF!</v>
      </c>
      <c r="J1898" s="50"/>
    </row>
    <row r="1899" outlineLevel="1" spans="1:10">
      <c r="A1899" s="50" t="str">
        <v/>
      </c>
      <c r="B1899" s="51" t="str">
        <v/>
      </c>
      <c r="C1899" s="51" t="str">
        <v/>
      </c>
      <c r="D1899" s="51" t="str">
        <v/>
      </c>
      <c r="E1899" s="51" t="str">
        <v/>
      </c>
      <c r="F1899" s="52" t="str">
        <v/>
      </c>
      <c r="G1899" s="48" t="str">
        <v/>
      </c>
      <c r="H1899" s="49">
        <v>0</v>
      </c>
      <c r="I1899" s="49">
        <v>0</v>
      </c>
      <c r="J1899" s="50"/>
    </row>
    <row r="1900" outlineLevel="1" spans="1:10">
      <c r="A1900" s="50" t="str">
        <v/>
      </c>
      <c r="B1900" s="51" t="str">
        <v/>
      </c>
      <c r="C1900" s="51" t="str">
        <v/>
      </c>
      <c r="D1900" s="51" t="str">
        <v/>
      </c>
      <c r="E1900" s="51" t="str">
        <v/>
      </c>
      <c r="F1900" s="52" t="str">
        <v/>
      </c>
      <c r="G1900" s="48" t="str">
        <v/>
      </c>
      <c r="H1900" s="49">
        <v>0</v>
      </c>
      <c r="I1900" s="49">
        <v>0</v>
      </c>
      <c r="J1900" s="50"/>
    </row>
    <row r="1901" outlineLevel="1" spans="1:10">
      <c r="A1901" s="50" t="str">
        <v/>
      </c>
      <c r="B1901" s="51" t="str">
        <v/>
      </c>
      <c r="C1901" s="51" t="str">
        <v/>
      </c>
      <c r="D1901" s="51" t="str">
        <v/>
      </c>
      <c r="E1901" s="51" t="str">
        <v/>
      </c>
      <c r="F1901" s="52" t="str">
        <v/>
      </c>
      <c r="G1901" s="48" t="str">
        <v/>
      </c>
      <c r="H1901" s="49">
        <v>0</v>
      </c>
      <c r="I1901" s="49">
        <v>0</v>
      </c>
      <c r="J1901" s="50"/>
    </row>
    <row r="1902" outlineLevel="1" spans="1:10">
      <c r="A1902" s="50" t="str">
        <v/>
      </c>
      <c r="B1902" s="51" t="str">
        <v/>
      </c>
      <c r="C1902" s="51" t="str">
        <v/>
      </c>
      <c r="D1902" s="51" t="str">
        <v/>
      </c>
      <c r="E1902" s="51" t="str">
        <v/>
      </c>
      <c r="F1902" s="52" t="str">
        <v/>
      </c>
      <c r="G1902" s="48" t="str">
        <v/>
      </c>
      <c r="H1902" s="49">
        <v>0</v>
      </c>
      <c r="I1902" s="49">
        <v>0</v>
      </c>
      <c r="J1902" s="50"/>
    </row>
    <row r="1903" outlineLevel="1" spans="1:10">
      <c r="A1903" s="50" t="str">
        <v/>
      </c>
      <c r="B1903" s="51" t="str">
        <v/>
      </c>
      <c r="C1903" s="51" t="str">
        <v/>
      </c>
      <c r="D1903" s="51" t="str">
        <v/>
      </c>
      <c r="E1903" s="51" t="str">
        <v/>
      </c>
      <c r="F1903" s="52" t="str">
        <v/>
      </c>
      <c r="G1903" s="48" t="str">
        <v/>
      </c>
      <c r="H1903" s="49">
        <v>0</v>
      </c>
      <c r="I1903" s="49">
        <v>0</v>
      </c>
      <c r="J1903" s="50"/>
    </row>
    <row r="1904" outlineLevel="1" spans="1:10">
      <c r="A1904" s="50" t="str">
        <v/>
      </c>
      <c r="B1904" s="51" t="str">
        <v/>
      </c>
      <c r="C1904" s="51" t="str">
        <v/>
      </c>
      <c r="D1904" s="51" t="str">
        <v/>
      </c>
      <c r="E1904" s="51" t="str">
        <v/>
      </c>
      <c r="F1904" s="52" t="str">
        <v/>
      </c>
      <c r="G1904" s="48" t="str">
        <v/>
      </c>
      <c r="H1904" s="49">
        <v>0</v>
      </c>
      <c r="I1904" s="49">
        <v>0</v>
      </c>
      <c r="J1904" s="50"/>
    </row>
    <row r="1905" outlineLevel="1" spans="1:10">
      <c r="A1905" s="50" t="str">
        <v/>
      </c>
      <c r="B1905" s="51" t="str">
        <v/>
      </c>
      <c r="C1905" s="51" t="str">
        <v/>
      </c>
      <c r="D1905" s="51" t="str">
        <v/>
      </c>
      <c r="E1905" s="51" t="str">
        <v/>
      </c>
      <c r="F1905" s="52" t="str">
        <v/>
      </c>
      <c r="G1905" s="48" t="str">
        <v/>
      </c>
      <c r="H1905" s="49">
        <v>0</v>
      </c>
      <c r="I1905" s="49">
        <v>0</v>
      </c>
      <c r="J1905" s="50"/>
    </row>
    <row r="1906" outlineLevel="1" spans="1:10">
      <c r="A1906" s="50" t="str">
        <v/>
      </c>
      <c r="B1906" s="51" t="str">
        <v/>
      </c>
      <c r="C1906" s="51" t="str">
        <v/>
      </c>
      <c r="D1906" s="51" t="str">
        <v/>
      </c>
      <c r="E1906" s="51" t="str">
        <v/>
      </c>
      <c r="F1906" s="52" t="str">
        <v/>
      </c>
      <c r="G1906" s="48" t="str">
        <v/>
      </c>
      <c r="H1906" s="49">
        <v>0</v>
      </c>
      <c r="I1906" s="49">
        <v>0</v>
      </c>
      <c r="J1906" s="50"/>
    </row>
    <row r="1907" outlineLevel="1" spans="1:10">
      <c r="A1907" s="50" t="str">
        <v/>
      </c>
      <c r="B1907" s="51" t="str">
        <v/>
      </c>
      <c r="C1907" s="51" t="str">
        <v/>
      </c>
      <c r="D1907" s="51" t="str">
        <v/>
      </c>
      <c r="E1907" s="51" t="str">
        <v/>
      </c>
      <c r="F1907" s="52" t="str">
        <v/>
      </c>
      <c r="G1907" s="48" t="str">
        <v/>
      </c>
      <c r="H1907" s="49">
        <v>0</v>
      </c>
      <c r="I1907" s="49">
        <v>0</v>
      </c>
      <c r="J1907" s="50"/>
    </row>
    <row r="1908" outlineLevel="1" spans="1:10">
      <c r="A1908" s="50" t="str">
        <v/>
      </c>
      <c r="B1908" s="51" t="str">
        <v/>
      </c>
      <c r="C1908" s="51" t="str">
        <v/>
      </c>
      <c r="D1908" s="51" t="str">
        <v/>
      </c>
      <c r="E1908" s="51" t="str">
        <v/>
      </c>
      <c r="F1908" s="52" t="str">
        <v/>
      </c>
      <c r="G1908" s="48" t="str">
        <v/>
      </c>
      <c r="H1908" s="49">
        <v>0</v>
      </c>
      <c r="I1908" s="49">
        <v>0</v>
      </c>
      <c r="J1908" s="50"/>
    </row>
    <row r="1909" outlineLevel="1" spans="1:10">
      <c r="A1909" s="50" t="str">
        <v/>
      </c>
      <c r="B1909" s="51" t="str">
        <v/>
      </c>
      <c r="C1909" s="51" t="str">
        <v/>
      </c>
      <c r="D1909" s="51" t="str">
        <v/>
      </c>
      <c r="E1909" s="51" t="str">
        <v/>
      </c>
      <c r="F1909" s="52" t="str">
        <v/>
      </c>
      <c r="G1909" s="48" t="str">
        <v/>
      </c>
      <c r="H1909" s="49">
        <v>0</v>
      </c>
      <c r="I1909" s="49">
        <v>0</v>
      </c>
      <c r="J1909" s="50"/>
    </row>
    <row r="1910" outlineLevel="1" spans="1:10">
      <c r="A1910" s="50" t="str">
        <v/>
      </c>
      <c r="B1910" s="51" t="str">
        <v/>
      </c>
      <c r="C1910" s="51" t="str">
        <v/>
      </c>
      <c r="D1910" s="51" t="str">
        <v/>
      </c>
      <c r="E1910" s="51" t="str">
        <v/>
      </c>
      <c r="F1910" s="52" t="str">
        <v/>
      </c>
      <c r="G1910" s="48" t="str">
        <v/>
      </c>
      <c r="H1910" s="49">
        <v>0</v>
      </c>
      <c r="I1910" s="49">
        <v>0</v>
      </c>
      <c r="J1910" s="50"/>
    </row>
    <row r="1911" outlineLevel="1" spans="1:10">
      <c r="A1911" s="50" t="str">
        <v/>
      </c>
      <c r="B1911" s="51" t="str">
        <v/>
      </c>
      <c r="C1911" s="51" t="str">
        <v/>
      </c>
      <c r="D1911" s="51" t="str">
        <v/>
      </c>
      <c r="E1911" s="51" t="str">
        <v/>
      </c>
      <c r="F1911" s="52" t="str">
        <v/>
      </c>
      <c r="G1911" s="48" t="str">
        <v/>
      </c>
      <c r="H1911" s="49">
        <v>0</v>
      </c>
      <c r="I1911" s="49">
        <v>0</v>
      </c>
      <c r="J1911" s="50"/>
    </row>
    <row r="1912" outlineLevel="1" spans="1:10">
      <c r="A1912" s="50" t="str">
        <v/>
      </c>
      <c r="B1912" s="51" t="str">
        <v/>
      </c>
      <c r="C1912" s="51" t="str">
        <v/>
      </c>
      <c r="D1912" s="51" t="str">
        <v/>
      </c>
      <c r="E1912" s="51" t="str">
        <v/>
      </c>
      <c r="F1912" s="52" t="str">
        <v/>
      </c>
      <c r="G1912" s="48" t="str">
        <v/>
      </c>
      <c r="H1912" s="49">
        <v>0</v>
      </c>
      <c r="I1912" s="49">
        <v>0</v>
      </c>
      <c r="J1912" s="50"/>
    </row>
    <row r="1913" outlineLevel="1" spans="1:10">
      <c r="A1913" s="50" t="str">
        <v/>
      </c>
      <c r="B1913" s="51" t="str">
        <v/>
      </c>
      <c r="C1913" s="51" t="str">
        <v/>
      </c>
      <c r="D1913" s="51" t="str">
        <v/>
      </c>
      <c r="E1913" s="51" t="str">
        <v/>
      </c>
      <c r="F1913" s="52" t="str">
        <v/>
      </c>
      <c r="G1913" s="48" t="str">
        <v/>
      </c>
      <c r="H1913" s="49">
        <v>0</v>
      </c>
      <c r="I1913" s="49">
        <v>0</v>
      </c>
      <c r="J1913" s="50"/>
    </row>
    <row r="1914" outlineLevel="1" spans="1:10">
      <c r="A1914" s="50" t="str">
        <v/>
      </c>
      <c r="B1914" s="51" t="str">
        <v/>
      </c>
      <c r="C1914" s="51" t="str">
        <v/>
      </c>
      <c r="D1914" s="51" t="str">
        <v/>
      </c>
      <c r="E1914" s="51" t="str">
        <v/>
      </c>
      <c r="F1914" s="52" t="str">
        <v/>
      </c>
      <c r="G1914" s="48" t="str">
        <v/>
      </c>
      <c r="H1914" s="49">
        <v>0</v>
      </c>
      <c r="I1914" s="49">
        <v>0</v>
      </c>
      <c r="J1914" s="50"/>
    </row>
    <row r="1915" outlineLevel="1" spans="1:10">
      <c r="A1915" s="50" t="str">
        <v/>
      </c>
      <c r="B1915" s="51" t="str">
        <v/>
      </c>
      <c r="C1915" s="51" t="str">
        <v/>
      </c>
      <c r="D1915" s="51" t="str">
        <v/>
      </c>
      <c r="E1915" s="51" t="str">
        <v/>
      </c>
      <c r="F1915" s="52" t="str">
        <v/>
      </c>
      <c r="G1915" s="48" t="str">
        <v/>
      </c>
      <c r="H1915" s="49">
        <v>0</v>
      </c>
      <c r="I1915" s="49">
        <v>0</v>
      </c>
      <c r="J1915" s="50"/>
    </row>
    <row r="1916" outlineLevel="1" spans="1:10">
      <c r="A1916" s="50" t="str">
        <v/>
      </c>
      <c r="B1916" s="51" t="str">
        <v/>
      </c>
      <c r="C1916" s="51" t="str">
        <v/>
      </c>
      <c r="D1916" s="51" t="str">
        <v/>
      </c>
      <c r="E1916" s="51" t="str">
        <v/>
      </c>
      <c r="F1916" s="52" t="str">
        <v/>
      </c>
      <c r="G1916" s="48" t="str">
        <v/>
      </c>
      <c r="H1916" s="49">
        <v>0</v>
      </c>
      <c r="I1916" s="49">
        <v>0</v>
      </c>
      <c r="J1916" s="50"/>
    </row>
  </sheetData>
  <mergeCells count="10">
    <mergeCell ref="A1:J1"/>
    <mergeCell ref="D2:E2"/>
    <mergeCell ref="A2:A3"/>
    <mergeCell ref="B2:B3"/>
    <mergeCell ref="C2:C3"/>
    <mergeCell ref="F2:F3"/>
    <mergeCell ref="G2:G3"/>
    <mergeCell ref="H2:H3"/>
    <mergeCell ref="I2:I3"/>
    <mergeCell ref="J2:J3"/>
  </mergeCells>
  <pageMargins left="0.75" right="0.75" top="1" bottom="1" header="0.5" footer="0.5"/>
  <pageSetup paperSize="9" scale="70"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J18"/>
  <sheetViews>
    <sheetView tabSelected="1" view="pageBreakPreview" zoomScaleNormal="80" workbookViewId="0">
      <selection activeCell="C14" sqref="C14"/>
    </sheetView>
  </sheetViews>
  <sheetFormatPr defaultColWidth="9" defaultRowHeight="14.4"/>
  <cols>
    <col min="1" max="1" width="4.87962962962963" style="1" customWidth="1"/>
    <col min="2" max="2" width="17.8796296296296" style="5" customWidth="1"/>
    <col min="3" max="3" width="43" style="5" customWidth="1" collapsed="1"/>
    <col min="4" max="5" width="5.62962962962963" style="1" hidden="1" customWidth="1" outlineLevel="1"/>
    <col min="6" max="6" width="7" style="6" customWidth="1"/>
    <col min="7" max="7" width="10.25" style="7" customWidth="1"/>
    <col min="8" max="8" width="10.75" style="7" customWidth="1"/>
    <col min="9" max="9" width="16.5555555555556" style="7" customWidth="1"/>
    <col min="10" max="10" width="28.1296296296296" style="1" customWidth="1"/>
    <col min="11" max="16384" width="9" style="1"/>
  </cols>
  <sheetData>
    <row r="1" s="1" customFormat="1" ht="28.2" spans="1:10">
      <c r="A1" s="8" t="s">
        <v>2362</v>
      </c>
      <c r="B1" s="8"/>
      <c r="C1" s="8"/>
      <c r="D1" s="8"/>
      <c r="E1" s="8"/>
      <c r="F1" s="8"/>
      <c r="G1" s="8"/>
      <c r="H1" s="8"/>
      <c r="I1" s="8"/>
      <c r="J1" s="8"/>
    </row>
    <row r="2" s="2" customFormat="1" ht="15.6" spans="1:10">
      <c r="A2" s="9" t="s">
        <v>2</v>
      </c>
      <c r="B2" s="9" t="s">
        <v>227</v>
      </c>
      <c r="C2" s="10" t="s">
        <v>228</v>
      </c>
      <c r="D2" s="9" t="s">
        <v>229</v>
      </c>
      <c r="E2" s="9"/>
      <c r="F2" s="10" t="s">
        <v>230</v>
      </c>
      <c r="G2" s="11" t="s">
        <v>2363</v>
      </c>
      <c r="H2" s="11" t="s">
        <v>225</v>
      </c>
      <c r="I2" s="11" t="s">
        <v>2364</v>
      </c>
      <c r="J2" s="23" t="s">
        <v>235</v>
      </c>
    </row>
    <row r="3" s="2" customFormat="1" ht="15.6" spans="1:10">
      <c r="A3" s="9"/>
      <c r="B3" s="9"/>
      <c r="C3" s="10"/>
      <c r="D3" s="9" t="s">
        <v>236</v>
      </c>
      <c r="E3" s="9" t="s">
        <v>237</v>
      </c>
      <c r="F3" s="10"/>
      <c r="G3" s="11"/>
      <c r="H3" s="11"/>
      <c r="I3" s="11"/>
      <c r="J3" s="23"/>
    </row>
    <row r="4" s="3" customFormat="1" ht="60" outlineLevel="1" spans="1:10">
      <c r="A4" s="12">
        <v>1</v>
      </c>
      <c r="B4" s="13" t="s">
        <v>2365</v>
      </c>
      <c r="C4" s="13" t="s">
        <v>2366</v>
      </c>
      <c r="D4" s="13"/>
      <c r="E4" s="13"/>
      <c r="F4" s="14" t="s">
        <v>868</v>
      </c>
      <c r="G4" s="15"/>
      <c r="H4" s="16">
        <v>202.83</v>
      </c>
      <c r="I4" s="16">
        <f>H4*G4</f>
        <v>0</v>
      </c>
      <c r="J4" s="24"/>
    </row>
    <row r="5" s="3" customFormat="1" ht="84" outlineLevel="1" spans="1:10">
      <c r="A5" s="12">
        <v>2</v>
      </c>
      <c r="B5" s="13" t="s">
        <v>2367</v>
      </c>
      <c r="C5" s="13" t="s">
        <v>2368</v>
      </c>
      <c r="D5" s="13"/>
      <c r="E5" s="13"/>
      <c r="F5" s="14" t="s">
        <v>845</v>
      </c>
      <c r="G5" s="15"/>
      <c r="H5" s="16">
        <v>4056.56</v>
      </c>
      <c r="I5" s="16">
        <f t="shared" ref="I5:I15" si="0">H5*G5</f>
        <v>0</v>
      </c>
      <c r="J5" s="24"/>
    </row>
    <row r="6" s="3" customFormat="1" ht="60" outlineLevel="1" spans="1:10">
      <c r="A6" s="12">
        <v>3</v>
      </c>
      <c r="B6" s="13" t="s">
        <v>2369</v>
      </c>
      <c r="C6" s="13" t="s">
        <v>2370</v>
      </c>
      <c r="D6" s="13"/>
      <c r="E6" s="13"/>
      <c r="F6" s="14" t="s">
        <v>868</v>
      </c>
      <c r="G6" s="15"/>
      <c r="H6" s="16">
        <v>118.16</v>
      </c>
      <c r="I6" s="16">
        <f t="shared" si="0"/>
        <v>0</v>
      </c>
      <c r="J6" s="24"/>
    </row>
    <row r="7" s="3" customFormat="1" ht="72" outlineLevel="1" spans="1:10">
      <c r="A7" s="12">
        <v>4</v>
      </c>
      <c r="B7" s="13" t="s">
        <v>2371</v>
      </c>
      <c r="C7" s="13" t="s">
        <v>2372</v>
      </c>
      <c r="D7" s="13"/>
      <c r="E7" s="13"/>
      <c r="F7" s="14" t="s">
        <v>845</v>
      </c>
      <c r="G7" s="15"/>
      <c r="H7" s="16">
        <v>1477.05</v>
      </c>
      <c r="I7" s="16">
        <f t="shared" si="0"/>
        <v>0</v>
      </c>
      <c r="J7" s="24"/>
    </row>
    <row r="8" s="3" customFormat="1" ht="120" outlineLevel="1" spans="1:10">
      <c r="A8" s="12">
        <v>5</v>
      </c>
      <c r="B8" s="13" t="s">
        <v>2373</v>
      </c>
      <c r="C8" s="13" t="s">
        <v>2374</v>
      </c>
      <c r="D8" s="13"/>
      <c r="E8" s="13"/>
      <c r="F8" s="14" t="s">
        <v>1040</v>
      </c>
      <c r="G8" s="15"/>
      <c r="H8" s="16">
        <v>773.5</v>
      </c>
      <c r="I8" s="16">
        <f t="shared" si="0"/>
        <v>0</v>
      </c>
      <c r="J8" s="24"/>
    </row>
    <row r="9" s="3" customFormat="1" ht="93" customHeight="1" outlineLevel="1" spans="1:10">
      <c r="A9" s="12">
        <v>6</v>
      </c>
      <c r="B9" s="13" t="s">
        <v>2375</v>
      </c>
      <c r="C9" s="13" t="s">
        <v>2376</v>
      </c>
      <c r="D9" s="13"/>
      <c r="E9" s="13"/>
      <c r="F9" s="14" t="s">
        <v>868</v>
      </c>
      <c r="G9" s="15"/>
      <c r="H9" s="16">
        <v>13.66</v>
      </c>
      <c r="I9" s="16">
        <f t="shared" si="0"/>
        <v>0</v>
      </c>
      <c r="J9" s="24"/>
    </row>
    <row r="10" s="3" customFormat="1" ht="84" outlineLevel="1" spans="1:10">
      <c r="A10" s="12">
        <v>7</v>
      </c>
      <c r="B10" s="14" t="s">
        <v>2377</v>
      </c>
      <c r="C10" s="13" t="s">
        <v>2378</v>
      </c>
      <c r="D10" s="13"/>
      <c r="E10" s="13"/>
      <c r="F10" s="14" t="s">
        <v>868</v>
      </c>
      <c r="G10" s="15"/>
      <c r="H10" s="16">
        <v>56.33</v>
      </c>
      <c r="I10" s="16">
        <f t="shared" si="0"/>
        <v>0</v>
      </c>
      <c r="J10" s="24"/>
    </row>
    <row r="11" s="3" customFormat="1" ht="47" customHeight="1" outlineLevel="1" spans="1:10">
      <c r="A11" s="12">
        <v>8</v>
      </c>
      <c r="B11" s="14" t="s">
        <v>2379</v>
      </c>
      <c r="C11" s="13" t="s">
        <v>2380</v>
      </c>
      <c r="D11" s="13"/>
      <c r="E11" s="13"/>
      <c r="F11" s="14" t="s">
        <v>868</v>
      </c>
      <c r="G11" s="15"/>
      <c r="H11" s="16">
        <v>30.35</v>
      </c>
      <c r="I11" s="16">
        <f t="shared" si="0"/>
        <v>0</v>
      </c>
      <c r="J11" s="24"/>
    </row>
    <row r="12" s="3" customFormat="1" ht="96" outlineLevel="1" spans="1:10">
      <c r="A12" s="12">
        <v>9</v>
      </c>
      <c r="B12" s="13" t="s">
        <v>2381</v>
      </c>
      <c r="C12" s="13" t="s">
        <v>2382</v>
      </c>
      <c r="D12" s="13"/>
      <c r="E12" s="13"/>
      <c r="F12" s="14" t="s">
        <v>1040</v>
      </c>
      <c r="G12" s="15"/>
      <c r="H12" s="16">
        <v>3189</v>
      </c>
      <c r="I12" s="16">
        <f t="shared" si="0"/>
        <v>0</v>
      </c>
      <c r="J12" s="24"/>
    </row>
    <row r="13" s="3" customFormat="1" ht="72" outlineLevel="1" spans="1:10">
      <c r="A13" s="12">
        <v>10</v>
      </c>
      <c r="B13" s="13" t="s">
        <v>2383</v>
      </c>
      <c r="C13" s="13" t="s">
        <v>2384</v>
      </c>
      <c r="D13" s="13"/>
      <c r="E13" s="13"/>
      <c r="F13" s="14" t="s">
        <v>823</v>
      </c>
      <c r="G13" s="15"/>
      <c r="H13" s="16">
        <v>4.04</v>
      </c>
      <c r="I13" s="16">
        <f t="shared" si="0"/>
        <v>0</v>
      </c>
      <c r="J13" s="24"/>
    </row>
    <row r="14" s="3" customFormat="1" ht="93" customHeight="1" outlineLevel="1" spans="1:10">
      <c r="A14" s="12">
        <v>11</v>
      </c>
      <c r="B14" s="13" t="s">
        <v>2385</v>
      </c>
      <c r="C14" s="13" t="s">
        <v>2386</v>
      </c>
      <c r="D14" s="13"/>
      <c r="E14" s="13"/>
      <c r="F14" s="14" t="s">
        <v>823</v>
      </c>
      <c r="G14" s="15"/>
      <c r="H14" s="16">
        <v>35.3</v>
      </c>
      <c r="I14" s="16">
        <f t="shared" si="0"/>
        <v>0</v>
      </c>
      <c r="J14" s="24"/>
    </row>
    <row r="15" ht="33" customHeight="1" spans="1:10">
      <c r="A15" s="12">
        <v>12</v>
      </c>
      <c r="B15" s="17" t="s">
        <v>2387</v>
      </c>
      <c r="C15" s="17"/>
      <c r="D15" s="17"/>
      <c r="E15" s="17"/>
      <c r="F15" s="17"/>
      <c r="G15" s="17"/>
      <c r="H15" s="17"/>
      <c r="I15" s="25"/>
      <c r="J15" s="26"/>
    </row>
    <row r="16" ht="33" customHeight="1" spans="1:10">
      <c r="A16" s="12">
        <v>13</v>
      </c>
      <c r="B16" s="18" t="s">
        <v>2388</v>
      </c>
      <c r="C16" s="19"/>
      <c r="D16" s="19"/>
      <c r="E16" s="19"/>
      <c r="F16" s="19"/>
      <c r="G16" s="19"/>
      <c r="H16" s="20"/>
      <c r="I16" s="25"/>
      <c r="J16" s="22" t="s">
        <v>2389</v>
      </c>
    </row>
    <row r="17" ht="32" customHeight="1" spans="1:10">
      <c r="A17" s="12">
        <v>14</v>
      </c>
      <c r="B17" s="17" t="s">
        <v>2390</v>
      </c>
      <c r="C17" s="17"/>
      <c r="D17" s="17"/>
      <c r="E17" s="17"/>
      <c r="F17" s="17"/>
      <c r="G17" s="17"/>
      <c r="H17" s="17"/>
      <c r="I17" s="25"/>
      <c r="J17" s="27" t="s">
        <v>2391</v>
      </c>
    </row>
    <row r="18" s="4" customFormat="1" ht="114" customHeight="1" spans="1:10">
      <c r="A18" s="21" t="s">
        <v>2392</v>
      </c>
      <c r="B18" s="22"/>
      <c r="C18" s="22"/>
      <c r="D18" s="22"/>
      <c r="E18" s="22"/>
      <c r="F18" s="22"/>
      <c r="G18" s="22"/>
      <c r="H18" s="22"/>
      <c r="I18" s="22"/>
      <c r="J18" s="22"/>
    </row>
  </sheetData>
  <mergeCells count="14">
    <mergeCell ref="A1:J1"/>
    <mergeCell ref="D2:E2"/>
    <mergeCell ref="B15:H15"/>
    <mergeCell ref="B16:H16"/>
    <mergeCell ref="B17:H17"/>
    <mergeCell ref="A18:J18"/>
    <mergeCell ref="A2:A3"/>
    <mergeCell ref="B2:B3"/>
    <mergeCell ref="C2:C3"/>
    <mergeCell ref="F2:F3"/>
    <mergeCell ref="G2:G3"/>
    <mergeCell ref="H2:H3"/>
    <mergeCell ref="I2:I3"/>
    <mergeCell ref="J2:J3"/>
  </mergeCells>
  <pageMargins left="0.751388888888889" right="0.751388888888889" top="1" bottom="1" header="0.5" footer="0.5"/>
  <pageSetup paperSize="9" scale="63"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P68"/>
  <sheetViews>
    <sheetView workbookViewId="0">
      <pane xSplit="3" ySplit="5" topLeftCell="D9" activePane="bottomRight" state="frozen"/>
      <selection/>
      <selection pane="topRight"/>
      <selection pane="bottomLeft"/>
      <selection pane="bottomRight" activeCell="I22" sqref="I22"/>
    </sheetView>
  </sheetViews>
  <sheetFormatPr defaultColWidth="8.27777777777778" defaultRowHeight="13.2"/>
  <cols>
    <col min="1" max="1" width="3.30555555555556" style="381" customWidth="1"/>
    <col min="2" max="2" width="12.1296296296296" style="381" customWidth="1"/>
    <col min="3" max="3" width="7.27777777777778" style="381" customWidth="1"/>
    <col min="4" max="4" width="9.55555555555556" style="381" customWidth="1"/>
    <col min="5" max="5" width="8.88888888888889" style="381" customWidth="1"/>
    <col min="6" max="6" width="8.37962962962963" style="381" customWidth="1"/>
    <col min="7" max="7" width="8.44444444444444" style="381" customWidth="1"/>
    <col min="8" max="8" width="8.87962962962963" style="381" customWidth="1"/>
    <col min="9" max="9" width="8.33333333333333" style="381" customWidth="1"/>
    <col min="10" max="10" width="9.17592592592593" style="381" customWidth="1"/>
    <col min="11" max="11" width="10.6296296296296" style="381" hidden="1" customWidth="1" outlineLevel="1"/>
    <col min="12" max="12" width="10.1759259259259" style="381" hidden="1" customWidth="1" outlineLevel="1"/>
    <col min="13" max="13" width="12.6296296296296" style="381" hidden="1" customWidth="1" outlineLevel="1"/>
    <col min="14" max="14" width="12.4444444444444" style="381" customWidth="1" collapsed="1"/>
    <col min="15" max="15" width="10.6296296296296" style="381" hidden="1" customWidth="1" outlineLevel="1"/>
    <col min="16" max="16" width="10.1759259259259" style="381" hidden="1" customWidth="1" outlineLevel="1"/>
    <col min="17" max="17" width="12.6296296296296" style="381" hidden="1" customWidth="1" outlineLevel="1"/>
    <col min="18" max="18" width="12.5462962962963" style="381" customWidth="1" collapsed="1"/>
    <col min="19" max="19" width="10.6296296296296" style="381" hidden="1" customWidth="1" outlineLevel="1"/>
    <col min="20" max="20" width="10.1759259259259" style="381" hidden="1" customWidth="1" outlineLevel="1"/>
    <col min="21" max="21" width="12.6296296296296" style="381" hidden="1" customWidth="1" outlineLevel="1"/>
    <col min="22" max="22" width="14.9074074074074" style="381" customWidth="1" collapsed="1"/>
    <col min="23" max="25" width="11.4537037037037" style="381" hidden="1" customWidth="1" outlineLevel="1"/>
    <col min="26" max="26" width="11.4537037037037" style="381" customWidth="1" collapsed="1"/>
    <col min="27" max="29" width="11.4537037037037" style="381" hidden="1" customWidth="1" outlineLevel="1"/>
    <col min="30" max="30" width="14.6666666666667" style="381" customWidth="1" collapsed="1"/>
    <col min="31" max="33" width="11.4537037037037" style="381" hidden="1" customWidth="1" outlineLevel="1"/>
    <col min="34" max="34" width="13.9074074074074" style="381" customWidth="1" collapsed="1"/>
    <col min="35" max="37" width="11.4537037037037" style="381" hidden="1" customWidth="1" outlineLevel="1"/>
    <col min="38" max="38" width="13.9074074074074" style="381" customWidth="1" collapsed="1"/>
    <col min="39" max="41" width="11.4537037037037" style="381" hidden="1" customWidth="1" outlineLevel="1"/>
    <col min="42" max="42" width="11.4537037037037" style="381" customWidth="1" collapsed="1"/>
    <col min="43" max="45" width="11.2777777777778" style="381" hidden="1" customWidth="1" outlineLevel="1"/>
    <col min="46" max="46" width="11.2777777777778" style="381" customWidth="1" collapsed="1"/>
    <col min="47" max="49" width="11.2777777777778" style="381" hidden="1" customWidth="1" outlineLevel="1"/>
    <col min="50" max="50" width="11.2777777777778" style="381" customWidth="1" collapsed="1"/>
    <col min="51" max="52" width="11.2777777777778" style="381" hidden="1" customWidth="1" outlineLevel="1"/>
    <col min="53" max="53" width="11.712962962963" style="381" hidden="1" customWidth="1" outlineLevel="1"/>
    <col min="54" max="54" width="12.5462962962963" style="382" customWidth="1" collapsed="1"/>
    <col min="55" max="56" width="12.5462962962963" style="382" hidden="1" customWidth="1" outlineLevel="1"/>
    <col min="57" max="57" width="11.8148148148148" style="381" hidden="1" customWidth="1" outlineLevel="1"/>
    <col min="58" max="58" width="11.8148148148148" style="381" customWidth="1" collapsed="1"/>
    <col min="59" max="60" width="11.8148148148148" style="381" hidden="1" customWidth="1" outlineLevel="1"/>
    <col min="61" max="61" width="12.5462962962963" style="381" hidden="1" customWidth="1" outlineLevel="1"/>
    <col min="62" max="62" width="12.5462962962963" style="381" customWidth="1" collapsed="1"/>
    <col min="63" max="65" width="12.5462962962963" style="381" hidden="1" customWidth="1" outlineLevel="1"/>
    <col min="66" max="66" width="12.5462962962963" style="381" customWidth="1" collapsed="1"/>
    <col min="67" max="68" width="12.5462962962963" style="381" hidden="1" customWidth="1" outlineLevel="1"/>
    <col min="69" max="69" width="13.0925925925926" style="381" hidden="1" customWidth="1" outlineLevel="1"/>
    <col min="70" max="70" width="13.0925925925926" style="381" customWidth="1" collapsed="1"/>
    <col min="71" max="72" width="13.0925925925926" style="381" hidden="1" customWidth="1" outlineLevel="1"/>
    <col min="73" max="73" width="10.8148148148148" style="381" hidden="1" customWidth="1" outlineLevel="1"/>
    <col min="74" max="74" width="10.8148148148148" style="381" customWidth="1" collapsed="1"/>
    <col min="75" max="76" width="13.0925925925926" style="381" hidden="1" customWidth="1" outlineLevel="1"/>
    <col min="77" max="77" width="10.8148148148148" style="381" hidden="1" customWidth="1" outlineLevel="1"/>
    <col min="78" max="78" width="10.8148148148148" style="381" customWidth="1" collapsed="1"/>
    <col min="79" max="79" width="10.8148148148148" style="381" hidden="1" customWidth="1" outlineLevel="1"/>
    <col min="80" max="80" width="10.8148148148148" style="381" customWidth="1" collapsed="1"/>
    <col min="81" max="81" width="10.8148148148148" style="381" hidden="1" customWidth="1" outlineLevel="1"/>
    <col min="82" max="82" width="10.8148148148148" style="381" customWidth="1" collapsed="1"/>
    <col min="83" max="83" width="10.8148148148148" style="381" hidden="1" customWidth="1" outlineLevel="1"/>
    <col min="84" max="84" width="10.8148148148148" style="381" customWidth="1" collapsed="1"/>
    <col min="85" max="85" width="10.8148148148148" style="381" hidden="1" customWidth="1" outlineLevel="1"/>
    <col min="86" max="86" width="10.8148148148148" style="381" customWidth="1" collapsed="1"/>
    <col min="87" max="87" width="10.8148148148148" style="381" hidden="1" customWidth="1" outlineLevel="1"/>
    <col min="88" max="88" width="10.8148148148148" style="381" customWidth="1" collapsed="1"/>
    <col min="89" max="89" width="10.8148148148148" style="381" hidden="1" customWidth="1" outlineLevel="1"/>
    <col min="90" max="90" width="10.8148148148148" style="381" customWidth="1" collapsed="1"/>
    <col min="91" max="92" width="13.0925925925926" style="381" hidden="1" customWidth="1" outlineLevel="1"/>
    <col min="93" max="93" width="10.8148148148148" style="381" hidden="1" customWidth="1" outlineLevel="1"/>
    <col min="94" max="94" width="10.8148148148148" style="381" customWidth="1" collapsed="1"/>
    <col min="95" max="16384" width="8.27777777777778" style="381"/>
  </cols>
  <sheetData>
    <row r="1" ht="22" customHeight="1" spans="1:94">
      <c r="A1" s="383" t="s">
        <v>115</v>
      </c>
      <c r="B1" s="383"/>
      <c r="C1" s="383"/>
      <c r="D1" s="383"/>
      <c r="E1" s="383"/>
      <c r="F1" s="383"/>
      <c r="G1" s="383"/>
      <c r="H1" s="383"/>
      <c r="I1" s="383"/>
      <c r="J1" s="413" t="s">
        <v>116</v>
      </c>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c r="BA1" s="414"/>
      <c r="BB1" s="414"/>
      <c r="BC1" s="414"/>
      <c r="BD1" s="414"/>
      <c r="BE1" s="414"/>
      <c r="BF1" s="414"/>
      <c r="BG1" s="414"/>
      <c r="BH1" s="414"/>
      <c r="BI1" s="414"/>
      <c r="BJ1" s="414"/>
      <c r="BK1" s="414"/>
      <c r="BL1" s="414"/>
      <c r="BM1" s="414"/>
      <c r="BN1" s="414"/>
      <c r="BO1" s="414"/>
      <c r="BP1" s="414"/>
      <c r="BQ1" s="414"/>
      <c r="BR1" s="414"/>
      <c r="BS1" s="414"/>
      <c r="BT1" s="414"/>
      <c r="BU1" s="414"/>
      <c r="BV1" s="414"/>
      <c r="BW1" s="414"/>
      <c r="BX1" s="414"/>
      <c r="BY1" s="414"/>
      <c r="BZ1" s="414"/>
      <c r="CA1" s="380"/>
      <c r="CB1" s="380"/>
      <c r="CC1" s="380"/>
      <c r="CD1" s="380"/>
      <c r="CE1" s="380"/>
      <c r="CF1" s="380"/>
      <c r="CG1" s="380"/>
      <c r="CH1" s="380"/>
      <c r="CI1" s="380"/>
      <c r="CJ1" s="380"/>
      <c r="CK1" s="380"/>
      <c r="CL1" s="380"/>
      <c r="CM1" s="414"/>
      <c r="CN1" s="414"/>
      <c r="CO1" s="414"/>
      <c r="CP1" s="414"/>
    </row>
    <row r="2" s="378" customFormat="1" ht="22" customHeight="1" spans="1:4">
      <c r="A2" s="384" t="s">
        <v>117</v>
      </c>
      <c r="B2" s="385"/>
      <c r="C2" s="378" t="e">
        <f>#REF!</f>
        <v>#REF!</v>
      </c>
      <c r="D2" s="386"/>
    </row>
    <row r="3" s="379" customFormat="1" ht="21" customHeight="1" spans="1:94">
      <c r="A3" s="387" t="s">
        <v>2</v>
      </c>
      <c r="B3" s="388" t="s">
        <v>118</v>
      </c>
      <c r="C3" s="388" t="s">
        <v>119</v>
      </c>
      <c r="D3" s="388" t="s">
        <v>120</v>
      </c>
      <c r="E3" s="388" t="s">
        <v>121</v>
      </c>
      <c r="F3" s="388" t="s">
        <v>122</v>
      </c>
      <c r="G3" s="388" t="s">
        <v>123</v>
      </c>
      <c r="H3" s="389" t="s">
        <v>124</v>
      </c>
      <c r="I3" s="389" t="s">
        <v>125</v>
      </c>
      <c r="J3" s="389" t="s">
        <v>126</v>
      </c>
      <c r="K3" s="415" t="s">
        <v>127</v>
      </c>
      <c r="L3" s="416"/>
      <c r="M3" s="416"/>
      <c r="N3" s="416"/>
      <c r="O3" s="416"/>
      <c r="P3" s="416"/>
      <c r="Q3" s="416"/>
      <c r="R3" s="416"/>
      <c r="S3" s="416"/>
      <c r="T3" s="416"/>
      <c r="U3" s="416"/>
      <c r="V3" s="416"/>
      <c r="W3" s="416"/>
      <c r="X3" s="416"/>
      <c r="Y3" s="416"/>
      <c r="Z3" s="431"/>
      <c r="AA3" s="415" t="s">
        <v>128</v>
      </c>
      <c r="AB3" s="416"/>
      <c r="AC3" s="416"/>
      <c r="AD3" s="416"/>
      <c r="AE3" s="416"/>
      <c r="AF3" s="416"/>
      <c r="AG3" s="416"/>
      <c r="AH3" s="416"/>
      <c r="AI3" s="416"/>
      <c r="AJ3" s="416"/>
      <c r="AK3" s="416"/>
      <c r="AL3" s="416"/>
      <c r="AM3" s="416"/>
      <c r="AN3" s="416"/>
      <c r="AO3" s="416"/>
      <c r="AP3" s="431"/>
      <c r="AQ3" s="432" t="s">
        <v>129</v>
      </c>
      <c r="AR3" s="433"/>
      <c r="AS3" s="433"/>
      <c r="AT3" s="434"/>
      <c r="AU3" s="432" t="s">
        <v>130</v>
      </c>
      <c r="AV3" s="433"/>
      <c r="AW3" s="433"/>
      <c r="AX3" s="434"/>
      <c r="AY3" s="432" t="s">
        <v>131</v>
      </c>
      <c r="AZ3" s="433"/>
      <c r="BA3" s="433"/>
      <c r="BB3" s="434"/>
      <c r="BC3" s="415" t="s">
        <v>132</v>
      </c>
      <c r="BD3" s="416"/>
      <c r="BE3" s="416"/>
      <c r="BF3" s="431"/>
      <c r="BG3" s="432" t="s">
        <v>133</v>
      </c>
      <c r="BH3" s="433"/>
      <c r="BI3" s="433"/>
      <c r="BJ3" s="434"/>
      <c r="BK3" s="432" t="s">
        <v>134</v>
      </c>
      <c r="BL3" s="433"/>
      <c r="BM3" s="433"/>
      <c r="BN3" s="434"/>
      <c r="BO3" s="432" t="s">
        <v>135</v>
      </c>
      <c r="BP3" s="433"/>
      <c r="BQ3" s="433"/>
      <c r="BR3" s="434"/>
      <c r="BS3" s="432" t="s">
        <v>136</v>
      </c>
      <c r="BT3" s="433"/>
      <c r="BU3" s="433"/>
      <c r="BV3" s="434"/>
      <c r="BW3" s="432" t="s">
        <v>137</v>
      </c>
      <c r="BX3" s="433"/>
      <c r="BY3" s="433"/>
      <c r="BZ3" s="434"/>
      <c r="CA3" s="432" t="s">
        <v>138</v>
      </c>
      <c r="CB3" s="434"/>
      <c r="CC3" s="432" t="s">
        <v>139</v>
      </c>
      <c r="CD3" s="434"/>
      <c r="CE3" s="432" t="s">
        <v>140</v>
      </c>
      <c r="CF3" s="434"/>
      <c r="CG3" s="432" t="s">
        <v>141</v>
      </c>
      <c r="CH3" s="434"/>
      <c r="CI3" s="432" t="s">
        <v>142</v>
      </c>
      <c r="CJ3" s="434"/>
      <c r="CK3" s="432" t="s">
        <v>143</v>
      </c>
      <c r="CL3" s="434"/>
      <c r="CM3" s="432" t="s">
        <v>144</v>
      </c>
      <c r="CN3" s="433"/>
      <c r="CO3" s="433"/>
      <c r="CP3" s="443"/>
    </row>
    <row r="4" s="379" customFormat="1" ht="18" customHeight="1" spans="1:94">
      <c r="A4" s="390"/>
      <c r="B4" s="391"/>
      <c r="C4" s="391"/>
      <c r="D4" s="391"/>
      <c r="E4" s="391"/>
      <c r="F4" s="391"/>
      <c r="G4" s="391"/>
      <c r="H4" s="392"/>
      <c r="I4" s="392"/>
      <c r="J4" s="392"/>
      <c r="K4" s="417" t="s">
        <v>145</v>
      </c>
      <c r="L4" s="418"/>
      <c r="M4" s="418"/>
      <c r="N4" s="419"/>
      <c r="O4" s="417" t="s">
        <v>146</v>
      </c>
      <c r="P4" s="418"/>
      <c r="Q4" s="418"/>
      <c r="R4" s="419"/>
      <c r="S4" s="417" t="s">
        <v>147</v>
      </c>
      <c r="T4" s="418"/>
      <c r="U4" s="418"/>
      <c r="V4" s="419"/>
      <c r="W4" s="417" t="s">
        <v>148</v>
      </c>
      <c r="X4" s="418"/>
      <c r="Y4" s="418"/>
      <c r="Z4" s="419"/>
      <c r="AA4" s="417" t="s">
        <v>149</v>
      </c>
      <c r="AB4" s="418"/>
      <c r="AC4" s="418"/>
      <c r="AD4" s="419"/>
      <c r="AE4" s="417" t="s">
        <v>150</v>
      </c>
      <c r="AF4" s="418"/>
      <c r="AG4" s="418"/>
      <c r="AH4" s="419"/>
      <c r="AI4" s="417" t="s">
        <v>151</v>
      </c>
      <c r="AJ4" s="418"/>
      <c r="AK4" s="418"/>
      <c r="AL4" s="419"/>
      <c r="AM4" s="417" t="s">
        <v>152</v>
      </c>
      <c r="AN4" s="418"/>
      <c r="AO4" s="418"/>
      <c r="AP4" s="419"/>
      <c r="AQ4" s="435"/>
      <c r="AR4" s="436"/>
      <c r="AS4" s="436"/>
      <c r="AT4" s="437"/>
      <c r="AU4" s="435"/>
      <c r="AV4" s="436"/>
      <c r="AW4" s="436"/>
      <c r="AX4" s="437"/>
      <c r="AY4" s="435"/>
      <c r="AZ4" s="436"/>
      <c r="BA4" s="436"/>
      <c r="BB4" s="437"/>
      <c r="BC4" s="438"/>
      <c r="BD4" s="439"/>
      <c r="BE4" s="439"/>
      <c r="BF4" s="441"/>
      <c r="BG4" s="435"/>
      <c r="BH4" s="436"/>
      <c r="BI4" s="436"/>
      <c r="BJ4" s="437"/>
      <c r="BK4" s="435"/>
      <c r="BL4" s="436"/>
      <c r="BM4" s="436"/>
      <c r="BN4" s="437"/>
      <c r="BO4" s="435"/>
      <c r="BP4" s="436"/>
      <c r="BQ4" s="436"/>
      <c r="BR4" s="437"/>
      <c r="BS4" s="435"/>
      <c r="BT4" s="436"/>
      <c r="BU4" s="436"/>
      <c r="BV4" s="437"/>
      <c r="BW4" s="435"/>
      <c r="BX4" s="436"/>
      <c r="BY4" s="436"/>
      <c r="BZ4" s="437"/>
      <c r="CA4" s="435"/>
      <c r="CB4" s="437"/>
      <c r="CC4" s="435"/>
      <c r="CD4" s="437"/>
      <c r="CE4" s="435"/>
      <c r="CF4" s="437"/>
      <c r="CG4" s="435"/>
      <c r="CH4" s="437"/>
      <c r="CI4" s="435"/>
      <c r="CJ4" s="437"/>
      <c r="CK4" s="435"/>
      <c r="CL4" s="437"/>
      <c r="CM4" s="435"/>
      <c r="CN4" s="436"/>
      <c r="CO4" s="436"/>
      <c r="CP4" s="444"/>
    </row>
    <row r="5" s="380" customFormat="1" ht="25" customHeight="1" spans="1:94">
      <c r="A5" s="393"/>
      <c r="B5" s="394"/>
      <c r="C5" s="394"/>
      <c r="D5" s="394"/>
      <c r="E5" s="394"/>
      <c r="F5" s="394"/>
      <c r="G5" s="394"/>
      <c r="H5" s="395"/>
      <c r="I5" s="395"/>
      <c r="J5" s="395"/>
      <c r="K5" s="420" t="s">
        <v>153</v>
      </c>
      <c r="L5" s="421" t="s">
        <v>154</v>
      </c>
      <c r="M5" s="421" t="s">
        <v>155</v>
      </c>
      <c r="N5" s="422" t="s">
        <v>156</v>
      </c>
      <c r="O5" s="420" t="s">
        <v>153</v>
      </c>
      <c r="P5" s="421" t="s">
        <v>154</v>
      </c>
      <c r="Q5" s="421" t="s">
        <v>155</v>
      </c>
      <c r="R5" s="422" t="s">
        <v>156</v>
      </c>
      <c r="S5" s="420" t="s">
        <v>153</v>
      </c>
      <c r="T5" s="421" t="s">
        <v>154</v>
      </c>
      <c r="U5" s="421" t="s">
        <v>155</v>
      </c>
      <c r="V5" s="422" t="s">
        <v>156</v>
      </c>
      <c r="W5" s="420" t="s">
        <v>153</v>
      </c>
      <c r="X5" s="421" t="s">
        <v>154</v>
      </c>
      <c r="Y5" s="421" t="s">
        <v>155</v>
      </c>
      <c r="Z5" s="422" t="s">
        <v>156</v>
      </c>
      <c r="AA5" s="420" t="s">
        <v>157</v>
      </c>
      <c r="AB5" s="421" t="s">
        <v>158</v>
      </c>
      <c r="AC5" s="421" t="s">
        <v>155</v>
      </c>
      <c r="AD5" s="422" t="s">
        <v>156</v>
      </c>
      <c r="AE5" s="420" t="s">
        <v>157</v>
      </c>
      <c r="AF5" s="421" t="s">
        <v>158</v>
      </c>
      <c r="AG5" s="421" t="s">
        <v>155</v>
      </c>
      <c r="AH5" s="422" t="s">
        <v>156</v>
      </c>
      <c r="AI5" s="420" t="s">
        <v>157</v>
      </c>
      <c r="AJ5" s="421" t="s">
        <v>158</v>
      </c>
      <c r="AK5" s="421" t="s">
        <v>155</v>
      </c>
      <c r="AL5" s="422" t="s">
        <v>156</v>
      </c>
      <c r="AM5" s="420" t="s">
        <v>157</v>
      </c>
      <c r="AN5" s="421" t="s">
        <v>158</v>
      </c>
      <c r="AO5" s="421" t="s">
        <v>155</v>
      </c>
      <c r="AP5" s="422" t="s">
        <v>156</v>
      </c>
      <c r="AQ5" s="420" t="s">
        <v>159</v>
      </c>
      <c r="AR5" s="421" t="s">
        <v>160</v>
      </c>
      <c r="AS5" s="421" t="s">
        <v>155</v>
      </c>
      <c r="AT5" s="422" t="s">
        <v>156</v>
      </c>
      <c r="AU5" s="420" t="s">
        <v>161</v>
      </c>
      <c r="AV5" s="421" t="s">
        <v>162</v>
      </c>
      <c r="AW5" s="421" t="s">
        <v>155</v>
      </c>
      <c r="AX5" s="422" t="s">
        <v>156</v>
      </c>
      <c r="AY5" s="420" t="s">
        <v>159</v>
      </c>
      <c r="AZ5" s="440" t="s">
        <v>160</v>
      </c>
      <c r="BA5" s="421" t="s">
        <v>155</v>
      </c>
      <c r="BB5" s="422" t="s">
        <v>156</v>
      </c>
      <c r="BC5" s="420" t="s">
        <v>161</v>
      </c>
      <c r="BD5" s="421" t="s">
        <v>162</v>
      </c>
      <c r="BE5" s="421" t="s">
        <v>155</v>
      </c>
      <c r="BF5" s="422" t="s">
        <v>156</v>
      </c>
      <c r="BG5" s="420" t="s">
        <v>161</v>
      </c>
      <c r="BH5" s="421" t="s">
        <v>162</v>
      </c>
      <c r="BI5" s="421" t="s">
        <v>155</v>
      </c>
      <c r="BJ5" s="422" t="s">
        <v>156</v>
      </c>
      <c r="BK5" s="420" t="s">
        <v>161</v>
      </c>
      <c r="BL5" s="421" t="s">
        <v>162</v>
      </c>
      <c r="BM5" s="421" t="s">
        <v>155</v>
      </c>
      <c r="BN5" s="422" t="s">
        <v>156</v>
      </c>
      <c r="BO5" s="420" t="s">
        <v>161</v>
      </c>
      <c r="BP5" s="421" t="s">
        <v>162</v>
      </c>
      <c r="BQ5" s="421" t="s">
        <v>155</v>
      </c>
      <c r="BR5" s="422" t="s">
        <v>156</v>
      </c>
      <c r="BS5" s="420" t="s">
        <v>161</v>
      </c>
      <c r="BT5" s="421" t="s">
        <v>162</v>
      </c>
      <c r="BU5" s="421" t="s">
        <v>155</v>
      </c>
      <c r="BV5" s="422" t="s">
        <v>156</v>
      </c>
      <c r="BW5" s="420" t="s">
        <v>161</v>
      </c>
      <c r="BX5" s="421" t="s">
        <v>162</v>
      </c>
      <c r="BY5" s="421" t="s">
        <v>155</v>
      </c>
      <c r="BZ5" s="422" t="s">
        <v>156</v>
      </c>
      <c r="CA5" s="420" t="s">
        <v>155</v>
      </c>
      <c r="CB5" s="422" t="s">
        <v>156</v>
      </c>
      <c r="CC5" s="420" t="s">
        <v>155</v>
      </c>
      <c r="CD5" s="422" t="s">
        <v>156</v>
      </c>
      <c r="CE5" s="420" t="s">
        <v>155</v>
      </c>
      <c r="CF5" s="422" t="s">
        <v>156</v>
      </c>
      <c r="CG5" s="420" t="s">
        <v>155</v>
      </c>
      <c r="CH5" s="422" t="s">
        <v>156</v>
      </c>
      <c r="CI5" s="420" t="s">
        <v>155</v>
      </c>
      <c r="CJ5" s="422" t="s">
        <v>156</v>
      </c>
      <c r="CK5" s="420" t="s">
        <v>155</v>
      </c>
      <c r="CL5" s="422" t="s">
        <v>156</v>
      </c>
      <c r="CM5" s="420" t="s">
        <v>161</v>
      </c>
      <c r="CN5" s="421" t="s">
        <v>162</v>
      </c>
      <c r="CO5" s="421" t="s">
        <v>155</v>
      </c>
      <c r="CP5" s="445" t="s">
        <v>156</v>
      </c>
    </row>
    <row r="6" s="380" customFormat="1" ht="19" customHeight="1" spans="1:94">
      <c r="A6" s="396">
        <v>1</v>
      </c>
      <c r="B6" s="397" t="s">
        <v>77</v>
      </c>
      <c r="C6" s="398" t="s">
        <v>163</v>
      </c>
      <c r="D6" s="399" t="s">
        <v>164</v>
      </c>
      <c r="E6" s="399" t="s">
        <v>165</v>
      </c>
      <c r="F6" s="400"/>
      <c r="G6" s="401" t="s">
        <v>166</v>
      </c>
      <c r="H6" s="402"/>
      <c r="I6" s="402"/>
      <c r="J6" s="423" t="e">
        <f t="shared" ref="J6:J22" si="0">N6+R6+V6+Z6+AD6+AH6+AL6+AP6+AT6+AX6+BB6+BF6+BJ6+BN6+BR6+BV6+BZ6+CB6+CD6+CF6+CH6+CJ6+CL6+CP6</f>
        <v>#DIV/0!</v>
      </c>
      <c r="K6" s="424">
        <f>SUMIF(工程量清单A建筑工程!$D:$D,$C6&amp;K$4,工程量清单A建筑工程!$H:$H)</f>
        <v>0</v>
      </c>
      <c r="L6" s="405" t="e">
        <f t="shared" ref="L6:L23" si="1">K6/H6</f>
        <v>#DIV/0!</v>
      </c>
      <c r="M6" s="402">
        <f>SUMIF(工程量清单A建筑工程!$D:$D,$C6&amp;K$4,工程量清单A建筑工程!$R:$R)</f>
        <v>0</v>
      </c>
      <c r="N6" s="425" t="e">
        <f t="shared" ref="N6:N22" si="2">M6/H6</f>
        <v>#DIV/0!</v>
      </c>
      <c r="O6" s="424">
        <f>SUMIF(工程量清单A建筑工程!$D:$D,$C6&amp;O$4,工程量清单A建筑工程!$H:$H)</f>
        <v>0</v>
      </c>
      <c r="P6" s="425" t="e">
        <f t="shared" ref="P6:T6" si="3">O6/$H6</f>
        <v>#DIV/0!</v>
      </c>
      <c r="Q6" s="402"/>
      <c r="R6" s="425" t="e">
        <f t="shared" si="3"/>
        <v>#DIV/0!</v>
      </c>
      <c r="S6" s="424">
        <f>SUMIF(工程量清单A建筑工程!$D:$D,$C6&amp;S$4,工程量清单A建筑工程!$H:$H)</f>
        <v>0</v>
      </c>
      <c r="T6" s="425" t="e">
        <f t="shared" si="3"/>
        <v>#DIV/0!</v>
      </c>
      <c r="U6" s="402"/>
      <c r="V6" s="425" t="e">
        <f t="shared" ref="V6:Z6" si="4">U6/$H6</f>
        <v>#DIV/0!</v>
      </c>
      <c r="W6" s="424">
        <f>SUMIF(工程量清单A建筑工程!$D:$D,$C6&amp;W$4,工程量清单A建筑工程!$H:$H)</f>
        <v>0</v>
      </c>
      <c r="X6" s="425" t="e">
        <f t="shared" si="4"/>
        <v>#DIV/0!</v>
      </c>
      <c r="Y6" s="402"/>
      <c r="Z6" s="425" t="e">
        <f t="shared" si="4"/>
        <v>#DIV/0!</v>
      </c>
      <c r="AA6" s="424">
        <f>SUMIF(工程量清单A建筑工程!$D:$D,$C6&amp;AA$4,工程量清单A建筑工程!$H:$H)</f>
        <v>0</v>
      </c>
      <c r="AB6" s="425" t="e">
        <f t="shared" ref="AB6:AF6" si="5">AA6/$H6</f>
        <v>#DIV/0!</v>
      </c>
      <c r="AC6" s="402"/>
      <c r="AD6" s="425" t="e">
        <f t="shared" si="5"/>
        <v>#DIV/0!</v>
      </c>
      <c r="AE6" s="424">
        <f>SUMIF(工程量清单A建筑工程!$D:$D,$C6&amp;AE$4,工程量清单A建筑工程!$H:$H)</f>
        <v>0</v>
      </c>
      <c r="AF6" s="425" t="e">
        <f t="shared" si="5"/>
        <v>#DIV/0!</v>
      </c>
      <c r="AG6" s="402"/>
      <c r="AH6" s="425" t="e">
        <f t="shared" ref="AH6:AL6" si="6">AG6/$H6</f>
        <v>#DIV/0!</v>
      </c>
      <c r="AI6" s="424">
        <f>SUMIF(工程量清单A建筑工程!$D:$D,$C6&amp;AI$4,工程量清单A建筑工程!$H:$H)</f>
        <v>0</v>
      </c>
      <c r="AJ6" s="425" t="e">
        <f t="shared" si="6"/>
        <v>#DIV/0!</v>
      </c>
      <c r="AK6" s="402"/>
      <c r="AL6" s="425" t="e">
        <f t="shared" si="6"/>
        <v>#DIV/0!</v>
      </c>
      <c r="AM6" s="424">
        <f>SUMIF(工程量清单A建筑工程!$D:$D,$C6&amp;AM$4,工程量清单A建筑工程!$H:$H)</f>
        <v>0</v>
      </c>
      <c r="AN6" s="425" t="e">
        <f t="shared" ref="AN6:AR6" si="7">AM6/$H6</f>
        <v>#DIV/0!</v>
      </c>
      <c r="AO6" s="402"/>
      <c r="AP6" s="425" t="e">
        <f t="shared" si="7"/>
        <v>#DIV/0!</v>
      </c>
      <c r="AQ6" s="424">
        <f>SUMIF(工程量清单A建筑工程!$D:$D,AQ$3,工程量清单A建筑工程!$H:$H)</f>
        <v>0</v>
      </c>
      <c r="AR6" s="425" t="e">
        <f t="shared" si="7"/>
        <v>#DIV/0!</v>
      </c>
      <c r="AS6" s="402"/>
      <c r="AT6" s="425" t="e">
        <f t="shared" ref="AT6:AX6" si="8">AS6/$H6</f>
        <v>#DIV/0!</v>
      </c>
      <c r="AU6" s="424">
        <f>SUMIF(工程量清单A建筑工程!$D:$D,$C6&amp;AU$3,工程量清单A建筑工程!$H:$H)</f>
        <v>0</v>
      </c>
      <c r="AV6" s="425" t="e">
        <f t="shared" si="8"/>
        <v>#DIV/0!</v>
      </c>
      <c r="AW6" s="402"/>
      <c r="AX6" s="425" t="e">
        <f t="shared" si="8"/>
        <v>#DIV/0!</v>
      </c>
      <c r="AY6" s="424">
        <f>SUMIF(工程量清单A建筑工程!$D:$D,$C6&amp;AY$3,工程量清单A建筑工程!$H:$H)</f>
        <v>0</v>
      </c>
      <c r="AZ6" s="425" t="e">
        <f t="shared" ref="AZ6:BD6" si="9">AY6/$H6</f>
        <v>#DIV/0!</v>
      </c>
      <c r="BA6" s="402"/>
      <c r="BB6" s="425" t="e">
        <f t="shared" si="9"/>
        <v>#DIV/0!</v>
      </c>
      <c r="BC6" s="424">
        <f>SUMIF(工程量清单A建筑工程!$D:$D,BC$3,工程量清单A建筑工程!$H:$H)</f>
        <v>551.96</v>
      </c>
      <c r="BD6" s="425" t="e">
        <f t="shared" si="9"/>
        <v>#DIV/0!</v>
      </c>
      <c r="BE6" s="402"/>
      <c r="BF6" s="425" t="e">
        <f t="shared" ref="BF6:BJ6" si="10">BE6/$H6</f>
        <v>#DIV/0!</v>
      </c>
      <c r="BG6" s="424">
        <f>SUMIF(工程量清单A建筑工程!$D:$D,$C6&amp;BG$3,工程量清单A建筑工程!$H:$H)</f>
        <v>0</v>
      </c>
      <c r="BH6" s="425" t="e">
        <f t="shared" si="10"/>
        <v>#DIV/0!</v>
      </c>
      <c r="BI6" s="402"/>
      <c r="BJ6" s="425" t="e">
        <f t="shared" si="10"/>
        <v>#DIV/0!</v>
      </c>
      <c r="BK6" s="424">
        <f>SUMIF(工程量清单A建筑工程!$D:$D,$C6&amp;BK$3,工程量清单A建筑工程!$H:$H)</f>
        <v>0</v>
      </c>
      <c r="BL6" s="425" t="e">
        <f t="shared" ref="BL6:BP6" si="11">BK6/$H6</f>
        <v>#DIV/0!</v>
      </c>
      <c r="BM6" s="402"/>
      <c r="BN6" s="425" t="e">
        <f t="shared" si="11"/>
        <v>#DIV/0!</v>
      </c>
      <c r="BO6" s="424">
        <f>SUMIF(工程量清单A建筑工程!$D:$D,$C6&amp;BO$3,工程量清单A建筑工程!$H:$H)</f>
        <v>0</v>
      </c>
      <c r="BP6" s="425" t="e">
        <f t="shared" si="11"/>
        <v>#DIV/0!</v>
      </c>
      <c r="BQ6" s="402"/>
      <c r="BR6" s="425" t="e">
        <f t="shared" ref="BR6:BV6" si="12">BQ6/$H6</f>
        <v>#DIV/0!</v>
      </c>
      <c r="BS6" s="424">
        <f>SUMIF(工程量清单A建筑工程!$D:$D,$C6&amp;BS$3,工程量清单A建筑工程!$H:$H)</f>
        <v>0</v>
      </c>
      <c r="BT6" s="425" t="e">
        <f t="shared" si="12"/>
        <v>#DIV/0!</v>
      </c>
      <c r="BU6" s="402"/>
      <c r="BV6" s="425" t="e">
        <f t="shared" si="12"/>
        <v>#DIV/0!</v>
      </c>
      <c r="BW6" s="424">
        <f>SUMIF(工程量清单A建筑工程!$D:$D,$C6&amp;BW$3,工程量清单A建筑工程!$H:$H)</f>
        <v>0</v>
      </c>
      <c r="BX6" s="425" t="e">
        <f t="shared" ref="BX6:CB6" si="13">BW6/$H6</f>
        <v>#DIV/0!</v>
      </c>
      <c r="BY6" s="402"/>
      <c r="BZ6" s="425" t="e">
        <f t="shared" si="13"/>
        <v>#DIV/0!</v>
      </c>
      <c r="CA6" s="424"/>
      <c r="CB6" s="425" t="e">
        <f t="shared" si="13"/>
        <v>#DIV/0!</v>
      </c>
      <c r="CC6" s="424"/>
      <c r="CD6" s="425" t="e">
        <f t="shared" ref="CD6:CH6" si="14">CC6/$H6</f>
        <v>#DIV/0!</v>
      </c>
      <c r="CE6" s="424"/>
      <c r="CF6" s="425" t="e">
        <f t="shared" si="14"/>
        <v>#DIV/0!</v>
      </c>
      <c r="CG6" s="424"/>
      <c r="CH6" s="425" t="e">
        <f t="shared" si="14"/>
        <v>#DIV/0!</v>
      </c>
      <c r="CI6" s="424"/>
      <c r="CJ6" s="425" t="e">
        <f t="shared" ref="CJ6:CJ23" si="15">CI6/$H6</f>
        <v>#DIV/0!</v>
      </c>
      <c r="CK6" s="424"/>
      <c r="CL6" s="425" t="e">
        <f t="shared" ref="CL6:CL23" si="16">CK6/$H6</f>
        <v>#DIV/0!</v>
      </c>
      <c r="CM6" s="424">
        <f>SUMIF(工程量清单A建筑工程!$D:$D,$C6&amp;CM$3,工程量清单A建筑工程!$H:$H)</f>
        <v>0</v>
      </c>
      <c r="CN6" s="405" t="e">
        <f t="shared" ref="CN6:CN23" si="17">CM6/AO6</f>
        <v>#DIV/0!</v>
      </c>
      <c r="CO6" s="402"/>
      <c r="CP6" s="446" t="e">
        <f t="shared" ref="CP6:CP23" si="18">CO6/$H6</f>
        <v>#DIV/0!</v>
      </c>
    </row>
    <row r="7" s="380" customFormat="1" ht="19" customHeight="1" spans="1:94">
      <c r="A7" s="396">
        <v>2</v>
      </c>
      <c r="B7" s="403"/>
      <c r="C7" s="401" t="s">
        <v>167</v>
      </c>
      <c r="D7" s="404" t="s">
        <v>168</v>
      </c>
      <c r="E7" s="475" t="s">
        <v>169</v>
      </c>
      <c r="F7" s="400"/>
      <c r="G7" s="401" t="s">
        <v>170</v>
      </c>
      <c r="H7" s="402"/>
      <c r="I7" s="402"/>
      <c r="J7" s="423" t="e">
        <f t="shared" si="0"/>
        <v>#DIV/0!</v>
      </c>
      <c r="K7" s="424">
        <f>SUMIF(工程量清单A建筑工程!$D:$D,$C7&amp;K$4,工程量清单A建筑工程!$H:$H)</f>
        <v>0</v>
      </c>
      <c r="L7" s="405" t="e">
        <f t="shared" si="1"/>
        <v>#DIV/0!</v>
      </c>
      <c r="M7" s="402"/>
      <c r="N7" s="425" t="e">
        <f t="shared" si="2"/>
        <v>#DIV/0!</v>
      </c>
      <c r="O7" s="424">
        <f>SUMIF(工程量清单A建筑工程!$D:$D,$C7&amp;O$4,工程量清单A建筑工程!$H:$H)</f>
        <v>0</v>
      </c>
      <c r="P7" s="425" t="e">
        <f t="shared" ref="P7:T7" si="19">O7/$H7</f>
        <v>#DIV/0!</v>
      </c>
      <c r="Q7" s="402"/>
      <c r="R7" s="425" t="e">
        <f t="shared" si="19"/>
        <v>#DIV/0!</v>
      </c>
      <c r="S7" s="424">
        <f>SUMIF(工程量清单A建筑工程!$D:$D,$C7&amp;S$4,工程量清单A建筑工程!$H:$H)</f>
        <v>0</v>
      </c>
      <c r="T7" s="425" t="e">
        <f t="shared" si="19"/>
        <v>#DIV/0!</v>
      </c>
      <c r="U7" s="402"/>
      <c r="V7" s="425" t="e">
        <f t="shared" ref="V7:Z7" si="20">U7/$H7</f>
        <v>#DIV/0!</v>
      </c>
      <c r="W7" s="424">
        <f>SUMIF(工程量清单A建筑工程!$D:$D,$C7&amp;W$4,工程量清单A建筑工程!$H:$H)</f>
        <v>0</v>
      </c>
      <c r="X7" s="425" t="e">
        <f t="shared" si="20"/>
        <v>#DIV/0!</v>
      </c>
      <c r="Y7" s="402"/>
      <c r="Z7" s="425" t="e">
        <f t="shared" si="20"/>
        <v>#DIV/0!</v>
      </c>
      <c r="AA7" s="424">
        <f>SUMIF(工程量清单A建筑工程!$D:$D,$C7&amp;AA$4,工程量清单A建筑工程!$H:$H)</f>
        <v>154.448</v>
      </c>
      <c r="AB7" s="425" t="e">
        <f t="shared" ref="AB7:AF7" si="21">AA7/$H7</f>
        <v>#DIV/0!</v>
      </c>
      <c r="AC7" s="402"/>
      <c r="AD7" s="425" t="e">
        <f t="shared" si="21"/>
        <v>#DIV/0!</v>
      </c>
      <c r="AE7" s="424">
        <f>SUMIF(工程量清单A建筑工程!$D:$D,$C7&amp;AE$4,工程量清单A建筑工程!$H:$H)</f>
        <v>0</v>
      </c>
      <c r="AF7" s="425" t="e">
        <f t="shared" si="21"/>
        <v>#DIV/0!</v>
      </c>
      <c r="AG7" s="402"/>
      <c r="AH7" s="425" t="e">
        <f t="shared" ref="AH7:AL7" si="22">AG7/$H7</f>
        <v>#DIV/0!</v>
      </c>
      <c r="AI7" s="424">
        <f>SUMIF(工程量清单A建筑工程!$D:$D,$C7&amp;AI$4,工程量清单A建筑工程!$H:$H)</f>
        <v>0</v>
      </c>
      <c r="AJ7" s="425" t="e">
        <f t="shared" si="22"/>
        <v>#DIV/0!</v>
      </c>
      <c r="AK7" s="402"/>
      <c r="AL7" s="425" t="e">
        <f t="shared" si="22"/>
        <v>#DIV/0!</v>
      </c>
      <c r="AM7" s="424">
        <f>SUMIF(工程量清单A建筑工程!$D:$D,$C7&amp;AM$4,工程量清单A建筑工程!$H:$H)</f>
        <v>0</v>
      </c>
      <c r="AN7" s="425" t="e">
        <f t="shared" ref="AN7:AR7" si="23">AM7/$H7</f>
        <v>#DIV/0!</v>
      </c>
      <c r="AO7" s="402"/>
      <c r="AP7" s="425" t="e">
        <f t="shared" si="23"/>
        <v>#DIV/0!</v>
      </c>
      <c r="AQ7" s="424">
        <f>SUMIF(工程量清单A建筑工程!$D:$D,AQ$3,工程量清单A建筑工程!$H:$H)</f>
        <v>0</v>
      </c>
      <c r="AR7" s="425" t="e">
        <f t="shared" si="23"/>
        <v>#DIV/0!</v>
      </c>
      <c r="AS7" s="402"/>
      <c r="AT7" s="425" t="e">
        <f t="shared" ref="AT7:AX7" si="24">AS7/$H7</f>
        <v>#DIV/0!</v>
      </c>
      <c r="AU7" s="424">
        <f>SUMIF(工程量清单A建筑工程!$D:$D,$C7&amp;AU$3,工程量清单A建筑工程!$H:$H)</f>
        <v>0</v>
      </c>
      <c r="AV7" s="425" t="e">
        <f t="shared" si="24"/>
        <v>#DIV/0!</v>
      </c>
      <c r="AW7" s="402"/>
      <c r="AX7" s="425" t="e">
        <f t="shared" si="24"/>
        <v>#DIV/0!</v>
      </c>
      <c r="AY7" s="424">
        <f>SUMIF(工程量清单A建筑工程!$D:$D,$C7&amp;AY$3,工程量清单A建筑工程!$H:$H)</f>
        <v>0</v>
      </c>
      <c r="AZ7" s="425" t="e">
        <f t="shared" ref="AZ7:BD7" si="25">AY7/$H7</f>
        <v>#DIV/0!</v>
      </c>
      <c r="BA7" s="402"/>
      <c r="BB7" s="425" t="e">
        <f t="shared" si="25"/>
        <v>#DIV/0!</v>
      </c>
      <c r="BC7" s="424">
        <f>SUMIF(工程量清单A建筑工程!$D:$D,BC$3,工程量清单A建筑工程!$H:$H)</f>
        <v>551.96</v>
      </c>
      <c r="BD7" s="425" t="e">
        <f t="shared" si="25"/>
        <v>#DIV/0!</v>
      </c>
      <c r="BE7" s="402"/>
      <c r="BF7" s="425" t="e">
        <f t="shared" ref="BF7:BJ7" si="26">BE7/$H7</f>
        <v>#DIV/0!</v>
      </c>
      <c r="BG7" s="424">
        <f>SUMIF(工程量清单A建筑工程!$D:$D,$C7&amp;BG$3,工程量清单A建筑工程!$H:$H)</f>
        <v>0</v>
      </c>
      <c r="BH7" s="425" t="e">
        <f t="shared" si="26"/>
        <v>#DIV/0!</v>
      </c>
      <c r="BI7" s="402"/>
      <c r="BJ7" s="425" t="e">
        <f t="shared" si="26"/>
        <v>#DIV/0!</v>
      </c>
      <c r="BK7" s="424">
        <f>SUMIF(工程量清单A建筑工程!$D:$D,$C7&amp;BK$3,工程量清单A建筑工程!$H:$H)</f>
        <v>0</v>
      </c>
      <c r="BL7" s="425" t="e">
        <f t="shared" ref="BL7:BP7" si="27">BK7/$H7</f>
        <v>#DIV/0!</v>
      </c>
      <c r="BM7" s="402"/>
      <c r="BN7" s="425" t="e">
        <f t="shared" si="27"/>
        <v>#DIV/0!</v>
      </c>
      <c r="BO7" s="424">
        <f>SUMIF(工程量清单A建筑工程!$D:$D,$C7&amp;BO$3,工程量清单A建筑工程!$H:$H)</f>
        <v>0</v>
      </c>
      <c r="BP7" s="425" t="e">
        <f t="shared" si="27"/>
        <v>#DIV/0!</v>
      </c>
      <c r="BQ7" s="402"/>
      <c r="BR7" s="425" t="e">
        <f t="shared" ref="BR7:BV7" si="28">BQ7/$H7</f>
        <v>#DIV/0!</v>
      </c>
      <c r="BS7" s="424">
        <f>SUMIF(工程量清单A建筑工程!$D:$D,$C7&amp;BS$3,工程量清单A建筑工程!$H:$H)</f>
        <v>0</v>
      </c>
      <c r="BT7" s="425" t="e">
        <f t="shared" si="28"/>
        <v>#DIV/0!</v>
      </c>
      <c r="BU7" s="402"/>
      <c r="BV7" s="425" t="e">
        <f t="shared" si="28"/>
        <v>#DIV/0!</v>
      </c>
      <c r="BW7" s="424">
        <f>SUMIF(工程量清单A建筑工程!$D:$D,$C7&amp;BW$3,工程量清单A建筑工程!$H:$H)</f>
        <v>0</v>
      </c>
      <c r="BX7" s="425" t="e">
        <f t="shared" ref="BX7:CB7" si="29">BW7/$H7</f>
        <v>#DIV/0!</v>
      </c>
      <c r="BY7" s="402"/>
      <c r="BZ7" s="425" t="e">
        <f t="shared" si="29"/>
        <v>#DIV/0!</v>
      </c>
      <c r="CA7" s="424"/>
      <c r="CB7" s="425" t="e">
        <f t="shared" si="29"/>
        <v>#DIV/0!</v>
      </c>
      <c r="CC7" s="424"/>
      <c r="CD7" s="425" t="e">
        <f t="shared" ref="CD7:CH7" si="30">CC7/$H7</f>
        <v>#DIV/0!</v>
      </c>
      <c r="CE7" s="424"/>
      <c r="CF7" s="425" t="e">
        <f t="shared" si="30"/>
        <v>#DIV/0!</v>
      </c>
      <c r="CG7" s="424"/>
      <c r="CH7" s="425" t="e">
        <f t="shared" si="30"/>
        <v>#DIV/0!</v>
      </c>
      <c r="CI7" s="424"/>
      <c r="CJ7" s="425" t="e">
        <f t="shared" si="15"/>
        <v>#DIV/0!</v>
      </c>
      <c r="CK7" s="424"/>
      <c r="CL7" s="425" t="e">
        <f t="shared" si="16"/>
        <v>#DIV/0!</v>
      </c>
      <c r="CM7" s="424">
        <f>SUMIF(工程量清单A建筑工程!$D:$D,$C7&amp;CM$3,工程量清单A建筑工程!$H:$H)</f>
        <v>0</v>
      </c>
      <c r="CN7" s="405" t="e">
        <f t="shared" si="17"/>
        <v>#DIV/0!</v>
      </c>
      <c r="CO7" s="402"/>
      <c r="CP7" s="446" t="e">
        <f t="shared" si="18"/>
        <v>#DIV/0!</v>
      </c>
    </row>
    <row r="8" s="380" customFormat="1" ht="19" customHeight="1" spans="1:94">
      <c r="A8" s="396">
        <v>3</v>
      </c>
      <c r="B8" s="397" t="s">
        <v>81</v>
      </c>
      <c r="C8" s="398" t="s">
        <v>163</v>
      </c>
      <c r="D8" s="399" t="s">
        <v>171</v>
      </c>
      <c r="E8" s="399" t="s">
        <v>165</v>
      </c>
      <c r="F8" s="400"/>
      <c r="G8" s="401" t="s">
        <v>166</v>
      </c>
      <c r="H8" s="402"/>
      <c r="I8" s="402"/>
      <c r="J8" s="423" t="e">
        <f t="shared" si="0"/>
        <v>#DIV/0!</v>
      </c>
      <c r="K8" s="424"/>
      <c r="L8" s="405" t="e">
        <f t="shared" si="1"/>
        <v>#DIV/0!</v>
      </c>
      <c r="M8" s="402"/>
      <c r="N8" s="425" t="e">
        <f t="shared" si="2"/>
        <v>#DIV/0!</v>
      </c>
      <c r="O8" s="424"/>
      <c r="P8" s="425" t="e">
        <f t="shared" ref="P8:T8" si="31">O8/$H8</f>
        <v>#DIV/0!</v>
      </c>
      <c r="Q8" s="402"/>
      <c r="R8" s="425" t="e">
        <f t="shared" si="31"/>
        <v>#DIV/0!</v>
      </c>
      <c r="S8" s="424"/>
      <c r="T8" s="425" t="e">
        <f t="shared" si="31"/>
        <v>#DIV/0!</v>
      </c>
      <c r="U8" s="402"/>
      <c r="V8" s="425" t="e">
        <f t="shared" ref="V8:Z8" si="32">U8/$H8</f>
        <v>#DIV/0!</v>
      </c>
      <c r="W8" s="424"/>
      <c r="X8" s="425" t="e">
        <f t="shared" si="32"/>
        <v>#DIV/0!</v>
      </c>
      <c r="Y8" s="402"/>
      <c r="Z8" s="425" t="e">
        <f t="shared" si="32"/>
        <v>#DIV/0!</v>
      </c>
      <c r="AA8" s="424"/>
      <c r="AB8" s="425" t="e">
        <f t="shared" ref="AB8:AF8" si="33">AA8/$H8</f>
        <v>#DIV/0!</v>
      </c>
      <c r="AC8" s="402"/>
      <c r="AD8" s="425" t="e">
        <f t="shared" si="33"/>
        <v>#DIV/0!</v>
      </c>
      <c r="AE8" s="424"/>
      <c r="AF8" s="425" t="e">
        <f t="shared" si="33"/>
        <v>#DIV/0!</v>
      </c>
      <c r="AG8" s="402"/>
      <c r="AH8" s="425" t="e">
        <f t="shared" ref="AH8:AL8" si="34">AG8/$H8</f>
        <v>#DIV/0!</v>
      </c>
      <c r="AI8" s="424"/>
      <c r="AJ8" s="425" t="e">
        <f t="shared" si="34"/>
        <v>#DIV/0!</v>
      </c>
      <c r="AK8" s="402"/>
      <c r="AL8" s="425" t="e">
        <f t="shared" si="34"/>
        <v>#DIV/0!</v>
      </c>
      <c r="AM8" s="424"/>
      <c r="AN8" s="425" t="e">
        <f t="shared" ref="AN8:AR8" si="35">AM8/$H8</f>
        <v>#DIV/0!</v>
      </c>
      <c r="AO8" s="402"/>
      <c r="AP8" s="425" t="e">
        <f t="shared" si="35"/>
        <v>#DIV/0!</v>
      </c>
      <c r="AQ8" s="424"/>
      <c r="AR8" s="425" t="e">
        <f t="shared" si="35"/>
        <v>#DIV/0!</v>
      </c>
      <c r="AS8" s="402"/>
      <c r="AT8" s="425" t="e">
        <f t="shared" ref="AT8:AX8" si="36">AS8/$H8</f>
        <v>#DIV/0!</v>
      </c>
      <c r="AU8" s="424"/>
      <c r="AV8" s="425" t="e">
        <f t="shared" si="36"/>
        <v>#DIV/0!</v>
      </c>
      <c r="AW8" s="402"/>
      <c r="AX8" s="425" t="e">
        <f t="shared" si="36"/>
        <v>#DIV/0!</v>
      </c>
      <c r="AY8" s="424"/>
      <c r="AZ8" s="425" t="e">
        <f t="shared" ref="AZ8:BD8" si="37">AY8/$H8</f>
        <v>#DIV/0!</v>
      </c>
      <c r="BA8" s="402"/>
      <c r="BB8" s="425" t="e">
        <f t="shared" si="37"/>
        <v>#DIV/0!</v>
      </c>
      <c r="BC8" s="424"/>
      <c r="BD8" s="425" t="e">
        <f t="shared" si="37"/>
        <v>#DIV/0!</v>
      </c>
      <c r="BE8" s="402"/>
      <c r="BF8" s="425" t="e">
        <f t="shared" ref="BF8:BJ8" si="38">BE8/$H8</f>
        <v>#DIV/0!</v>
      </c>
      <c r="BG8" s="424"/>
      <c r="BH8" s="425" t="e">
        <f t="shared" si="38"/>
        <v>#DIV/0!</v>
      </c>
      <c r="BI8" s="402"/>
      <c r="BJ8" s="425" t="e">
        <f t="shared" si="38"/>
        <v>#DIV/0!</v>
      </c>
      <c r="BK8" s="424"/>
      <c r="BL8" s="425" t="e">
        <f t="shared" ref="BL8:BP8" si="39">BK8/$H8</f>
        <v>#DIV/0!</v>
      </c>
      <c r="BM8" s="402"/>
      <c r="BN8" s="425" t="e">
        <f t="shared" si="39"/>
        <v>#DIV/0!</v>
      </c>
      <c r="BO8" s="424"/>
      <c r="BP8" s="425" t="e">
        <f t="shared" si="39"/>
        <v>#DIV/0!</v>
      </c>
      <c r="BQ8" s="402"/>
      <c r="BR8" s="425" t="e">
        <f t="shared" ref="BR8:BV8" si="40">BQ8/$H8</f>
        <v>#DIV/0!</v>
      </c>
      <c r="BS8" s="424"/>
      <c r="BT8" s="425" t="e">
        <f t="shared" si="40"/>
        <v>#DIV/0!</v>
      </c>
      <c r="BU8" s="402"/>
      <c r="BV8" s="425" t="e">
        <f t="shared" si="40"/>
        <v>#DIV/0!</v>
      </c>
      <c r="BW8" s="424"/>
      <c r="BX8" s="425" t="e">
        <f t="shared" ref="BX8:CB8" si="41">BW8/$H8</f>
        <v>#DIV/0!</v>
      </c>
      <c r="BY8" s="402"/>
      <c r="BZ8" s="425" t="e">
        <f t="shared" si="41"/>
        <v>#DIV/0!</v>
      </c>
      <c r="CA8" s="424"/>
      <c r="CB8" s="425" t="e">
        <f t="shared" si="41"/>
        <v>#DIV/0!</v>
      </c>
      <c r="CC8" s="424"/>
      <c r="CD8" s="425" t="e">
        <f t="shared" ref="CD8:CH8" si="42">CC8/$H8</f>
        <v>#DIV/0!</v>
      </c>
      <c r="CE8" s="424"/>
      <c r="CF8" s="425" t="e">
        <f t="shared" si="42"/>
        <v>#DIV/0!</v>
      </c>
      <c r="CG8" s="424"/>
      <c r="CH8" s="425" t="e">
        <f t="shared" si="42"/>
        <v>#DIV/0!</v>
      </c>
      <c r="CI8" s="424"/>
      <c r="CJ8" s="425" t="e">
        <f t="shared" si="15"/>
        <v>#DIV/0!</v>
      </c>
      <c r="CK8" s="424"/>
      <c r="CL8" s="425" t="e">
        <f t="shared" si="16"/>
        <v>#DIV/0!</v>
      </c>
      <c r="CM8" s="424"/>
      <c r="CN8" s="405" t="e">
        <f t="shared" si="17"/>
        <v>#DIV/0!</v>
      </c>
      <c r="CO8" s="402"/>
      <c r="CP8" s="446" t="e">
        <f t="shared" si="18"/>
        <v>#DIV/0!</v>
      </c>
    </row>
    <row r="9" s="380" customFormat="1" ht="19" customHeight="1" spans="1:94">
      <c r="A9" s="396">
        <v>4</v>
      </c>
      <c r="B9" s="403"/>
      <c r="C9" s="401" t="s">
        <v>167</v>
      </c>
      <c r="D9" s="404" t="s">
        <v>168</v>
      </c>
      <c r="E9" s="475" t="s">
        <v>169</v>
      </c>
      <c r="F9" s="400"/>
      <c r="G9" s="401" t="s">
        <v>170</v>
      </c>
      <c r="H9" s="402"/>
      <c r="I9" s="402"/>
      <c r="J9" s="423" t="e">
        <f t="shared" si="0"/>
        <v>#DIV/0!</v>
      </c>
      <c r="K9" s="424"/>
      <c r="L9" s="405" t="e">
        <f t="shared" si="1"/>
        <v>#DIV/0!</v>
      </c>
      <c r="M9" s="402"/>
      <c r="N9" s="425" t="e">
        <f t="shared" si="2"/>
        <v>#DIV/0!</v>
      </c>
      <c r="O9" s="424"/>
      <c r="P9" s="425" t="e">
        <f t="shared" ref="P9:T9" si="43">O9/$H9</f>
        <v>#DIV/0!</v>
      </c>
      <c r="Q9" s="402"/>
      <c r="R9" s="425" t="e">
        <f t="shared" si="43"/>
        <v>#DIV/0!</v>
      </c>
      <c r="S9" s="424"/>
      <c r="T9" s="425" t="e">
        <f t="shared" si="43"/>
        <v>#DIV/0!</v>
      </c>
      <c r="U9" s="402"/>
      <c r="V9" s="425" t="e">
        <f t="shared" ref="V9:Z9" si="44">U9/$H9</f>
        <v>#DIV/0!</v>
      </c>
      <c r="W9" s="424"/>
      <c r="X9" s="425" t="e">
        <f t="shared" si="44"/>
        <v>#DIV/0!</v>
      </c>
      <c r="Y9" s="402"/>
      <c r="Z9" s="425" t="e">
        <f t="shared" si="44"/>
        <v>#DIV/0!</v>
      </c>
      <c r="AA9" s="424"/>
      <c r="AB9" s="425" t="e">
        <f t="shared" ref="AB9:AF9" si="45">AA9/$H9</f>
        <v>#DIV/0!</v>
      </c>
      <c r="AC9" s="402"/>
      <c r="AD9" s="425" t="e">
        <f t="shared" si="45"/>
        <v>#DIV/0!</v>
      </c>
      <c r="AE9" s="424"/>
      <c r="AF9" s="425" t="e">
        <f t="shared" si="45"/>
        <v>#DIV/0!</v>
      </c>
      <c r="AG9" s="402"/>
      <c r="AH9" s="425" t="e">
        <f t="shared" ref="AH9:AL9" si="46">AG9/$H9</f>
        <v>#DIV/0!</v>
      </c>
      <c r="AI9" s="424"/>
      <c r="AJ9" s="425" t="e">
        <f t="shared" si="46"/>
        <v>#DIV/0!</v>
      </c>
      <c r="AK9" s="402"/>
      <c r="AL9" s="425" t="e">
        <f t="shared" si="46"/>
        <v>#DIV/0!</v>
      </c>
      <c r="AM9" s="424"/>
      <c r="AN9" s="425" t="e">
        <f t="shared" ref="AN9:AR9" si="47">AM9/$H9</f>
        <v>#DIV/0!</v>
      </c>
      <c r="AO9" s="402"/>
      <c r="AP9" s="425" t="e">
        <f t="shared" si="47"/>
        <v>#DIV/0!</v>
      </c>
      <c r="AQ9" s="424"/>
      <c r="AR9" s="425" t="e">
        <f t="shared" si="47"/>
        <v>#DIV/0!</v>
      </c>
      <c r="AS9" s="402"/>
      <c r="AT9" s="425" t="e">
        <f t="shared" ref="AT9:AX9" si="48">AS9/$H9</f>
        <v>#DIV/0!</v>
      </c>
      <c r="AU9" s="424"/>
      <c r="AV9" s="425" t="e">
        <f t="shared" si="48"/>
        <v>#DIV/0!</v>
      </c>
      <c r="AW9" s="402"/>
      <c r="AX9" s="425" t="e">
        <f t="shared" si="48"/>
        <v>#DIV/0!</v>
      </c>
      <c r="AY9" s="424"/>
      <c r="AZ9" s="425" t="e">
        <f t="shared" ref="AZ9:BD9" si="49">AY9/$H9</f>
        <v>#DIV/0!</v>
      </c>
      <c r="BA9" s="402"/>
      <c r="BB9" s="425" t="e">
        <f t="shared" si="49"/>
        <v>#DIV/0!</v>
      </c>
      <c r="BC9" s="424"/>
      <c r="BD9" s="425" t="e">
        <f t="shared" si="49"/>
        <v>#DIV/0!</v>
      </c>
      <c r="BE9" s="402"/>
      <c r="BF9" s="425" t="e">
        <f t="shared" ref="BF9:BJ9" si="50">BE9/$H9</f>
        <v>#DIV/0!</v>
      </c>
      <c r="BG9" s="424"/>
      <c r="BH9" s="425" t="e">
        <f t="shared" si="50"/>
        <v>#DIV/0!</v>
      </c>
      <c r="BI9" s="402"/>
      <c r="BJ9" s="425" t="e">
        <f t="shared" si="50"/>
        <v>#DIV/0!</v>
      </c>
      <c r="BK9" s="424"/>
      <c r="BL9" s="425" t="e">
        <f t="shared" ref="BL9:BP9" si="51">BK9/$H9</f>
        <v>#DIV/0!</v>
      </c>
      <c r="BM9" s="402"/>
      <c r="BN9" s="425" t="e">
        <f t="shared" si="51"/>
        <v>#DIV/0!</v>
      </c>
      <c r="BO9" s="424"/>
      <c r="BP9" s="425" t="e">
        <f t="shared" si="51"/>
        <v>#DIV/0!</v>
      </c>
      <c r="BQ9" s="402"/>
      <c r="BR9" s="425" t="e">
        <f t="shared" ref="BR9:BV9" si="52">BQ9/$H9</f>
        <v>#DIV/0!</v>
      </c>
      <c r="BS9" s="424"/>
      <c r="BT9" s="425" t="e">
        <f t="shared" si="52"/>
        <v>#DIV/0!</v>
      </c>
      <c r="BU9" s="402"/>
      <c r="BV9" s="425" t="e">
        <f t="shared" si="52"/>
        <v>#DIV/0!</v>
      </c>
      <c r="BW9" s="424"/>
      <c r="BX9" s="425" t="e">
        <f t="shared" ref="BX9:CB9" si="53">BW9/$H9</f>
        <v>#DIV/0!</v>
      </c>
      <c r="BY9" s="402"/>
      <c r="BZ9" s="425" t="e">
        <f t="shared" si="53"/>
        <v>#DIV/0!</v>
      </c>
      <c r="CA9" s="424"/>
      <c r="CB9" s="425" t="e">
        <f t="shared" si="53"/>
        <v>#DIV/0!</v>
      </c>
      <c r="CC9" s="424"/>
      <c r="CD9" s="425" t="e">
        <f t="shared" ref="CD9:CH9" si="54">CC9/$H9</f>
        <v>#DIV/0!</v>
      </c>
      <c r="CE9" s="424"/>
      <c r="CF9" s="425" t="e">
        <f t="shared" si="54"/>
        <v>#DIV/0!</v>
      </c>
      <c r="CG9" s="424"/>
      <c r="CH9" s="425" t="e">
        <f t="shared" si="54"/>
        <v>#DIV/0!</v>
      </c>
      <c r="CI9" s="424"/>
      <c r="CJ9" s="425" t="e">
        <f t="shared" si="15"/>
        <v>#DIV/0!</v>
      </c>
      <c r="CK9" s="424"/>
      <c r="CL9" s="425" t="e">
        <f t="shared" si="16"/>
        <v>#DIV/0!</v>
      </c>
      <c r="CM9" s="424"/>
      <c r="CN9" s="405" t="e">
        <f t="shared" si="17"/>
        <v>#DIV/0!</v>
      </c>
      <c r="CO9" s="402"/>
      <c r="CP9" s="446" t="e">
        <f t="shared" si="18"/>
        <v>#DIV/0!</v>
      </c>
    </row>
    <row r="10" s="380" customFormat="1" ht="19" customHeight="1" spans="1:94">
      <c r="A10" s="396">
        <v>5</v>
      </c>
      <c r="B10" s="397" t="s">
        <v>82</v>
      </c>
      <c r="C10" s="398" t="s">
        <v>163</v>
      </c>
      <c r="D10" s="399" t="s">
        <v>171</v>
      </c>
      <c r="E10" s="399" t="s">
        <v>172</v>
      </c>
      <c r="F10" s="400"/>
      <c r="G10" s="401" t="s">
        <v>166</v>
      </c>
      <c r="H10" s="402"/>
      <c r="I10" s="402"/>
      <c r="J10" s="423" t="e">
        <f t="shared" si="0"/>
        <v>#DIV/0!</v>
      </c>
      <c r="K10" s="424"/>
      <c r="L10" s="405" t="e">
        <f t="shared" si="1"/>
        <v>#DIV/0!</v>
      </c>
      <c r="M10" s="402"/>
      <c r="N10" s="425" t="e">
        <f t="shared" si="2"/>
        <v>#DIV/0!</v>
      </c>
      <c r="O10" s="424"/>
      <c r="P10" s="425" t="e">
        <f t="shared" ref="P10:T10" si="55">O10/$H10</f>
        <v>#DIV/0!</v>
      </c>
      <c r="Q10" s="402"/>
      <c r="R10" s="425" t="e">
        <f t="shared" si="55"/>
        <v>#DIV/0!</v>
      </c>
      <c r="S10" s="424"/>
      <c r="T10" s="425" t="e">
        <f t="shared" si="55"/>
        <v>#DIV/0!</v>
      </c>
      <c r="U10" s="402"/>
      <c r="V10" s="425" t="e">
        <f t="shared" ref="V10:Z10" si="56">U10/$H10</f>
        <v>#DIV/0!</v>
      </c>
      <c r="W10" s="424"/>
      <c r="X10" s="425" t="e">
        <f t="shared" si="56"/>
        <v>#DIV/0!</v>
      </c>
      <c r="Y10" s="402"/>
      <c r="Z10" s="425" t="e">
        <f t="shared" si="56"/>
        <v>#DIV/0!</v>
      </c>
      <c r="AA10" s="424"/>
      <c r="AB10" s="425" t="e">
        <f t="shared" ref="AB10:AF10" si="57">AA10/$H10</f>
        <v>#DIV/0!</v>
      </c>
      <c r="AC10" s="402"/>
      <c r="AD10" s="425" t="e">
        <f t="shared" si="57"/>
        <v>#DIV/0!</v>
      </c>
      <c r="AE10" s="424"/>
      <c r="AF10" s="425" t="e">
        <f t="shared" si="57"/>
        <v>#DIV/0!</v>
      </c>
      <c r="AG10" s="402"/>
      <c r="AH10" s="425" t="e">
        <f t="shared" ref="AH10:AL10" si="58">AG10/$H10</f>
        <v>#DIV/0!</v>
      </c>
      <c r="AI10" s="424"/>
      <c r="AJ10" s="425" t="e">
        <f t="shared" si="58"/>
        <v>#DIV/0!</v>
      </c>
      <c r="AK10" s="402"/>
      <c r="AL10" s="425" t="e">
        <f t="shared" si="58"/>
        <v>#DIV/0!</v>
      </c>
      <c r="AM10" s="424"/>
      <c r="AN10" s="425" t="e">
        <f t="shared" ref="AN10:AR10" si="59">AM10/$H10</f>
        <v>#DIV/0!</v>
      </c>
      <c r="AO10" s="402"/>
      <c r="AP10" s="425" t="e">
        <f t="shared" si="59"/>
        <v>#DIV/0!</v>
      </c>
      <c r="AQ10" s="424"/>
      <c r="AR10" s="425" t="e">
        <f t="shared" si="59"/>
        <v>#DIV/0!</v>
      </c>
      <c r="AS10" s="402"/>
      <c r="AT10" s="425" t="e">
        <f t="shared" ref="AT10:AX10" si="60">AS10/$H10</f>
        <v>#DIV/0!</v>
      </c>
      <c r="AU10" s="424"/>
      <c r="AV10" s="425" t="e">
        <f t="shared" si="60"/>
        <v>#DIV/0!</v>
      </c>
      <c r="AW10" s="402"/>
      <c r="AX10" s="425" t="e">
        <f t="shared" si="60"/>
        <v>#DIV/0!</v>
      </c>
      <c r="AY10" s="424"/>
      <c r="AZ10" s="425" t="e">
        <f t="shared" ref="AZ10:BD10" si="61">AY10/$H10</f>
        <v>#DIV/0!</v>
      </c>
      <c r="BA10" s="402"/>
      <c r="BB10" s="425" t="e">
        <f t="shared" si="61"/>
        <v>#DIV/0!</v>
      </c>
      <c r="BC10" s="424"/>
      <c r="BD10" s="425" t="e">
        <f t="shared" si="61"/>
        <v>#DIV/0!</v>
      </c>
      <c r="BE10" s="402"/>
      <c r="BF10" s="425" t="e">
        <f t="shared" ref="BF10:BJ10" si="62">BE10/$H10</f>
        <v>#DIV/0!</v>
      </c>
      <c r="BG10" s="424"/>
      <c r="BH10" s="425" t="e">
        <f t="shared" si="62"/>
        <v>#DIV/0!</v>
      </c>
      <c r="BI10" s="402"/>
      <c r="BJ10" s="425" t="e">
        <f t="shared" si="62"/>
        <v>#DIV/0!</v>
      </c>
      <c r="BK10" s="424"/>
      <c r="BL10" s="425" t="e">
        <f t="shared" ref="BL10:BP10" si="63">BK10/$H10</f>
        <v>#DIV/0!</v>
      </c>
      <c r="BM10" s="402"/>
      <c r="BN10" s="425" t="e">
        <f t="shared" si="63"/>
        <v>#DIV/0!</v>
      </c>
      <c r="BO10" s="424"/>
      <c r="BP10" s="425" t="e">
        <f t="shared" si="63"/>
        <v>#DIV/0!</v>
      </c>
      <c r="BQ10" s="402"/>
      <c r="BR10" s="425" t="e">
        <f t="shared" ref="BR10:BV10" si="64">BQ10/$H10</f>
        <v>#DIV/0!</v>
      </c>
      <c r="BS10" s="424"/>
      <c r="BT10" s="425" t="e">
        <f t="shared" si="64"/>
        <v>#DIV/0!</v>
      </c>
      <c r="BU10" s="402"/>
      <c r="BV10" s="425" t="e">
        <f t="shared" si="64"/>
        <v>#DIV/0!</v>
      </c>
      <c r="BW10" s="424"/>
      <c r="BX10" s="425" t="e">
        <f t="shared" ref="BX10:CB10" si="65">BW10/$H10</f>
        <v>#DIV/0!</v>
      </c>
      <c r="BY10" s="402"/>
      <c r="BZ10" s="425" t="e">
        <f t="shared" si="65"/>
        <v>#DIV/0!</v>
      </c>
      <c r="CA10" s="424"/>
      <c r="CB10" s="425" t="e">
        <f t="shared" si="65"/>
        <v>#DIV/0!</v>
      </c>
      <c r="CC10" s="424"/>
      <c r="CD10" s="425" t="e">
        <f t="shared" ref="CD10:CH10" si="66">CC10/$H10</f>
        <v>#DIV/0!</v>
      </c>
      <c r="CE10" s="424"/>
      <c r="CF10" s="425" t="e">
        <f t="shared" si="66"/>
        <v>#DIV/0!</v>
      </c>
      <c r="CG10" s="424"/>
      <c r="CH10" s="425" t="e">
        <f t="shared" si="66"/>
        <v>#DIV/0!</v>
      </c>
      <c r="CI10" s="424"/>
      <c r="CJ10" s="425" t="e">
        <f t="shared" si="15"/>
        <v>#DIV/0!</v>
      </c>
      <c r="CK10" s="424"/>
      <c r="CL10" s="425" t="e">
        <f t="shared" si="16"/>
        <v>#DIV/0!</v>
      </c>
      <c r="CM10" s="424"/>
      <c r="CN10" s="405" t="e">
        <f t="shared" si="17"/>
        <v>#DIV/0!</v>
      </c>
      <c r="CO10" s="402"/>
      <c r="CP10" s="446" t="e">
        <f t="shared" si="18"/>
        <v>#DIV/0!</v>
      </c>
    </row>
    <row r="11" s="380" customFormat="1" ht="19" customHeight="1" spans="1:94">
      <c r="A11" s="396">
        <v>6</v>
      </c>
      <c r="B11" s="403"/>
      <c r="C11" s="401" t="s">
        <v>167</v>
      </c>
      <c r="D11" s="404" t="s">
        <v>168</v>
      </c>
      <c r="E11" s="475" t="s">
        <v>169</v>
      </c>
      <c r="F11" s="400"/>
      <c r="G11" s="401" t="s">
        <v>170</v>
      </c>
      <c r="H11" s="402"/>
      <c r="I11" s="402"/>
      <c r="J11" s="423" t="e">
        <f t="shared" si="0"/>
        <v>#DIV/0!</v>
      </c>
      <c r="K11" s="424"/>
      <c r="L11" s="405" t="e">
        <f t="shared" si="1"/>
        <v>#DIV/0!</v>
      </c>
      <c r="M11" s="402"/>
      <c r="N11" s="425" t="e">
        <f t="shared" si="2"/>
        <v>#DIV/0!</v>
      </c>
      <c r="O11" s="424"/>
      <c r="P11" s="425" t="e">
        <f t="shared" ref="P11:T11" si="67">O11/$H11</f>
        <v>#DIV/0!</v>
      </c>
      <c r="Q11" s="402"/>
      <c r="R11" s="425" t="e">
        <f t="shared" si="67"/>
        <v>#DIV/0!</v>
      </c>
      <c r="S11" s="424"/>
      <c r="T11" s="425" t="e">
        <f t="shared" si="67"/>
        <v>#DIV/0!</v>
      </c>
      <c r="U11" s="402"/>
      <c r="V11" s="425" t="e">
        <f t="shared" ref="V11:Z11" si="68">U11/$H11</f>
        <v>#DIV/0!</v>
      </c>
      <c r="W11" s="424"/>
      <c r="X11" s="425" t="e">
        <f t="shared" si="68"/>
        <v>#DIV/0!</v>
      </c>
      <c r="Y11" s="402"/>
      <c r="Z11" s="425" t="e">
        <f t="shared" si="68"/>
        <v>#DIV/0!</v>
      </c>
      <c r="AA11" s="424"/>
      <c r="AB11" s="425" t="e">
        <f t="shared" ref="AB11:AF11" si="69">AA11/$H11</f>
        <v>#DIV/0!</v>
      </c>
      <c r="AC11" s="402"/>
      <c r="AD11" s="425" t="e">
        <f t="shared" si="69"/>
        <v>#DIV/0!</v>
      </c>
      <c r="AE11" s="424"/>
      <c r="AF11" s="425" t="e">
        <f t="shared" si="69"/>
        <v>#DIV/0!</v>
      </c>
      <c r="AG11" s="402"/>
      <c r="AH11" s="425" t="e">
        <f t="shared" ref="AH11:AL11" si="70">AG11/$H11</f>
        <v>#DIV/0!</v>
      </c>
      <c r="AI11" s="424"/>
      <c r="AJ11" s="425" t="e">
        <f t="shared" si="70"/>
        <v>#DIV/0!</v>
      </c>
      <c r="AK11" s="402"/>
      <c r="AL11" s="425" t="e">
        <f t="shared" si="70"/>
        <v>#DIV/0!</v>
      </c>
      <c r="AM11" s="424"/>
      <c r="AN11" s="425" t="e">
        <f t="shared" ref="AN11:AR11" si="71">AM11/$H11</f>
        <v>#DIV/0!</v>
      </c>
      <c r="AO11" s="402"/>
      <c r="AP11" s="425" t="e">
        <f t="shared" si="71"/>
        <v>#DIV/0!</v>
      </c>
      <c r="AQ11" s="424"/>
      <c r="AR11" s="425" t="e">
        <f t="shared" si="71"/>
        <v>#DIV/0!</v>
      </c>
      <c r="AS11" s="402"/>
      <c r="AT11" s="425" t="e">
        <f t="shared" ref="AT11:AX11" si="72">AS11/$H11</f>
        <v>#DIV/0!</v>
      </c>
      <c r="AU11" s="424"/>
      <c r="AV11" s="425" t="e">
        <f t="shared" si="72"/>
        <v>#DIV/0!</v>
      </c>
      <c r="AW11" s="402"/>
      <c r="AX11" s="425" t="e">
        <f t="shared" si="72"/>
        <v>#DIV/0!</v>
      </c>
      <c r="AY11" s="424"/>
      <c r="AZ11" s="425" t="e">
        <f t="shared" ref="AZ11:BD11" si="73">AY11/$H11</f>
        <v>#DIV/0!</v>
      </c>
      <c r="BA11" s="402"/>
      <c r="BB11" s="425" t="e">
        <f t="shared" si="73"/>
        <v>#DIV/0!</v>
      </c>
      <c r="BC11" s="424"/>
      <c r="BD11" s="425" t="e">
        <f t="shared" si="73"/>
        <v>#DIV/0!</v>
      </c>
      <c r="BE11" s="402"/>
      <c r="BF11" s="425" t="e">
        <f t="shared" ref="BF11:BJ11" si="74">BE11/$H11</f>
        <v>#DIV/0!</v>
      </c>
      <c r="BG11" s="424"/>
      <c r="BH11" s="425" t="e">
        <f t="shared" si="74"/>
        <v>#DIV/0!</v>
      </c>
      <c r="BI11" s="402"/>
      <c r="BJ11" s="425" t="e">
        <f t="shared" si="74"/>
        <v>#DIV/0!</v>
      </c>
      <c r="BK11" s="424"/>
      <c r="BL11" s="425" t="e">
        <f t="shared" ref="BL11:BP11" si="75">BK11/$H11</f>
        <v>#DIV/0!</v>
      </c>
      <c r="BM11" s="402"/>
      <c r="BN11" s="425" t="e">
        <f t="shared" si="75"/>
        <v>#DIV/0!</v>
      </c>
      <c r="BO11" s="424"/>
      <c r="BP11" s="425" t="e">
        <f t="shared" si="75"/>
        <v>#DIV/0!</v>
      </c>
      <c r="BQ11" s="402"/>
      <c r="BR11" s="425" t="e">
        <f t="shared" ref="BR11:BV11" si="76">BQ11/$H11</f>
        <v>#DIV/0!</v>
      </c>
      <c r="BS11" s="424"/>
      <c r="BT11" s="425" t="e">
        <f t="shared" si="76"/>
        <v>#DIV/0!</v>
      </c>
      <c r="BU11" s="402"/>
      <c r="BV11" s="425" t="e">
        <f t="shared" si="76"/>
        <v>#DIV/0!</v>
      </c>
      <c r="BW11" s="424"/>
      <c r="BX11" s="425" t="e">
        <f t="shared" ref="BX11:CB11" si="77">BW11/$H11</f>
        <v>#DIV/0!</v>
      </c>
      <c r="BY11" s="402"/>
      <c r="BZ11" s="425" t="e">
        <f t="shared" si="77"/>
        <v>#DIV/0!</v>
      </c>
      <c r="CA11" s="424"/>
      <c r="CB11" s="425" t="e">
        <f t="shared" si="77"/>
        <v>#DIV/0!</v>
      </c>
      <c r="CC11" s="424"/>
      <c r="CD11" s="425" t="e">
        <f t="shared" ref="CD11:CH11" si="78">CC11/$H11</f>
        <v>#DIV/0!</v>
      </c>
      <c r="CE11" s="424"/>
      <c r="CF11" s="425" t="e">
        <f t="shared" si="78"/>
        <v>#DIV/0!</v>
      </c>
      <c r="CG11" s="424"/>
      <c r="CH11" s="425" t="e">
        <f t="shared" si="78"/>
        <v>#DIV/0!</v>
      </c>
      <c r="CI11" s="424"/>
      <c r="CJ11" s="425" t="e">
        <f t="shared" si="15"/>
        <v>#DIV/0!</v>
      </c>
      <c r="CK11" s="424"/>
      <c r="CL11" s="425" t="e">
        <f t="shared" si="16"/>
        <v>#DIV/0!</v>
      </c>
      <c r="CM11" s="424"/>
      <c r="CN11" s="405" t="e">
        <f t="shared" si="17"/>
        <v>#DIV/0!</v>
      </c>
      <c r="CO11" s="402"/>
      <c r="CP11" s="446" t="e">
        <f t="shared" si="18"/>
        <v>#DIV/0!</v>
      </c>
    </row>
    <row r="12" s="380" customFormat="1" ht="19" customHeight="1" spans="1:94">
      <c r="A12" s="396">
        <v>7</v>
      </c>
      <c r="B12" s="397" t="s">
        <v>173</v>
      </c>
      <c r="C12" s="398" t="s">
        <v>163</v>
      </c>
      <c r="D12" s="399" t="s">
        <v>171</v>
      </c>
      <c r="E12" s="399" t="s">
        <v>172</v>
      </c>
      <c r="F12" s="400"/>
      <c r="G12" s="401" t="s">
        <v>166</v>
      </c>
      <c r="H12" s="402"/>
      <c r="I12" s="402"/>
      <c r="J12" s="423" t="e">
        <f t="shared" si="0"/>
        <v>#DIV/0!</v>
      </c>
      <c r="K12" s="424"/>
      <c r="L12" s="405" t="e">
        <f t="shared" si="1"/>
        <v>#DIV/0!</v>
      </c>
      <c r="M12" s="402"/>
      <c r="N12" s="425" t="e">
        <f t="shared" si="2"/>
        <v>#DIV/0!</v>
      </c>
      <c r="O12" s="424"/>
      <c r="P12" s="425" t="e">
        <f t="shared" ref="P12:T12" si="79">O12/$H12</f>
        <v>#DIV/0!</v>
      </c>
      <c r="Q12" s="402"/>
      <c r="R12" s="425" t="e">
        <f t="shared" si="79"/>
        <v>#DIV/0!</v>
      </c>
      <c r="S12" s="424"/>
      <c r="T12" s="425" t="e">
        <f t="shared" si="79"/>
        <v>#DIV/0!</v>
      </c>
      <c r="U12" s="402"/>
      <c r="V12" s="425" t="e">
        <f t="shared" ref="V12:Z12" si="80">U12/$H12</f>
        <v>#DIV/0!</v>
      </c>
      <c r="W12" s="424"/>
      <c r="X12" s="425" t="e">
        <f t="shared" si="80"/>
        <v>#DIV/0!</v>
      </c>
      <c r="Y12" s="402"/>
      <c r="Z12" s="425" t="e">
        <f t="shared" si="80"/>
        <v>#DIV/0!</v>
      </c>
      <c r="AA12" s="424"/>
      <c r="AB12" s="425" t="e">
        <f t="shared" ref="AB12:AF12" si="81">AA12/$H12</f>
        <v>#DIV/0!</v>
      </c>
      <c r="AC12" s="402"/>
      <c r="AD12" s="425" t="e">
        <f t="shared" si="81"/>
        <v>#DIV/0!</v>
      </c>
      <c r="AE12" s="424"/>
      <c r="AF12" s="425" t="e">
        <f t="shared" si="81"/>
        <v>#DIV/0!</v>
      </c>
      <c r="AG12" s="402"/>
      <c r="AH12" s="425" t="e">
        <f t="shared" ref="AH12:AL12" si="82">AG12/$H12</f>
        <v>#DIV/0!</v>
      </c>
      <c r="AI12" s="424"/>
      <c r="AJ12" s="425" t="e">
        <f t="shared" si="82"/>
        <v>#DIV/0!</v>
      </c>
      <c r="AK12" s="402"/>
      <c r="AL12" s="425" t="e">
        <f t="shared" si="82"/>
        <v>#DIV/0!</v>
      </c>
      <c r="AM12" s="424"/>
      <c r="AN12" s="425" t="e">
        <f t="shared" ref="AN12:AR12" si="83">AM12/$H12</f>
        <v>#DIV/0!</v>
      </c>
      <c r="AO12" s="402"/>
      <c r="AP12" s="425" t="e">
        <f t="shared" si="83"/>
        <v>#DIV/0!</v>
      </c>
      <c r="AQ12" s="424"/>
      <c r="AR12" s="425" t="e">
        <f t="shared" si="83"/>
        <v>#DIV/0!</v>
      </c>
      <c r="AS12" s="402"/>
      <c r="AT12" s="425" t="e">
        <f t="shared" ref="AT12:AX12" si="84">AS12/$H12</f>
        <v>#DIV/0!</v>
      </c>
      <c r="AU12" s="424"/>
      <c r="AV12" s="425" t="e">
        <f t="shared" si="84"/>
        <v>#DIV/0!</v>
      </c>
      <c r="AW12" s="402"/>
      <c r="AX12" s="425" t="e">
        <f t="shared" si="84"/>
        <v>#DIV/0!</v>
      </c>
      <c r="AY12" s="424"/>
      <c r="AZ12" s="425" t="e">
        <f t="shared" ref="AZ12:BD12" si="85">AY12/$H12</f>
        <v>#DIV/0!</v>
      </c>
      <c r="BA12" s="402"/>
      <c r="BB12" s="425" t="e">
        <f t="shared" si="85"/>
        <v>#DIV/0!</v>
      </c>
      <c r="BC12" s="424"/>
      <c r="BD12" s="425" t="e">
        <f t="shared" si="85"/>
        <v>#DIV/0!</v>
      </c>
      <c r="BE12" s="402"/>
      <c r="BF12" s="425" t="e">
        <f t="shared" ref="BF12:BJ12" si="86">BE12/$H12</f>
        <v>#DIV/0!</v>
      </c>
      <c r="BG12" s="424"/>
      <c r="BH12" s="425" t="e">
        <f t="shared" si="86"/>
        <v>#DIV/0!</v>
      </c>
      <c r="BI12" s="402"/>
      <c r="BJ12" s="425" t="e">
        <f t="shared" si="86"/>
        <v>#DIV/0!</v>
      </c>
      <c r="BK12" s="424"/>
      <c r="BL12" s="425" t="e">
        <f t="shared" ref="BL12:BP12" si="87">BK12/$H12</f>
        <v>#DIV/0!</v>
      </c>
      <c r="BM12" s="402"/>
      <c r="BN12" s="425" t="e">
        <f t="shared" si="87"/>
        <v>#DIV/0!</v>
      </c>
      <c r="BO12" s="424"/>
      <c r="BP12" s="425" t="e">
        <f t="shared" si="87"/>
        <v>#DIV/0!</v>
      </c>
      <c r="BQ12" s="402"/>
      <c r="BR12" s="425" t="e">
        <f t="shared" ref="BR12:BV12" si="88">BQ12/$H12</f>
        <v>#DIV/0!</v>
      </c>
      <c r="BS12" s="424"/>
      <c r="BT12" s="425" t="e">
        <f t="shared" si="88"/>
        <v>#DIV/0!</v>
      </c>
      <c r="BU12" s="402"/>
      <c r="BV12" s="425" t="e">
        <f t="shared" si="88"/>
        <v>#DIV/0!</v>
      </c>
      <c r="BW12" s="424"/>
      <c r="BX12" s="425" t="e">
        <f t="shared" ref="BX12:CB12" si="89">BW12/$H12</f>
        <v>#DIV/0!</v>
      </c>
      <c r="BY12" s="402"/>
      <c r="BZ12" s="425" t="e">
        <f t="shared" si="89"/>
        <v>#DIV/0!</v>
      </c>
      <c r="CA12" s="424"/>
      <c r="CB12" s="425" t="e">
        <f t="shared" si="89"/>
        <v>#DIV/0!</v>
      </c>
      <c r="CC12" s="424"/>
      <c r="CD12" s="425" t="e">
        <f t="shared" ref="CD12:CH12" si="90">CC12/$H12</f>
        <v>#DIV/0!</v>
      </c>
      <c r="CE12" s="424"/>
      <c r="CF12" s="425" t="e">
        <f t="shared" si="90"/>
        <v>#DIV/0!</v>
      </c>
      <c r="CG12" s="424"/>
      <c r="CH12" s="425" t="e">
        <f t="shared" si="90"/>
        <v>#DIV/0!</v>
      </c>
      <c r="CI12" s="424"/>
      <c r="CJ12" s="425" t="e">
        <f t="shared" si="15"/>
        <v>#DIV/0!</v>
      </c>
      <c r="CK12" s="424"/>
      <c r="CL12" s="425" t="e">
        <f t="shared" si="16"/>
        <v>#DIV/0!</v>
      </c>
      <c r="CM12" s="424"/>
      <c r="CN12" s="405" t="e">
        <f t="shared" si="17"/>
        <v>#DIV/0!</v>
      </c>
      <c r="CO12" s="402"/>
      <c r="CP12" s="446" t="e">
        <f t="shared" si="18"/>
        <v>#DIV/0!</v>
      </c>
    </row>
    <row r="13" s="380" customFormat="1" ht="19" customHeight="1" spans="1:94">
      <c r="A13" s="396">
        <v>8</v>
      </c>
      <c r="B13" s="403"/>
      <c r="C13" s="401" t="s">
        <v>167</v>
      </c>
      <c r="D13" s="404" t="s">
        <v>168</v>
      </c>
      <c r="E13" s="475" t="s">
        <v>169</v>
      </c>
      <c r="F13" s="400"/>
      <c r="G13" s="401" t="s">
        <v>170</v>
      </c>
      <c r="H13" s="402"/>
      <c r="I13" s="402"/>
      <c r="J13" s="423" t="e">
        <f t="shared" si="0"/>
        <v>#DIV/0!</v>
      </c>
      <c r="K13" s="424"/>
      <c r="L13" s="405" t="e">
        <f t="shared" si="1"/>
        <v>#DIV/0!</v>
      </c>
      <c r="M13" s="402"/>
      <c r="N13" s="425" t="e">
        <f t="shared" si="2"/>
        <v>#DIV/0!</v>
      </c>
      <c r="O13" s="424"/>
      <c r="P13" s="425" t="e">
        <f t="shared" ref="P13:T13" si="91">O13/$H13</f>
        <v>#DIV/0!</v>
      </c>
      <c r="Q13" s="402"/>
      <c r="R13" s="425" t="e">
        <f t="shared" si="91"/>
        <v>#DIV/0!</v>
      </c>
      <c r="S13" s="424"/>
      <c r="T13" s="425" t="e">
        <f t="shared" si="91"/>
        <v>#DIV/0!</v>
      </c>
      <c r="U13" s="402"/>
      <c r="V13" s="425" t="e">
        <f t="shared" ref="V13:Z13" si="92">U13/$H13</f>
        <v>#DIV/0!</v>
      </c>
      <c r="W13" s="424"/>
      <c r="X13" s="425" t="e">
        <f t="shared" si="92"/>
        <v>#DIV/0!</v>
      </c>
      <c r="Y13" s="402"/>
      <c r="Z13" s="425" t="e">
        <f t="shared" si="92"/>
        <v>#DIV/0!</v>
      </c>
      <c r="AA13" s="424"/>
      <c r="AB13" s="425" t="e">
        <f t="shared" ref="AB13:AF13" si="93">AA13/$H13</f>
        <v>#DIV/0!</v>
      </c>
      <c r="AC13" s="402"/>
      <c r="AD13" s="425" t="e">
        <f t="shared" si="93"/>
        <v>#DIV/0!</v>
      </c>
      <c r="AE13" s="424"/>
      <c r="AF13" s="425" t="e">
        <f t="shared" si="93"/>
        <v>#DIV/0!</v>
      </c>
      <c r="AG13" s="402"/>
      <c r="AH13" s="425" t="e">
        <f t="shared" ref="AH13:AL13" si="94">AG13/$H13</f>
        <v>#DIV/0!</v>
      </c>
      <c r="AI13" s="424"/>
      <c r="AJ13" s="425" t="e">
        <f t="shared" si="94"/>
        <v>#DIV/0!</v>
      </c>
      <c r="AK13" s="402"/>
      <c r="AL13" s="425" t="e">
        <f t="shared" si="94"/>
        <v>#DIV/0!</v>
      </c>
      <c r="AM13" s="424"/>
      <c r="AN13" s="425" t="e">
        <f t="shared" ref="AN13:AR13" si="95">AM13/$H13</f>
        <v>#DIV/0!</v>
      </c>
      <c r="AO13" s="402"/>
      <c r="AP13" s="425" t="e">
        <f t="shared" si="95"/>
        <v>#DIV/0!</v>
      </c>
      <c r="AQ13" s="424"/>
      <c r="AR13" s="425" t="e">
        <f t="shared" si="95"/>
        <v>#DIV/0!</v>
      </c>
      <c r="AS13" s="402"/>
      <c r="AT13" s="425" t="e">
        <f t="shared" ref="AT13:AX13" si="96">AS13/$H13</f>
        <v>#DIV/0!</v>
      </c>
      <c r="AU13" s="424"/>
      <c r="AV13" s="425" t="e">
        <f t="shared" si="96"/>
        <v>#DIV/0!</v>
      </c>
      <c r="AW13" s="402"/>
      <c r="AX13" s="425" t="e">
        <f t="shared" si="96"/>
        <v>#DIV/0!</v>
      </c>
      <c r="AY13" s="424"/>
      <c r="AZ13" s="425" t="e">
        <f t="shared" ref="AZ13:BD13" si="97">AY13/$H13</f>
        <v>#DIV/0!</v>
      </c>
      <c r="BA13" s="402"/>
      <c r="BB13" s="425" t="e">
        <f t="shared" si="97"/>
        <v>#DIV/0!</v>
      </c>
      <c r="BC13" s="424"/>
      <c r="BD13" s="425" t="e">
        <f t="shared" si="97"/>
        <v>#DIV/0!</v>
      </c>
      <c r="BE13" s="402"/>
      <c r="BF13" s="425" t="e">
        <f t="shared" ref="BF13:BJ13" si="98">BE13/$H13</f>
        <v>#DIV/0!</v>
      </c>
      <c r="BG13" s="424"/>
      <c r="BH13" s="425" t="e">
        <f t="shared" si="98"/>
        <v>#DIV/0!</v>
      </c>
      <c r="BI13" s="402"/>
      <c r="BJ13" s="425" t="e">
        <f t="shared" si="98"/>
        <v>#DIV/0!</v>
      </c>
      <c r="BK13" s="424"/>
      <c r="BL13" s="425" t="e">
        <f t="shared" ref="BL13:BP13" si="99">BK13/$H13</f>
        <v>#DIV/0!</v>
      </c>
      <c r="BM13" s="402"/>
      <c r="BN13" s="425" t="e">
        <f t="shared" si="99"/>
        <v>#DIV/0!</v>
      </c>
      <c r="BO13" s="424"/>
      <c r="BP13" s="425" t="e">
        <f t="shared" si="99"/>
        <v>#DIV/0!</v>
      </c>
      <c r="BQ13" s="402"/>
      <c r="BR13" s="425" t="e">
        <f t="shared" ref="BR13:BV13" si="100">BQ13/$H13</f>
        <v>#DIV/0!</v>
      </c>
      <c r="BS13" s="424"/>
      <c r="BT13" s="425" t="e">
        <f t="shared" si="100"/>
        <v>#DIV/0!</v>
      </c>
      <c r="BU13" s="402"/>
      <c r="BV13" s="425" t="e">
        <f t="shared" si="100"/>
        <v>#DIV/0!</v>
      </c>
      <c r="BW13" s="424"/>
      <c r="BX13" s="425" t="e">
        <f t="shared" ref="BX13:CB13" si="101">BW13/$H13</f>
        <v>#DIV/0!</v>
      </c>
      <c r="BY13" s="402"/>
      <c r="BZ13" s="425" t="e">
        <f t="shared" si="101"/>
        <v>#DIV/0!</v>
      </c>
      <c r="CA13" s="424"/>
      <c r="CB13" s="425" t="e">
        <f t="shared" si="101"/>
        <v>#DIV/0!</v>
      </c>
      <c r="CC13" s="424"/>
      <c r="CD13" s="425" t="e">
        <f t="shared" ref="CD13:CH13" si="102">CC13/$H13</f>
        <v>#DIV/0!</v>
      </c>
      <c r="CE13" s="424"/>
      <c r="CF13" s="425" t="e">
        <f t="shared" si="102"/>
        <v>#DIV/0!</v>
      </c>
      <c r="CG13" s="424"/>
      <c r="CH13" s="425" t="e">
        <f t="shared" si="102"/>
        <v>#DIV/0!</v>
      </c>
      <c r="CI13" s="424"/>
      <c r="CJ13" s="425" t="e">
        <f t="shared" si="15"/>
        <v>#DIV/0!</v>
      </c>
      <c r="CK13" s="424"/>
      <c r="CL13" s="425" t="e">
        <f t="shared" si="16"/>
        <v>#DIV/0!</v>
      </c>
      <c r="CM13" s="424"/>
      <c r="CN13" s="405" t="e">
        <f t="shared" si="17"/>
        <v>#DIV/0!</v>
      </c>
      <c r="CO13" s="402"/>
      <c r="CP13" s="446" t="e">
        <f t="shared" si="18"/>
        <v>#DIV/0!</v>
      </c>
    </row>
    <row r="14" s="380" customFormat="1" ht="19" customHeight="1" spans="1:94">
      <c r="A14" s="396">
        <v>9</v>
      </c>
      <c r="B14" s="397" t="s">
        <v>174</v>
      </c>
      <c r="C14" s="398" t="s">
        <v>163</v>
      </c>
      <c r="D14" s="399" t="s">
        <v>164</v>
      </c>
      <c r="E14" s="399"/>
      <c r="F14" s="400"/>
      <c r="G14" s="401" t="s">
        <v>175</v>
      </c>
      <c r="H14" s="402"/>
      <c r="I14" s="402"/>
      <c r="J14" s="423" t="e">
        <f t="shared" si="0"/>
        <v>#DIV/0!</v>
      </c>
      <c r="K14" s="424"/>
      <c r="L14" s="405" t="e">
        <f t="shared" si="1"/>
        <v>#DIV/0!</v>
      </c>
      <c r="M14" s="402"/>
      <c r="N14" s="425" t="e">
        <f t="shared" si="2"/>
        <v>#DIV/0!</v>
      </c>
      <c r="O14" s="424"/>
      <c r="P14" s="425" t="e">
        <f t="shared" ref="P14:T14" si="103">O14/$H14</f>
        <v>#DIV/0!</v>
      </c>
      <c r="Q14" s="402"/>
      <c r="R14" s="425" t="e">
        <f t="shared" si="103"/>
        <v>#DIV/0!</v>
      </c>
      <c r="S14" s="424"/>
      <c r="T14" s="425" t="e">
        <f t="shared" si="103"/>
        <v>#DIV/0!</v>
      </c>
      <c r="U14" s="402"/>
      <c r="V14" s="425" t="e">
        <f t="shared" ref="V14:Z14" si="104">U14/$H14</f>
        <v>#DIV/0!</v>
      </c>
      <c r="W14" s="424"/>
      <c r="X14" s="425" t="e">
        <f t="shared" si="104"/>
        <v>#DIV/0!</v>
      </c>
      <c r="Y14" s="402"/>
      <c r="Z14" s="425" t="e">
        <f t="shared" si="104"/>
        <v>#DIV/0!</v>
      </c>
      <c r="AA14" s="424"/>
      <c r="AB14" s="425" t="e">
        <f t="shared" ref="AB14:AF14" si="105">AA14/$H14</f>
        <v>#DIV/0!</v>
      </c>
      <c r="AC14" s="402"/>
      <c r="AD14" s="425" t="e">
        <f t="shared" si="105"/>
        <v>#DIV/0!</v>
      </c>
      <c r="AE14" s="424"/>
      <c r="AF14" s="425" t="e">
        <f t="shared" si="105"/>
        <v>#DIV/0!</v>
      </c>
      <c r="AG14" s="402"/>
      <c r="AH14" s="425" t="e">
        <f t="shared" ref="AH14:AL14" si="106">AG14/$H14</f>
        <v>#DIV/0!</v>
      </c>
      <c r="AI14" s="424"/>
      <c r="AJ14" s="425" t="e">
        <f t="shared" si="106"/>
        <v>#DIV/0!</v>
      </c>
      <c r="AK14" s="402"/>
      <c r="AL14" s="425" t="e">
        <f t="shared" si="106"/>
        <v>#DIV/0!</v>
      </c>
      <c r="AM14" s="424"/>
      <c r="AN14" s="425" t="e">
        <f t="shared" ref="AN14:AR14" si="107">AM14/$H14</f>
        <v>#DIV/0!</v>
      </c>
      <c r="AO14" s="402"/>
      <c r="AP14" s="425" t="e">
        <f t="shared" si="107"/>
        <v>#DIV/0!</v>
      </c>
      <c r="AQ14" s="424"/>
      <c r="AR14" s="425" t="e">
        <f t="shared" si="107"/>
        <v>#DIV/0!</v>
      </c>
      <c r="AS14" s="402"/>
      <c r="AT14" s="425" t="e">
        <f t="shared" ref="AT14:AX14" si="108">AS14/$H14</f>
        <v>#DIV/0!</v>
      </c>
      <c r="AU14" s="424"/>
      <c r="AV14" s="425" t="e">
        <f t="shared" si="108"/>
        <v>#DIV/0!</v>
      </c>
      <c r="AW14" s="402"/>
      <c r="AX14" s="425" t="e">
        <f t="shared" si="108"/>
        <v>#DIV/0!</v>
      </c>
      <c r="AY14" s="424"/>
      <c r="AZ14" s="425" t="e">
        <f t="shared" ref="AZ14:BD14" si="109">AY14/$H14</f>
        <v>#DIV/0!</v>
      </c>
      <c r="BA14" s="402"/>
      <c r="BB14" s="425" t="e">
        <f t="shared" si="109"/>
        <v>#DIV/0!</v>
      </c>
      <c r="BC14" s="424"/>
      <c r="BD14" s="425" t="e">
        <f t="shared" si="109"/>
        <v>#DIV/0!</v>
      </c>
      <c r="BE14" s="402"/>
      <c r="BF14" s="425" t="e">
        <f t="shared" ref="BF14:BJ14" si="110">BE14/$H14</f>
        <v>#DIV/0!</v>
      </c>
      <c r="BG14" s="424"/>
      <c r="BH14" s="425" t="e">
        <f t="shared" si="110"/>
        <v>#DIV/0!</v>
      </c>
      <c r="BI14" s="402"/>
      <c r="BJ14" s="425" t="e">
        <f t="shared" si="110"/>
        <v>#DIV/0!</v>
      </c>
      <c r="BK14" s="424"/>
      <c r="BL14" s="425" t="e">
        <f t="shared" ref="BL14:BP14" si="111">BK14/$H14</f>
        <v>#DIV/0!</v>
      </c>
      <c r="BM14" s="402"/>
      <c r="BN14" s="425" t="e">
        <f t="shared" si="111"/>
        <v>#DIV/0!</v>
      </c>
      <c r="BO14" s="424"/>
      <c r="BP14" s="425" t="e">
        <f t="shared" si="111"/>
        <v>#DIV/0!</v>
      </c>
      <c r="BQ14" s="402"/>
      <c r="BR14" s="425" t="e">
        <f t="shared" ref="BR14:BV14" si="112">BQ14/$H14</f>
        <v>#DIV/0!</v>
      </c>
      <c r="BS14" s="424"/>
      <c r="BT14" s="425" t="e">
        <f t="shared" si="112"/>
        <v>#DIV/0!</v>
      </c>
      <c r="BU14" s="402"/>
      <c r="BV14" s="425" t="e">
        <f t="shared" si="112"/>
        <v>#DIV/0!</v>
      </c>
      <c r="BW14" s="424"/>
      <c r="BX14" s="425" t="e">
        <f t="shared" ref="BX14:CB14" si="113">BW14/$H14</f>
        <v>#DIV/0!</v>
      </c>
      <c r="BY14" s="402"/>
      <c r="BZ14" s="425" t="e">
        <f t="shared" si="113"/>
        <v>#DIV/0!</v>
      </c>
      <c r="CA14" s="424"/>
      <c r="CB14" s="425" t="e">
        <f t="shared" si="113"/>
        <v>#DIV/0!</v>
      </c>
      <c r="CC14" s="424"/>
      <c r="CD14" s="425" t="e">
        <f t="shared" ref="CD14:CH14" si="114">CC14/$H14</f>
        <v>#DIV/0!</v>
      </c>
      <c r="CE14" s="424"/>
      <c r="CF14" s="425" t="e">
        <f t="shared" si="114"/>
        <v>#DIV/0!</v>
      </c>
      <c r="CG14" s="424"/>
      <c r="CH14" s="425" t="e">
        <f t="shared" si="114"/>
        <v>#DIV/0!</v>
      </c>
      <c r="CI14" s="424"/>
      <c r="CJ14" s="425" t="e">
        <f t="shared" si="15"/>
        <v>#DIV/0!</v>
      </c>
      <c r="CK14" s="424"/>
      <c r="CL14" s="425" t="e">
        <f t="shared" si="16"/>
        <v>#DIV/0!</v>
      </c>
      <c r="CM14" s="424"/>
      <c r="CN14" s="405" t="e">
        <f t="shared" si="17"/>
        <v>#DIV/0!</v>
      </c>
      <c r="CO14" s="402"/>
      <c r="CP14" s="446" t="e">
        <f t="shared" si="18"/>
        <v>#DIV/0!</v>
      </c>
    </row>
    <row r="15" s="380" customFormat="1" ht="19" customHeight="1" spans="1:94">
      <c r="A15" s="396">
        <v>10</v>
      </c>
      <c r="B15" s="403"/>
      <c r="C15" s="401" t="s">
        <v>167</v>
      </c>
      <c r="D15" s="404" t="s">
        <v>168</v>
      </c>
      <c r="E15" s="399"/>
      <c r="F15" s="400"/>
      <c r="G15" s="401" t="s">
        <v>170</v>
      </c>
      <c r="H15" s="402"/>
      <c r="I15" s="402"/>
      <c r="J15" s="423" t="e">
        <f t="shared" si="0"/>
        <v>#DIV/0!</v>
      </c>
      <c r="K15" s="424"/>
      <c r="L15" s="405" t="e">
        <f t="shared" si="1"/>
        <v>#DIV/0!</v>
      </c>
      <c r="M15" s="402"/>
      <c r="N15" s="425" t="e">
        <f t="shared" si="2"/>
        <v>#DIV/0!</v>
      </c>
      <c r="O15" s="424"/>
      <c r="P15" s="425" t="e">
        <f t="shared" ref="P15:T15" si="115">O15/$H15</f>
        <v>#DIV/0!</v>
      </c>
      <c r="Q15" s="402"/>
      <c r="R15" s="425" t="e">
        <f t="shared" si="115"/>
        <v>#DIV/0!</v>
      </c>
      <c r="S15" s="424"/>
      <c r="T15" s="425" t="e">
        <f t="shared" si="115"/>
        <v>#DIV/0!</v>
      </c>
      <c r="U15" s="402"/>
      <c r="V15" s="425" t="e">
        <f t="shared" ref="V15:Z15" si="116">U15/$H15</f>
        <v>#DIV/0!</v>
      </c>
      <c r="W15" s="424"/>
      <c r="X15" s="425" t="e">
        <f t="shared" si="116"/>
        <v>#DIV/0!</v>
      </c>
      <c r="Y15" s="402"/>
      <c r="Z15" s="425" t="e">
        <f t="shared" si="116"/>
        <v>#DIV/0!</v>
      </c>
      <c r="AA15" s="424"/>
      <c r="AB15" s="425" t="e">
        <f t="shared" ref="AB15:AF15" si="117">AA15/$H15</f>
        <v>#DIV/0!</v>
      </c>
      <c r="AC15" s="402"/>
      <c r="AD15" s="425" t="e">
        <f t="shared" si="117"/>
        <v>#DIV/0!</v>
      </c>
      <c r="AE15" s="424"/>
      <c r="AF15" s="425" t="e">
        <f t="shared" si="117"/>
        <v>#DIV/0!</v>
      </c>
      <c r="AG15" s="402"/>
      <c r="AH15" s="425" t="e">
        <f t="shared" ref="AH15:AL15" si="118">AG15/$H15</f>
        <v>#DIV/0!</v>
      </c>
      <c r="AI15" s="424"/>
      <c r="AJ15" s="425" t="e">
        <f t="shared" si="118"/>
        <v>#DIV/0!</v>
      </c>
      <c r="AK15" s="402"/>
      <c r="AL15" s="425" t="e">
        <f t="shared" si="118"/>
        <v>#DIV/0!</v>
      </c>
      <c r="AM15" s="424"/>
      <c r="AN15" s="425" t="e">
        <f t="shared" ref="AN15:AR15" si="119">AM15/$H15</f>
        <v>#DIV/0!</v>
      </c>
      <c r="AO15" s="402"/>
      <c r="AP15" s="425" t="e">
        <f t="shared" si="119"/>
        <v>#DIV/0!</v>
      </c>
      <c r="AQ15" s="424"/>
      <c r="AR15" s="425" t="e">
        <f t="shared" si="119"/>
        <v>#DIV/0!</v>
      </c>
      <c r="AS15" s="402"/>
      <c r="AT15" s="425" t="e">
        <f t="shared" ref="AT15:AX15" si="120">AS15/$H15</f>
        <v>#DIV/0!</v>
      </c>
      <c r="AU15" s="424"/>
      <c r="AV15" s="425" t="e">
        <f t="shared" si="120"/>
        <v>#DIV/0!</v>
      </c>
      <c r="AW15" s="402"/>
      <c r="AX15" s="425" t="e">
        <f t="shared" si="120"/>
        <v>#DIV/0!</v>
      </c>
      <c r="AY15" s="424"/>
      <c r="AZ15" s="425" t="e">
        <f t="shared" ref="AZ15:BD15" si="121">AY15/$H15</f>
        <v>#DIV/0!</v>
      </c>
      <c r="BA15" s="402"/>
      <c r="BB15" s="425" t="e">
        <f t="shared" si="121"/>
        <v>#DIV/0!</v>
      </c>
      <c r="BC15" s="424"/>
      <c r="BD15" s="425" t="e">
        <f t="shared" si="121"/>
        <v>#DIV/0!</v>
      </c>
      <c r="BE15" s="402"/>
      <c r="BF15" s="425" t="e">
        <f t="shared" ref="BF15:BJ15" si="122">BE15/$H15</f>
        <v>#DIV/0!</v>
      </c>
      <c r="BG15" s="424"/>
      <c r="BH15" s="425" t="e">
        <f t="shared" si="122"/>
        <v>#DIV/0!</v>
      </c>
      <c r="BI15" s="402"/>
      <c r="BJ15" s="425" t="e">
        <f t="shared" si="122"/>
        <v>#DIV/0!</v>
      </c>
      <c r="BK15" s="424"/>
      <c r="BL15" s="425" t="e">
        <f t="shared" ref="BL15:BP15" si="123">BK15/$H15</f>
        <v>#DIV/0!</v>
      </c>
      <c r="BM15" s="402"/>
      <c r="BN15" s="425" t="e">
        <f t="shared" si="123"/>
        <v>#DIV/0!</v>
      </c>
      <c r="BO15" s="424"/>
      <c r="BP15" s="425" t="e">
        <f t="shared" si="123"/>
        <v>#DIV/0!</v>
      </c>
      <c r="BQ15" s="402"/>
      <c r="BR15" s="425" t="e">
        <f t="shared" ref="BR15:BV15" si="124">BQ15/$H15</f>
        <v>#DIV/0!</v>
      </c>
      <c r="BS15" s="424"/>
      <c r="BT15" s="425" t="e">
        <f t="shared" si="124"/>
        <v>#DIV/0!</v>
      </c>
      <c r="BU15" s="402"/>
      <c r="BV15" s="425" t="e">
        <f t="shared" si="124"/>
        <v>#DIV/0!</v>
      </c>
      <c r="BW15" s="424"/>
      <c r="BX15" s="425" t="e">
        <f t="shared" ref="BX15:CB15" si="125">BW15/$H15</f>
        <v>#DIV/0!</v>
      </c>
      <c r="BY15" s="402"/>
      <c r="BZ15" s="425" t="e">
        <f t="shared" si="125"/>
        <v>#DIV/0!</v>
      </c>
      <c r="CA15" s="424"/>
      <c r="CB15" s="425" t="e">
        <f t="shared" si="125"/>
        <v>#DIV/0!</v>
      </c>
      <c r="CC15" s="424"/>
      <c r="CD15" s="425" t="e">
        <f t="shared" ref="CD15:CH15" si="126">CC15/$H15</f>
        <v>#DIV/0!</v>
      </c>
      <c r="CE15" s="424"/>
      <c r="CF15" s="425" t="e">
        <f t="shared" si="126"/>
        <v>#DIV/0!</v>
      </c>
      <c r="CG15" s="424"/>
      <c r="CH15" s="425" t="e">
        <f t="shared" si="126"/>
        <v>#DIV/0!</v>
      </c>
      <c r="CI15" s="424"/>
      <c r="CJ15" s="425" t="e">
        <f t="shared" si="15"/>
        <v>#DIV/0!</v>
      </c>
      <c r="CK15" s="424"/>
      <c r="CL15" s="425" t="e">
        <f t="shared" si="16"/>
        <v>#DIV/0!</v>
      </c>
      <c r="CM15" s="424"/>
      <c r="CN15" s="405" t="e">
        <f t="shared" si="17"/>
        <v>#DIV/0!</v>
      </c>
      <c r="CO15" s="402"/>
      <c r="CP15" s="446" t="e">
        <f t="shared" si="18"/>
        <v>#DIV/0!</v>
      </c>
    </row>
    <row r="16" s="380" customFormat="1" ht="19" customHeight="1" spans="1:94">
      <c r="A16" s="396">
        <v>11</v>
      </c>
      <c r="B16" s="397" t="s">
        <v>174</v>
      </c>
      <c r="C16" s="398" t="s">
        <v>163</v>
      </c>
      <c r="D16" s="399" t="s">
        <v>171</v>
      </c>
      <c r="E16" s="399"/>
      <c r="F16" s="400"/>
      <c r="G16" s="401" t="s">
        <v>166</v>
      </c>
      <c r="H16" s="402"/>
      <c r="I16" s="402"/>
      <c r="J16" s="423" t="e">
        <f t="shared" si="0"/>
        <v>#DIV/0!</v>
      </c>
      <c r="K16" s="424"/>
      <c r="L16" s="405" t="e">
        <f t="shared" si="1"/>
        <v>#DIV/0!</v>
      </c>
      <c r="M16" s="402"/>
      <c r="N16" s="425" t="e">
        <f t="shared" si="2"/>
        <v>#DIV/0!</v>
      </c>
      <c r="O16" s="424"/>
      <c r="P16" s="425" t="e">
        <f t="shared" ref="P16:T16" si="127">O16/$H16</f>
        <v>#DIV/0!</v>
      </c>
      <c r="Q16" s="402"/>
      <c r="R16" s="425" t="e">
        <f t="shared" si="127"/>
        <v>#DIV/0!</v>
      </c>
      <c r="S16" s="424"/>
      <c r="T16" s="425" t="e">
        <f t="shared" si="127"/>
        <v>#DIV/0!</v>
      </c>
      <c r="U16" s="402"/>
      <c r="V16" s="425" t="e">
        <f t="shared" ref="V16:Z16" si="128">U16/$H16</f>
        <v>#DIV/0!</v>
      </c>
      <c r="W16" s="424"/>
      <c r="X16" s="425" t="e">
        <f t="shared" si="128"/>
        <v>#DIV/0!</v>
      </c>
      <c r="Y16" s="402"/>
      <c r="Z16" s="425" t="e">
        <f t="shared" si="128"/>
        <v>#DIV/0!</v>
      </c>
      <c r="AA16" s="424"/>
      <c r="AB16" s="425" t="e">
        <f t="shared" ref="AB16:AF16" si="129">AA16/$H16</f>
        <v>#DIV/0!</v>
      </c>
      <c r="AC16" s="402"/>
      <c r="AD16" s="425" t="e">
        <f t="shared" si="129"/>
        <v>#DIV/0!</v>
      </c>
      <c r="AE16" s="424"/>
      <c r="AF16" s="425" t="e">
        <f t="shared" si="129"/>
        <v>#DIV/0!</v>
      </c>
      <c r="AG16" s="402"/>
      <c r="AH16" s="425" t="e">
        <f t="shared" ref="AH16:AL16" si="130">AG16/$H16</f>
        <v>#DIV/0!</v>
      </c>
      <c r="AI16" s="424"/>
      <c r="AJ16" s="425" t="e">
        <f t="shared" si="130"/>
        <v>#DIV/0!</v>
      </c>
      <c r="AK16" s="402"/>
      <c r="AL16" s="425" t="e">
        <f t="shared" si="130"/>
        <v>#DIV/0!</v>
      </c>
      <c r="AM16" s="424"/>
      <c r="AN16" s="425" t="e">
        <f t="shared" ref="AN16:AR16" si="131">AM16/$H16</f>
        <v>#DIV/0!</v>
      </c>
      <c r="AO16" s="402"/>
      <c r="AP16" s="425" t="e">
        <f t="shared" si="131"/>
        <v>#DIV/0!</v>
      </c>
      <c r="AQ16" s="424"/>
      <c r="AR16" s="425" t="e">
        <f t="shared" si="131"/>
        <v>#DIV/0!</v>
      </c>
      <c r="AS16" s="402"/>
      <c r="AT16" s="425" t="e">
        <f t="shared" ref="AT16:AX16" si="132">AS16/$H16</f>
        <v>#DIV/0!</v>
      </c>
      <c r="AU16" s="424"/>
      <c r="AV16" s="425" t="e">
        <f t="shared" si="132"/>
        <v>#DIV/0!</v>
      </c>
      <c r="AW16" s="402"/>
      <c r="AX16" s="425" t="e">
        <f t="shared" si="132"/>
        <v>#DIV/0!</v>
      </c>
      <c r="AY16" s="424"/>
      <c r="AZ16" s="425" t="e">
        <f t="shared" ref="AZ16:BD16" si="133">AY16/$H16</f>
        <v>#DIV/0!</v>
      </c>
      <c r="BA16" s="402"/>
      <c r="BB16" s="425" t="e">
        <f t="shared" si="133"/>
        <v>#DIV/0!</v>
      </c>
      <c r="BC16" s="424"/>
      <c r="BD16" s="425" t="e">
        <f t="shared" si="133"/>
        <v>#DIV/0!</v>
      </c>
      <c r="BE16" s="402"/>
      <c r="BF16" s="425" t="e">
        <f t="shared" ref="BF16:BJ16" si="134">BE16/$H16</f>
        <v>#DIV/0!</v>
      </c>
      <c r="BG16" s="424"/>
      <c r="BH16" s="425" t="e">
        <f t="shared" si="134"/>
        <v>#DIV/0!</v>
      </c>
      <c r="BI16" s="402"/>
      <c r="BJ16" s="425" t="e">
        <f t="shared" si="134"/>
        <v>#DIV/0!</v>
      </c>
      <c r="BK16" s="424"/>
      <c r="BL16" s="425" t="e">
        <f t="shared" ref="BL16:BP16" si="135">BK16/$H16</f>
        <v>#DIV/0!</v>
      </c>
      <c r="BM16" s="402"/>
      <c r="BN16" s="425" t="e">
        <f t="shared" si="135"/>
        <v>#DIV/0!</v>
      </c>
      <c r="BO16" s="424"/>
      <c r="BP16" s="425" t="e">
        <f t="shared" si="135"/>
        <v>#DIV/0!</v>
      </c>
      <c r="BQ16" s="402"/>
      <c r="BR16" s="425" t="e">
        <f t="shared" ref="BR16:BV16" si="136">BQ16/$H16</f>
        <v>#DIV/0!</v>
      </c>
      <c r="BS16" s="424"/>
      <c r="BT16" s="425" t="e">
        <f t="shared" si="136"/>
        <v>#DIV/0!</v>
      </c>
      <c r="BU16" s="402"/>
      <c r="BV16" s="425" t="e">
        <f t="shared" si="136"/>
        <v>#DIV/0!</v>
      </c>
      <c r="BW16" s="424"/>
      <c r="BX16" s="425" t="e">
        <f t="shared" ref="BX16:CB16" si="137">BW16/$H16</f>
        <v>#DIV/0!</v>
      </c>
      <c r="BY16" s="402"/>
      <c r="BZ16" s="425" t="e">
        <f t="shared" si="137"/>
        <v>#DIV/0!</v>
      </c>
      <c r="CA16" s="424"/>
      <c r="CB16" s="425" t="e">
        <f t="shared" si="137"/>
        <v>#DIV/0!</v>
      </c>
      <c r="CC16" s="424"/>
      <c r="CD16" s="425" t="e">
        <f t="shared" ref="CD16:CH16" si="138">CC16/$H16</f>
        <v>#DIV/0!</v>
      </c>
      <c r="CE16" s="424"/>
      <c r="CF16" s="425" t="e">
        <f t="shared" si="138"/>
        <v>#DIV/0!</v>
      </c>
      <c r="CG16" s="424"/>
      <c r="CH16" s="425" t="e">
        <f t="shared" si="138"/>
        <v>#DIV/0!</v>
      </c>
      <c r="CI16" s="424"/>
      <c r="CJ16" s="425" t="e">
        <f t="shared" si="15"/>
        <v>#DIV/0!</v>
      </c>
      <c r="CK16" s="424"/>
      <c r="CL16" s="425" t="e">
        <f t="shared" si="16"/>
        <v>#DIV/0!</v>
      </c>
      <c r="CM16" s="424"/>
      <c r="CN16" s="405" t="e">
        <f t="shared" si="17"/>
        <v>#DIV/0!</v>
      </c>
      <c r="CO16" s="402"/>
      <c r="CP16" s="446" t="e">
        <f t="shared" si="18"/>
        <v>#DIV/0!</v>
      </c>
    </row>
    <row r="17" s="380" customFormat="1" ht="19" customHeight="1" spans="1:94">
      <c r="A17" s="396">
        <v>12</v>
      </c>
      <c r="B17" s="397" t="s">
        <v>174</v>
      </c>
      <c r="C17" s="398" t="s">
        <v>163</v>
      </c>
      <c r="D17" s="399" t="s">
        <v>171</v>
      </c>
      <c r="E17" s="399"/>
      <c r="F17" s="400"/>
      <c r="G17" s="401" t="s">
        <v>166</v>
      </c>
      <c r="H17" s="402"/>
      <c r="I17" s="402"/>
      <c r="J17" s="423" t="e">
        <f t="shared" si="0"/>
        <v>#DIV/0!</v>
      </c>
      <c r="K17" s="424"/>
      <c r="L17" s="405" t="e">
        <f t="shared" si="1"/>
        <v>#DIV/0!</v>
      </c>
      <c r="M17" s="402"/>
      <c r="N17" s="425" t="e">
        <f t="shared" si="2"/>
        <v>#DIV/0!</v>
      </c>
      <c r="O17" s="424"/>
      <c r="P17" s="425" t="e">
        <f t="shared" ref="P17:T17" si="139">O17/$H17</f>
        <v>#DIV/0!</v>
      </c>
      <c r="Q17" s="402"/>
      <c r="R17" s="425" t="e">
        <f t="shared" si="139"/>
        <v>#DIV/0!</v>
      </c>
      <c r="S17" s="424"/>
      <c r="T17" s="425" t="e">
        <f t="shared" si="139"/>
        <v>#DIV/0!</v>
      </c>
      <c r="U17" s="402"/>
      <c r="V17" s="425" t="e">
        <f t="shared" ref="V17:Z17" si="140">U17/$H17</f>
        <v>#DIV/0!</v>
      </c>
      <c r="W17" s="424"/>
      <c r="X17" s="425" t="e">
        <f t="shared" si="140"/>
        <v>#DIV/0!</v>
      </c>
      <c r="Y17" s="402"/>
      <c r="Z17" s="425" t="e">
        <f t="shared" si="140"/>
        <v>#DIV/0!</v>
      </c>
      <c r="AA17" s="424"/>
      <c r="AB17" s="425" t="e">
        <f t="shared" ref="AB17:AF17" si="141">AA17/$H17</f>
        <v>#DIV/0!</v>
      </c>
      <c r="AC17" s="402"/>
      <c r="AD17" s="425" t="e">
        <f t="shared" si="141"/>
        <v>#DIV/0!</v>
      </c>
      <c r="AE17" s="424"/>
      <c r="AF17" s="425" t="e">
        <f t="shared" si="141"/>
        <v>#DIV/0!</v>
      </c>
      <c r="AG17" s="402"/>
      <c r="AH17" s="425" t="e">
        <f t="shared" ref="AH17:AL17" si="142">AG17/$H17</f>
        <v>#DIV/0!</v>
      </c>
      <c r="AI17" s="424"/>
      <c r="AJ17" s="425" t="e">
        <f t="shared" si="142"/>
        <v>#DIV/0!</v>
      </c>
      <c r="AK17" s="402"/>
      <c r="AL17" s="425" t="e">
        <f t="shared" si="142"/>
        <v>#DIV/0!</v>
      </c>
      <c r="AM17" s="424"/>
      <c r="AN17" s="425" t="e">
        <f t="shared" ref="AN17:AR17" si="143">AM17/$H17</f>
        <v>#DIV/0!</v>
      </c>
      <c r="AO17" s="402"/>
      <c r="AP17" s="425" t="e">
        <f t="shared" si="143"/>
        <v>#DIV/0!</v>
      </c>
      <c r="AQ17" s="424"/>
      <c r="AR17" s="425" t="e">
        <f t="shared" si="143"/>
        <v>#DIV/0!</v>
      </c>
      <c r="AS17" s="402"/>
      <c r="AT17" s="425" t="e">
        <f t="shared" ref="AT17:AX17" si="144">AS17/$H17</f>
        <v>#DIV/0!</v>
      </c>
      <c r="AU17" s="424"/>
      <c r="AV17" s="425" t="e">
        <f t="shared" si="144"/>
        <v>#DIV/0!</v>
      </c>
      <c r="AW17" s="402"/>
      <c r="AX17" s="425" t="e">
        <f t="shared" si="144"/>
        <v>#DIV/0!</v>
      </c>
      <c r="AY17" s="424"/>
      <c r="AZ17" s="425" t="e">
        <f t="shared" ref="AZ17:BD17" si="145">AY17/$H17</f>
        <v>#DIV/0!</v>
      </c>
      <c r="BA17" s="402"/>
      <c r="BB17" s="425" t="e">
        <f t="shared" si="145"/>
        <v>#DIV/0!</v>
      </c>
      <c r="BC17" s="424"/>
      <c r="BD17" s="425" t="e">
        <f t="shared" si="145"/>
        <v>#DIV/0!</v>
      </c>
      <c r="BE17" s="402"/>
      <c r="BF17" s="425" t="e">
        <f t="shared" ref="BF17:BJ17" si="146">BE17/$H17</f>
        <v>#DIV/0!</v>
      </c>
      <c r="BG17" s="424"/>
      <c r="BH17" s="425" t="e">
        <f t="shared" si="146"/>
        <v>#DIV/0!</v>
      </c>
      <c r="BI17" s="402"/>
      <c r="BJ17" s="425" t="e">
        <f t="shared" si="146"/>
        <v>#DIV/0!</v>
      </c>
      <c r="BK17" s="424"/>
      <c r="BL17" s="425" t="e">
        <f t="shared" ref="BL17:BP17" si="147">BK17/$H17</f>
        <v>#DIV/0!</v>
      </c>
      <c r="BM17" s="402"/>
      <c r="BN17" s="425" t="e">
        <f t="shared" si="147"/>
        <v>#DIV/0!</v>
      </c>
      <c r="BO17" s="424"/>
      <c r="BP17" s="425" t="e">
        <f t="shared" si="147"/>
        <v>#DIV/0!</v>
      </c>
      <c r="BQ17" s="402"/>
      <c r="BR17" s="425" t="e">
        <f t="shared" ref="BR17:BV17" si="148">BQ17/$H17</f>
        <v>#DIV/0!</v>
      </c>
      <c r="BS17" s="424"/>
      <c r="BT17" s="425" t="e">
        <f t="shared" si="148"/>
        <v>#DIV/0!</v>
      </c>
      <c r="BU17" s="402"/>
      <c r="BV17" s="425" t="e">
        <f t="shared" si="148"/>
        <v>#DIV/0!</v>
      </c>
      <c r="BW17" s="424"/>
      <c r="BX17" s="425" t="e">
        <f t="shared" ref="BX17:CB17" si="149">BW17/$H17</f>
        <v>#DIV/0!</v>
      </c>
      <c r="BY17" s="402"/>
      <c r="BZ17" s="425" t="e">
        <f t="shared" si="149"/>
        <v>#DIV/0!</v>
      </c>
      <c r="CA17" s="424"/>
      <c r="CB17" s="425" t="e">
        <f t="shared" si="149"/>
        <v>#DIV/0!</v>
      </c>
      <c r="CC17" s="424"/>
      <c r="CD17" s="425" t="e">
        <f t="shared" ref="CD17:CH17" si="150">CC17/$H17</f>
        <v>#DIV/0!</v>
      </c>
      <c r="CE17" s="424"/>
      <c r="CF17" s="425" t="e">
        <f t="shared" si="150"/>
        <v>#DIV/0!</v>
      </c>
      <c r="CG17" s="424"/>
      <c r="CH17" s="425" t="e">
        <f t="shared" si="150"/>
        <v>#DIV/0!</v>
      </c>
      <c r="CI17" s="424"/>
      <c r="CJ17" s="425" t="e">
        <f t="shared" si="15"/>
        <v>#DIV/0!</v>
      </c>
      <c r="CK17" s="424"/>
      <c r="CL17" s="425" t="e">
        <f t="shared" si="16"/>
        <v>#DIV/0!</v>
      </c>
      <c r="CM17" s="424"/>
      <c r="CN17" s="405" t="e">
        <f t="shared" si="17"/>
        <v>#DIV/0!</v>
      </c>
      <c r="CO17" s="402"/>
      <c r="CP17" s="446" t="e">
        <f t="shared" si="18"/>
        <v>#DIV/0!</v>
      </c>
    </row>
    <row r="18" s="380" customFormat="1" ht="19" customHeight="1" spans="1:94">
      <c r="A18" s="396">
        <v>13</v>
      </c>
      <c r="B18" s="397" t="s">
        <v>174</v>
      </c>
      <c r="C18" s="398" t="s">
        <v>163</v>
      </c>
      <c r="D18" s="399" t="s">
        <v>171</v>
      </c>
      <c r="E18" s="399"/>
      <c r="F18" s="400"/>
      <c r="G18" s="401" t="s">
        <v>166</v>
      </c>
      <c r="H18" s="402"/>
      <c r="I18" s="402"/>
      <c r="J18" s="423" t="e">
        <f t="shared" si="0"/>
        <v>#DIV/0!</v>
      </c>
      <c r="K18" s="424"/>
      <c r="L18" s="405" t="e">
        <f t="shared" si="1"/>
        <v>#DIV/0!</v>
      </c>
      <c r="M18" s="402"/>
      <c r="N18" s="425" t="e">
        <f t="shared" si="2"/>
        <v>#DIV/0!</v>
      </c>
      <c r="O18" s="424"/>
      <c r="P18" s="425" t="e">
        <f t="shared" ref="P18:T18" si="151">O18/$H18</f>
        <v>#DIV/0!</v>
      </c>
      <c r="Q18" s="402"/>
      <c r="R18" s="425" t="e">
        <f t="shared" si="151"/>
        <v>#DIV/0!</v>
      </c>
      <c r="S18" s="424"/>
      <c r="T18" s="425" t="e">
        <f t="shared" si="151"/>
        <v>#DIV/0!</v>
      </c>
      <c r="U18" s="402"/>
      <c r="V18" s="425" t="e">
        <f t="shared" ref="V18:Z18" si="152">U18/$H18</f>
        <v>#DIV/0!</v>
      </c>
      <c r="W18" s="424"/>
      <c r="X18" s="425" t="e">
        <f t="shared" si="152"/>
        <v>#DIV/0!</v>
      </c>
      <c r="Y18" s="402"/>
      <c r="Z18" s="425" t="e">
        <f t="shared" si="152"/>
        <v>#DIV/0!</v>
      </c>
      <c r="AA18" s="424"/>
      <c r="AB18" s="425" t="e">
        <f t="shared" ref="AB18:AF18" si="153">AA18/$H18</f>
        <v>#DIV/0!</v>
      </c>
      <c r="AC18" s="402"/>
      <c r="AD18" s="425" t="e">
        <f t="shared" si="153"/>
        <v>#DIV/0!</v>
      </c>
      <c r="AE18" s="424"/>
      <c r="AF18" s="425" t="e">
        <f t="shared" si="153"/>
        <v>#DIV/0!</v>
      </c>
      <c r="AG18" s="402"/>
      <c r="AH18" s="425" t="e">
        <f t="shared" ref="AH18:AL18" si="154">AG18/$H18</f>
        <v>#DIV/0!</v>
      </c>
      <c r="AI18" s="424"/>
      <c r="AJ18" s="425" t="e">
        <f t="shared" si="154"/>
        <v>#DIV/0!</v>
      </c>
      <c r="AK18" s="402"/>
      <c r="AL18" s="425" t="e">
        <f t="shared" si="154"/>
        <v>#DIV/0!</v>
      </c>
      <c r="AM18" s="424"/>
      <c r="AN18" s="425" t="e">
        <f t="shared" ref="AN18:AR18" si="155">AM18/$H18</f>
        <v>#DIV/0!</v>
      </c>
      <c r="AO18" s="402"/>
      <c r="AP18" s="425" t="e">
        <f t="shared" si="155"/>
        <v>#DIV/0!</v>
      </c>
      <c r="AQ18" s="424"/>
      <c r="AR18" s="425" t="e">
        <f t="shared" si="155"/>
        <v>#DIV/0!</v>
      </c>
      <c r="AS18" s="402"/>
      <c r="AT18" s="425" t="e">
        <f t="shared" ref="AT18:AX18" si="156">AS18/$H18</f>
        <v>#DIV/0!</v>
      </c>
      <c r="AU18" s="424"/>
      <c r="AV18" s="425" t="e">
        <f t="shared" si="156"/>
        <v>#DIV/0!</v>
      </c>
      <c r="AW18" s="402"/>
      <c r="AX18" s="425" t="e">
        <f t="shared" si="156"/>
        <v>#DIV/0!</v>
      </c>
      <c r="AY18" s="424"/>
      <c r="AZ18" s="425" t="e">
        <f t="shared" ref="AZ18:BD18" si="157">AY18/$H18</f>
        <v>#DIV/0!</v>
      </c>
      <c r="BA18" s="402"/>
      <c r="BB18" s="425" t="e">
        <f t="shared" si="157"/>
        <v>#DIV/0!</v>
      </c>
      <c r="BC18" s="424"/>
      <c r="BD18" s="425" t="e">
        <f t="shared" si="157"/>
        <v>#DIV/0!</v>
      </c>
      <c r="BE18" s="402"/>
      <c r="BF18" s="425" t="e">
        <f t="shared" ref="BF18:BJ18" si="158">BE18/$H18</f>
        <v>#DIV/0!</v>
      </c>
      <c r="BG18" s="424"/>
      <c r="BH18" s="425" t="e">
        <f t="shared" si="158"/>
        <v>#DIV/0!</v>
      </c>
      <c r="BI18" s="402"/>
      <c r="BJ18" s="425" t="e">
        <f t="shared" si="158"/>
        <v>#DIV/0!</v>
      </c>
      <c r="BK18" s="424"/>
      <c r="BL18" s="425" t="e">
        <f t="shared" ref="BL18:BP18" si="159">BK18/$H18</f>
        <v>#DIV/0!</v>
      </c>
      <c r="BM18" s="402"/>
      <c r="BN18" s="425" t="e">
        <f t="shared" si="159"/>
        <v>#DIV/0!</v>
      </c>
      <c r="BO18" s="424"/>
      <c r="BP18" s="425" t="e">
        <f t="shared" si="159"/>
        <v>#DIV/0!</v>
      </c>
      <c r="BQ18" s="402"/>
      <c r="BR18" s="425" t="e">
        <f t="shared" ref="BR18:BV18" si="160">BQ18/$H18</f>
        <v>#DIV/0!</v>
      </c>
      <c r="BS18" s="424"/>
      <c r="BT18" s="425" t="e">
        <f t="shared" si="160"/>
        <v>#DIV/0!</v>
      </c>
      <c r="BU18" s="402"/>
      <c r="BV18" s="425" t="e">
        <f t="shared" si="160"/>
        <v>#DIV/0!</v>
      </c>
      <c r="BW18" s="424"/>
      <c r="BX18" s="425" t="e">
        <f t="shared" ref="BX18:CB18" si="161">BW18/$H18</f>
        <v>#DIV/0!</v>
      </c>
      <c r="BY18" s="402"/>
      <c r="BZ18" s="425" t="e">
        <f t="shared" si="161"/>
        <v>#DIV/0!</v>
      </c>
      <c r="CA18" s="424"/>
      <c r="CB18" s="425" t="e">
        <f t="shared" si="161"/>
        <v>#DIV/0!</v>
      </c>
      <c r="CC18" s="424"/>
      <c r="CD18" s="425" t="e">
        <f t="shared" ref="CD18:CH18" si="162">CC18/$H18</f>
        <v>#DIV/0!</v>
      </c>
      <c r="CE18" s="424"/>
      <c r="CF18" s="425" t="e">
        <f t="shared" si="162"/>
        <v>#DIV/0!</v>
      </c>
      <c r="CG18" s="424"/>
      <c r="CH18" s="425" t="e">
        <f t="shared" si="162"/>
        <v>#DIV/0!</v>
      </c>
      <c r="CI18" s="424"/>
      <c r="CJ18" s="425" t="e">
        <f t="shared" si="15"/>
        <v>#DIV/0!</v>
      </c>
      <c r="CK18" s="424"/>
      <c r="CL18" s="425" t="e">
        <f t="shared" si="16"/>
        <v>#DIV/0!</v>
      </c>
      <c r="CM18" s="424"/>
      <c r="CN18" s="405" t="e">
        <f t="shared" si="17"/>
        <v>#DIV/0!</v>
      </c>
      <c r="CO18" s="402"/>
      <c r="CP18" s="446" t="e">
        <f t="shared" si="18"/>
        <v>#DIV/0!</v>
      </c>
    </row>
    <row r="19" s="380" customFormat="1" ht="19" customHeight="1" spans="1:94">
      <c r="A19" s="396">
        <v>14</v>
      </c>
      <c r="B19" s="397" t="s">
        <v>84</v>
      </c>
      <c r="C19" s="398" t="s">
        <v>163</v>
      </c>
      <c r="D19" s="399" t="s">
        <v>171</v>
      </c>
      <c r="E19" s="399" t="s">
        <v>176</v>
      </c>
      <c r="F19" s="400"/>
      <c r="G19" s="401" t="s">
        <v>166</v>
      </c>
      <c r="H19" s="402"/>
      <c r="I19" s="402"/>
      <c r="J19" s="423" t="e">
        <f t="shared" si="0"/>
        <v>#DIV/0!</v>
      </c>
      <c r="K19" s="424"/>
      <c r="L19" s="405" t="e">
        <f t="shared" si="1"/>
        <v>#DIV/0!</v>
      </c>
      <c r="M19" s="402"/>
      <c r="N19" s="425" t="e">
        <f t="shared" si="2"/>
        <v>#DIV/0!</v>
      </c>
      <c r="O19" s="424"/>
      <c r="P19" s="425" t="e">
        <f t="shared" ref="P19:T19" si="163">O19/$H19</f>
        <v>#DIV/0!</v>
      </c>
      <c r="Q19" s="402"/>
      <c r="R19" s="425" t="e">
        <f t="shared" si="163"/>
        <v>#DIV/0!</v>
      </c>
      <c r="S19" s="424"/>
      <c r="T19" s="425" t="e">
        <f t="shared" si="163"/>
        <v>#DIV/0!</v>
      </c>
      <c r="U19" s="402"/>
      <c r="V19" s="425" t="e">
        <f t="shared" ref="V19:Z19" si="164">U19/$H19</f>
        <v>#DIV/0!</v>
      </c>
      <c r="W19" s="424"/>
      <c r="X19" s="425" t="e">
        <f t="shared" si="164"/>
        <v>#DIV/0!</v>
      </c>
      <c r="Y19" s="402"/>
      <c r="Z19" s="425" t="e">
        <f t="shared" si="164"/>
        <v>#DIV/0!</v>
      </c>
      <c r="AA19" s="424"/>
      <c r="AB19" s="425" t="e">
        <f t="shared" ref="AB19:AF19" si="165">AA19/$H19</f>
        <v>#DIV/0!</v>
      </c>
      <c r="AC19" s="402"/>
      <c r="AD19" s="425" t="e">
        <f t="shared" si="165"/>
        <v>#DIV/0!</v>
      </c>
      <c r="AE19" s="424"/>
      <c r="AF19" s="425" t="e">
        <f t="shared" si="165"/>
        <v>#DIV/0!</v>
      </c>
      <c r="AG19" s="402"/>
      <c r="AH19" s="425" t="e">
        <f t="shared" ref="AH19:AL19" si="166">AG19/$H19</f>
        <v>#DIV/0!</v>
      </c>
      <c r="AI19" s="424"/>
      <c r="AJ19" s="425" t="e">
        <f t="shared" si="166"/>
        <v>#DIV/0!</v>
      </c>
      <c r="AK19" s="402"/>
      <c r="AL19" s="425" t="e">
        <f t="shared" si="166"/>
        <v>#DIV/0!</v>
      </c>
      <c r="AM19" s="424"/>
      <c r="AN19" s="425" t="e">
        <f t="shared" ref="AN19:AR19" si="167">AM19/$H19</f>
        <v>#DIV/0!</v>
      </c>
      <c r="AO19" s="402"/>
      <c r="AP19" s="425" t="e">
        <f t="shared" si="167"/>
        <v>#DIV/0!</v>
      </c>
      <c r="AQ19" s="424"/>
      <c r="AR19" s="425" t="e">
        <f t="shared" si="167"/>
        <v>#DIV/0!</v>
      </c>
      <c r="AS19" s="402"/>
      <c r="AT19" s="425" t="e">
        <f t="shared" ref="AT19:AX19" si="168">AS19/$H19</f>
        <v>#DIV/0!</v>
      </c>
      <c r="AU19" s="424"/>
      <c r="AV19" s="425" t="e">
        <f t="shared" si="168"/>
        <v>#DIV/0!</v>
      </c>
      <c r="AW19" s="402"/>
      <c r="AX19" s="425" t="e">
        <f t="shared" si="168"/>
        <v>#DIV/0!</v>
      </c>
      <c r="AY19" s="424"/>
      <c r="AZ19" s="425" t="e">
        <f t="shared" ref="AZ19:BD19" si="169">AY19/$H19</f>
        <v>#DIV/0!</v>
      </c>
      <c r="BA19" s="402"/>
      <c r="BB19" s="425" t="e">
        <f t="shared" si="169"/>
        <v>#DIV/0!</v>
      </c>
      <c r="BC19" s="424"/>
      <c r="BD19" s="425" t="e">
        <f t="shared" si="169"/>
        <v>#DIV/0!</v>
      </c>
      <c r="BE19" s="402"/>
      <c r="BF19" s="425" t="e">
        <f t="shared" ref="BF19:BJ19" si="170">BE19/$H19</f>
        <v>#DIV/0!</v>
      </c>
      <c r="BG19" s="424"/>
      <c r="BH19" s="425" t="e">
        <f t="shared" si="170"/>
        <v>#DIV/0!</v>
      </c>
      <c r="BI19" s="402"/>
      <c r="BJ19" s="425" t="e">
        <f t="shared" si="170"/>
        <v>#DIV/0!</v>
      </c>
      <c r="BK19" s="424"/>
      <c r="BL19" s="425" t="e">
        <f t="shared" ref="BL19:BP19" si="171">BK19/$H19</f>
        <v>#DIV/0!</v>
      </c>
      <c r="BM19" s="402"/>
      <c r="BN19" s="425" t="e">
        <f t="shared" si="171"/>
        <v>#DIV/0!</v>
      </c>
      <c r="BO19" s="424"/>
      <c r="BP19" s="425" t="e">
        <f t="shared" si="171"/>
        <v>#DIV/0!</v>
      </c>
      <c r="BQ19" s="402"/>
      <c r="BR19" s="425" t="e">
        <f t="shared" ref="BR19:BV19" si="172">BQ19/$H19</f>
        <v>#DIV/0!</v>
      </c>
      <c r="BS19" s="424"/>
      <c r="BT19" s="425" t="e">
        <f t="shared" si="172"/>
        <v>#DIV/0!</v>
      </c>
      <c r="BU19" s="402"/>
      <c r="BV19" s="425" t="e">
        <f t="shared" si="172"/>
        <v>#DIV/0!</v>
      </c>
      <c r="BW19" s="424"/>
      <c r="BX19" s="425" t="e">
        <f t="shared" ref="BX19:CB19" si="173">BW19/$H19</f>
        <v>#DIV/0!</v>
      </c>
      <c r="BY19" s="402"/>
      <c r="BZ19" s="425" t="e">
        <f t="shared" si="173"/>
        <v>#DIV/0!</v>
      </c>
      <c r="CA19" s="424"/>
      <c r="CB19" s="425" t="e">
        <f t="shared" si="173"/>
        <v>#DIV/0!</v>
      </c>
      <c r="CC19" s="424"/>
      <c r="CD19" s="425" t="e">
        <f t="shared" ref="CD19:CH19" si="174">CC19/$H19</f>
        <v>#DIV/0!</v>
      </c>
      <c r="CE19" s="424"/>
      <c r="CF19" s="425" t="e">
        <f t="shared" si="174"/>
        <v>#DIV/0!</v>
      </c>
      <c r="CG19" s="424"/>
      <c r="CH19" s="425" t="e">
        <f t="shared" si="174"/>
        <v>#DIV/0!</v>
      </c>
      <c r="CI19" s="424"/>
      <c r="CJ19" s="425" t="e">
        <f t="shared" si="15"/>
        <v>#DIV/0!</v>
      </c>
      <c r="CK19" s="424"/>
      <c r="CL19" s="425" t="e">
        <f t="shared" si="16"/>
        <v>#DIV/0!</v>
      </c>
      <c r="CM19" s="424"/>
      <c r="CN19" s="405" t="e">
        <f t="shared" si="17"/>
        <v>#DIV/0!</v>
      </c>
      <c r="CO19" s="402"/>
      <c r="CP19" s="446" t="e">
        <f t="shared" si="18"/>
        <v>#DIV/0!</v>
      </c>
    </row>
    <row r="20" s="380" customFormat="1" ht="19" customHeight="1" spans="1:94">
      <c r="A20" s="396">
        <v>15</v>
      </c>
      <c r="B20" s="397" t="s">
        <v>177</v>
      </c>
      <c r="C20" s="398" t="s">
        <v>163</v>
      </c>
      <c r="D20" s="399" t="s">
        <v>171</v>
      </c>
      <c r="E20" s="399" t="s">
        <v>176</v>
      </c>
      <c r="F20" s="400"/>
      <c r="G20" s="401" t="s">
        <v>166</v>
      </c>
      <c r="H20" s="402"/>
      <c r="I20" s="402"/>
      <c r="J20" s="423" t="e">
        <f t="shared" si="0"/>
        <v>#DIV/0!</v>
      </c>
      <c r="K20" s="424"/>
      <c r="L20" s="405" t="e">
        <f t="shared" si="1"/>
        <v>#DIV/0!</v>
      </c>
      <c r="M20" s="402"/>
      <c r="N20" s="425" t="e">
        <f t="shared" si="2"/>
        <v>#DIV/0!</v>
      </c>
      <c r="O20" s="424"/>
      <c r="P20" s="425" t="e">
        <f t="shared" ref="P20:T20" si="175">O20/$H20</f>
        <v>#DIV/0!</v>
      </c>
      <c r="Q20" s="402"/>
      <c r="R20" s="425" t="e">
        <f t="shared" si="175"/>
        <v>#DIV/0!</v>
      </c>
      <c r="S20" s="424"/>
      <c r="T20" s="425" t="e">
        <f t="shared" si="175"/>
        <v>#DIV/0!</v>
      </c>
      <c r="U20" s="402"/>
      <c r="V20" s="425" t="e">
        <f t="shared" ref="V20:Z20" si="176">U20/$H20</f>
        <v>#DIV/0!</v>
      </c>
      <c r="W20" s="424"/>
      <c r="X20" s="425" t="e">
        <f t="shared" si="176"/>
        <v>#DIV/0!</v>
      </c>
      <c r="Y20" s="402"/>
      <c r="Z20" s="425" t="e">
        <f t="shared" si="176"/>
        <v>#DIV/0!</v>
      </c>
      <c r="AA20" s="424"/>
      <c r="AB20" s="425" t="e">
        <f t="shared" ref="AB20:AF20" si="177">AA20/$H20</f>
        <v>#DIV/0!</v>
      </c>
      <c r="AC20" s="402"/>
      <c r="AD20" s="425" t="e">
        <f t="shared" si="177"/>
        <v>#DIV/0!</v>
      </c>
      <c r="AE20" s="424"/>
      <c r="AF20" s="425" t="e">
        <f t="shared" si="177"/>
        <v>#DIV/0!</v>
      </c>
      <c r="AG20" s="402"/>
      <c r="AH20" s="425" t="e">
        <f t="shared" ref="AH20:AL20" si="178">AG20/$H20</f>
        <v>#DIV/0!</v>
      </c>
      <c r="AI20" s="424"/>
      <c r="AJ20" s="425" t="e">
        <f t="shared" si="178"/>
        <v>#DIV/0!</v>
      </c>
      <c r="AK20" s="402"/>
      <c r="AL20" s="425" t="e">
        <f t="shared" si="178"/>
        <v>#DIV/0!</v>
      </c>
      <c r="AM20" s="424"/>
      <c r="AN20" s="425" t="e">
        <f t="shared" ref="AN20:AR20" si="179">AM20/$H20</f>
        <v>#DIV/0!</v>
      </c>
      <c r="AO20" s="402"/>
      <c r="AP20" s="425" t="e">
        <f t="shared" si="179"/>
        <v>#DIV/0!</v>
      </c>
      <c r="AQ20" s="424"/>
      <c r="AR20" s="425" t="e">
        <f t="shared" si="179"/>
        <v>#DIV/0!</v>
      </c>
      <c r="AS20" s="402"/>
      <c r="AT20" s="425" t="e">
        <f t="shared" ref="AT20:AX20" si="180">AS20/$H20</f>
        <v>#DIV/0!</v>
      </c>
      <c r="AU20" s="424"/>
      <c r="AV20" s="425" t="e">
        <f t="shared" si="180"/>
        <v>#DIV/0!</v>
      </c>
      <c r="AW20" s="402"/>
      <c r="AX20" s="425" t="e">
        <f t="shared" si="180"/>
        <v>#DIV/0!</v>
      </c>
      <c r="AY20" s="424"/>
      <c r="AZ20" s="425" t="e">
        <f t="shared" ref="AZ20:BD20" si="181">AY20/$H20</f>
        <v>#DIV/0!</v>
      </c>
      <c r="BA20" s="402"/>
      <c r="BB20" s="425" t="e">
        <f t="shared" si="181"/>
        <v>#DIV/0!</v>
      </c>
      <c r="BC20" s="424"/>
      <c r="BD20" s="425" t="e">
        <f t="shared" si="181"/>
        <v>#DIV/0!</v>
      </c>
      <c r="BE20" s="402"/>
      <c r="BF20" s="425" t="e">
        <f t="shared" ref="BF20:BJ20" si="182">BE20/$H20</f>
        <v>#DIV/0!</v>
      </c>
      <c r="BG20" s="424"/>
      <c r="BH20" s="425" t="e">
        <f t="shared" si="182"/>
        <v>#DIV/0!</v>
      </c>
      <c r="BI20" s="402"/>
      <c r="BJ20" s="425" t="e">
        <f t="shared" si="182"/>
        <v>#DIV/0!</v>
      </c>
      <c r="BK20" s="424"/>
      <c r="BL20" s="425" t="e">
        <f t="shared" ref="BL20:BP20" si="183">BK20/$H20</f>
        <v>#DIV/0!</v>
      </c>
      <c r="BM20" s="402"/>
      <c r="BN20" s="425" t="e">
        <f t="shared" si="183"/>
        <v>#DIV/0!</v>
      </c>
      <c r="BO20" s="424"/>
      <c r="BP20" s="425" t="e">
        <f t="shared" si="183"/>
        <v>#DIV/0!</v>
      </c>
      <c r="BQ20" s="402"/>
      <c r="BR20" s="425" t="e">
        <f t="shared" ref="BR20:BV20" si="184">BQ20/$H20</f>
        <v>#DIV/0!</v>
      </c>
      <c r="BS20" s="424"/>
      <c r="BT20" s="425" t="e">
        <f t="shared" si="184"/>
        <v>#DIV/0!</v>
      </c>
      <c r="BU20" s="402"/>
      <c r="BV20" s="425" t="e">
        <f t="shared" si="184"/>
        <v>#DIV/0!</v>
      </c>
      <c r="BW20" s="424"/>
      <c r="BX20" s="425" t="e">
        <f t="shared" ref="BX20:CB20" si="185">BW20/$H20</f>
        <v>#DIV/0!</v>
      </c>
      <c r="BY20" s="402"/>
      <c r="BZ20" s="425" t="e">
        <f t="shared" si="185"/>
        <v>#DIV/0!</v>
      </c>
      <c r="CA20" s="424"/>
      <c r="CB20" s="425" t="e">
        <f t="shared" si="185"/>
        <v>#DIV/0!</v>
      </c>
      <c r="CC20" s="424"/>
      <c r="CD20" s="425" t="e">
        <f t="shared" ref="CD20:CH20" si="186">CC20/$H20</f>
        <v>#DIV/0!</v>
      </c>
      <c r="CE20" s="424"/>
      <c r="CF20" s="425" t="e">
        <f t="shared" si="186"/>
        <v>#DIV/0!</v>
      </c>
      <c r="CG20" s="424"/>
      <c r="CH20" s="425" t="e">
        <f t="shared" si="186"/>
        <v>#DIV/0!</v>
      </c>
      <c r="CI20" s="424"/>
      <c r="CJ20" s="425" t="e">
        <f t="shared" si="15"/>
        <v>#DIV/0!</v>
      </c>
      <c r="CK20" s="424"/>
      <c r="CL20" s="425" t="e">
        <f t="shared" si="16"/>
        <v>#DIV/0!</v>
      </c>
      <c r="CM20" s="424"/>
      <c r="CN20" s="405" t="e">
        <f t="shared" si="17"/>
        <v>#DIV/0!</v>
      </c>
      <c r="CO20" s="402"/>
      <c r="CP20" s="446" t="e">
        <f t="shared" si="18"/>
        <v>#DIV/0!</v>
      </c>
    </row>
    <row r="21" s="380" customFormat="1" ht="19" customHeight="1" spans="1:94">
      <c r="A21" s="396">
        <v>16</v>
      </c>
      <c r="B21" s="397" t="s">
        <v>86</v>
      </c>
      <c r="C21" s="401" t="s">
        <v>167</v>
      </c>
      <c r="D21" s="404" t="s">
        <v>178</v>
      </c>
      <c r="E21" s="475" t="s">
        <v>169</v>
      </c>
      <c r="F21" s="400"/>
      <c r="G21" s="405" t="s">
        <v>179</v>
      </c>
      <c r="H21" s="402"/>
      <c r="I21" s="402"/>
      <c r="J21" s="423" t="e">
        <f t="shared" si="0"/>
        <v>#DIV/0!</v>
      </c>
      <c r="K21" s="424"/>
      <c r="L21" s="405" t="e">
        <f t="shared" si="1"/>
        <v>#DIV/0!</v>
      </c>
      <c r="M21" s="402"/>
      <c r="N21" s="425" t="e">
        <f t="shared" si="2"/>
        <v>#DIV/0!</v>
      </c>
      <c r="O21" s="424"/>
      <c r="P21" s="425" t="e">
        <f t="shared" ref="P21:T21" si="187">O21/$H21</f>
        <v>#DIV/0!</v>
      </c>
      <c r="Q21" s="402"/>
      <c r="R21" s="425" t="e">
        <f t="shared" si="187"/>
        <v>#DIV/0!</v>
      </c>
      <c r="S21" s="424"/>
      <c r="T21" s="425" t="e">
        <f t="shared" si="187"/>
        <v>#DIV/0!</v>
      </c>
      <c r="U21" s="402"/>
      <c r="V21" s="425" t="e">
        <f t="shared" ref="V21:Z21" si="188">U21/$H21</f>
        <v>#DIV/0!</v>
      </c>
      <c r="W21" s="424"/>
      <c r="X21" s="425" t="e">
        <f t="shared" si="188"/>
        <v>#DIV/0!</v>
      </c>
      <c r="Y21" s="402"/>
      <c r="Z21" s="425" t="e">
        <f t="shared" si="188"/>
        <v>#DIV/0!</v>
      </c>
      <c r="AA21" s="424"/>
      <c r="AB21" s="425" t="e">
        <f t="shared" ref="AB21:AF21" si="189">AA21/$H21</f>
        <v>#DIV/0!</v>
      </c>
      <c r="AC21" s="402"/>
      <c r="AD21" s="425" t="e">
        <f t="shared" si="189"/>
        <v>#DIV/0!</v>
      </c>
      <c r="AE21" s="424"/>
      <c r="AF21" s="425" t="e">
        <f t="shared" si="189"/>
        <v>#DIV/0!</v>
      </c>
      <c r="AG21" s="402"/>
      <c r="AH21" s="425" t="e">
        <f t="shared" ref="AH21:AL21" si="190">AG21/$H21</f>
        <v>#DIV/0!</v>
      </c>
      <c r="AI21" s="424"/>
      <c r="AJ21" s="425" t="e">
        <f t="shared" si="190"/>
        <v>#DIV/0!</v>
      </c>
      <c r="AK21" s="402"/>
      <c r="AL21" s="425" t="e">
        <f t="shared" si="190"/>
        <v>#DIV/0!</v>
      </c>
      <c r="AM21" s="424"/>
      <c r="AN21" s="425" t="e">
        <f t="shared" ref="AN21:AR21" si="191">AM21/$H21</f>
        <v>#DIV/0!</v>
      </c>
      <c r="AO21" s="402"/>
      <c r="AP21" s="425" t="e">
        <f t="shared" si="191"/>
        <v>#DIV/0!</v>
      </c>
      <c r="AQ21" s="424"/>
      <c r="AR21" s="425" t="e">
        <f t="shared" si="191"/>
        <v>#DIV/0!</v>
      </c>
      <c r="AS21" s="402"/>
      <c r="AT21" s="425" t="e">
        <f t="shared" ref="AT21:AX21" si="192">AS21/$H21</f>
        <v>#DIV/0!</v>
      </c>
      <c r="AU21" s="424"/>
      <c r="AV21" s="425" t="e">
        <f t="shared" si="192"/>
        <v>#DIV/0!</v>
      </c>
      <c r="AW21" s="402"/>
      <c r="AX21" s="425" t="e">
        <f t="shared" si="192"/>
        <v>#DIV/0!</v>
      </c>
      <c r="AY21" s="424"/>
      <c r="AZ21" s="425" t="e">
        <f t="shared" ref="AZ21:BD21" si="193">AY21/$H21</f>
        <v>#DIV/0!</v>
      </c>
      <c r="BA21" s="402"/>
      <c r="BB21" s="425" t="e">
        <f t="shared" si="193"/>
        <v>#DIV/0!</v>
      </c>
      <c r="BC21" s="424"/>
      <c r="BD21" s="425" t="e">
        <f t="shared" si="193"/>
        <v>#DIV/0!</v>
      </c>
      <c r="BE21" s="402"/>
      <c r="BF21" s="425" t="e">
        <f t="shared" ref="BF21:BJ21" si="194">BE21/$H21</f>
        <v>#DIV/0!</v>
      </c>
      <c r="BG21" s="424"/>
      <c r="BH21" s="425" t="e">
        <f t="shared" si="194"/>
        <v>#DIV/0!</v>
      </c>
      <c r="BI21" s="402"/>
      <c r="BJ21" s="425" t="e">
        <f t="shared" si="194"/>
        <v>#DIV/0!</v>
      </c>
      <c r="BK21" s="424"/>
      <c r="BL21" s="425" t="e">
        <f t="shared" ref="BL21:BP21" si="195">BK21/$H21</f>
        <v>#DIV/0!</v>
      </c>
      <c r="BM21" s="402"/>
      <c r="BN21" s="425" t="e">
        <f t="shared" si="195"/>
        <v>#DIV/0!</v>
      </c>
      <c r="BO21" s="424"/>
      <c r="BP21" s="425" t="e">
        <f t="shared" si="195"/>
        <v>#DIV/0!</v>
      </c>
      <c r="BQ21" s="402"/>
      <c r="BR21" s="425" t="e">
        <f t="shared" ref="BR21:BV21" si="196">BQ21/$H21</f>
        <v>#DIV/0!</v>
      </c>
      <c r="BS21" s="424"/>
      <c r="BT21" s="425" t="e">
        <f t="shared" si="196"/>
        <v>#DIV/0!</v>
      </c>
      <c r="BU21" s="402"/>
      <c r="BV21" s="425" t="e">
        <f t="shared" si="196"/>
        <v>#DIV/0!</v>
      </c>
      <c r="BW21" s="424"/>
      <c r="BX21" s="425" t="e">
        <f t="shared" ref="BX21:CB21" si="197">BW21/$H21</f>
        <v>#DIV/0!</v>
      </c>
      <c r="BY21" s="402"/>
      <c r="BZ21" s="425" t="e">
        <f t="shared" si="197"/>
        <v>#DIV/0!</v>
      </c>
      <c r="CA21" s="424"/>
      <c r="CB21" s="425" t="e">
        <f t="shared" si="197"/>
        <v>#DIV/0!</v>
      </c>
      <c r="CC21" s="424"/>
      <c r="CD21" s="425" t="e">
        <f t="shared" ref="CD21:CH21" si="198">CC21/$H21</f>
        <v>#DIV/0!</v>
      </c>
      <c r="CE21" s="424"/>
      <c r="CF21" s="425" t="e">
        <f t="shared" si="198"/>
        <v>#DIV/0!</v>
      </c>
      <c r="CG21" s="424"/>
      <c r="CH21" s="425" t="e">
        <f t="shared" si="198"/>
        <v>#DIV/0!</v>
      </c>
      <c r="CI21" s="424"/>
      <c r="CJ21" s="425" t="e">
        <f t="shared" si="15"/>
        <v>#DIV/0!</v>
      </c>
      <c r="CK21" s="424"/>
      <c r="CL21" s="425" t="e">
        <f t="shared" si="16"/>
        <v>#DIV/0!</v>
      </c>
      <c r="CM21" s="424"/>
      <c r="CN21" s="405" t="e">
        <f t="shared" si="17"/>
        <v>#DIV/0!</v>
      </c>
      <c r="CO21" s="402"/>
      <c r="CP21" s="446" t="e">
        <f t="shared" si="18"/>
        <v>#DIV/0!</v>
      </c>
    </row>
    <row r="22" s="380" customFormat="1" ht="19" customHeight="1" spans="1:94">
      <c r="A22" s="396">
        <v>17</v>
      </c>
      <c r="B22" s="397" t="s">
        <v>87</v>
      </c>
      <c r="C22" s="401" t="s">
        <v>167</v>
      </c>
      <c r="D22" s="404" t="s">
        <v>168</v>
      </c>
      <c r="E22" s="475" t="s">
        <v>169</v>
      </c>
      <c r="F22" s="400"/>
      <c r="G22" s="405" t="s">
        <v>179</v>
      </c>
      <c r="H22" s="402"/>
      <c r="I22" s="402"/>
      <c r="J22" s="423" t="e">
        <f t="shared" si="0"/>
        <v>#DIV/0!</v>
      </c>
      <c r="K22" s="424"/>
      <c r="L22" s="405" t="e">
        <f t="shared" si="1"/>
        <v>#DIV/0!</v>
      </c>
      <c r="M22" s="402"/>
      <c r="N22" s="425" t="e">
        <f t="shared" si="2"/>
        <v>#DIV/0!</v>
      </c>
      <c r="O22" s="424"/>
      <c r="P22" s="425" t="e">
        <f t="shared" ref="P22:T22" si="199">O22/$H22</f>
        <v>#DIV/0!</v>
      </c>
      <c r="Q22" s="402"/>
      <c r="R22" s="425" t="e">
        <f t="shared" si="199"/>
        <v>#DIV/0!</v>
      </c>
      <c r="S22" s="424"/>
      <c r="T22" s="425" t="e">
        <f t="shared" si="199"/>
        <v>#DIV/0!</v>
      </c>
      <c r="U22" s="402"/>
      <c r="V22" s="425" t="e">
        <f t="shared" ref="V22:Z22" si="200">U22/$H22</f>
        <v>#DIV/0!</v>
      </c>
      <c r="W22" s="424"/>
      <c r="X22" s="425" t="e">
        <f t="shared" si="200"/>
        <v>#DIV/0!</v>
      </c>
      <c r="Y22" s="402"/>
      <c r="Z22" s="425" t="e">
        <f t="shared" si="200"/>
        <v>#DIV/0!</v>
      </c>
      <c r="AA22" s="424"/>
      <c r="AB22" s="425" t="e">
        <f t="shared" ref="AB22:AF22" si="201">AA22/$H22</f>
        <v>#DIV/0!</v>
      </c>
      <c r="AC22" s="402"/>
      <c r="AD22" s="425" t="e">
        <f t="shared" si="201"/>
        <v>#DIV/0!</v>
      </c>
      <c r="AE22" s="424"/>
      <c r="AF22" s="425" t="e">
        <f t="shared" si="201"/>
        <v>#DIV/0!</v>
      </c>
      <c r="AG22" s="402"/>
      <c r="AH22" s="425" t="e">
        <f t="shared" ref="AH22:AL22" si="202">AG22/$H22</f>
        <v>#DIV/0!</v>
      </c>
      <c r="AI22" s="424"/>
      <c r="AJ22" s="425" t="e">
        <f t="shared" si="202"/>
        <v>#DIV/0!</v>
      </c>
      <c r="AK22" s="402"/>
      <c r="AL22" s="425" t="e">
        <f t="shared" si="202"/>
        <v>#DIV/0!</v>
      </c>
      <c r="AM22" s="424"/>
      <c r="AN22" s="425" t="e">
        <f t="shared" ref="AN22:AR22" si="203">AM22/$H22</f>
        <v>#DIV/0!</v>
      </c>
      <c r="AO22" s="402"/>
      <c r="AP22" s="425" t="e">
        <f t="shared" si="203"/>
        <v>#DIV/0!</v>
      </c>
      <c r="AQ22" s="424"/>
      <c r="AR22" s="425" t="e">
        <f t="shared" si="203"/>
        <v>#DIV/0!</v>
      </c>
      <c r="AS22" s="402"/>
      <c r="AT22" s="425" t="e">
        <f t="shared" ref="AT22:AX22" si="204">AS22/$H22</f>
        <v>#DIV/0!</v>
      </c>
      <c r="AU22" s="424"/>
      <c r="AV22" s="425" t="e">
        <f t="shared" si="204"/>
        <v>#DIV/0!</v>
      </c>
      <c r="AW22" s="402"/>
      <c r="AX22" s="425" t="e">
        <f t="shared" si="204"/>
        <v>#DIV/0!</v>
      </c>
      <c r="AY22" s="424"/>
      <c r="AZ22" s="425" t="e">
        <f t="shared" ref="AZ22:BD22" si="205">AY22/$H22</f>
        <v>#DIV/0!</v>
      </c>
      <c r="BA22" s="402"/>
      <c r="BB22" s="425" t="e">
        <f t="shared" si="205"/>
        <v>#DIV/0!</v>
      </c>
      <c r="BC22" s="424"/>
      <c r="BD22" s="425" t="e">
        <f t="shared" si="205"/>
        <v>#DIV/0!</v>
      </c>
      <c r="BE22" s="402"/>
      <c r="BF22" s="425" t="e">
        <f t="shared" ref="BF22:BJ22" si="206">BE22/$H22</f>
        <v>#DIV/0!</v>
      </c>
      <c r="BG22" s="424"/>
      <c r="BH22" s="425" t="e">
        <f t="shared" si="206"/>
        <v>#DIV/0!</v>
      </c>
      <c r="BI22" s="402"/>
      <c r="BJ22" s="425" t="e">
        <f t="shared" si="206"/>
        <v>#DIV/0!</v>
      </c>
      <c r="BK22" s="424"/>
      <c r="BL22" s="425" t="e">
        <f t="shared" ref="BL22:BP22" si="207">BK22/$H22</f>
        <v>#DIV/0!</v>
      </c>
      <c r="BM22" s="402"/>
      <c r="BN22" s="425" t="e">
        <f t="shared" si="207"/>
        <v>#DIV/0!</v>
      </c>
      <c r="BO22" s="424"/>
      <c r="BP22" s="425" t="e">
        <f t="shared" si="207"/>
        <v>#DIV/0!</v>
      </c>
      <c r="BQ22" s="402"/>
      <c r="BR22" s="425" t="e">
        <f t="shared" ref="BR22:BV22" si="208">BQ22/$H22</f>
        <v>#DIV/0!</v>
      </c>
      <c r="BS22" s="424"/>
      <c r="BT22" s="425" t="e">
        <f t="shared" si="208"/>
        <v>#DIV/0!</v>
      </c>
      <c r="BU22" s="402"/>
      <c r="BV22" s="425" t="e">
        <f t="shared" si="208"/>
        <v>#DIV/0!</v>
      </c>
      <c r="BW22" s="424"/>
      <c r="BX22" s="425" t="e">
        <f t="shared" ref="BX22:CB22" si="209">BW22/$H22</f>
        <v>#DIV/0!</v>
      </c>
      <c r="BY22" s="402"/>
      <c r="BZ22" s="425" t="e">
        <f t="shared" si="209"/>
        <v>#DIV/0!</v>
      </c>
      <c r="CA22" s="424"/>
      <c r="CB22" s="425" t="e">
        <f t="shared" si="209"/>
        <v>#DIV/0!</v>
      </c>
      <c r="CC22" s="424"/>
      <c r="CD22" s="425" t="e">
        <f t="shared" ref="CD22:CH22" si="210">CC22/$H22</f>
        <v>#DIV/0!</v>
      </c>
      <c r="CE22" s="424"/>
      <c r="CF22" s="425" t="e">
        <f t="shared" si="210"/>
        <v>#DIV/0!</v>
      </c>
      <c r="CG22" s="424"/>
      <c r="CH22" s="425" t="e">
        <f t="shared" si="210"/>
        <v>#DIV/0!</v>
      </c>
      <c r="CI22" s="424"/>
      <c r="CJ22" s="425" t="e">
        <f t="shared" si="15"/>
        <v>#DIV/0!</v>
      </c>
      <c r="CK22" s="424"/>
      <c r="CL22" s="425" t="e">
        <f t="shared" si="16"/>
        <v>#DIV/0!</v>
      </c>
      <c r="CM22" s="424"/>
      <c r="CN22" s="405" t="e">
        <f t="shared" si="17"/>
        <v>#DIV/0!</v>
      </c>
      <c r="CO22" s="402"/>
      <c r="CP22" s="446" t="e">
        <f t="shared" si="18"/>
        <v>#DIV/0!</v>
      </c>
    </row>
    <row r="23" s="380" customFormat="1" ht="17.5" customHeight="1" spans="1:94">
      <c r="A23" s="406"/>
      <c r="B23" s="407" t="s">
        <v>180</v>
      </c>
      <c r="C23" s="408"/>
      <c r="D23" s="407"/>
      <c r="E23" s="407"/>
      <c r="F23" s="407"/>
      <c r="G23" s="408"/>
      <c r="H23" s="409">
        <f t="shared" ref="H23:K23" si="211">SUM(H6:H22)</f>
        <v>0</v>
      </c>
      <c r="I23" s="409">
        <f t="shared" si="211"/>
        <v>0</v>
      </c>
      <c r="J23" s="426" t="e">
        <f>N23+AD23+#REF!+AP23+AX23+BB23+#REF!+#REF!+BF23+BJ23+BN23+BR23+BV23+CB23+CD23+CF23+CH23+CJ23+CL23</f>
        <v>#DIV/0!</v>
      </c>
      <c r="K23" s="427">
        <f t="shared" si="211"/>
        <v>0</v>
      </c>
      <c r="L23" s="428" t="e">
        <f t="shared" si="1"/>
        <v>#DIV/0!</v>
      </c>
      <c r="M23" s="429" t="e">
        <f>N23/$H23</f>
        <v>#DIV/0!</v>
      </c>
      <c r="N23" s="430" t="e">
        <f t="shared" ref="N23:Q23" si="212">SUM(N6:N22)</f>
        <v>#DIV/0!</v>
      </c>
      <c r="O23" s="427">
        <f t="shared" si="212"/>
        <v>0</v>
      </c>
      <c r="P23" s="429" t="e">
        <f t="shared" ref="P23:T23" si="213">O23/$H23</f>
        <v>#DIV/0!</v>
      </c>
      <c r="Q23" s="429">
        <f t="shared" si="212"/>
        <v>0</v>
      </c>
      <c r="R23" s="429" t="e">
        <f t="shared" si="213"/>
        <v>#DIV/0!</v>
      </c>
      <c r="S23" s="427">
        <f t="shared" ref="S23:W23" si="214">SUM(S6:S22)</f>
        <v>0</v>
      </c>
      <c r="T23" s="429" t="e">
        <f t="shared" si="213"/>
        <v>#DIV/0!</v>
      </c>
      <c r="U23" s="429">
        <f t="shared" si="214"/>
        <v>0</v>
      </c>
      <c r="V23" s="429" t="e">
        <f t="shared" ref="V23:Z23" si="215">U23/$H23</f>
        <v>#DIV/0!</v>
      </c>
      <c r="W23" s="427">
        <f t="shared" si="214"/>
        <v>0</v>
      </c>
      <c r="X23" s="429" t="e">
        <f t="shared" si="215"/>
        <v>#DIV/0!</v>
      </c>
      <c r="Y23" s="429">
        <f t="shared" ref="Y23:AC23" si="216">SUM(Y6:Y22)</f>
        <v>0</v>
      </c>
      <c r="Z23" s="429" t="e">
        <f t="shared" si="215"/>
        <v>#DIV/0!</v>
      </c>
      <c r="AA23" s="427">
        <f t="shared" si="216"/>
        <v>154.448</v>
      </c>
      <c r="AB23" s="429" t="e">
        <f t="shared" ref="AB23:AF23" si="217">AA23/$H23</f>
        <v>#DIV/0!</v>
      </c>
      <c r="AC23" s="429">
        <f t="shared" si="216"/>
        <v>0</v>
      </c>
      <c r="AD23" s="429" t="e">
        <f t="shared" si="217"/>
        <v>#DIV/0!</v>
      </c>
      <c r="AE23" s="427">
        <f t="shared" ref="AE23:AI23" si="218">SUM(AE6:AE22)</f>
        <v>0</v>
      </c>
      <c r="AF23" s="429" t="e">
        <f t="shared" si="217"/>
        <v>#DIV/0!</v>
      </c>
      <c r="AG23" s="429">
        <f t="shared" si="218"/>
        <v>0</v>
      </c>
      <c r="AH23" s="429" t="e">
        <f t="shared" ref="AH23:AL23" si="219">AG23/$H23</f>
        <v>#DIV/0!</v>
      </c>
      <c r="AI23" s="427">
        <f t="shared" si="218"/>
        <v>0</v>
      </c>
      <c r="AJ23" s="429" t="e">
        <f t="shared" si="219"/>
        <v>#DIV/0!</v>
      </c>
      <c r="AK23" s="429">
        <f t="shared" ref="AK23:AO23" si="220">SUM(AK6:AK22)</f>
        <v>0</v>
      </c>
      <c r="AL23" s="429" t="e">
        <f t="shared" si="219"/>
        <v>#DIV/0!</v>
      </c>
      <c r="AM23" s="427">
        <f t="shared" si="220"/>
        <v>0</v>
      </c>
      <c r="AN23" s="429" t="e">
        <f t="shared" ref="AN23:AR23" si="221">AM23/$H23</f>
        <v>#DIV/0!</v>
      </c>
      <c r="AO23" s="429">
        <f t="shared" si="220"/>
        <v>0</v>
      </c>
      <c r="AP23" s="429" t="e">
        <f t="shared" si="221"/>
        <v>#DIV/0!</v>
      </c>
      <c r="AQ23" s="427">
        <f t="shared" ref="AQ23:AU23" si="222">SUM(AQ6:AQ22)</f>
        <v>0</v>
      </c>
      <c r="AR23" s="429" t="e">
        <f t="shared" si="221"/>
        <v>#DIV/0!</v>
      </c>
      <c r="AS23" s="429">
        <f t="shared" si="222"/>
        <v>0</v>
      </c>
      <c r="AT23" s="429" t="e">
        <f t="shared" ref="AT23:AX23" si="223">AS23/$H23</f>
        <v>#DIV/0!</v>
      </c>
      <c r="AU23" s="427">
        <f t="shared" si="222"/>
        <v>0</v>
      </c>
      <c r="AV23" s="429" t="e">
        <f t="shared" si="223"/>
        <v>#DIV/0!</v>
      </c>
      <c r="AW23" s="429">
        <f t="shared" ref="AW23:BA23" si="224">SUM(AW6:AW22)</f>
        <v>0</v>
      </c>
      <c r="AX23" s="429" t="e">
        <f t="shared" si="223"/>
        <v>#DIV/0!</v>
      </c>
      <c r="AY23" s="427">
        <f t="shared" si="224"/>
        <v>0</v>
      </c>
      <c r="AZ23" s="429" t="e">
        <f t="shared" ref="AZ23:BD23" si="225">AY23/$H23</f>
        <v>#DIV/0!</v>
      </c>
      <c r="BA23" s="429">
        <f t="shared" si="224"/>
        <v>0</v>
      </c>
      <c r="BB23" s="429" t="e">
        <f t="shared" si="225"/>
        <v>#DIV/0!</v>
      </c>
      <c r="BC23" s="427">
        <f t="shared" ref="BC23:BG23" si="226">SUM(BC6:BC22)</f>
        <v>1103.92</v>
      </c>
      <c r="BD23" s="429" t="e">
        <f t="shared" si="225"/>
        <v>#DIV/0!</v>
      </c>
      <c r="BE23" s="429">
        <f t="shared" si="226"/>
        <v>0</v>
      </c>
      <c r="BF23" s="429" t="e">
        <f t="shared" ref="BF23:BJ23" si="227">BE23/$H23</f>
        <v>#DIV/0!</v>
      </c>
      <c r="BG23" s="442">
        <f t="shared" si="226"/>
        <v>0</v>
      </c>
      <c r="BH23" s="429" t="e">
        <f t="shared" si="227"/>
        <v>#DIV/0!</v>
      </c>
      <c r="BI23" s="429">
        <f t="shared" ref="BI23:BM23" si="228">SUM(BI6:BI22)</f>
        <v>0</v>
      </c>
      <c r="BJ23" s="429" t="e">
        <f t="shared" si="227"/>
        <v>#DIV/0!</v>
      </c>
      <c r="BK23" s="442">
        <f t="shared" si="228"/>
        <v>0</v>
      </c>
      <c r="BL23" s="429" t="e">
        <f t="shared" ref="BL23:BP23" si="229">BK23/$H23</f>
        <v>#DIV/0!</v>
      </c>
      <c r="BM23" s="429">
        <f t="shared" si="228"/>
        <v>0</v>
      </c>
      <c r="BN23" s="429" t="e">
        <f t="shared" si="229"/>
        <v>#DIV/0!</v>
      </c>
      <c r="BO23" s="427">
        <f t="shared" ref="BO23:BS23" si="230">SUM(BO6:BO22)</f>
        <v>0</v>
      </c>
      <c r="BP23" s="429" t="e">
        <f t="shared" si="229"/>
        <v>#DIV/0!</v>
      </c>
      <c r="BQ23" s="429">
        <f t="shared" si="230"/>
        <v>0</v>
      </c>
      <c r="BR23" s="429" t="e">
        <f t="shared" ref="BR23:BV23" si="231">BQ23/$H23</f>
        <v>#DIV/0!</v>
      </c>
      <c r="BS23" s="427">
        <f t="shared" si="230"/>
        <v>0</v>
      </c>
      <c r="BT23" s="429" t="e">
        <f t="shared" si="231"/>
        <v>#DIV/0!</v>
      </c>
      <c r="BU23" s="429">
        <f t="shared" ref="BU23:BY23" si="232">SUM(BU6:BU22)</f>
        <v>0</v>
      </c>
      <c r="BV23" s="429" t="e">
        <f t="shared" si="231"/>
        <v>#DIV/0!</v>
      </c>
      <c r="BW23" s="427">
        <f t="shared" si="232"/>
        <v>0</v>
      </c>
      <c r="BX23" s="429" t="e">
        <f t="shared" ref="BX23:CB23" si="233">BW23/$H23</f>
        <v>#DIV/0!</v>
      </c>
      <c r="BY23" s="429">
        <f t="shared" si="232"/>
        <v>0</v>
      </c>
      <c r="BZ23" s="429" t="e">
        <f t="shared" si="233"/>
        <v>#DIV/0!</v>
      </c>
      <c r="CA23" s="429">
        <f t="shared" ref="CA23:CE23" si="234">SUM(CA6:CA22)</f>
        <v>0</v>
      </c>
      <c r="CB23" s="429" t="e">
        <f t="shared" si="233"/>
        <v>#DIV/0!</v>
      </c>
      <c r="CC23" s="429">
        <f t="shared" si="234"/>
        <v>0</v>
      </c>
      <c r="CD23" s="429" t="e">
        <f t="shared" ref="CD23:CH23" si="235">CC23/$H23</f>
        <v>#DIV/0!</v>
      </c>
      <c r="CE23" s="429">
        <f t="shared" si="234"/>
        <v>0</v>
      </c>
      <c r="CF23" s="429" t="e">
        <f t="shared" si="235"/>
        <v>#DIV/0!</v>
      </c>
      <c r="CG23" s="429">
        <f t="shared" ref="CG23:CK23" si="236">SUM(CG6:CG22)</f>
        <v>0</v>
      </c>
      <c r="CH23" s="429" t="e">
        <f t="shared" si="235"/>
        <v>#DIV/0!</v>
      </c>
      <c r="CI23" s="429">
        <f t="shared" si="236"/>
        <v>0</v>
      </c>
      <c r="CJ23" s="429" t="e">
        <f t="shared" si="15"/>
        <v>#DIV/0!</v>
      </c>
      <c r="CK23" s="429">
        <f t="shared" si="236"/>
        <v>0</v>
      </c>
      <c r="CL23" s="429" t="e">
        <f t="shared" si="16"/>
        <v>#DIV/0!</v>
      </c>
      <c r="CM23" s="427">
        <f>SUM(CM6:CM22)</f>
        <v>0</v>
      </c>
      <c r="CN23" s="429" t="e">
        <f t="shared" si="17"/>
        <v>#DIV/0!</v>
      </c>
      <c r="CO23" s="429">
        <f>SUM(CO6:CO22)</f>
        <v>0</v>
      </c>
      <c r="CP23" s="447" t="e">
        <f t="shared" si="18"/>
        <v>#DIV/0!</v>
      </c>
    </row>
    <row r="24" ht="19" customHeight="1" spans="8:93">
      <c r="H24" s="410"/>
      <c r="I24" s="410"/>
      <c r="J24" s="410"/>
      <c r="K24" s="410"/>
      <c r="L24" s="410"/>
      <c r="M24" s="410"/>
      <c r="N24" s="410"/>
      <c r="O24" s="410"/>
      <c r="P24" s="410"/>
      <c r="Q24" s="410"/>
      <c r="R24" s="410"/>
      <c r="S24" s="410"/>
      <c r="T24" s="410"/>
      <c r="U24" s="410"/>
      <c r="V24" s="410"/>
      <c r="AA24" s="410"/>
      <c r="AE24" s="410"/>
      <c r="AI24" s="410"/>
      <c r="AS24" s="410"/>
      <c r="AW24" s="410"/>
      <c r="BA24" s="410"/>
      <c r="BE24" s="410"/>
      <c r="BI24" s="410"/>
      <c r="BM24" s="410"/>
      <c r="BQ24" s="410"/>
      <c r="BU24" s="410"/>
      <c r="BY24" s="410"/>
      <c r="CO24" s="410"/>
    </row>
    <row r="25" ht="22" customHeight="1" spans="2:56">
      <c r="B25" s="411" t="s">
        <v>181</v>
      </c>
      <c r="BB25" s="381"/>
      <c r="BC25" s="381"/>
      <c r="BD25" s="381"/>
    </row>
    <row r="26" ht="24" customHeight="1" spans="2:56">
      <c r="B26" s="412" t="s">
        <v>182</v>
      </c>
      <c r="BB26" s="381"/>
      <c r="BC26" s="381"/>
      <c r="BD26" s="381"/>
    </row>
    <row r="27" ht="24" customHeight="1" spans="2:2">
      <c r="B27" s="412" t="s">
        <v>183</v>
      </c>
    </row>
    <row r="28" ht="24" customHeight="1" spans="2:2">
      <c r="B28" s="412" t="s">
        <v>184</v>
      </c>
    </row>
    <row r="29" ht="24" customHeight="1" spans="2:2">
      <c r="B29" s="412" t="s">
        <v>185</v>
      </c>
    </row>
    <row r="30" ht="24" customHeight="1" spans="2:2">
      <c r="B30" s="412" t="s">
        <v>186</v>
      </c>
    </row>
    <row r="31" ht="24" customHeight="1" spans="2:2">
      <c r="B31" s="412" t="s">
        <v>187</v>
      </c>
    </row>
    <row r="32" ht="24" customHeight="1" spans="2:2">
      <c r="B32" s="412" t="s">
        <v>188</v>
      </c>
    </row>
    <row r="33" ht="24" customHeight="1" spans="2:2">
      <c r="B33" s="412" t="s">
        <v>189</v>
      </c>
    </row>
    <row r="34" ht="24" customHeight="1" spans="2:2">
      <c r="B34" s="412" t="s">
        <v>190</v>
      </c>
    </row>
    <row r="35" ht="24" customHeight="1" spans="2:2">
      <c r="B35" s="412" t="s">
        <v>191</v>
      </c>
    </row>
    <row r="36" ht="24" customHeight="1" spans="2:2">
      <c r="B36" s="412" t="s">
        <v>192</v>
      </c>
    </row>
    <row r="37" ht="24" customHeight="1" spans="2:2">
      <c r="B37" s="412" t="s">
        <v>193</v>
      </c>
    </row>
    <row r="38" ht="24" customHeight="1" spans="2:2">
      <c r="B38" s="412" t="s">
        <v>194</v>
      </c>
    </row>
    <row r="39" ht="24" customHeight="1" spans="2:2">
      <c r="B39" s="412" t="s">
        <v>195</v>
      </c>
    </row>
    <row r="40" ht="24" customHeight="1" spans="2:2">
      <c r="B40" s="412" t="s">
        <v>196</v>
      </c>
    </row>
    <row r="41" ht="24" customHeight="1" spans="2:2">
      <c r="B41" s="412" t="s">
        <v>197</v>
      </c>
    </row>
    <row r="42" ht="24" customHeight="1" spans="2:2">
      <c r="B42" s="412" t="s">
        <v>198</v>
      </c>
    </row>
    <row r="43" ht="24" customHeight="1" spans="2:2">
      <c r="B43" s="412" t="s">
        <v>199</v>
      </c>
    </row>
    <row r="44" ht="24" customHeight="1" spans="2:2">
      <c r="B44" s="412" t="s">
        <v>200</v>
      </c>
    </row>
    <row r="45" ht="24" customHeight="1" spans="2:2">
      <c r="B45" s="412" t="s">
        <v>201</v>
      </c>
    </row>
    <row r="46" ht="24" customHeight="1" spans="2:2">
      <c r="B46" s="412" t="s">
        <v>132</v>
      </c>
    </row>
    <row r="47" ht="24" customHeight="1" spans="2:2">
      <c r="B47" s="412" t="s">
        <v>202</v>
      </c>
    </row>
    <row r="48" ht="24" customHeight="1" spans="2:2">
      <c r="B48" s="412" t="s">
        <v>203</v>
      </c>
    </row>
    <row r="49" ht="24" customHeight="1" spans="2:2">
      <c r="B49" s="412" t="s">
        <v>204</v>
      </c>
    </row>
    <row r="50" ht="24" customHeight="1" spans="2:2">
      <c r="B50" s="412" t="s">
        <v>205</v>
      </c>
    </row>
    <row r="51" ht="24" customHeight="1" spans="2:2">
      <c r="B51" s="412" t="s">
        <v>206</v>
      </c>
    </row>
    <row r="52" ht="24" customHeight="1" spans="2:2">
      <c r="B52" s="412" t="s">
        <v>207</v>
      </c>
    </row>
    <row r="53" ht="24" customHeight="1" spans="2:2">
      <c r="B53" s="412" t="s">
        <v>208</v>
      </c>
    </row>
    <row r="54" ht="24" customHeight="1" spans="2:2">
      <c r="B54" s="412" t="s">
        <v>209</v>
      </c>
    </row>
    <row r="55" ht="24" customHeight="1" spans="2:2">
      <c r="B55" s="412" t="s">
        <v>210</v>
      </c>
    </row>
    <row r="56" ht="24" customHeight="1" spans="2:2">
      <c r="B56" s="412" t="s">
        <v>211</v>
      </c>
    </row>
    <row r="57" ht="24" customHeight="1" spans="2:2">
      <c r="B57" s="412" t="s">
        <v>212</v>
      </c>
    </row>
    <row r="58" ht="24" customHeight="1" spans="2:2">
      <c r="B58" s="412" t="s">
        <v>213</v>
      </c>
    </row>
    <row r="59" ht="24" customHeight="1" spans="2:2">
      <c r="B59" s="412" t="s">
        <v>214</v>
      </c>
    </row>
    <row r="60" ht="24" customHeight="1" spans="2:2">
      <c r="B60" s="412" t="s">
        <v>215</v>
      </c>
    </row>
    <row r="61" ht="24" customHeight="1" spans="2:2">
      <c r="B61" s="412" t="s">
        <v>216</v>
      </c>
    </row>
    <row r="62" ht="24" customHeight="1" spans="2:2">
      <c r="B62" s="412" t="s">
        <v>217</v>
      </c>
    </row>
    <row r="63" ht="24" customHeight="1" spans="2:2">
      <c r="B63" s="412" t="s">
        <v>218</v>
      </c>
    </row>
    <row r="64" ht="24" customHeight="1" spans="2:2">
      <c r="B64" s="412" t="s">
        <v>219</v>
      </c>
    </row>
    <row r="65" ht="24" customHeight="1" spans="2:2">
      <c r="B65" s="412" t="s">
        <v>220</v>
      </c>
    </row>
    <row r="66" ht="24" customHeight="1" spans="2:2">
      <c r="B66" s="412" t="s">
        <v>221</v>
      </c>
    </row>
    <row r="67" ht="24" customHeight="1" spans="2:2">
      <c r="B67" s="412" t="s">
        <v>222</v>
      </c>
    </row>
    <row r="68" ht="24" customHeight="1" spans="2:2">
      <c r="B68" s="412" t="s">
        <v>223</v>
      </c>
    </row>
  </sheetData>
  <mergeCells count="43">
    <mergeCell ref="A1:I1"/>
    <mergeCell ref="A2:B2"/>
    <mergeCell ref="K3:Z3"/>
    <mergeCell ref="AA3:AP3"/>
    <mergeCell ref="K4:N4"/>
    <mergeCell ref="O4:R4"/>
    <mergeCell ref="S4:V4"/>
    <mergeCell ref="W4:Z4"/>
    <mergeCell ref="AA4:AD4"/>
    <mergeCell ref="AE4:AH4"/>
    <mergeCell ref="AI4:AL4"/>
    <mergeCell ref="AM4:AP4"/>
    <mergeCell ref="A3:A5"/>
    <mergeCell ref="B3:B5"/>
    <mergeCell ref="B6:B7"/>
    <mergeCell ref="B8:B9"/>
    <mergeCell ref="B10:B11"/>
    <mergeCell ref="B12:B13"/>
    <mergeCell ref="B14:B15"/>
    <mergeCell ref="C3:C5"/>
    <mergeCell ref="D3:D5"/>
    <mergeCell ref="E3:E5"/>
    <mergeCell ref="F3:F5"/>
    <mergeCell ref="G3:G5"/>
    <mergeCell ref="H3:H5"/>
    <mergeCell ref="I3:I5"/>
    <mergeCell ref="J3:J5"/>
    <mergeCell ref="AQ3:AT4"/>
    <mergeCell ref="AU3:AX4"/>
    <mergeCell ref="AY3:BB4"/>
    <mergeCell ref="BC3:BF4"/>
    <mergeCell ref="BG3:BJ4"/>
    <mergeCell ref="BK3:BN4"/>
    <mergeCell ref="BO3:BR4"/>
    <mergeCell ref="BS3:BV4"/>
    <mergeCell ref="BW3:BZ4"/>
    <mergeCell ref="CM3:CP4"/>
    <mergeCell ref="CA3:CB4"/>
    <mergeCell ref="CC3:CD4"/>
    <mergeCell ref="CE3:CF4"/>
    <mergeCell ref="CG3:CH4"/>
    <mergeCell ref="CI3:CJ4"/>
    <mergeCell ref="CK3:CL4"/>
  </mergeCells>
  <dataValidations count="4">
    <dataValidation type="list" allowBlank="1" showInputMessage="1" showErrorMessage="1" sqref="D6 D8 D10 D12 D14 D16 D17 D18 D19 D20">
      <formula1>"装配式,非装配式"</formula1>
    </dataValidation>
    <dataValidation type="list" allowBlank="1" showInputMessage="1" showErrorMessage="1" sqref="G6 G8 G10 G12 G14 G16 G17 G18 G19 G20">
      <formula1>"精装,毛坯"</formula1>
    </dataValidation>
    <dataValidation type="list" allowBlank="1" showInputMessage="1" showErrorMessage="1" sqref="D7 D9 D11 D13 D15 D21 D22">
      <formula1>"人防,非人防"</formula1>
    </dataValidation>
    <dataValidation type="list" allowBlank="1" showInputMessage="1" showErrorMessage="1" sqref="G7 G9 G11 G13 G15">
      <formula1>"1面临土,2面临土,3面临土,4面临土"</formula1>
    </dataValidation>
  </dataValidations>
  <hyperlinks>
    <hyperlink ref="J1" location="目录!B3" display="返回目录"/>
  </hyperlinks>
  <pageMargins left="0.751388888888889" right="0.751388888888889" top="1" bottom="1" header="0.5" footer="0.5"/>
  <pageSetup paperSize="9" orientation="portrait" horizontalDpi="600"/>
  <headerFooter>
    <oddHeader>&amp;L&amp;G</oddHeader>
  </headerFooter>
  <legacyDrawingHF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913"/>
  <sheetViews>
    <sheetView view="pageBreakPreview" zoomScale="85" zoomScaleNormal="100" workbookViewId="0">
      <pane xSplit="2" ySplit="3" topLeftCell="C352" activePane="bottomRight" state="frozen"/>
      <selection/>
      <selection pane="topRight"/>
      <selection pane="bottomLeft"/>
      <selection pane="bottomRight" activeCell="C354" sqref="C354"/>
    </sheetView>
  </sheetViews>
  <sheetFormatPr defaultColWidth="9" defaultRowHeight="14.4"/>
  <cols>
    <col min="1" max="1" width="4.87962962962963" style="28" customWidth="1"/>
    <col min="2" max="2" width="19.7222222222222" style="30" customWidth="1"/>
    <col min="3" max="3" width="46.5" style="28" customWidth="1" collapsed="1"/>
    <col min="4" max="5" width="6.87962962962963" style="166" hidden="1" customWidth="1" outlineLevel="1"/>
    <col min="6" max="6" width="7.64814814814815" style="28" customWidth="1"/>
    <col min="7" max="7" width="10.712962962963" style="32" customWidth="1" collapsed="1"/>
    <col min="8" max="8" width="12.3703703703704" style="32" hidden="1" customWidth="1" outlineLevel="1"/>
    <col min="9" max="9" width="14.0185185185185" style="32" hidden="1" customWidth="1" outlineLevel="1"/>
    <col min="10" max="10" width="11.1018518518519" style="32" hidden="1" customWidth="1" outlineLevel="1"/>
    <col min="11" max="11" width="13.6111111111111" style="32" hidden="1" customWidth="1" outlineLevel="1"/>
    <col min="12" max="12" width="11.25" style="32" hidden="1" customWidth="1" outlineLevel="1"/>
    <col min="13" max="13" width="11.3888888888889" style="32" hidden="1" customWidth="1" outlineLevel="1"/>
    <col min="14" max="14" width="12.3611111111111" style="32" hidden="1" customWidth="1" outlineLevel="1"/>
    <col min="15" max="15" width="12.0833333333333" style="32" hidden="1" customWidth="1" outlineLevel="1"/>
    <col min="16" max="16" width="10" style="32" hidden="1" customWidth="1" outlineLevel="1"/>
    <col min="17" max="17" width="13.6018518518519" style="32" hidden="1" customWidth="1" outlineLevel="1"/>
    <col min="18" max="18" width="13.75" style="64" customWidth="1" collapsed="1"/>
    <col min="19" max="19" width="13.75" style="64" hidden="1" customWidth="1" outlineLevel="1"/>
    <col min="20" max="20" width="14.9907407407407" style="64" hidden="1" customWidth="1" outlineLevel="1"/>
    <col min="21" max="21" width="14.1574074074074" style="64" hidden="1" customWidth="1" outlineLevel="1"/>
    <col min="22" max="24" width="14.8796296296296" style="64" hidden="1" customWidth="1" outlineLevel="1"/>
    <col min="25" max="26" width="16.8240740740741" style="64" hidden="1" customWidth="1" outlineLevel="1"/>
    <col min="27" max="27" width="16.6666666666667" style="64" hidden="1" customWidth="1" outlineLevel="1"/>
    <col min="28" max="28" width="8.25" style="28" customWidth="1"/>
    <col min="29" max="16384" width="9" style="28"/>
  </cols>
  <sheetData>
    <row r="1" ht="28.2" spans="1:28">
      <c r="A1" s="35" t="s">
        <v>224</v>
      </c>
      <c r="B1" s="36"/>
      <c r="C1" s="35"/>
      <c r="D1" s="36"/>
      <c r="E1" s="36"/>
      <c r="F1" s="35"/>
      <c r="G1" s="37"/>
      <c r="H1" s="357" t="s">
        <v>225</v>
      </c>
      <c r="I1" s="66"/>
      <c r="J1" s="66"/>
      <c r="K1" s="66"/>
      <c r="L1" s="66"/>
      <c r="M1" s="66"/>
      <c r="N1" s="66"/>
      <c r="O1" s="66"/>
      <c r="P1" s="66"/>
      <c r="Q1" s="361"/>
      <c r="R1" s="362" t="s">
        <v>226</v>
      </c>
      <c r="S1" s="362"/>
      <c r="T1" s="362"/>
      <c r="U1" s="362"/>
      <c r="V1" s="362"/>
      <c r="W1" s="362"/>
      <c r="X1" s="362"/>
      <c r="Y1" s="362"/>
      <c r="Z1" s="362"/>
      <c r="AA1" s="362"/>
      <c r="AB1" s="372"/>
    </row>
    <row r="2" ht="15.6" spans="1:28">
      <c r="A2" s="67" t="s">
        <v>2</v>
      </c>
      <c r="B2" s="67" t="s">
        <v>227</v>
      </c>
      <c r="C2" s="68" t="s">
        <v>228</v>
      </c>
      <c r="D2" s="67" t="s">
        <v>229</v>
      </c>
      <c r="E2" s="67"/>
      <c r="F2" s="68" t="s">
        <v>230</v>
      </c>
      <c r="G2" s="69" t="s">
        <v>231</v>
      </c>
      <c r="H2" s="124" t="s">
        <v>232</v>
      </c>
      <c r="I2" s="124"/>
      <c r="J2" s="124"/>
      <c r="K2" s="124"/>
      <c r="L2" s="124"/>
      <c r="M2" s="143" t="s">
        <v>233</v>
      </c>
      <c r="N2" s="143"/>
      <c r="O2" s="143"/>
      <c r="P2" s="144" t="s">
        <v>234</v>
      </c>
      <c r="Q2" s="363"/>
      <c r="R2" s="124" t="s">
        <v>232</v>
      </c>
      <c r="S2" s="124"/>
      <c r="T2" s="124"/>
      <c r="U2" s="124"/>
      <c r="V2" s="124"/>
      <c r="W2" s="143" t="s">
        <v>233</v>
      </c>
      <c r="X2" s="143"/>
      <c r="Y2" s="143"/>
      <c r="Z2" s="144" t="s">
        <v>234</v>
      </c>
      <c r="AA2" s="144"/>
      <c r="AB2" s="95" t="s">
        <v>235</v>
      </c>
    </row>
    <row r="3" ht="31.2" spans="1:28">
      <c r="A3" s="67"/>
      <c r="B3" s="67"/>
      <c r="C3" s="68"/>
      <c r="D3" s="67" t="s">
        <v>236</v>
      </c>
      <c r="E3" s="67" t="s">
        <v>237</v>
      </c>
      <c r="F3" s="68"/>
      <c r="G3" s="69"/>
      <c r="H3" s="124" t="s">
        <v>77</v>
      </c>
      <c r="I3" s="124" t="s">
        <v>81</v>
      </c>
      <c r="J3" s="124" t="s">
        <v>82</v>
      </c>
      <c r="K3" s="124" t="s">
        <v>83</v>
      </c>
      <c r="L3" s="143" t="s">
        <v>238</v>
      </c>
      <c r="M3" s="143" t="s">
        <v>84</v>
      </c>
      <c r="N3" s="143" t="s">
        <v>177</v>
      </c>
      <c r="O3" s="143" t="s">
        <v>239</v>
      </c>
      <c r="P3" s="144" t="s">
        <v>86</v>
      </c>
      <c r="Q3" s="363" t="s">
        <v>87</v>
      </c>
      <c r="R3" s="124" t="s">
        <v>77</v>
      </c>
      <c r="S3" s="124" t="s">
        <v>81</v>
      </c>
      <c r="T3" s="124" t="s">
        <v>82</v>
      </c>
      <c r="U3" s="124" t="s">
        <v>83</v>
      </c>
      <c r="V3" s="143" t="str">
        <f>L3</f>
        <v>11F装配式</v>
      </c>
      <c r="W3" s="143" t="s">
        <v>84</v>
      </c>
      <c r="X3" s="143" t="s">
        <v>177</v>
      </c>
      <c r="Y3" s="144" t="str">
        <f>O3</f>
        <v>配套-装配式</v>
      </c>
      <c r="Z3" s="144" t="s">
        <v>86</v>
      </c>
      <c r="AA3" s="144" t="s">
        <v>87</v>
      </c>
      <c r="AB3" s="95"/>
    </row>
    <row r="4" s="123" customFormat="1" spans="1:28">
      <c r="A4" s="125"/>
      <c r="B4" s="126" t="s">
        <v>240</v>
      </c>
      <c r="C4" s="126"/>
      <c r="D4" s="156"/>
      <c r="E4" s="156"/>
      <c r="F4" s="125"/>
      <c r="G4" s="129"/>
      <c r="H4" s="129"/>
      <c r="I4" s="129"/>
      <c r="J4" s="129"/>
      <c r="K4" s="129"/>
      <c r="L4" s="129"/>
      <c r="M4" s="129"/>
      <c r="N4" s="129"/>
      <c r="O4" s="129"/>
      <c r="P4" s="129"/>
      <c r="Q4" s="364"/>
      <c r="R4" s="365" t="e">
        <f>SUM(R5,R21,R88,R126,R226)</f>
        <v>#REF!</v>
      </c>
      <c r="S4" s="365" t="e">
        <f t="shared" ref="R4:AA4" si="0">SUM(S5,S21,S88,S126,S226)</f>
        <v>#REF!</v>
      </c>
      <c r="T4" s="365" t="e">
        <f t="shared" si="0"/>
        <v>#REF!</v>
      </c>
      <c r="U4" s="365" t="e">
        <f t="shared" si="0"/>
        <v>#REF!</v>
      </c>
      <c r="V4" s="365" t="e">
        <f t="shared" si="0"/>
        <v>#REF!</v>
      </c>
      <c r="W4" s="365" t="e">
        <f t="shared" si="0"/>
        <v>#REF!</v>
      </c>
      <c r="X4" s="365" t="e">
        <f t="shared" si="0"/>
        <v>#REF!</v>
      </c>
      <c r="Y4" s="365" t="e">
        <f t="shared" si="0"/>
        <v>#REF!</v>
      </c>
      <c r="Z4" s="365" t="e">
        <f t="shared" si="0"/>
        <v>#REF!</v>
      </c>
      <c r="AA4" s="365" t="e">
        <f t="shared" si="0"/>
        <v>#REF!</v>
      </c>
      <c r="AB4" s="125"/>
    </row>
    <row r="5" s="122" customFormat="1" spans="1:28">
      <c r="A5" s="130"/>
      <c r="B5" s="131" t="str">
        <f>目录!G3</f>
        <v>A.01地下基础工程</v>
      </c>
      <c r="C5" s="131"/>
      <c r="D5" s="154"/>
      <c r="E5" s="154"/>
      <c r="F5" s="130"/>
      <c r="G5" s="134"/>
      <c r="H5" s="134"/>
      <c r="I5" s="134"/>
      <c r="J5" s="134"/>
      <c r="K5" s="134"/>
      <c r="L5" s="134"/>
      <c r="M5" s="134"/>
      <c r="N5" s="134"/>
      <c r="O5" s="134"/>
      <c r="P5" s="134"/>
      <c r="Q5" s="366"/>
      <c r="R5" s="367" t="e">
        <f t="shared" ref="R5:AA5" si="1">SUM(R6,R13)</f>
        <v>#REF!</v>
      </c>
      <c r="S5" s="367" t="e">
        <f t="shared" si="1"/>
        <v>#REF!</v>
      </c>
      <c r="T5" s="367" t="e">
        <f t="shared" si="1"/>
        <v>#REF!</v>
      </c>
      <c r="U5" s="367" t="e">
        <f t="shared" si="1"/>
        <v>#REF!</v>
      </c>
      <c r="V5" s="367" t="e">
        <f t="shared" si="1"/>
        <v>#REF!</v>
      </c>
      <c r="W5" s="367" t="e">
        <f t="shared" si="1"/>
        <v>#REF!</v>
      </c>
      <c r="X5" s="367" t="e">
        <f t="shared" si="1"/>
        <v>#REF!</v>
      </c>
      <c r="Y5" s="367" t="e">
        <f t="shared" si="1"/>
        <v>#REF!</v>
      </c>
      <c r="Z5" s="367" t="e">
        <f t="shared" si="1"/>
        <v>#REF!</v>
      </c>
      <c r="AA5" s="367" t="e">
        <f t="shared" si="1"/>
        <v>#REF!</v>
      </c>
      <c r="AB5" s="130"/>
    </row>
    <row r="6" s="29" customFormat="1" outlineLevel="1" spans="1:28">
      <c r="A6" s="40"/>
      <c r="B6" s="41" t="str">
        <f>目录!H3</f>
        <v>A.01.01土石方工程</v>
      </c>
      <c r="C6" s="41"/>
      <c r="D6" s="141"/>
      <c r="E6" s="141"/>
      <c r="F6" s="40"/>
      <c r="G6" s="43"/>
      <c r="H6" s="43"/>
      <c r="I6" s="43"/>
      <c r="J6" s="43"/>
      <c r="K6" s="43"/>
      <c r="L6" s="43"/>
      <c r="M6" s="43"/>
      <c r="N6" s="43"/>
      <c r="O6" s="43"/>
      <c r="P6" s="43"/>
      <c r="Q6" s="368"/>
      <c r="R6" s="369" t="e">
        <f>SUM(R7:R12)</f>
        <v>#REF!</v>
      </c>
      <c r="S6" s="369" t="e">
        <f t="shared" ref="R6:AA6" si="2">SUM(S7:S12)</f>
        <v>#REF!</v>
      </c>
      <c r="T6" s="369" t="e">
        <f t="shared" si="2"/>
        <v>#REF!</v>
      </c>
      <c r="U6" s="369" t="e">
        <f t="shared" si="2"/>
        <v>#REF!</v>
      </c>
      <c r="V6" s="369" t="e">
        <f t="shared" si="2"/>
        <v>#REF!</v>
      </c>
      <c r="W6" s="369" t="e">
        <f t="shared" si="2"/>
        <v>#REF!</v>
      </c>
      <c r="X6" s="369" t="e">
        <f t="shared" si="2"/>
        <v>#REF!</v>
      </c>
      <c r="Y6" s="369" t="e">
        <f t="shared" si="2"/>
        <v>#REF!</v>
      </c>
      <c r="Z6" s="369" t="e">
        <f t="shared" si="2"/>
        <v>#REF!</v>
      </c>
      <c r="AA6" s="369" t="e">
        <f t="shared" si="2"/>
        <v>#REF!</v>
      </c>
      <c r="AB6" s="40"/>
    </row>
    <row r="7" outlineLevel="2" spans="1:28">
      <c r="A7" s="52">
        <f>MAX($A$6:A6)+1</f>
        <v>1</v>
      </c>
      <c r="B7" s="51" t="s">
        <v>241</v>
      </c>
      <c r="C7" s="51" t="e">
        <f>VLOOKUP($B7,#REF!,MATCH(C$2,#REF!,0),0)</f>
        <v>#REF!</v>
      </c>
      <c r="D7" s="136"/>
      <c r="E7" s="136"/>
      <c r="F7" s="136" t="e">
        <f>VLOOKUP($B7,#REF!,MATCH(F$2,#REF!,0),0)</f>
        <v>#REF!</v>
      </c>
      <c r="G7" s="137" t="e">
        <f>VLOOKUP($B7,#REF!,MATCH(G$2,#REF!,0),0)</f>
        <v>#REF!</v>
      </c>
      <c r="H7" s="358"/>
      <c r="I7" s="48"/>
      <c r="J7" s="48"/>
      <c r="K7" s="48"/>
      <c r="L7" s="48"/>
      <c r="M7" s="48"/>
      <c r="N7" s="48"/>
      <c r="O7" s="48"/>
      <c r="P7" s="48">
        <v>1</v>
      </c>
      <c r="Q7" s="370">
        <v>1</v>
      </c>
      <c r="R7" s="371" t="e">
        <f t="shared" ref="R7:R12" si="3">$G7*H7</f>
        <v>#REF!</v>
      </c>
      <c r="S7" s="371" t="e">
        <f t="shared" ref="S7:AA7" si="4">$G7*I7</f>
        <v>#REF!</v>
      </c>
      <c r="T7" s="371" t="e">
        <f t="shared" si="4"/>
        <v>#REF!</v>
      </c>
      <c r="U7" s="371" t="e">
        <f t="shared" si="4"/>
        <v>#REF!</v>
      </c>
      <c r="V7" s="371" t="e">
        <f t="shared" si="4"/>
        <v>#REF!</v>
      </c>
      <c r="W7" s="371" t="e">
        <f t="shared" si="4"/>
        <v>#REF!</v>
      </c>
      <c r="X7" s="371" t="e">
        <f t="shared" si="4"/>
        <v>#REF!</v>
      </c>
      <c r="Y7" s="371" t="e">
        <f t="shared" si="4"/>
        <v>#REF!</v>
      </c>
      <c r="Z7" s="371" t="e">
        <f t="shared" si="4"/>
        <v>#REF!</v>
      </c>
      <c r="AA7" s="371" t="e">
        <f t="shared" si="4"/>
        <v>#REF!</v>
      </c>
      <c r="AB7" s="50"/>
    </row>
    <row r="8" ht="28.8" outlineLevel="2" spans="1:28">
      <c r="A8" s="52">
        <f>MAX($A$6:A7)+1</f>
        <v>2</v>
      </c>
      <c r="B8" s="51" t="s">
        <v>242</v>
      </c>
      <c r="C8" s="51" t="e">
        <f>VLOOKUP($B8,#REF!,MATCH(C$2,#REF!,0),0)</f>
        <v>#REF!</v>
      </c>
      <c r="D8" s="136"/>
      <c r="E8" s="136"/>
      <c r="F8" s="136" t="e">
        <f>VLOOKUP($B8,#REF!,MATCH(F$2,#REF!,0),0)</f>
        <v>#REF!</v>
      </c>
      <c r="G8" s="137" t="e">
        <f>VLOOKUP($B8,#REF!,MATCH(G$2,#REF!,0),0)</f>
        <v>#REF!</v>
      </c>
      <c r="H8" s="48"/>
      <c r="I8" s="48"/>
      <c r="J8" s="48"/>
      <c r="K8" s="48"/>
      <c r="L8" s="48"/>
      <c r="M8" s="48"/>
      <c r="N8" s="48"/>
      <c r="O8" s="48"/>
      <c r="P8" s="48">
        <v>1</v>
      </c>
      <c r="Q8" s="48">
        <v>1</v>
      </c>
      <c r="R8" s="371" t="e">
        <f t="shared" si="3"/>
        <v>#REF!</v>
      </c>
      <c r="S8" s="371" t="e">
        <f t="shared" ref="S8:AA8" si="5">$G8*I8</f>
        <v>#REF!</v>
      </c>
      <c r="T8" s="371" t="e">
        <f t="shared" si="5"/>
        <v>#REF!</v>
      </c>
      <c r="U8" s="371" t="e">
        <f t="shared" si="5"/>
        <v>#REF!</v>
      </c>
      <c r="V8" s="371" t="e">
        <f t="shared" si="5"/>
        <v>#REF!</v>
      </c>
      <c r="W8" s="371" t="e">
        <f t="shared" si="5"/>
        <v>#REF!</v>
      </c>
      <c r="X8" s="371" t="e">
        <f t="shared" si="5"/>
        <v>#REF!</v>
      </c>
      <c r="Y8" s="371" t="e">
        <f t="shared" si="5"/>
        <v>#REF!</v>
      </c>
      <c r="Z8" s="371" t="e">
        <f t="shared" si="5"/>
        <v>#REF!</v>
      </c>
      <c r="AA8" s="371" t="e">
        <f t="shared" si="5"/>
        <v>#REF!</v>
      </c>
      <c r="AB8" s="50"/>
    </row>
    <row r="9" outlineLevel="2" spans="1:28">
      <c r="A9" s="52">
        <f>MAX($A$6:A8)+1</f>
        <v>3</v>
      </c>
      <c r="B9" s="51" t="s">
        <v>243</v>
      </c>
      <c r="C9" s="51" t="e">
        <f>VLOOKUP($B9,#REF!,MATCH(C$2,#REF!,0),0)</f>
        <v>#REF!</v>
      </c>
      <c r="D9" s="136"/>
      <c r="E9" s="136"/>
      <c r="F9" s="136" t="e">
        <f>VLOOKUP($B9,#REF!,MATCH(F$2,#REF!,0),0)</f>
        <v>#REF!</v>
      </c>
      <c r="G9" s="137" t="e">
        <f>VLOOKUP($B9,#REF!,MATCH(G$2,#REF!,0),0)</f>
        <v>#REF!</v>
      </c>
      <c r="H9" s="48"/>
      <c r="I9" s="48"/>
      <c r="J9" s="48"/>
      <c r="K9" s="48"/>
      <c r="L9" s="48"/>
      <c r="M9" s="48"/>
      <c r="N9" s="48"/>
      <c r="O9" s="48"/>
      <c r="P9" s="48">
        <v>1</v>
      </c>
      <c r="Q9" s="48">
        <v>1</v>
      </c>
      <c r="R9" s="371" t="e">
        <f t="shared" si="3"/>
        <v>#REF!</v>
      </c>
      <c r="S9" s="371" t="e">
        <f t="shared" ref="S9:AA9" si="6">$G9*I9</f>
        <v>#REF!</v>
      </c>
      <c r="T9" s="371" t="e">
        <f t="shared" si="6"/>
        <v>#REF!</v>
      </c>
      <c r="U9" s="371" t="e">
        <f t="shared" si="6"/>
        <v>#REF!</v>
      </c>
      <c r="V9" s="371" t="e">
        <f t="shared" si="6"/>
        <v>#REF!</v>
      </c>
      <c r="W9" s="371" t="e">
        <f t="shared" si="6"/>
        <v>#REF!</v>
      </c>
      <c r="X9" s="371" t="e">
        <f t="shared" si="6"/>
        <v>#REF!</v>
      </c>
      <c r="Y9" s="371" t="e">
        <f t="shared" si="6"/>
        <v>#REF!</v>
      </c>
      <c r="Z9" s="371" t="e">
        <f t="shared" si="6"/>
        <v>#REF!</v>
      </c>
      <c r="AA9" s="371" t="e">
        <f t="shared" si="6"/>
        <v>#REF!</v>
      </c>
      <c r="AB9" s="50"/>
    </row>
    <row r="10" outlineLevel="2" spans="1:28">
      <c r="A10" s="52">
        <f>MAX($A$6:A9)+1</f>
        <v>4</v>
      </c>
      <c r="B10" s="51" t="s">
        <v>244</v>
      </c>
      <c r="C10" s="51" t="e">
        <f>VLOOKUP($B10,#REF!,MATCH(C$2,#REF!,0),0)</f>
        <v>#REF!</v>
      </c>
      <c r="D10" s="136"/>
      <c r="E10" s="136"/>
      <c r="F10" s="136" t="e">
        <f>VLOOKUP($B10,#REF!,MATCH(F$2,#REF!,0),0)</f>
        <v>#REF!</v>
      </c>
      <c r="G10" s="137" t="e">
        <f>VLOOKUP($B10,#REF!,MATCH(G$2,#REF!,0),0)</f>
        <v>#REF!</v>
      </c>
      <c r="H10" s="48"/>
      <c r="I10" s="48"/>
      <c r="J10" s="48"/>
      <c r="K10" s="48"/>
      <c r="L10" s="48"/>
      <c r="M10" s="48"/>
      <c r="N10" s="48"/>
      <c r="O10" s="48"/>
      <c r="P10" s="48">
        <v>1</v>
      </c>
      <c r="Q10" s="48">
        <v>1</v>
      </c>
      <c r="R10" s="371" t="e">
        <f t="shared" si="3"/>
        <v>#REF!</v>
      </c>
      <c r="S10" s="371" t="e">
        <f t="shared" ref="S10:AA10" si="7">$G10*I10</f>
        <v>#REF!</v>
      </c>
      <c r="T10" s="371" t="e">
        <f t="shared" si="7"/>
        <v>#REF!</v>
      </c>
      <c r="U10" s="371" t="e">
        <f t="shared" si="7"/>
        <v>#REF!</v>
      </c>
      <c r="V10" s="371" t="e">
        <f t="shared" si="7"/>
        <v>#REF!</v>
      </c>
      <c r="W10" s="371" t="e">
        <f t="shared" si="7"/>
        <v>#REF!</v>
      </c>
      <c r="X10" s="371" t="e">
        <f t="shared" si="7"/>
        <v>#REF!</v>
      </c>
      <c r="Y10" s="371" t="e">
        <f t="shared" si="7"/>
        <v>#REF!</v>
      </c>
      <c r="Z10" s="371" t="e">
        <f t="shared" si="7"/>
        <v>#REF!</v>
      </c>
      <c r="AA10" s="371" t="e">
        <f t="shared" si="7"/>
        <v>#REF!</v>
      </c>
      <c r="AB10" s="50"/>
    </row>
    <row r="11" outlineLevel="2" spans="1:28">
      <c r="A11" s="52">
        <f>MAX($A$6:A10)+1</f>
        <v>5</v>
      </c>
      <c r="B11" s="51" t="s">
        <v>245</v>
      </c>
      <c r="C11" s="51" t="e">
        <f>VLOOKUP($B11,#REF!,MATCH(C$2,#REF!,0),0)</f>
        <v>#REF!</v>
      </c>
      <c r="D11" s="136"/>
      <c r="E11" s="136"/>
      <c r="F11" s="136" t="e">
        <f>VLOOKUP($B11,#REF!,MATCH(F$2,#REF!,0),0)</f>
        <v>#REF!</v>
      </c>
      <c r="G11" s="137" t="e">
        <f>VLOOKUP($B11,#REF!,MATCH(G$2,#REF!,0),0)</f>
        <v>#REF!</v>
      </c>
      <c r="H11" s="48"/>
      <c r="I11" s="48"/>
      <c r="J11" s="48"/>
      <c r="K11" s="48"/>
      <c r="L11" s="48"/>
      <c r="M11" s="48"/>
      <c r="N11" s="48"/>
      <c r="O11" s="48"/>
      <c r="P11" s="48">
        <v>1</v>
      </c>
      <c r="Q11" s="48">
        <v>1</v>
      </c>
      <c r="R11" s="371" t="e">
        <f t="shared" si="3"/>
        <v>#REF!</v>
      </c>
      <c r="S11" s="371" t="e">
        <f t="shared" ref="S11:AA11" si="8">$G11*I11</f>
        <v>#REF!</v>
      </c>
      <c r="T11" s="371" t="e">
        <f t="shared" si="8"/>
        <v>#REF!</v>
      </c>
      <c r="U11" s="371" t="e">
        <f t="shared" si="8"/>
        <v>#REF!</v>
      </c>
      <c r="V11" s="371" t="e">
        <f t="shared" si="8"/>
        <v>#REF!</v>
      </c>
      <c r="W11" s="371" t="e">
        <f t="shared" si="8"/>
        <v>#REF!</v>
      </c>
      <c r="X11" s="371" t="e">
        <f t="shared" si="8"/>
        <v>#REF!</v>
      </c>
      <c r="Y11" s="371" t="e">
        <f t="shared" si="8"/>
        <v>#REF!</v>
      </c>
      <c r="Z11" s="371" t="e">
        <f t="shared" si="8"/>
        <v>#REF!</v>
      </c>
      <c r="AA11" s="371" t="e">
        <f t="shared" si="8"/>
        <v>#REF!</v>
      </c>
      <c r="AB11" s="50"/>
    </row>
    <row r="12" outlineLevel="2" spans="1:28">
      <c r="A12" s="52">
        <f>MAX($A$6:A11)+1</f>
        <v>6</v>
      </c>
      <c r="B12" s="51" t="s">
        <v>246</v>
      </c>
      <c r="C12" s="51" t="e">
        <f>VLOOKUP($B12,#REF!,MATCH(C$2,#REF!,0),0)</f>
        <v>#REF!</v>
      </c>
      <c r="D12" s="136"/>
      <c r="E12" s="136"/>
      <c r="F12" s="136" t="e">
        <f>VLOOKUP($B12,#REF!,MATCH(F$2,#REF!,0),0)</f>
        <v>#REF!</v>
      </c>
      <c r="G12" s="137" t="e">
        <f>VLOOKUP($B12,#REF!,MATCH(G$2,#REF!,0),0)</f>
        <v>#REF!</v>
      </c>
      <c r="H12" s="48"/>
      <c r="I12" s="48"/>
      <c r="J12" s="48"/>
      <c r="K12" s="48"/>
      <c r="L12" s="48"/>
      <c r="M12" s="48"/>
      <c r="N12" s="48"/>
      <c r="O12" s="48"/>
      <c r="P12" s="48">
        <v>1</v>
      </c>
      <c r="Q12" s="48">
        <v>1</v>
      </c>
      <c r="R12" s="371" t="e">
        <f t="shared" si="3"/>
        <v>#REF!</v>
      </c>
      <c r="S12" s="371" t="e">
        <f t="shared" ref="S12:AA12" si="9">$G12*I12</f>
        <v>#REF!</v>
      </c>
      <c r="T12" s="371" t="e">
        <f t="shared" si="9"/>
        <v>#REF!</v>
      </c>
      <c r="U12" s="371" t="e">
        <f t="shared" si="9"/>
        <v>#REF!</v>
      </c>
      <c r="V12" s="371" t="e">
        <f t="shared" si="9"/>
        <v>#REF!</v>
      </c>
      <c r="W12" s="371" t="e">
        <f t="shared" si="9"/>
        <v>#REF!</v>
      </c>
      <c r="X12" s="371" t="e">
        <f t="shared" si="9"/>
        <v>#REF!</v>
      </c>
      <c r="Y12" s="371" t="e">
        <f t="shared" si="9"/>
        <v>#REF!</v>
      </c>
      <c r="Z12" s="371" t="e">
        <f t="shared" si="9"/>
        <v>#REF!</v>
      </c>
      <c r="AA12" s="371" t="e">
        <f t="shared" si="9"/>
        <v>#REF!</v>
      </c>
      <c r="AB12" s="50"/>
    </row>
    <row r="13" s="29" customFormat="1" ht="28.8" outlineLevel="1" spans="1:28">
      <c r="A13" s="40"/>
      <c r="B13" s="41" t="str">
        <f>目录!H4</f>
        <v>A.01.02地基处理工程</v>
      </c>
      <c r="C13" s="41"/>
      <c r="D13" s="141"/>
      <c r="E13" s="141"/>
      <c r="F13" s="40"/>
      <c r="G13" s="43"/>
      <c r="H13" s="43"/>
      <c r="I13" s="43"/>
      <c r="J13" s="43"/>
      <c r="K13" s="43"/>
      <c r="L13" s="43"/>
      <c r="M13" s="43"/>
      <c r="N13" s="43"/>
      <c r="O13" s="43"/>
      <c r="P13" s="43"/>
      <c r="Q13" s="43"/>
      <c r="R13" s="369" t="e">
        <f>SUM(R14:R20)</f>
        <v>#REF!</v>
      </c>
      <c r="S13" s="369" t="e">
        <f t="shared" ref="R13:AA13" si="10">SUM(S14:S20)</f>
        <v>#REF!</v>
      </c>
      <c r="T13" s="369" t="e">
        <f t="shared" si="10"/>
        <v>#REF!</v>
      </c>
      <c r="U13" s="369" t="e">
        <f t="shared" si="10"/>
        <v>#REF!</v>
      </c>
      <c r="V13" s="369" t="e">
        <f t="shared" si="10"/>
        <v>#REF!</v>
      </c>
      <c r="W13" s="369" t="e">
        <f t="shared" si="10"/>
        <v>#REF!</v>
      </c>
      <c r="X13" s="369" t="e">
        <f t="shared" si="10"/>
        <v>#REF!</v>
      </c>
      <c r="Y13" s="369" t="e">
        <f t="shared" si="10"/>
        <v>#REF!</v>
      </c>
      <c r="Z13" s="369" t="e">
        <f t="shared" si="10"/>
        <v>#REF!</v>
      </c>
      <c r="AA13" s="369" t="e">
        <f t="shared" si="10"/>
        <v>#REF!</v>
      </c>
      <c r="AB13" s="40"/>
    </row>
    <row r="14" s="29" customFormat="1" outlineLevel="2" spans="1:28">
      <c r="A14" s="52">
        <f>MAX($A$6:A13)+1</f>
        <v>7</v>
      </c>
      <c r="B14" s="51" t="s">
        <v>247</v>
      </c>
      <c r="C14" s="51" t="e">
        <f>VLOOKUP($B14,#REF!,MATCH(C$2,#REF!,0),0)</f>
        <v>#REF!</v>
      </c>
      <c r="D14" s="136"/>
      <c r="E14" s="136"/>
      <c r="F14" s="136" t="e">
        <f>VLOOKUP($B14,#REF!,MATCH(F$2,#REF!,0),0)</f>
        <v>#REF!</v>
      </c>
      <c r="G14" s="137" t="e">
        <f>VLOOKUP($B14,#REF!,MATCH(G$2,#REF!,0),0)</f>
        <v>#REF!</v>
      </c>
      <c r="H14" s="48">
        <v>3.05</v>
      </c>
      <c r="I14" s="48">
        <v>3.05</v>
      </c>
      <c r="J14" s="48">
        <v>1</v>
      </c>
      <c r="K14" s="48">
        <v>1</v>
      </c>
      <c r="L14" s="48">
        <v>2.8</v>
      </c>
      <c r="M14" s="48"/>
      <c r="N14" s="48"/>
      <c r="O14" s="48"/>
      <c r="P14" s="48">
        <v>1</v>
      </c>
      <c r="Q14" s="48">
        <v>1</v>
      </c>
      <c r="R14" s="371" t="e">
        <f>$G14*H14</f>
        <v>#REF!</v>
      </c>
      <c r="S14" s="371" t="e">
        <f t="shared" ref="S14:AA14" si="11">$G14*I14</f>
        <v>#REF!</v>
      </c>
      <c r="T14" s="371" t="e">
        <f t="shared" si="11"/>
        <v>#REF!</v>
      </c>
      <c r="U14" s="371" t="e">
        <f t="shared" si="11"/>
        <v>#REF!</v>
      </c>
      <c r="V14" s="371" t="e">
        <f t="shared" si="11"/>
        <v>#REF!</v>
      </c>
      <c r="W14" s="371" t="e">
        <f t="shared" si="11"/>
        <v>#REF!</v>
      </c>
      <c r="X14" s="371" t="e">
        <f t="shared" si="11"/>
        <v>#REF!</v>
      </c>
      <c r="Y14" s="371" t="e">
        <f t="shared" si="11"/>
        <v>#REF!</v>
      </c>
      <c r="Z14" s="371" t="e">
        <f t="shared" si="11"/>
        <v>#REF!</v>
      </c>
      <c r="AA14" s="371" t="e">
        <f t="shared" si="11"/>
        <v>#REF!</v>
      </c>
      <c r="AB14" s="50"/>
    </row>
    <row r="15" s="29" customFormat="1" outlineLevel="2" spans="1:28">
      <c r="A15" s="52">
        <f>MAX($A$6:A14)+1</f>
        <v>8</v>
      </c>
      <c r="B15" s="51" t="s">
        <v>248</v>
      </c>
      <c r="C15" s="51" t="e">
        <f>VLOOKUP($B15,#REF!,MATCH(C$2,#REF!,0),0)</f>
        <v>#REF!</v>
      </c>
      <c r="D15" s="136"/>
      <c r="E15" s="136"/>
      <c r="F15" s="136" t="e">
        <f>VLOOKUP($B15,#REF!,MATCH(F$2,#REF!,0),0)</f>
        <v>#REF!</v>
      </c>
      <c r="G15" s="137" t="e">
        <f>VLOOKUP($B15,#REF!,MATCH(G$2,#REF!,0),0)</f>
        <v>#REF!</v>
      </c>
      <c r="H15" s="48">
        <v>25.45</v>
      </c>
      <c r="I15" s="48">
        <v>25.45</v>
      </c>
      <c r="J15" s="48">
        <v>1</v>
      </c>
      <c r="K15" s="48">
        <v>1</v>
      </c>
      <c r="L15" s="48">
        <v>14.09</v>
      </c>
      <c r="M15" s="48"/>
      <c r="N15" s="48"/>
      <c r="O15" s="48"/>
      <c r="P15" s="48">
        <v>1</v>
      </c>
      <c r="Q15" s="48">
        <v>1</v>
      </c>
      <c r="R15" s="371" t="e">
        <f t="shared" ref="R15:R20" si="12">$G15*H15</f>
        <v>#REF!</v>
      </c>
      <c r="S15" s="371" t="e">
        <f t="shared" ref="S15:AA15" si="13">$G15*I15</f>
        <v>#REF!</v>
      </c>
      <c r="T15" s="371" t="e">
        <f t="shared" si="13"/>
        <v>#REF!</v>
      </c>
      <c r="U15" s="371" t="e">
        <f t="shared" si="13"/>
        <v>#REF!</v>
      </c>
      <c r="V15" s="371" t="e">
        <f t="shared" si="13"/>
        <v>#REF!</v>
      </c>
      <c r="W15" s="371" t="e">
        <f t="shared" si="13"/>
        <v>#REF!</v>
      </c>
      <c r="X15" s="371" t="e">
        <f t="shared" si="13"/>
        <v>#REF!</v>
      </c>
      <c r="Y15" s="371" t="e">
        <f t="shared" si="13"/>
        <v>#REF!</v>
      </c>
      <c r="Z15" s="371" t="e">
        <f t="shared" si="13"/>
        <v>#REF!</v>
      </c>
      <c r="AA15" s="371" t="e">
        <f t="shared" si="13"/>
        <v>#REF!</v>
      </c>
      <c r="AB15" s="50"/>
    </row>
    <row r="16" s="29" customFormat="1" outlineLevel="2" spans="1:28">
      <c r="A16" s="52">
        <f>MAX($A$6:A15)+1</f>
        <v>9</v>
      </c>
      <c r="B16" s="51" t="s">
        <v>249</v>
      </c>
      <c r="C16" s="51" t="e">
        <f>VLOOKUP($B16,#REF!,MATCH(C$2,#REF!,0),0)</f>
        <v>#REF!</v>
      </c>
      <c r="D16" s="136"/>
      <c r="E16" s="136"/>
      <c r="F16" s="136" t="e">
        <f>VLOOKUP($B16,#REF!,MATCH(F$2,#REF!,0),0)</f>
        <v>#REF!</v>
      </c>
      <c r="G16" s="137" t="e">
        <f>VLOOKUP($B16,#REF!,MATCH(G$2,#REF!,0),0)</f>
        <v>#REF!</v>
      </c>
      <c r="H16" s="48">
        <v>1.88</v>
      </c>
      <c r="I16" s="48">
        <v>1.88</v>
      </c>
      <c r="J16" s="48">
        <v>0.28</v>
      </c>
      <c r="K16" s="48">
        <v>0.28</v>
      </c>
      <c r="L16" s="48">
        <v>11</v>
      </c>
      <c r="M16" s="48"/>
      <c r="N16" s="48"/>
      <c r="O16" s="48"/>
      <c r="P16" s="48">
        <v>14.03976</v>
      </c>
      <c r="Q16" s="48">
        <v>28.7448</v>
      </c>
      <c r="R16" s="371" t="e">
        <f t="shared" si="12"/>
        <v>#REF!</v>
      </c>
      <c r="S16" s="371" t="e">
        <f t="shared" ref="S16:AA16" si="14">$G16*I16</f>
        <v>#REF!</v>
      </c>
      <c r="T16" s="371" t="e">
        <f t="shared" si="14"/>
        <v>#REF!</v>
      </c>
      <c r="U16" s="371" t="e">
        <f t="shared" si="14"/>
        <v>#REF!</v>
      </c>
      <c r="V16" s="371" t="e">
        <f t="shared" si="14"/>
        <v>#REF!</v>
      </c>
      <c r="W16" s="371" t="e">
        <f t="shared" si="14"/>
        <v>#REF!</v>
      </c>
      <c r="X16" s="371" t="e">
        <f t="shared" si="14"/>
        <v>#REF!</v>
      </c>
      <c r="Y16" s="371" t="e">
        <f t="shared" si="14"/>
        <v>#REF!</v>
      </c>
      <c r="Z16" s="371" t="e">
        <f t="shared" si="14"/>
        <v>#REF!</v>
      </c>
      <c r="AA16" s="371" t="e">
        <f t="shared" si="14"/>
        <v>#REF!</v>
      </c>
      <c r="AB16" s="50"/>
    </row>
    <row r="17" outlineLevel="2" spans="1:28">
      <c r="A17" s="52">
        <f>MAX($A$6:A16)+1</f>
        <v>10</v>
      </c>
      <c r="B17" s="51" t="s">
        <v>129</v>
      </c>
      <c r="C17" s="51" t="e">
        <f>VLOOKUP($B17,#REF!,MATCH(C$2,#REF!,0),0)</f>
        <v>#REF!</v>
      </c>
      <c r="D17" s="136"/>
      <c r="E17" s="136"/>
      <c r="F17" s="136" t="e">
        <f>VLOOKUP($B17,#REF!,MATCH(F$2,#REF!,0),0)</f>
        <v>#REF!</v>
      </c>
      <c r="G17" s="137" t="e">
        <f>VLOOKUP($B17,#REF!,MATCH(G$2,#REF!,0),0)</f>
        <v>#REF!</v>
      </c>
      <c r="H17" s="48"/>
      <c r="I17" s="48"/>
      <c r="J17" s="48"/>
      <c r="K17" s="48">
        <v>1</v>
      </c>
      <c r="L17" s="48"/>
      <c r="M17" s="48"/>
      <c r="N17" s="48"/>
      <c r="O17" s="48"/>
      <c r="P17" s="48"/>
      <c r="Q17" s="48"/>
      <c r="R17" s="371" t="e">
        <f t="shared" si="12"/>
        <v>#REF!</v>
      </c>
      <c r="S17" s="371" t="e">
        <f t="shared" ref="S17:AA17" si="15">$G17*I17</f>
        <v>#REF!</v>
      </c>
      <c r="T17" s="371" t="e">
        <f t="shared" si="15"/>
        <v>#REF!</v>
      </c>
      <c r="U17" s="371" t="e">
        <f t="shared" si="15"/>
        <v>#REF!</v>
      </c>
      <c r="V17" s="371" t="e">
        <f t="shared" si="15"/>
        <v>#REF!</v>
      </c>
      <c r="W17" s="371" t="e">
        <f t="shared" si="15"/>
        <v>#REF!</v>
      </c>
      <c r="X17" s="371" t="e">
        <f t="shared" si="15"/>
        <v>#REF!</v>
      </c>
      <c r="Y17" s="371" t="e">
        <f t="shared" si="15"/>
        <v>#REF!</v>
      </c>
      <c r="Z17" s="371" t="e">
        <f t="shared" si="15"/>
        <v>#REF!</v>
      </c>
      <c r="AA17" s="371" t="e">
        <f t="shared" si="15"/>
        <v>#REF!</v>
      </c>
      <c r="AB17" s="50"/>
    </row>
    <row r="18" outlineLevel="2" spans="1:28">
      <c r="A18" s="52">
        <f>MAX($A$6:A17)+1</f>
        <v>11</v>
      </c>
      <c r="B18" s="51" t="s">
        <v>250</v>
      </c>
      <c r="C18" s="51" t="e">
        <f>VLOOKUP($B18,#REF!,MATCH(C$2,#REF!,0),0)</f>
        <v>#REF!</v>
      </c>
      <c r="D18" s="136"/>
      <c r="E18" s="136"/>
      <c r="F18" s="136" t="e">
        <f>VLOOKUP($B18,#REF!,MATCH(F$2,#REF!,0),0)</f>
        <v>#REF!</v>
      </c>
      <c r="G18" s="137" t="e">
        <f>VLOOKUP($B18,#REF!,MATCH(G$2,#REF!,0),0)</f>
        <v>#REF!</v>
      </c>
      <c r="H18" s="48">
        <v>1</v>
      </c>
      <c r="I18" s="48">
        <v>1</v>
      </c>
      <c r="J18" s="48">
        <v>1</v>
      </c>
      <c r="K18" s="48">
        <v>1</v>
      </c>
      <c r="L18" s="48"/>
      <c r="M18" s="48"/>
      <c r="N18" s="48"/>
      <c r="O18" s="48"/>
      <c r="P18" s="48">
        <v>1</v>
      </c>
      <c r="Q18" s="48">
        <v>1</v>
      </c>
      <c r="R18" s="371" t="e">
        <f t="shared" si="12"/>
        <v>#REF!</v>
      </c>
      <c r="S18" s="371" t="e">
        <f t="shared" ref="S18:AA18" si="16">$G18*I18</f>
        <v>#REF!</v>
      </c>
      <c r="T18" s="371" t="e">
        <f t="shared" si="16"/>
        <v>#REF!</v>
      </c>
      <c r="U18" s="371" t="e">
        <f t="shared" si="16"/>
        <v>#REF!</v>
      </c>
      <c r="V18" s="371" t="e">
        <f t="shared" si="16"/>
        <v>#REF!</v>
      </c>
      <c r="W18" s="371" t="e">
        <f t="shared" si="16"/>
        <v>#REF!</v>
      </c>
      <c r="X18" s="371" t="e">
        <f t="shared" si="16"/>
        <v>#REF!</v>
      </c>
      <c r="Y18" s="371" t="e">
        <f t="shared" si="16"/>
        <v>#REF!</v>
      </c>
      <c r="Z18" s="371" t="e">
        <f t="shared" si="16"/>
        <v>#REF!</v>
      </c>
      <c r="AA18" s="371" t="e">
        <f t="shared" si="16"/>
        <v>#REF!</v>
      </c>
      <c r="AB18" s="50"/>
    </row>
    <row r="19" outlineLevel="2" spans="1:28">
      <c r="A19" s="52">
        <f>MAX($A$6:A18)+1</f>
        <v>12</v>
      </c>
      <c r="B19" s="51" t="s">
        <v>251</v>
      </c>
      <c r="C19" s="51" t="e">
        <f>VLOOKUP($B19,#REF!,MATCH(C$2,#REF!,0),0)</f>
        <v>#REF!</v>
      </c>
      <c r="D19" s="136"/>
      <c r="E19" s="136"/>
      <c r="F19" s="136" t="e">
        <f>VLOOKUP($B19,#REF!,MATCH(F$2,#REF!,0),0)</f>
        <v>#REF!</v>
      </c>
      <c r="G19" s="137" t="e">
        <f>VLOOKUP($B19,#REF!,MATCH(G$2,#REF!,0),0)</f>
        <v>#REF!</v>
      </c>
      <c r="H19" s="48">
        <v>199.84</v>
      </c>
      <c r="I19" s="48">
        <v>199.84</v>
      </c>
      <c r="J19" s="48">
        <v>179.98</v>
      </c>
      <c r="K19" s="48">
        <v>179.98</v>
      </c>
      <c r="L19" s="48">
        <v>107.3</v>
      </c>
      <c r="M19" s="48"/>
      <c r="N19" s="48"/>
      <c r="O19" s="48"/>
      <c r="P19" s="48">
        <v>1</v>
      </c>
      <c r="Q19" s="48">
        <v>1</v>
      </c>
      <c r="R19" s="371" t="e">
        <f t="shared" si="12"/>
        <v>#REF!</v>
      </c>
      <c r="S19" s="371" t="e">
        <f t="shared" ref="S19:AA19" si="17">$G19*I19</f>
        <v>#REF!</v>
      </c>
      <c r="T19" s="371" t="e">
        <f t="shared" si="17"/>
        <v>#REF!</v>
      </c>
      <c r="U19" s="371" t="e">
        <f t="shared" si="17"/>
        <v>#REF!</v>
      </c>
      <c r="V19" s="371" t="e">
        <f t="shared" si="17"/>
        <v>#REF!</v>
      </c>
      <c r="W19" s="371" t="e">
        <f t="shared" si="17"/>
        <v>#REF!</v>
      </c>
      <c r="X19" s="371" t="e">
        <f t="shared" si="17"/>
        <v>#REF!</v>
      </c>
      <c r="Y19" s="371" t="e">
        <f t="shared" si="17"/>
        <v>#REF!</v>
      </c>
      <c r="Z19" s="371" t="e">
        <f t="shared" si="17"/>
        <v>#REF!</v>
      </c>
      <c r="AA19" s="371" t="e">
        <f t="shared" si="17"/>
        <v>#REF!</v>
      </c>
      <c r="AB19" s="50"/>
    </row>
    <row r="20" outlineLevel="2" spans="1:28">
      <c r="A20" s="52">
        <f>MAX($A$6:A19)+1</f>
        <v>13</v>
      </c>
      <c r="B20" s="51" t="s">
        <v>252</v>
      </c>
      <c r="C20" s="51" t="e">
        <f>VLOOKUP($B20,#REF!,MATCH(C$2,#REF!,0),0)</f>
        <v>#REF!</v>
      </c>
      <c r="D20" s="136"/>
      <c r="E20" s="136"/>
      <c r="F20" s="136" t="e">
        <f>VLOOKUP($B20,#REF!,MATCH(F$2,#REF!,0),0)</f>
        <v>#REF!</v>
      </c>
      <c r="G20" s="137" t="e">
        <f>VLOOKUP($B20,#REF!,MATCH(G$2,#REF!,0),0)</f>
        <v>#REF!</v>
      </c>
      <c r="H20" s="48"/>
      <c r="I20" s="48"/>
      <c r="J20" s="48"/>
      <c r="K20" s="48"/>
      <c r="L20" s="48"/>
      <c r="M20" s="48"/>
      <c r="N20" s="48"/>
      <c r="O20" s="48"/>
      <c r="P20" s="48">
        <v>1</v>
      </c>
      <c r="Q20" s="48">
        <v>1</v>
      </c>
      <c r="R20" s="371" t="e">
        <f t="shared" si="12"/>
        <v>#REF!</v>
      </c>
      <c r="S20" s="371" t="e">
        <f t="shared" ref="S20:AA20" si="18">$G20*I20</f>
        <v>#REF!</v>
      </c>
      <c r="T20" s="371" t="e">
        <f t="shared" si="18"/>
        <v>#REF!</v>
      </c>
      <c r="U20" s="371" t="e">
        <f t="shared" si="18"/>
        <v>#REF!</v>
      </c>
      <c r="V20" s="371" t="e">
        <f t="shared" si="18"/>
        <v>#REF!</v>
      </c>
      <c r="W20" s="371" t="e">
        <f t="shared" si="18"/>
        <v>#REF!</v>
      </c>
      <c r="X20" s="371" t="e">
        <f t="shared" si="18"/>
        <v>#REF!</v>
      </c>
      <c r="Y20" s="371" t="e">
        <f t="shared" si="18"/>
        <v>#REF!</v>
      </c>
      <c r="Z20" s="371" t="e">
        <f t="shared" si="18"/>
        <v>#REF!</v>
      </c>
      <c r="AA20" s="371" t="e">
        <f t="shared" si="18"/>
        <v>#REF!</v>
      </c>
      <c r="AB20" s="50"/>
    </row>
    <row r="21" s="355" customFormat="1" spans="1:28">
      <c r="A21" s="130"/>
      <c r="B21" s="131" t="str">
        <f>目录!G5</f>
        <v>A.02主体结构工程</v>
      </c>
      <c r="C21" s="131"/>
      <c r="D21" s="154"/>
      <c r="E21" s="154"/>
      <c r="F21" s="154"/>
      <c r="G21" s="359"/>
      <c r="H21" s="134"/>
      <c r="I21" s="134"/>
      <c r="J21" s="134"/>
      <c r="K21" s="134"/>
      <c r="L21" s="134"/>
      <c r="M21" s="134"/>
      <c r="N21" s="134"/>
      <c r="O21" s="134"/>
      <c r="P21" s="134"/>
      <c r="Q21" s="134"/>
      <c r="R21" s="367" t="e">
        <f t="shared" ref="R21:AA21" si="19">SUM(R22,R71)</f>
        <v>#REF!</v>
      </c>
      <c r="S21" s="367" t="e">
        <f t="shared" si="19"/>
        <v>#REF!</v>
      </c>
      <c r="T21" s="367" t="e">
        <f t="shared" si="19"/>
        <v>#REF!</v>
      </c>
      <c r="U21" s="367" t="e">
        <f t="shared" si="19"/>
        <v>#REF!</v>
      </c>
      <c r="V21" s="367" t="e">
        <f t="shared" si="19"/>
        <v>#REF!</v>
      </c>
      <c r="W21" s="367" t="e">
        <f t="shared" si="19"/>
        <v>#REF!</v>
      </c>
      <c r="X21" s="367" t="e">
        <f t="shared" si="19"/>
        <v>#REF!</v>
      </c>
      <c r="Y21" s="367" t="e">
        <f t="shared" si="19"/>
        <v>#REF!</v>
      </c>
      <c r="Z21" s="367" t="e">
        <f t="shared" si="19"/>
        <v>#REF!</v>
      </c>
      <c r="AA21" s="367" t="e">
        <f t="shared" si="19"/>
        <v>#REF!</v>
      </c>
      <c r="AB21" s="130"/>
    </row>
    <row r="22" s="29" customFormat="1" outlineLevel="1" spans="1:28">
      <c r="A22" s="40"/>
      <c r="B22" s="41" t="str">
        <f>目录!H5</f>
        <v>A.02.01混凝土工程</v>
      </c>
      <c r="C22" s="41"/>
      <c r="D22" s="141"/>
      <c r="E22" s="141"/>
      <c r="F22" s="40"/>
      <c r="G22" s="43"/>
      <c r="H22" s="43"/>
      <c r="I22" s="43"/>
      <c r="J22" s="43"/>
      <c r="K22" s="43"/>
      <c r="L22" s="43"/>
      <c r="M22" s="43"/>
      <c r="N22" s="43"/>
      <c r="O22" s="43"/>
      <c r="P22" s="43"/>
      <c r="Q22" s="43"/>
      <c r="R22" s="369" t="e">
        <f t="shared" ref="R22:AA22" si="20">SUM(R23:R70)</f>
        <v>#REF!</v>
      </c>
      <c r="S22" s="369" t="e">
        <f t="shared" si="20"/>
        <v>#REF!</v>
      </c>
      <c r="T22" s="369" t="e">
        <f t="shared" si="20"/>
        <v>#REF!</v>
      </c>
      <c r="U22" s="369" t="e">
        <f t="shared" si="20"/>
        <v>#REF!</v>
      </c>
      <c r="V22" s="369" t="e">
        <f t="shared" si="20"/>
        <v>#REF!</v>
      </c>
      <c r="W22" s="369" t="e">
        <f t="shared" si="20"/>
        <v>#REF!</v>
      </c>
      <c r="X22" s="369" t="e">
        <f t="shared" si="20"/>
        <v>#REF!</v>
      </c>
      <c r="Y22" s="369" t="e">
        <f t="shared" si="20"/>
        <v>#REF!</v>
      </c>
      <c r="Z22" s="369" t="e">
        <f t="shared" si="20"/>
        <v>#REF!</v>
      </c>
      <c r="AA22" s="369" t="e">
        <f t="shared" si="20"/>
        <v>#REF!</v>
      </c>
      <c r="AB22" s="40"/>
    </row>
    <row r="23" outlineLevel="2" spans="1:28">
      <c r="A23" s="52">
        <f>MAX($A$6:A22)+1</f>
        <v>14</v>
      </c>
      <c r="B23" s="51" t="s">
        <v>253</v>
      </c>
      <c r="C23" s="51" t="e">
        <f>VLOOKUP($B23,#REF!,MATCH(C$2,#REF!,0),0)</f>
        <v>#REF!</v>
      </c>
      <c r="D23" s="136"/>
      <c r="E23" s="136"/>
      <c r="F23" s="136" t="e">
        <f>VLOOKUP($B23,#REF!,MATCH(F$2,#REF!,0),0)</f>
        <v>#REF!</v>
      </c>
      <c r="G23" s="137" t="e">
        <f>VLOOKUP($B23,#REF!,MATCH(G$2,#REF!,0),0)</f>
        <v>#REF!</v>
      </c>
      <c r="H23" s="48">
        <v>1</v>
      </c>
      <c r="I23" s="48">
        <v>1</v>
      </c>
      <c r="J23" s="48">
        <v>1</v>
      </c>
      <c r="K23" s="48">
        <v>1</v>
      </c>
      <c r="L23" s="48"/>
      <c r="M23" s="48">
        <v>1</v>
      </c>
      <c r="N23" s="48">
        <v>1</v>
      </c>
      <c r="O23" s="48">
        <v>1</v>
      </c>
      <c r="P23" s="48">
        <v>1</v>
      </c>
      <c r="Q23" s="48">
        <v>9.23</v>
      </c>
      <c r="R23" s="371" t="e">
        <f>$G23*H23</f>
        <v>#REF!</v>
      </c>
      <c r="S23" s="371" t="e">
        <f t="shared" ref="S23:AA23" si="21">$G23*I23</f>
        <v>#REF!</v>
      </c>
      <c r="T23" s="371" t="e">
        <f t="shared" si="21"/>
        <v>#REF!</v>
      </c>
      <c r="U23" s="371" t="e">
        <f t="shared" si="21"/>
        <v>#REF!</v>
      </c>
      <c r="V23" s="371" t="e">
        <f t="shared" si="21"/>
        <v>#REF!</v>
      </c>
      <c r="W23" s="371" t="e">
        <f t="shared" si="21"/>
        <v>#REF!</v>
      </c>
      <c r="X23" s="371" t="e">
        <f t="shared" si="21"/>
        <v>#REF!</v>
      </c>
      <c r="Y23" s="371" t="e">
        <f t="shared" si="21"/>
        <v>#REF!</v>
      </c>
      <c r="Z23" s="371" t="e">
        <f t="shared" si="21"/>
        <v>#REF!</v>
      </c>
      <c r="AA23" s="371" t="e">
        <f t="shared" si="21"/>
        <v>#REF!</v>
      </c>
      <c r="AB23" s="50"/>
    </row>
    <row r="24" outlineLevel="2" spans="1:28">
      <c r="A24" s="52">
        <f>MAX($A$6:A23)+1</f>
        <v>15</v>
      </c>
      <c r="B24" s="51" t="s">
        <v>254</v>
      </c>
      <c r="C24" s="51" t="e">
        <f>VLOOKUP($B24,#REF!,MATCH(C$2,#REF!,0),0)</f>
        <v>#REF!</v>
      </c>
      <c r="D24" s="136"/>
      <c r="E24" s="136"/>
      <c r="F24" s="136" t="e">
        <f>VLOOKUP($B24,#REF!,MATCH(F$2,#REF!,0),0)</f>
        <v>#REF!</v>
      </c>
      <c r="G24" s="137" t="e">
        <f>VLOOKUP($B24,#REF!,MATCH(G$2,#REF!,0),0)</f>
        <v>#REF!</v>
      </c>
      <c r="H24" s="48">
        <v>99.92</v>
      </c>
      <c r="I24" s="48">
        <v>99.92</v>
      </c>
      <c r="J24" s="48">
        <v>89.99</v>
      </c>
      <c r="K24" s="48">
        <v>89.99</v>
      </c>
      <c r="L24" s="48">
        <v>58.9</v>
      </c>
      <c r="M24" s="48">
        <v>31.07</v>
      </c>
      <c r="N24" s="48">
        <v>31.07</v>
      </c>
      <c r="O24" s="48">
        <v>31.07</v>
      </c>
      <c r="P24" s="48">
        <v>1134.79</v>
      </c>
      <c r="Q24" s="48">
        <v>3024.08</v>
      </c>
      <c r="R24" s="371" t="e">
        <f t="shared" ref="R24:R70" si="22">$G24*H24</f>
        <v>#REF!</v>
      </c>
      <c r="S24" s="371" t="e">
        <f t="shared" ref="S24:AA24" si="23">$G24*I24</f>
        <v>#REF!</v>
      </c>
      <c r="T24" s="371" t="e">
        <f t="shared" si="23"/>
        <v>#REF!</v>
      </c>
      <c r="U24" s="371" t="e">
        <f t="shared" si="23"/>
        <v>#REF!</v>
      </c>
      <c r="V24" s="371" t="e">
        <f t="shared" si="23"/>
        <v>#REF!</v>
      </c>
      <c r="W24" s="371" t="e">
        <f t="shared" si="23"/>
        <v>#REF!</v>
      </c>
      <c r="X24" s="371" t="e">
        <f t="shared" si="23"/>
        <v>#REF!</v>
      </c>
      <c r="Y24" s="371" t="e">
        <f t="shared" si="23"/>
        <v>#REF!</v>
      </c>
      <c r="Z24" s="371" t="e">
        <f t="shared" si="23"/>
        <v>#REF!</v>
      </c>
      <c r="AA24" s="371" t="e">
        <f t="shared" si="23"/>
        <v>#REF!</v>
      </c>
      <c r="AB24" s="50"/>
    </row>
    <row r="25" ht="28.8" outlineLevel="2" spans="1:28">
      <c r="A25" s="52">
        <f>MAX($A$6:A24)+1</f>
        <v>16</v>
      </c>
      <c r="B25" s="360" t="s">
        <v>255</v>
      </c>
      <c r="C25" s="51" t="e">
        <f>VLOOKUP($B25,#REF!,MATCH(C$2,#REF!,0),0)</f>
        <v>#REF!</v>
      </c>
      <c r="D25" s="136"/>
      <c r="E25" s="136"/>
      <c r="F25" s="136" t="e">
        <f>VLOOKUP($B25,#REF!,MATCH(F$2,#REF!,0),0)</f>
        <v>#REF!</v>
      </c>
      <c r="G25" s="137" t="e">
        <f>VLOOKUP($B25,#REF!,MATCH(G$2,#REF!,0),0)</f>
        <v>#REF!</v>
      </c>
      <c r="H25" s="48"/>
      <c r="I25" s="48"/>
      <c r="J25" s="48"/>
      <c r="K25" s="48"/>
      <c r="L25" s="48"/>
      <c r="M25" s="48"/>
      <c r="N25" s="48"/>
      <c r="O25" s="48"/>
      <c r="P25" s="48"/>
      <c r="Q25" s="48"/>
      <c r="R25" s="371" t="e">
        <f t="shared" si="22"/>
        <v>#REF!</v>
      </c>
      <c r="S25" s="371" t="e">
        <f t="shared" ref="S25:AA25" si="24">$G25*I25</f>
        <v>#REF!</v>
      </c>
      <c r="T25" s="371" t="e">
        <f t="shared" si="24"/>
        <v>#REF!</v>
      </c>
      <c r="U25" s="371" t="e">
        <f t="shared" si="24"/>
        <v>#REF!</v>
      </c>
      <c r="V25" s="371" t="e">
        <f t="shared" si="24"/>
        <v>#REF!</v>
      </c>
      <c r="W25" s="371" t="e">
        <f t="shared" si="24"/>
        <v>#REF!</v>
      </c>
      <c r="X25" s="371" t="e">
        <f t="shared" si="24"/>
        <v>#REF!</v>
      </c>
      <c r="Y25" s="371" t="e">
        <f t="shared" si="24"/>
        <v>#REF!</v>
      </c>
      <c r="Z25" s="371" t="e">
        <f t="shared" si="24"/>
        <v>#REF!</v>
      </c>
      <c r="AA25" s="371" t="e">
        <f t="shared" si="24"/>
        <v>#REF!</v>
      </c>
      <c r="AB25" s="50"/>
    </row>
    <row r="26" outlineLevel="2" spans="1:28">
      <c r="A26" s="52">
        <f>MAX($A$6:A25)+1</f>
        <v>17</v>
      </c>
      <c r="B26" s="51" t="s">
        <v>256</v>
      </c>
      <c r="C26" s="51" t="e">
        <f>VLOOKUP($B26,#REF!,MATCH(C$2,#REF!,0),0)</f>
        <v>#REF!</v>
      </c>
      <c r="D26" s="136"/>
      <c r="E26" s="136"/>
      <c r="F26" s="136" t="e">
        <f>VLOOKUP($B26,#REF!,MATCH(F$2,#REF!,0),0)</f>
        <v>#REF!</v>
      </c>
      <c r="G26" s="137" t="e">
        <f>VLOOKUP($B26,#REF!,MATCH(G$2,#REF!,0),0)</f>
        <v>#REF!</v>
      </c>
      <c r="H26" s="48"/>
      <c r="I26" s="48"/>
      <c r="J26" s="48"/>
      <c r="K26" s="48"/>
      <c r="L26" s="48"/>
      <c r="M26" s="48">
        <v>44.79</v>
      </c>
      <c r="N26" s="48">
        <v>44.79</v>
      </c>
      <c r="O26" s="48">
        <v>44.79</v>
      </c>
      <c r="P26" s="48"/>
      <c r="Q26" s="48"/>
      <c r="R26" s="371" t="e">
        <f t="shared" si="22"/>
        <v>#REF!</v>
      </c>
      <c r="S26" s="371" t="e">
        <f t="shared" ref="S26:AA26" si="25">$G26*I26</f>
        <v>#REF!</v>
      </c>
      <c r="T26" s="371" t="e">
        <f t="shared" si="25"/>
        <v>#REF!</v>
      </c>
      <c r="U26" s="371" t="e">
        <f t="shared" si="25"/>
        <v>#REF!</v>
      </c>
      <c r="V26" s="371" t="e">
        <f t="shared" si="25"/>
        <v>#REF!</v>
      </c>
      <c r="W26" s="371" t="e">
        <f t="shared" si="25"/>
        <v>#REF!</v>
      </c>
      <c r="X26" s="371" t="e">
        <f t="shared" si="25"/>
        <v>#REF!</v>
      </c>
      <c r="Y26" s="371" t="e">
        <f t="shared" si="25"/>
        <v>#REF!</v>
      </c>
      <c r="Z26" s="371" t="e">
        <f t="shared" si="25"/>
        <v>#REF!</v>
      </c>
      <c r="AA26" s="371" t="e">
        <f t="shared" si="25"/>
        <v>#REF!</v>
      </c>
      <c r="AB26" s="50"/>
    </row>
    <row r="27" outlineLevel="2" spans="1:28">
      <c r="A27" s="52">
        <f>MAX($A$6:A26)+1</f>
        <v>18</v>
      </c>
      <c r="B27" s="51" t="s">
        <v>257</v>
      </c>
      <c r="C27" s="51" t="e">
        <f>VLOOKUP($B27,#REF!,MATCH(C$2,#REF!,0),0)</f>
        <v>#REF!</v>
      </c>
      <c r="D27" s="136"/>
      <c r="E27" s="136"/>
      <c r="F27" s="136" t="e">
        <f>VLOOKUP($B27,#REF!,MATCH(F$2,#REF!,0),0)</f>
        <v>#REF!</v>
      </c>
      <c r="G27" s="137" t="e">
        <f>VLOOKUP($B27,#REF!,MATCH(G$2,#REF!,0),0)</f>
        <v>#REF!</v>
      </c>
      <c r="H27" s="48"/>
      <c r="I27" s="48"/>
      <c r="J27" s="48"/>
      <c r="K27" s="48"/>
      <c r="L27" s="48"/>
      <c r="M27" s="48">
        <v>103.91</v>
      </c>
      <c r="N27" s="48">
        <v>103.91</v>
      </c>
      <c r="O27" s="48">
        <v>103.91</v>
      </c>
      <c r="P27" s="48"/>
      <c r="Q27" s="48"/>
      <c r="R27" s="371" t="e">
        <f t="shared" si="22"/>
        <v>#REF!</v>
      </c>
      <c r="S27" s="371" t="e">
        <f t="shared" ref="S27:AA27" si="26">$G27*I27</f>
        <v>#REF!</v>
      </c>
      <c r="T27" s="371" t="e">
        <f t="shared" si="26"/>
        <v>#REF!</v>
      </c>
      <c r="U27" s="371" t="e">
        <f t="shared" si="26"/>
        <v>#REF!</v>
      </c>
      <c r="V27" s="371" t="e">
        <f t="shared" si="26"/>
        <v>#REF!</v>
      </c>
      <c r="W27" s="371" t="e">
        <f t="shared" si="26"/>
        <v>#REF!</v>
      </c>
      <c r="X27" s="371" t="e">
        <f t="shared" si="26"/>
        <v>#REF!</v>
      </c>
      <c r="Y27" s="371" t="e">
        <f t="shared" si="26"/>
        <v>#REF!</v>
      </c>
      <c r="Z27" s="371" t="e">
        <f t="shared" si="26"/>
        <v>#REF!</v>
      </c>
      <c r="AA27" s="371" t="e">
        <f t="shared" si="26"/>
        <v>#REF!</v>
      </c>
      <c r="AB27" s="50"/>
    </row>
    <row r="28" ht="28.8" outlineLevel="2" spans="1:28">
      <c r="A28" s="52">
        <f>MAX($A$6:A27)+1</f>
        <v>19</v>
      </c>
      <c r="B28" s="51" t="s">
        <v>258</v>
      </c>
      <c r="C28" s="51" t="e">
        <f>VLOOKUP($B28,#REF!,MATCH(C$2,#REF!,0),0)</f>
        <v>#REF!</v>
      </c>
      <c r="D28" s="136"/>
      <c r="E28" s="136"/>
      <c r="F28" s="136" t="e">
        <f>VLOOKUP($B28,#REF!,MATCH(F$2,#REF!,0),0)</f>
        <v>#REF!</v>
      </c>
      <c r="G28" s="137" t="e">
        <f>VLOOKUP($B28,#REF!,MATCH(G$2,#REF!,0),0)</f>
        <v>#REF!</v>
      </c>
      <c r="H28" s="48">
        <v>773.68</v>
      </c>
      <c r="I28" s="48">
        <v>773.68</v>
      </c>
      <c r="J28" s="48">
        <v>497.13</v>
      </c>
      <c r="K28" s="48">
        <v>497.13</v>
      </c>
      <c r="L28" s="48">
        <v>321.1</v>
      </c>
      <c r="M28" s="48"/>
      <c r="N28" s="48"/>
      <c r="O28" s="48"/>
      <c r="P28" s="48">
        <v>6387</v>
      </c>
      <c r="Q28" s="48">
        <v>13123.88</v>
      </c>
      <c r="R28" s="371" t="e">
        <f t="shared" si="22"/>
        <v>#REF!</v>
      </c>
      <c r="S28" s="371" t="e">
        <f t="shared" ref="S28:AA28" si="27">$G28*I28</f>
        <v>#REF!</v>
      </c>
      <c r="T28" s="371" t="e">
        <f t="shared" si="27"/>
        <v>#REF!</v>
      </c>
      <c r="U28" s="371" t="e">
        <f t="shared" si="27"/>
        <v>#REF!</v>
      </c>
      <c r="V28" s="371" t="e">
        <f t="shared" si="27"/>
        <v>#REF!</v>
      </c>
      <c r="W28" s="371" t="e">
        <f t="shared" si="27"/>
        <v>#REF!</v>
      </c>
      <c r="X28" s="371" t="e">
        <f t="shared" si="27"/>
        <v>#REF!</v>
      </c>
      <c r="Y28" s="371" t="e">
        <f t="shared" si="27"/>
        <v>#REF!</v>
      </c>
      <c r="Z28" s="371" t="e">
        <f t="shared" si="27"/>
        <v>#REF!</v>
      </c>
      <c r="AA28" s="371" t="e">
        <f t="shared" si="27"/>
        <v>#REF!</v>
      </c>
      <c r="AB28" s="50"/>
    </row>
    <row r="29" outlineLevel="2" spans="1:28">
      <c r="A29" s="52">
        <f>MAX($A$6:A28)+1</f>
        <v>20</v>
      </c>
      <c r="B29" s="51" t="s">
        <v>259</v>
      </c>
      <c r="C29" s="51" t="e">
        <f>VLOOKUP($B29,#REF!,MATCH(C$2,#REF!,0),0)</f>
        <v>#REF!</v>
      </c>
      <c r="D29" s="136"/>
      <c r="E29" s="136"/>
      <c r="F29" s="136" t="e">
        <f>VLOOKUP($B29,#REF!,MATCH(F$2,#REF!,0),0)</f>
        <v>#REF!</v>
      </c>
      <c r="G29" s="137" t="e">
        <f>VLOOKUP($B29,#REF!,MATCH(G$2,#REF!,0),0)</f>
        <v>#REF!</v>
      </c>
      <c r="H29" s="48">
        <v>0.85</v>
      </c>
      <c r="I29" s="48">
        <v>0.85</v>
      </c>
      <c r="J29" s="48">
        <v>1</v>
      </c>
      <c r="K29" s="48">
        <v>1</v>
      </c>
      <c r="L29" s="48"/>
      <c r="M29" s="48"/>
      <c r="N29" s="48"/>
      <c r="O29" s="48"/>
      <c r="P29" s="48">
        <v>1</v>
      </c>
      <c r="Q29" s="48">
        <v>5.27</v>
      </c>
      <c r="R29" s="371" t="e">
        <f t="shared" si="22"/>
        <v>#REF!</v>
      </c>
      <c r="S29" s="371" t="e">
        <f t="shared" ref="S29:AA29" si="28">$G29*I29</f>
        <v>#REF!</v>
      </c>
      <c r="T29" s="371" t="e">
        <f t="shared" si="28"/>
        <v>#REF!</v>
      </c>
      <c r="U29" s="371" t="e">
        <f t="shared" si="28"/>
        <v>#REF!</v>
      </c>
      <c r="V29" s="371" t="e">
        <f t="shared" si="28"/>
        <v>#REF!</v>
      </c>
      <c r="W29" s="371" t="e">
        <f t="shared" si="28"/>
        <v>#REF!</v>
      </c>
      <c r="X29" s="371" t="e">
        <f t="shared" si="28"/>
        <v>#REF!</v>
      </c>
      <c r="Y29" s="371" t="e">
        <f t="shared" si="28"/>
        <v>#REF!</v>
      </c>
      <c r="Z29" s="371" t="e">
        <f t="shared" si="28"/>
        <v>#REF!</v>
      </c>
      <c r="AA29" s="371" t="e">
        <f t="shared" si="28"/>
        <v>#REF!</v>
      </c>
      <c r="AB29" s="50"/>
    </row>
    <row r="30" outlineLevel="2" spans="1:28">
      <c r="A30" s="52">
        <f>MAX($A$6:A29)+1</f>
        <v>21</v>
      </c>
      <c r="B30" s="51" t="s">
        <v>260</v>
      </c>
      <c r="C30" s="51" t="e">
        <f>VLOOKUP($B30,#REF!,MATCH(C$2,#REF!,0),0)</f>
        <v>#REF!</v>
      </c>
      <c r="D30" s="136"/>
      <c r="E30" s="136"/>
      <c r="F30" s="136" t="e">
        <f>VLOOKUP($B30,#REF!,MATCH(F$2,#REF!,0),0)</f>
        <v>#REF!</v>
      </c>
      <c r="G30" s="137" t="e">
        <f>VLOOKUP($B30,#REF!,MATCH(G$2,#REF!,0),0)</f>
        <v>#REF!</v>
      </c>
      <c r="H30" s="48">
        <v>70.31</v>
      </c>
      <c r="I30" s="48">
        <v>70.31</v>
      </c>
      <c r="J30" s="48">
        <v>18.3</v>
      </c>
      <c r="K30" s="48">
        <v>18.3</v>
      </c>
      <c r="L30" s="48">
        <v>18.6</v>
      </c>
      <c r="M30" s="48"/>
      <c r="N30" s="48"/>
      <c r="O30" s="48"/>
      <c r="P30" s="48">
        <v>1</v>
      </c>
      <c r="Q30" s="48">
        <v>15.2</v>
      </c>
      <c r="R30" s="371" t="e">
        <f t="shared" si="22"/>
        <v>#REF!</v>
      </c>
      <c r="S30" s="371" t="e">
        <f t="shared" ref="S30:AA30" si="29">$G30*I30</f>
        <v>#REF!</v>
      </c>
      <c r="T30" s="371" t="e">
        <f t="shared" si="29"/>
        <v>#REF!</v>
      </c>
      <c r="U30" s="371" t="e">
        <f t="shared" si="29"/>
        <v>#REF!</v>
      </c>
      <c r="V30" s="371" t="e">
        <f t="shared" si="29"/>
        <v>#REF!</v>
      </c>
      <c r="W30" s="371" t="e">
        <f t="shared" si="29"/>
        <v>#REF!</v>
      </c>
      <c r="X30" s="371" t="e">
        <f t="shared" si="29"/>
        <v>#REF!</v>
      </c>
      <c r="Y30" s="371" t="e">
        <f t="shared" si="29"/>
        <v>#REF!</v>
      </c>
      <c r="Z30" s="371" t="e">
        <f t="shared" si="29"/>
        <v>#REF!</v>
      </c>
      <c r="AA30" s="371" t="e">
        <f t="shared" si="29"/>
        <v>#REF!</v>
      </c>
      <c r="AB30" s="50"/>
    </row>
    <row r="31" outlineLevel="2" spans="1:28">
      <c r="A31" s="52">
        <f>MAX($A$6:A30)+1</f>
        <v>22</v>
      </c>
      <c r="B31" s="51" t="s">
        <v>261</v>
      </c>
      <c r="C31" s="51" t="e">
        <f>VLOOKUP($B31,#REF!,MATCH(C$2,#REF!,0),0)</f>
        <v>#REF!</v>
      </c>
      <c r="D31" s="136"/>
      <c r="E31" s="136"/>
      <c r="F31" s="136" t="e">
        <f>VLOOKUP($B31,#REF!,MATCH(F$2,#REF!,0),0)</f>
        <v>#REF!</v>
      </c>
      <c r="G31" s="137" t="e">
        <f>VLOOKUP($B31,#REF!,MATCH(G$2,#REF!,0),0)</f>
        <v>#REF!</v>
      </c>
      <c r="H31" s="48"/>
      <c r="I31" s="48"/>
      <c r="J31" s="48"/>
      <c r="K31" s="48"/>
      <c r="L31" s="48"/>
      <c r="M31" s="48"/>
      <c r="N31" s="48"/>
      <c r="O31" s="48"/>
      <c r="P31" s="48">
        <v>26</v>
      </c>
      <c r="Q31" s="48"/>
      <c r="R31" s="371" t="e">
        <f t="shared" si="22"/>
        <v>#REF!</v>
      </c>
      <c r="S31" s="371" t="e">
        <f t="shared" ref="S31:AA31" si="30">$G31*I31</f>
        <v>#REF!</v>
      </c>
      <c r="T31" s="371" t="e">
        <f t="shared" si="30"/>
        <v>#REF!</v>
      </c>
      <c r="U31" s="371" t="e">
        <f t="shared" si="30"/>
        <v>#REF!</v>
      </c>
      <c r="V31" s="371" t="e">
        <f t="shared" si="30"/>
        <v>#REF!</v>
      </c>
      <c r="W31" s="371" t="e">
        <f t="shared" si="30"/>
        <v>#REF!</v>
      </c>
      <c r="X31" s="371" t="e">
        <f t="shared" si="30"/>
        <v>#REF!</v>
      </c>
      <c r="Y31" s="371" t="e">
        <f t="shared" si="30"/>
        <v>#REF!</v>
      </c>
      <c r="Z31" s="371" t="e">
        <f t="shared" si="30"/>
        <v>#REF!</v>
      </c>
      <c r="AA31" s="371" t="e">
        <f t="shared" si="30"/>
        <v>#REF!</v>
      </c>
      <c r="AB31" s="50"/>
    </row>
    <row r="32" outlineLevel="2" spans="1:28">
      <c r="A32" s="52">
        <f>MAX($A$6:A31)+1</f>
        <v>23</v>
      </c>
      <c r="B32" s="51" t="s">
        <v>262</v>
      </c>
      <c r="C32" s="51" t="e">
        <f>VLOOKUP($B32,#REF!,MATCH(C$2,#REF!,0),0)</f>
        <v>#REF!</v>
      </c>
      <c r="D32" s="136"/>
      <c r="E32" s="136"/>
      <c r="F32" s="136" t="e">
        <f>VLOOKUP($B32,#REF!,MATCH(F$2,#REF!,0),0)</f>
        <v>#REF!</v>
      </c>
      <c r="G32" s="137" t="e">
        <f>VLOOKUP($B32,#REF!,MATCH(G$2,#REF!,0),0)</f>
        <v>#REF!</v>
      </c>
      <c r="H32" s="48"/>
      <c r="I32" s="48"/>
      <c r="J32" s="48"/>
      <c r="K32" s="48"/>
      <c r="L32" s="48"/>
      <c r="M32" s="48"/>
      <c r="N32" s="48"/>
      <c r="O32" s="48"/>
      <c r="P32" s="48">
        <v>264.6</v>
      </c>
      <c r="Q32" s="48">
        <v>593.46</v>
      </c>
      <c r="R32" s="371" t="e">
        <f t="shared" si="22"/>
        <v>#REF!</v>
      </c>
      <c r="S32" s="371" t="e">
        <f t="shared" ref="S32:AA32" si="31">$G32*I32</f>
        <v>#REF!</v>
      </c>
      <c r="T32" s="371" t="e">
        <f t="shared" si="31"/>
        <v>#REF!</v>
      </c>
      <c r="U32" s="371" t="e">
        <f t="shared" si="31"/>
        <v>#REF!</v>
      </c>
      <c r="V32" s="371" t="e">
        <f t="shared" si="31"/>
        <v>#REF!</v>
      </c>
      <c r="W32" s="371" t="e">
        <f t="shared" si="31"/>
        <v>#REF!</v>
      </c>
      <c r="X32" s="371" t="e">
        <f t="shared" si="31"/>
        <v>#REF!</v>
      </c>
      <c r="Y32" s="371" t="e">
        <f t="shared" si="31"/>
        <v>#REF!</v>
      </c>
      <c r="Z32" s="371" t="e">
        <f t="shared" si="31"/>
        <v>#REF!</v>
      </c>
      <c r="AA32" s="371" t="e">
        <f t="shared" si="31"/>
        <v>#REF!</v>
      </c>
      <c r="AB32" s="50"/>
    </row>
    <row r="33" outlineLevel="2" spans="1:28">
      <c r="A33" s="52">
        <f>MAX($A$6:A32)+1</f>
        <v>24</v>
      </c>
      <c r="B33" s="51" t="s">
        <v>263</v>
      </c>
      <c r="C33" s="51" t="e">
        <f>VLOOKUP($B33,#REF!,MATCH(C$2,#REF!,0),0)</f>
        <v>#REF!</v>
      </c>
      <c r="D33" s="136"/>
      <c r="E33" s="136"/>
      <c r="F33" s="136" t="e">
        <f>VLOOKUP($B33,#REF!,MATCH(F$2,#REF!,0),0)</f>
        <v>#REF!</v>
      </c>
      <c r="G33" s="137" t="e">
        <f>VLOOKUP($B33,#REF!,MATCH(G$2,#REF!,0),0)</f>
        <v>#REF!</v>
      </c>
      <c r="H33" s="48">
        <v>1</v>
      </c>
      <c r="I33" s="48">
        <v>1</v>
      </c>
      <c r="J33" s="48">
        <v>1</v>
      </c>
      <c r="K33" s="48">
        <v>1</v>
      </c>
      <c r="L33" s="48">
        <v>3.8</v>
      </c>
      <c r="M33" s="48"/>
      <c r="N33" s="48"/>
      <c r="O33" s="48"/>
      <c r="P33" s="48"/>
      <c r="Q33" s="48"/>
      <c r="R33" s="371" t="e">
        <f t="shared" si="22"/>
        <v>#REF!</v>
      </c>
      <c r="S33" s="371" t="e">
        <f t="shared" ref="S33:AA33" si="32">$G33*I33</f>
        <v>#REF!</v>
      </c>
      <c r="T33" s="371" t="e">
        <f t="shared" si="32"/>
        <v>#REF!</v>
      </c>
      <c r="U33" s="371" t="e">
        <f t="shared" si="32"/>
        <v>#REF!</v>
      </c>
      <c r="V33" s="371" t="e">
        <f t="shared" si="32"/>
        <v>#REF!</v>
      </c>
      <c r="W33" s="371" t="e">
        <f t="shared" si="32"/>
        <v>#REF!</v>
      </c>
      <c r="X33" s="371" t="e">
        <f t="shared" si="32"/>
        <v>#REF!</v>
      </c>
      <c r="Y33" s="371" t="e">
        <f t="shared" si="32"/>
        <v>#REF!</v>
      </c>
      <c r="Z33" s="371" t="e">
        <f t="shared" si="32"/>
        <v>#REF!</v>
      </c>
      <c r="AA33" s="371" t="e">
        <f t="shared" si="32"/>
        <v>#REF!</v>
      </c>
      <c r="AB33" s="50"/>
    </row>
    <row r="34" outlineLevel="2" spans="1:28">
      <c r="A34" s="52">
        <f>MAX($A$6:A33)+1</f>
        <v>25</v>
      </c>
      <c r="B34" s="51" t="s">
        <v>264</v>
      </c>
      <c r="C34" s="51" t="e">
        <f>VLOOKUP($B34,#REF!,MATCH(C$2,#REF!,0),0)</f>
        <v>#REF!</v>
      </c>
      <c r="D34" s="136"/>
      <c r="E34" s="136"/>
      <c r="F34" s="136" t="e">
        <f>VLOOKUP($B34,#REF!,MATCH(F$2,#REF!,0),0)</f>
        <v>#REF!</v>
      </c>
      <c r="G34" s="137" t="e">
        <f>VLOOKUP($B34,#REF!,MATCH(G$2,#REF!,0),0)</f>
        <v>#REF!</v>
      </c>
      <c r="H34" s="48"/>
      <c r="I34" s="48"/>
      <c r="J34" s="48"/>
      <c r="K34" s="48"/>
      <c r="L34" s="48"/>
      <c r="M34" s="48"/>
      <c r="N34" s="48"/>
      <c r="O34" s="48"/>
      <c r="P34" s="48">
        <v>46.01</v>
      </c>
      <c r="Q34" s="48">
        <v>88.51</v>
      </c>
      <c r="R34" s="371" t="e">
        <f t="shared" si="22"/>
        <v>#REF!</v>
      </c>
      <c r="S34" s="371" t="e">
        <f t="shared" ref="S34:AA34" si="33">$G34*I34</f>
        <v>#REF!</v>
      </c>
      <c r="T34" s="371" t="e">
        <f t="shared" si="33"/>
        <v>#REF!</v>
      </c>
      <c r="U34" s="371" t="e">
        <f t="shared" si="33"/>
        <v>#REF!</v>
      </c>
      <c r="V34" s="371" t="e">
        <f t="shared" si="33"/>
        <v>#REF!</v>
      </c>
      <c r="W34" s="371" t="e">
        <f t="shared" si="33"/>
        <v>#REF!</v>
      </c>
      <c r="X34" s="371" t="e">
        <f t="shared" si="33"/>
        <v>#REF!</v>
      </c>
      <c r="Y34" s="371" t="e">
        <f t="shared" si="33"/>
        <v>#REF!</v>
      </c>
      <c r="Z34" s="371" t="e">
        <f t="shared" si="33"/>
        <v>#REF!</v>
      </c>
      <c r="AA34" s="371" t="e">
        <f t="shared" si="33"/>
        <v>#REF!</v>
      </c>
      <c r="AB34" s="50"/>
    </row>
    <row r="35" outlineLevel="2" spans="1:28">
      <c r="A35" s="52">
        <f>MAX($A$6:A34)+1</f>
        <v>26</v>
      </c>
      <c r="B35" s="51" t="s">
        <v>265</v>
      </c>
      <c r="C35" s="51" t="e">
        <f>VLOOKUP($B35,#REF!,MATCH(C$2,#REF!,0),0)</f>
        <v>#REF!</v>
      </c>
      <c r="D35" s="136"/>
      <c r="E35" s="136"/>
      <c r="F35" s="136" t="e">
        <f>VLOOKUP($B35,#REF!,MATCH(F$2,#REF!,0),0)</f>
        <v>#REF!</v>
      </c>
      <c r="G35" s="137" t="e">
        <f>VLOOKUP($B35,#REF!,MATCH(G$2,#REF!,0),0)</f>
        <v>#REF!</v>
      </c>
      <c r="H35" s="48">
        <v>56.89</v>
      </c>
      <c r="I35" s="48">
        <v>56.89</v>
      </c>
      <c r="J35" s="48">
        <v>40.87</v>
      </c>
      <c r="K35" s="48">
        <v>40.87</v>
      </c>
      <c r="L35" s="48">
        <v>25.23</v>
      </c>
      <c r="M35" s="48"/>
      <c r="N35" s="48"/>
      <c r="O35" s="48"/>
      <c r="P35" s="48">
        <v>1</v>
      </c>
      <c r="Q35" s="48">
        <v>57.19</v>
      </c>
      <c r="R35" s="371" t="e">
        <f t="shared" si="22"/>
        <v>#REF!</v>
      </c>
      <c r="S35" s="371" t="e">
        <f t="shared" ref="S35:AA35" si="34">$G35*I35</f>
        <v>#REF!</v>
      </c>
      <c r="T35" s="371" t="e">
        <f t="shared" si="34"/>
        <v>#REF!</v>
      </c>
      <c r="U35" s="371" t="e">
        <f t="shared" si="34"/>
        <v>#REF!</v>
      </c>
      <c r="V35" s="371" t="e">
        <f t="shared" si="34"/>
        <v>#REF!</v>
      </c>
      <c r="W35" s="371" t="e">
        <f t="shared" si="34"/>
        <v>#REF!</v>
      </c>
      <c r="X35" s="371" t="e">
        <f t="shared" si="34"/>
        <v>#REF!</v>
      </c>
      <c r="Y35" s="371" t="e">
        <f t="shared" si="34"/>
        <v>#REF!</v>
      </c>
      <c r="Z35" s="371" t="e">
        <f t="shared" si="34"/>
        <v>#REF!</v>
      </c>
      <c r="AA35" s="371" t="e">
        <f t="shared" si="34"/>
        <v>#REF!</v>
      </c>
      <c r="AB35" s="50"/>
    </row>
    <row r="36" outlineLevel="2" spans="1:28">
      <c r="A36" s="52">
        <f>MAX($A$6:A35)+1</f>
        <v>27</v>
      </c>
      <c r="B36" s="51" t="s">
        <v>266</v>
      </c>
      <c r="C36" s="51" t="e">
        <f>VLOOKUP($B36,#REF!,MATCH(C$2,#REF!,0),0)</f>
        <v>#REF!</v>
      </c>
      <c r="D36" s="136"/>
      <c r="E36" s="136"/>
      <c r="F36" s="136" t="e">
        <f>VLOOKUP($B36,#REF!,MATCH(F$2,#REF!,0),0)</f>
        <v>#REF!</v>
      </c>
      <c r="G36" s="137" t="e">
        <f>VLOOKUP($B36,#REF!,MATCH(G$2,#REF!,0),0)</f>
        <v>#REF!</v>
      </c>
      <c r="H36" s="48"/>
      <c r="I36" s="48"/>
      <c r="J36" s="48"/>
      <c r="K36" s="48"/>
      <c r="L36" s="48"/>
      <c r="M36" s="48"/>
      <c r="N36" s="48"/>
      <c r="O36" s="48"/>
      <c r="P36" s="48">
        <v>37.6</v>
      </c>
      <c r="Q36" s="48"/>
      <c r="R36" s="371" t="e">
        <f t="shared" si="22"/>
        <v>#REF!</v>
      </c>
      <c r="S36" s="371" t="e">
        <f t="shared" ref="S36:AA36" si="35">$G36*I36</f>
        <v>#REF!</v>
      </c>
      <c r="T36" s="371" t="e">
        <f t="shared" si="35"/>
        <v>#REF!</v>
      </c>
      <c r="U36" s="371" t="e">
        <f t="shared" si="35"/>
        <v>#REF!</v>
      </c>
      <c r="V36" s="371" t="e">
        <f t="shared" si="35"/>
        <v>#REF!</v>
      </c>
      <c r="W36" s="371" t="e">
        <f t="shared" si="35"/>
        <v>#REF!</v>
      </c>
      <c r="X36" s="371" t="e">
        <f t="shared" si="35"/>
        <v>#REF!</v>
      </c>
      <c r="Y36" s="371" t="e">
        <f t="shared" si="35"/>
        <v>#REF!</v>
      </c>
      <c r="Z36" s="371" t="e">
        <f t="shared" si="35"/>
        <v>#REF!</v>
      </c>
      <c r="AA36" s="371" t="e">
        <f t="shared" si="35"/>
        <v>#REF!</v>
      </c>
      <c r="AB36" s="50"/>
    </row>
    <row r="37" outlineLevel="2" spans="1:28">
      <c r="A37" s="52">
        <f>MAX($A$6:A36)+1</f>
        <v>28</v>
      </c>
      <c r="B37" s="51" t="s">
        <v>267</v>
      </c>
      <c r="C37" s="51" t="e">
        <f>VLOOKUP($B37,#REF!,MATCH(C$2,#REF!,0),0)</f>
        <v>#REF!</v>
      </c>
      <c r="D37" s="136"/>
      <c r="E37" s="136"/>
      <c r="F37" s="136" t="e">
        <f>VLOOKUP($B37,#REF!,MATCH(F$2,#REF!,0),0)</f>
        <v>#REF!</v>
      </c>
      <c r="G37" s="137" t="e">
        <f>VLOOKUP($B37,#REF!,MATCH(G$2,#REF!,0),0)</f>
        <v>#REF!</v>
      </c>
      <c r="H37" s="48">
        <v>1</v>
      </c>
      <c r="I37" s="48">
        <v>1</v>
      </c>
      <c r="J37" s="48">
        <v>1</v>
      </c>
      <c r="K37" s="48">
        <v>1</v>
      </c>
      <c r="L37" s="48"/>
      <c r="M37" s="48"/>
      <c r="N37" s="48"/>
      <c r="O37" s="48"/>
      <c r="P37" s="48"/>
      <c r="Q37" s="48"/>
      <c r="R37" s="371" t="e">
        <f t="shared" si="22"/>
        <v>#REF!</v>
      </c>
      <c r="S37" s="371" t="e">
        <f t="shared" ref="S37:AA37" si="36">$G37*I37</f>
        <v>#REF!</v>
      </c>
      <c r="T37" s="371" t="e">
        <f t="shared" si="36"/>
        <v>#REF!</v>
      </c>
      <c r="U37" s="371" t="e">
        <f t="shared" si="36"/>
        <v>#REF!</v>
      </c>
      <c r="V37" s="371" t="e">
        <f t="shared" si="36"/>
        <v>#REF!</v>
      </c>
      <c r="W37" s="371" t="e">
        <f t="shared" si="36"/>
        <v>#REF!</v>
      </c>
      <c r="X37" s="371" t="e">
        <f t="shared" si="36"/>
        <v>#REF!</v>
      </c>
      <c r="Y37" s="371" t="e">
        <f t="shared" si="36"/>
        <v>#REF!</v>
      </c>
      <c r="Z37" s="371" t="e">
        <f t="shared" si="36"/>
        <v>#REF!</v>
      </c>
      <c r="AA37" s="371" t="e">
        <f t="shared" si="36"/>
        <v>#REF!</v>
      </c>
      <c r="AB37" s="50"/>
    </row>
    <row r="38" outlineLevel="2" spans="1:28">
      <c r="A38" s="52">
        <f>MAX($A$6:A37)+1</f>
        <v>29</v>
      </c>
      <c r="B38" s="51" t="s">
        <v>268</v>
      </c>
      <c r="C38" s="51" t="e">
        <f>VLOOKUP($B38,#REF!,MATCH(C$2,#REF!,0),0)</f>
        <v>#REF!</v>
      </c>
      <c r="D38" s="136"/>
      <c r="E38" s="136"/>
      <c r="F38" s="136" t="e">
        <f>VLOOKUP($B38,#REF!,MATCH(F$2,#REF!,0),0)</f>
        <v>#REF!</v>
      </c>
      <c r="G38" s="137" t="e">
        <f>VLOOKUP($B38,#REF!,MATCH(G$2,#REF!,0),0)</f>
        <v>#REF!</v>
      </c>
      <c r="H38" s="48"/>
      <c r="I38" s="48"/>
      <c r="J38" s="48"/>
      <c r="K38" s="48"/>
      <c r="L38" s="48"/>
      <c r="M38" s="48"/>
      <c r="N38" s="48"/>
      <c r="O38" s="48"/>
      <c r="P38" s="48">
        <v>265.32</v>
      </c>
      <c r="Q38" s="48">
        <v>820.97</v>
      </c>
      <c r="R38" s="371" t="e">
        <f t="shared" si="22"/>
        <v>#REF!</v>
      </c>
      <c r="S38" s="371" t="e">
        <f t="shared" ref="S38:AA38" si="37">$G38*I38</f>
        <v>#REF!</v>
      </c>
      <c r="T38" s="371" t="e">
        <f t="shared" si="37"/>
        <v>#REF!</v>
      </c>
      <c r="U38" s="371" t="e">
        <f t="shared" si="37"/>
        <v>#REF!</v>
      </c>
      <c r="V38" s="371" t="e">
        <f t="shared" si="37"/>
        <v>#REF!</v>
      </c>
      <c r="W38" s="371" t="e">
        <f t="shared" si="37"/>
        <v>#REF!</v>
      </c>
      <c r="X38" s="371" t="e">
        <f t="shared" si="37"/>
        <v>#REF!</v>
      </c>
      <c r="Y38" s="371" t="e">
        <f t="shared" si="37"/>
        <v>#REF!</v>
      </c>
      <c r="Z38" s="371" t="e">
        <f t="shared" si="37"/>
        <v>#REF!</v>
      </c>
      <c r="AA38" s="371" t="e">
        <f t="shared" si="37"/>
        <v>#REF!</v>
      </c>
      <c r="AB38" s="50"/>
    </row>
    <row r="39" outlineLevel="2" spans="1:28">
      <c r="A39" s="52">
        <f>MAX($A$6:A38)+1</f>
        <v>30</v>
      </c>
      <c r="B39" s="51" t="s">
        <v>269</v>
      </c>
      <c r="C39" s="51" t="e">
        <f>VLOOKUP($B39,#REF!,MATCH(C$2,#REF!,0),0)</f>
        <v>#REF!</v>
      </c>
      <c r="D39" s="136"/>
      <c r="E39" s="136"/>
      <c r="F39" s="136" t="e">
        <f>VLOOKUP($B39,#REF!,MATCH(F$2,#REF!,0),0)</f>
        <v>#REF!</v>
      </c>
      <c r="G39" s="137" t="e">
        <f>VLOOKUP($B39,#REF!,MATCH(G$2,#REF!,0),0)</f>
        <v>#REF!</v>
      </c>
      <c r="H39" s="48">
        <v>92.72</v>
      </c>
      <c r="I39" s="48">
        <v>92.72</v>
      </c>
      <c r="J39" s="48">
        <v>141.12</v>
      </c>
      <c r="K39" s="48">
        <v>141.12</v>
      </c>
      <c r="L39" s="48">
        <v>11.8</v>
      </c>
      <c r="M39" s="48"/>
      <c r="N39" s="48"/>
      <c r="O39" s="48"/>
      <c r="P39" s="48">
        <v>1</v>
      </c>
      <c r="Q39" s="48">
        <v>35.33</v>
      </c>
      <c r="R39" s="371" t="e">
        <f t="shared" si="22"/>
        <v>#REF!</v>
      </c>
      <c r="S39" s="371" t="e">
        <f t="shared" ref="S39:AA39" si="38">$G39*I39</f>
        <v>#REF!</v>
      </c>
      <c r="T39" s="371" t="e">
        <f t="shared" si="38"/>
        <v>#REF!</v>
      </c>
      <c r="U39" s="371" t="e">
        <f t="shared" si="38"/>
        <v>#REF!</v>
      </c>
      <c r="V39" s="371" t="e">
        <f t="shared" si="38"/>
        <v>#REF!</v>
      </c>
      <c r="W39" s="371" t="e">
        <f t="shared" si="38"/>
        <v>#REF!</v>
      </c>
      <c r="X39" s="371" t="e">
        <f t="shared" si="38"/>
        <v>#REF!</v>
      </c>
      <c r="Y39" s="371" t="e">
        <f t="shared" si="38"/>
        <v>#REF!</v>
      </c>
      <c r="Z39" s="371" t="e">
        <f t="shared" si="38"/>
        <v>#REF!</v>
      </c>
      <c r="AA39" s="371" t="e">
        <f t="shared" si="38"/>
        <v>#REF!</v>
      </c>
      <c r="AB39" s="50"/>
    </row>
    <row r="40" outlineLevel="2" spans="1:28">
      <c r="A40" s="52">
        <f>MAX($A$6:A39)+1</f>
        <v>31</v>
      </c>
      <c r="B40" s="51" t="s">
        <v>270</v>
      </c>
      <c r="C40" s="51" t="e">
        <f>VLOOKUP($B40,#REF!,MATCH(C$2,#REF!,0),0)</f>
        <v>#REF!</v>
      </c>
      <c r="D40" s="136"/>
      <c r="E40" s="136"/>
      <c r="F40" s="136" t="e">
        <f>VLOOKUP($B40,#REF!,MATCH(F$2,#REF!,0),0)</f>
        <v>#REF!</v>
      </c>
      <c r="G40" s="137" t="e">
        <f>VLOOKUP($B40,#REF!,MATCH(G$2,#REF!,0),0)</f>
        <v>#REF!</v>
      </c>
      <c r="H40" s="48">
        <v>246.3</v>
      </c>
      <c r="I40" s="48">
        <v>246.3</v>
      </c>
      <c r="J40" s="48">
        <v>150.66</v>
      </c>
      <c r="K40" s="48">
        <v>150.66</v>
      </c>
      <c r="L40" s="48">
        <v>153.9</v>
      </c>
      <c r="M40" s="48"/>
      <c r="N40" s="48"/>
      <c r="O40" s="48"/>
      <c r="P40" s="48"/>
      <c r="Q40" s="48"/>
      <c r="R40" s="371" t="e">
        <f t="shared" si="22"/>
        <v>#REF!</v>
      </c>
      <c r="S40" s="371" t="e">
        <f t="shared" ref="S40:AA40" si="39">$G40*I40</f>
        <v>#REF!</v>
      </c>
      <c r="T40" s="371" t="e">
        <f t="shared" si="39"/>
        <v>#REF!</v>
      </c>
      <c r="U40" s="371" t="e">
        <f t="shared" si="39"/>
        <v>#REF!</v>
      </c>
      <c r="V40" s="371" t="e">
        <f t="shared" si="39"/>
        <v>#REF!</v>
      </c>
      <c r="W40" s="371" t="e">
        <f t="shared" si="39"/>
        <v>#REF!</v>
      </c>
      <c r="X40" s="371" t="e">
        <f t="shared" si="39"/>
        <v>#REF!</v>
      </c>
      <c r="Y40" s="371" t="e">
        <f t="shared" si="39"/>
        <v>#REF!</v>
      </c>
      <c r="Z40" s="371" t="e">
        <f t="shared" si="39"/>
        <v>#REF!</v>
      </c>
      <c r="AA40" s="371" t="e">
        <f t="shared" si="39"/>
        <v>#REF!</v>
      </c>
      <c r="AB40" s="50"/>
    </row>
    <row r="41" outlineLevel="2" spans="1:28">
      <c r="A41" s="52">
        <f>MAX($A$6:A40)+1</f>
        <v>32</v>
      </c>
      <c r="B41" s="51" t="s">
        <v>271</v>
      </c>
      <c r="C41" s="51" t="e">
        <f>VLOOKUP($B41,#REF!,MATCH(C$2,#REF!,0),0)</f>
        <v>#REF!</v>
      </c>
      <c r="D41" s="136"/>
      <c r="E41" s="136"/>
      <c r="F41" s="136" t="e">
        <f>VLOOKUP($B41,#REF!,MATCH(F$2,#REF!,0),0)</f>
        <v>#REF!</v>
      </c>
      <c r="G41" s="137" t="e">
        <f>VLOOKUP($B41,#REF!,MATCH(G$2,#REF!,0),0)</f>
        <v>#REF!</v>
      </c>
      <c r="H41" s="48">
        <v>18.6</v>
      </c>
      <c r="I41" s="48">
        <v>18.6</v>
      </c>
      <c r="J41" s="48">
        <v>12.83</v>
      </c>
      <c r="K41" s="48">
        <v>12.83</v>
      </c>
      <c r="L41" s="48">
        <v>6.76</v>
      </c>
      <c r="M41" s="48"/>
      <c r="N41" s="48"/>
      <c r="O41" s="48"/>
      <c r="P41" s="48"/>
      <c r="Q41" s="48"/>
      <c r="R41" s="371" t="e">
        <f t="shared" si="22"/>
        <v>#REF!</v>
      </c>
      <c r="S41" s="371" t="e">
        <f t="shared" ref="S41:AA41" si="40">$G41*I41</f>
        <v>#REF!</v>
      </c>
      <c r="T41" s="371" t="e">
        <f t="shared" si="40"/>
        <v>#REF!</v>
      </c>
      <c r="U41" s="371" t="e">
        <f t="shared" si="40"/>
        <v>#REF!</v>
      </c>
      <c r="V41" s="371" t="e">
        <f t="shared" si="40"/>
        <v>#REF!</v>
      </c>
      <c r="W41" s="371" t="e">
        <f t="shared" si="40"/>
        <v>#REF!</v>
      </c>
      <c r="X41" s="371" t="e">
        <f t="shared" si="40"/>
        <v>#REF!</v>
      </c>
      <c r="Y41" s="371" t="e">
        <f t="shared" si="40"/>
        <v>#REF!</v>
      </c>
      <c r="Z41" s="371" t="e">
        <f t="shared" si="40"/>
        <v>#REF!</v>
      </c>
      <c r="AA41" s="371" t="e">
        <f t="shared" si="40"/>
        <v>#REF!</v>
      </c>
      <c r="AB41" s="50"/>
    </row>
    <row r="42" ht="28.8" outlineLevel="2" spans="1:28">
      <c r="A42" s="52">
        <f>MAX($A$6:A41)+1</f>
        <v>33</v>
      </c>
      <c r="B42" s="51" t="s">
        <v>272</v>
      </c>
      <c r="C42" s="51" t="e">
        <f>VLOOKUP($B42,#REF!,MATCH(C$2,#REF!,0),0)</f>
        <v>#REF!</v>
      </c>
      <c r="D42" s="136"/>
      <c r="E42" s="136"/>
      <c r="F42" s="136" t="e">
        <f>VLOOKUP($B42,#REF!,MATCH(F$2,#REF!,0),0)</f>
        <v>#REF!</v>
      </c>
      <c r="G42" s="137" t="e">
        <f>VLOOKUP($B42,#REF!,MATCH(G$2,#REF!,0),0)</f>
        <v>#REF!</v>
      </c>
      <c r="H42" s="48"/>
      <c r="I42" s="48"/>
      <c r="J42" s="48"/>
      <c r="K42" s="48"/>
      <c r="L42" s="48"/>
      <c r="M42" s="48"/>
      <c r="N42" s="48"/>
      <c r="O42" s="48"/>
      <c r="P42" s="48">
        <v>1.49</v>
      </c>
      <c r="Q42" s="48"/>
      <c r="R42" s="371" t="e">
        <f t="shared" si="22"/>
        <v>#REF!</v>
      </c>
      <c r="S42" s="371" t="e">
        <f t="shared" ref="S42:AA42" si="41">$G42*I42</f>
        <v>#REF!</v>
      </c>
      <c r="T42" s="371" t="e">
        <f t="shared" si="41"/>
        <v>#REF!</v>
      </c>
      <c r="U42" s="371" t="e">
        <f t="shared" si="41"/>
        <v>#REF!</v>
      </c>
      <c r="V42" s="371" t="e">
        <f t="shared" si="41"/>
        <v>#REF!</v>
      </c>
      <c r="W42" s="371" t="e">
        <f t="shared" si="41"/>
        <v>#REF!</v>
      </c>
      <c r="X42" s="371" t="e">
        <f t="shared" si="41"/>
        <v>#REF!</v>
      </c>
      <c r="Y42" s="371" t="e">
        <f t="shared" si="41"/>
        <v>#REF!</v>
      </c>
      <c r="Z42" s="371" t="e">
        <f t="shared" si="41"/>
        <v>#REF!</v>
      </c>
      <c r="AA42" s="371" t="e">
        <f t="shared" si="41"/>
        <v>#REF!</v>
      </c>
      <c r="AB42" s="50"/>
    </row>
    <row r="43" outlineLevel="2" spans="1:28">
      <c r="A43" s="52">
        <f>MAX($A$6:A42)+1</f>
        <v>34</v>
      </c>
      <c r="B43" s="51" t="s">
        <v>273</v>
      </c>
      <c r="C43" s="51" t="e">
        <f>VLOOKUP($B43,#REF!,MATCH(C$2,#REF!,0),0)</f>
        <v>#REF!</v>
      </c>
      <c r="D43" s="136"/>
      <c r="E43" s="136"/>
      <c r="F43" s="136" t="e">
        <f>VLOOKUP($B43,#REF!,MATCH(F$2,#REF!,0),0)</f>
        <v>#REF!</v>
      </c>
      <c r="G43" s="137" t="e">
        <f>VLOOKUP($B43,#REF!,MATCH(G$2,#REF!,0),0)</f>
        <v>#REF!</v>
      </c>
      <c r="H43" s="48"/>
      <c r="I43" s="48"/>
      <c r="J43" s="48"/>
      <c r="K43" s="48"/>
      <c r="L43" s="48"/>
      <c r="M43" s="48"/>
      <c r="N43" s="48"/>
      <c r="O43" s="48"/>
      <c r="P43" s="48">
        <v>1</v>
      </c>
      <c r="Q43" s="48">
        <v>25.8</v>
      </c>
      <c r="R43" s="371" t="e">
        <f t="shared" si="22"/>
        <v>#REF!</v>
      </c>
      <c r="S43" s="371" t="e">
        <f t="shared" ref="S43:AA43" si="42">$G43*I43</f>
        <v>#REF!</v>
      </c>
      <c r="T43" s="371" t="e">
        <f t="shared" si="42"/>
        <v>#REF!</v>
      </c>
      <c r="U43" s="371" t="e">
        <f t="shared" si="42"/>
        <v>#REF!</v>
      </c>
      <c r="V43" s="371" t="e">
        <f t="shared" si="42"/>
        <v>#REF!</v>
      </c>
      <c r="W43" s="371" t="e">
        <f t="shared" si="42"/>
        <v>#REF!</v>
      </c>
      <c r="X43" s="371" t="e">
        <f t="shared" si="42"/>
        <v>#REF!</v>
      </c>
      <c r="Y43" s="371" t="e">
        <f t="shared" si="42"/>
        <v>#REF!</v>
      </c>
      <c r="Z43" s="371" t="e">
        <f t="shared" si="42"/>
        <v>#REF!</v>
      </c>
      <c r="AA43" s="371" t="e">
        <f t="shared" si="42"/>
        <v>#REF!</v>
      </c>
      <c r="AB43" s="50"/>
    </row>
    <row r="44" outlineLevel="2" spans="1:28">
      <c r="A44" s="52">
        <f>MAX($A$6:A43)+1</f>
        <v>35</v>
      </c>
      <c r="B44" s="51" t="s">
        <v>274</v>
      </c>
      <c r="C44" s="51" t="e">
        <f>VLOOKUP($B44,#REF!,MATCH(C$2,#REF!,0),0)</f>
        <v>#REF!</v>
      </c>
      <c r="D44" s="136"/>
      <c r="E44" s="136"/>
      <c r="F44" s="136" t="e">
        <f>VLOOKUP($B44,#REF!,MATCH(F$2,#REF!,0),0)</f>
        <v>#REF!</v>
      </c>
      <c r="G44" s="137" t="e">
        <f>VLOOKUP($B44,#REF!,MATCH(G$2,#REF!,0),0)</f>
        <v>#REF!</v>
      </c>
      <c r="H44" s="48">
        <v>1</v>
      </c>
      <c r="I44" s="48">
        <v>1</v>
      </c>
      <c r="J44" s="48">
        <v>1</v>
      </c>
      <c r="K44" s="48">
        <v>1</v>
      </c>
      <c r="L44" s="48"/>
      <c r="M44" s="48"/>
      <c r="N44" s="48"/>
      <c r="O44" s="48"/>
      <c r="P44" s="48"/>
      <c r="Q44" s="48"/>
      <c r="R44" s="371" t="e">
        <f t="shared" si="22"/>
        <v>#REF!</v>
      </c>
      <c r="S44" s="371" t="e">
        <f t="shared" ref="S44:AA44" si="43">$G44*I44</f>
        <v>#REF!</v>
      </c>
      <c r="T44" s="371" t="e">
        <f t="shared" si="43"/>
        <v>#REF!</v>
      </c>
      <c r="U44" s="371" t="e">
        <f t="shared" si="43"/>
        <v>#REF!</v>
      </c>
      <c r="V44" s="371" t="e">
        <f t="shared" si="43"/>
        <v>#REF!</v>
      </c>
      <c r="W44" s="371" t="e">
        <f t="shared" si="43"/>
        <v>#REF!</v>
      </c>
      <c r="X44" s="371" t="e">
        <f t="shared" si="43"/>
        <v>#REF!</v>
      </c>
      <c r="Y44" s="371" t="e">
        <f t="shared" si="43"/>
        <v>#REF!</v>
      </c>
      <c r="Z44" s="371" t="e">
        <f t="shared" si="43"/>
        <v>#REF!</v>
      </c>
      <c r="AA44" s="371" t="e">
        <f t="shared" si="43"/>
        <v>#REF!</v>
      </c>
      <c r="AB44" s="50"/>
    </row>
    <row r="45" outlineLevel="2" spans="1:28">
      <c r="A45" s="52">
        <f>MAX($A$6:A44)+1</f>
        <v>36</v>
      </c>
      <c r="B45" s="51" t="s">
        <v>275</v>
      </c>
      <c r="C45" s="51" t="e">
        <f>VLOOKUP($B45,#REF!,MATCH(C$2,#REF!,0),0)</f>
        <v>#REF!</v>
      </c>
      <c r="D45" s="136"/>
      <c r="E45" s="136"/>
      <c r="F45" s="136" t="e">
        <f>VLOOKUP($B45,#REF!,MATCH(F$2,#REF!,0),0)</f>
        <v>#REF!</v>
      </c>
      <c r="G45" s="137" t="e">
        <f>VLOOKUP($B45,#REF!,MATCH(G$2,#REF!,0),0)</f>
        <v>#REF!</v>
      </c>
      <c r="H45" s="48">
        <v>98.13</v>
      </c>
      <c r="I45" s="48">
        <v>98.13</v>
      </c>
      <c r="J45" s="48">
        <v>86.12</v>
      </c>
      <c r="K45" s="48">
        <v>86.12</v>
      </c>
      <c r="L45" s="48">
        <v>66.4</v>
      </c>
      <c r="M45" s="48"/>
      <c r="N45" s="48"/>
      <c r="O45" s="48"/>
      <c r="P45" s="48">
        <v>3.73</v>
      </c>
      <c r="Q45" s="48">
        <v>76.45</v>
      </c>
      <c r="R45" s="371" t="e">
        <f t="shared" si="22"/>
        <v>#REF!</v>
      </c>
      <c r="S45" s="371" t="e">
        <f t="shared" ref="S45:AA45" si="44">$G45*I45</f>
        <v>#REF!</v>
      </c>
      <c r="T45" s="371" t="e">
        <f t="shared" si="44"/>
        <v>#REF!</v>
      </c>
      <c r="U45" s="371" t="e">
        <f t="shared" si="44"/>
        <v>#REF!</v>
      </c>
      <c r="V45" s="371" t="e">
        <f t="shared" si="44"/>
        <v>#REF!</v>
      </c>
      <c r="W45" s="371" t="e">
        <f t="shared" si="44"/>
        <v>#REF!</v>
      </c>
      <c r="X45" s="371" t="e">
        <f t="shared" si="44"/>
        <v>#REF!</v>
      </c>
      <c r="Y45" s="371" t="e">
        <f t="shared" si="44"/>
        <v>#REF!</v>
      </c>
      <c r="Z45" s="371" t="e">
        <f t="shared" si="44"/>
        <v>#REF!</v>
      </c>
      <c r="AA45" s="371" t="e">
        <f t="shared" si="44"/>
        <v>#REF!</v>
      </c>
      <c r="AB45" s="50"/>
    </row>
    <row r="46" ht="28.8" outlineLevel="2" spans="1:28">
      <c r="A46" s="52">
        <f>MAX($A$6:A45)+1</f>
        <v>37</v>
      </c>
      <c r="B46" s="51" t="s">
        <v>276</v>
      </c>
      <c r="C46" s="51" t="e">
        <f>VLOOKUP($B46,#REF!,MATCH(C$2,#REF!,0),0)</f>
        <v>#REF!</v>
      </c>
      <c r="D46" s="136"/>
      <c r="E46" s="136"/>
      <c r="F46" s="136" t="e">
        <f>VLOOKUP($B46,#REF!,MATCH(F$2,#REF!,0),0)</f>
        <v>#REF!</v>
      </c>
      <c r="G46" s="137" t="e">
        <f>VLOOKUP($B46,#REF!,MATCH(G$2,#REF!,0),0)</f>
        <v>#REF!</v>
      </c>
      <c r="H46" s="48">
        <v>1.15</v>
      </c>
      <c r="I46" s="48">
        <v>1.15</v>
      </c>
      <c r="J46" s="48">
        <v>1</v>
      </c>
      <c r="K46" s="48">
        <v>1</v>
      </c>
      <c r="L46" s="48"/>
      <c r="M46" s="48"/>
      <c r="N46" s="48"/>
      <c r="O46" s="48"/>
      <c r="P46" s="48"/>
      <c r="Q46" s="48"/>
      <c r="R46" s="371" t="e">
        <f t="shared" si="22"/>
        <v>#REF!</v>
      </c>
      <c r="S46" s="371" t="e">
        <f t="shared" ref="S46:AA46" si="45">$G46*I46</f>
        <v>#REF!</v>
      </c>
      <c r="T46" s="371" t="e">
        <f t="shared" si="45"/>
        <v>#REF!</v>
      </c>
      <c r="U46" s="371" t="e">
        <f t="shared" si="45"/>
        <v>#REF!</v>
      </c>
      <c r="V46" s="371" t="e">
        <f t="shared" si="45"/>
        <v>#REF!</v>
      </c>
      <c r="W46" s="371" t="e">
        <f t="shared" si="45"/>
        <v>#REF!</v>
      </c>
      <c r="X46" s="371" t="e">
        <f t="shared" si="45"/>
        <v>#REF!</v>
      </c>
      <c r="Y46" s="371" t="e">
        <f t="shared" si="45"/>
        <v>#REF!</v>
      </c>
      <c r="Z46" s="371" t="e">
        <f t="shared" si="45"/>
        <v>#REF!</v>
      </c>
      <c r="AA46" s="371" t="e">
        <f t="shared" si="45"/>
        <v>#REF!</v>
      </c>
      <c r="AB46" s="50"/>
    </row>
    <row r="47" outlineLevel="2" spans="1:28">
      <c r="A47" s="52">
        <f>MAX($A$6:A46)+1</f>
        <v>38</v>
      </c>
      <c r="B47" s="51" t="s">
        <v>277</v>
      </c>
      <c r="C47" s="51" t="e">
        <f>VLOOKUP($B47,#REF!,MATCH(C$2,#REF!,0),0)</f>
        <v>#REF!</v>
      </c>
      <c r="D47" s="136"/>
      <c r="E47" s="136"/>
      <c r="F47" s="136" t="e">
        <f>VLOOKUP($B47,#REF!,MATCH(F$2,#REF!,0),0)</f>
        <v>#REF!</v>
      </c>
      <c r="G47" s="137" t="e">
        <f>VLOOKUP($B47,#REF!,MATCH(G$2,#REF!,0),0)</f>
        <v>#REF!</v>
      </c>
      <c r="H47" s="48"/>
      <c r="I47" s="48"/>
      <c r="J47" s="48"/>
      <c r="K47" s="48"/>
      <c r="L47" s="48"/>
      <c r="M47" s="48"/>
      <c r="N47" s="48"/>
      <c r="O47" s="48"/>
      <c r="P47" s="48">
        <v>887.44</v>
      </c>
      <c r="Q47" s="48">
        <v>184.56</v>
      </c>
      <c r="R47" s="371" t="e">
        <f t="shared" si="22"/>
        <v>#REF!</v>
      </c>
      <c r="S47" s="371" t="e">
        <f t="shared" ref="S47:AA47" si="46">$G47*I47</f>
        <v>#REF!</v>
      </c>
      <c r="T47" s="371" t="e">
        <f t="shared" si="46"/>
        <v>#REF!</v>
      </c>
      <c r="U47" s="371" t="e">
        <f t="shared" si="46"/>
        <v>#REF!</v>
      </c>
      <c r="V47" s="371" t="e">
        <f t="shared" si="46"/>
        <v>#REF!</v>
      </c>
      <c r="W47" s="371" t="e">
        <f t="shared" si="46"/>
        <v>#REF!</v>
      </c>
      <c r="X47" s="371" t="e">
        <f t="shared" si="46"/>
        <v>#REF!</v>
      </c>
      <c r="Y47" s="371" t="e">
        <f t="shared" si="46"/>
        <v>#REF!</v>
      </c>
      <c r="Z47" s="371" t="e">
        <f t="shared" si="46"/>
        <v>#REF!</v>
      </c>
      <c r="AA47" s="371" t="e">
        <f t="shared" si="46"/>
        <v>#REF!</v>
      </c>
      <c r="AB47" s="50"/>
    </row>
    <row r="48" outlineLevel="2" spans="1:28">
      <c r="A48" s="52">
        <f>MAX($A$6:A47)+1</f>
        <v>39</v>
      </c>
      <c r="B48" s="51" t="s">
        <v>278</v>
      </c>
      <c r="C48" s="51" t="e">
        <f>VLOOKUP($B48,#REF!,MATCH(C$2,#REF!,0),0)</f>
        <v>#REF!</v>
      </c>
      <c r="D48" s="136"/>
      <c r="E48" s="136"/>
      <c r="F48" s="136" t="e">
        <f>VLOOKUP($B48,#REF!,MATCH(F$2,#REF!,0),0)</f>
        <v>#REF!</v>
      </c>
      <c r="G48" s="137" t="e">
        <f>VLOOKUP($B48,#REF!,MATCH(G$2,#REF!,0),0)</f>
        <v>#REF!</v>
      </c>
      <c r="H48" s="48"/>
      <c r="I48" s="48"/>
      <c r="J48" s="48"/>
      <c r="K48" s="48"/>
      <c r="L48" s="48"/>
      <c r="M48" s="48"/>
      <c r="N48" s="48"/>
      <c r="O48" s="48"/>
      <c r="P48" s="48">
        <v>557.38</v>
      </c>
      <c r="Q48" s="48">
        <v>866.44</v>
      </c>
      <c r="R48" s="371" t="e">
        <f t="shared" si="22"/>
        <v>#REF!</v>
      </c>
      <c r="S48" s="371" t="e">
        <f t="shared" ref="S48:AA48" si="47">$G48*I48</f>
        <v>#REF!</v>
      </c>
      <c r="T48" s="371" t="e">
        <f t="shared" si="47"/>
        <v>#REF!</v>
      </c>
      <c r="U48" s="371" t="e">
        <f t="shared" si="47"/>
        <v>#REF!</v>
      </c>
      <c r="V48" s="371" t="e">
        <f t="shared" si="47"/>
        <v>#REF!</v>
      </c>
      <c r="W48" s="371" t="e">
        <f t="shared" si="47"/>
        <v>#REF!</v>
      </c>
      <c r="X48" s="371" t="e">
        <f t="shared" si="47"/>
        <v>#REF!</v>
      </c>
      <c r="Y48" s="371" t="e">
        <f t="shared" si="47"/>
        <v>#REF!</v>
      </c>
      <c r="Z48" s="371" t="e">
        <f t="shared" si="47"/>
        <v>#REF!</v>
      </c>
      <c r="AA48" s="371" t="e">
        <f t="shared" si="47"/>
        <v>#REF!</v>
      </c>
      <c r="AB48" s="50"/>
    </row>
    <row r="49" outlineLevel="2" spans="1:28">
      <c r="A49" s="52">
        <f>MAX($A$6:A48)+1</f>
        <v>40</v>
      </c>
      <c r="B49" s="51" t="s">
        <v>279</v>
      </c>
      <c r="C49" s="51" t="e">
        <f>VLOOKUP($B49,#REF!,MATCH(C$2,#REF!,0),0)</f>
        <v>#REF!</v>
      </c>
      <c r="D49" s="136"/>
      <c r="E49" s="136"/>
      <c r="F49" s="136" t="e">
        <f>VLOOKUP($B49,#REF!,MATCH(F$2,#REF!,0),0)</f>
        <v>#REF!</v>
      </c>
      <c r="G49" s="137" t="e">
        <f>VLOOKUP($B49,#REF!,MATCH(G$2,#REF!,0),0)</f>
        <v>#REF!</v>
      </c>
      <c r="H49" s="48"/>
      <c r="I49" s="48"/>
      <c r="J49" s="48"/>
      <c r="K49" s="48"/>
      <c r="L49" s="48"/>
      <c r="M49" s="48"/>
      <c r="N49" s="48"/>
      <c r="O49" s="48"/>
      <c r="P49" s="48">
        <v>1</v>
      </c>
      <c r="Q49" s="48">
        <v>14.1</v>
      </c>
      <c r="R49" s="371" t="e">
        <f t="shared" si="22"/>
        <v>#REF!</v>
      </c>
      <c r="S49" s="371" t="e">
        <f t="shared" ref="S49:AA49" si="48">$G49*I49</f>
        <v>#REF!</v>
      </c>
      <c r="T49" s="371" t="e">
        <f t="shared" si="48"/>
        <v>#REF!</v>
      </c>
      <c r="U49" s="371" t="e">
        <f t="shared" si="48"/>
        <v>#REF!</v>
      </c>
      <c r="V49" s="371" t="e">
        <f t="shared" si="48"/>
        <v>#REF!</v>
      </c>
      <c r="W49" s="371" t="e">
        <f t="shared" si="48"/>
        <v>#REF!</v>
      </c>
      <c r="X49" s="371" t="e">
        <f t="shared" si="48"/>
        <v>#REF!</v>
      </c>
      <c r="Y49" s="371" t="e">
        <f t="shared" si="48"/>
        <v>#REF!</v>
      </c>
      <c r="Z49" s="371" t="e">
        <f t="shared" si="48"/>
        <v>#REF!</v>
      </c>
      <c r="AA49" s="371" t="e">
        <f t="shared" si="48"/>
        <v>#REF!</v>
      </c>
      <c r="AB49" s="50"/>
    </row>
    <row r="50" outlineLevel="2" spans="1:28">
      <c r="A50" s="52">
        <f>MAX($A$6:A49)+1</f>
        <v>41</v>
      </c>
      <c r="B50" s="51" t="s">
        <v>280</v>
      </c>
      <c r="C50" s="51" t="e">
        <f>VLOOKUP($B50,#REF!,MATCH(C$2,#REF!,0),0)</f>
        <v>#REF!</v>
      </c>
      <c r="D50" s="136"/>
      <c r="E50" s="136"/>
      <c r="F50" s="136" t="e">
        <f>VLOOKUP($B50,#REF!,MATCH(F$2,#REF!,0),0)</f>
        <v>#REF!</v>
      </c>
      <c r="G50" s="137" t="e">
        <f>VLOOKUP($B50,#REF!,MATCH(G$2,#REF!,0),0)</f>
        <v>#REF!</v>
      </c>
      <c r="H50" s="48">
        <v>10.78</v>
      </c>
      <c r="I50" s="48">
        <v>10.78</v>
      </c>
      <c r="J50" s="48">
        <v>5.73</v>
      </c>
      <c r="K50" s="48">
        <v>5.73</v>
      </c>
      <c r="L50" s="48">
        <v>2.77</v>
      </c>
      <c r="M50" s="48"/>
      <c r="N50" s="48"/>
      <c r="O50" s="48"/>
      <c r="P50" s="48"/>
      <c r="Q50" s="48"/>
      <c r="R50" s="371" t="e">
        <f t="shared" si="22"/>
        <v>#REF!</v>
      </c>
      <c r="S50" s="371" t="e">
        <f t="shared" ref="S50:AA50" si="49">$G50*I50</f>
        <v>#REF!</v>
      </c>
      <c r="T50" s="371" t="e">
        <f t="shared" si="49"/>
        <v>#REF!</v>
      </c>
      <c r="U50" s="371" t="e">
        <f t="shared" si="49"/>
        <v>#REF!</v>
      </c>
      <c r="V50" s="371" t="e">
        <f t="shared" si="49"/>
        <v>#REF!</v>
      </c>
      <c r="W50" s="371" t="e">
        <f t="shared" si="49"/>
        <v>#REF!</v>
      </c>
      <c r="X50" s="371" t="e">
        <f t="shared" si="49"/>
        <v>#REF!</v>
      </c>
      <c r="Y50" s="371" t="e">
        <f t="shared" si="49"/>
        <v>#REF!</v>
      </c>
      <c r="Z50" s="371" t="e">
        <f t="shared" si="49"/>
        <v>#REF!</v>
      </c>
      <c r="AA50" s="371" t="e">
        <f t="shared" si="49"/>
        <v>#REF!</v>
      </c>
      <c r="AB50" s="50"/>
    </row>
    <row r="51" outlineLevel="2" spans="1:28">
      <c r="A51" s="52">
        <f>MAX($A$6:A50)+1</f>
        <v>42</v>
      </c>
      <c r="B51" s="51" t="s">
        <v>281</v>
      </c>
      <c r="C51" s="51" t="e">
        <f>VLOOKUP($B51,#REF!,MATCH(C$2,#REF!,0),0)</f>
        <v>#REF!</v>
      </c>
      <c r="D51" s="136"/>
      <c r="E51" s="136"/>
      <c r="F51" s="136" t="e">
        <f>VLOOKUP($B51,#REF!,MATCH(F$2,#REF!,0),0)</f>
        <v>#REF!</v>
      </c>
      <c r="G51" s="137" t="e">
        <f>VLOOKUP($B51,#REF!,MATCH(G$2,#REF!,0),0)</f>
        <v>#REF!</v>
      </c>
      <c r="H51" s="48">
        <v>0.54</v>
      </c>
      <c r="I51" s="48">
        <v>0.54</v>
      </c>
      <c r="J51" s="48">
        <v>0.57</v>
      </c>
      <c r="K51" s="48">
        <v>0.57</v>
      </c>
      <c r="L51" s="48"/>
      <c r="M51" s="48"/>
      <c r="N51" s="48"/>
      <c r="O51" s="48"/>
      <c r="P51" s="48"/>
      <c r="Q51" s="48"/>
      <c r="R51" s="371" t="e">
        <f t="shared" si="22"/>
        <v>#REF!</v>
      </c>
      <c r="S51" s="371" t="e">
        <f t="shared" ref="S51:AA51" si="50">$G51*I51</f>
        <v>#REF!</v>
      </c>
      <c r="T51" s="371" t="e">
        <f t="shared" si="50"/>
        <v>#REF!</v>
      </c>
      <c r="U51" s="371" t="e">
        <f t="shared" si="50"/>
        <v>#REF!</v>
      </c>
      <c r="V51" s="371" t="e">
        <f t="shared" si="50"/>
        <v>#REF!</v>
      </c>
      <c r="W51" s="371" t="e">
        <f t="shared" si="50"/>
        <v>#REF!</v>
      </c>
      <c r="X51" s="371" t="e">
        <f t="shared" si="50"/>
        <v>#REF!</v>
      </c>
      <c r="Y51" s="371" t="e">
        <f t="shared" si="50"/>
        <v>#REF!</v>
      </c>
      <c r="Z51" s="371" t="e">
        <f t="shared" si="50"/>
        <v>#REF!</v>
      </c>
      <c r="AA51" s="371" t="e">
        <f t="shared" si="50"/>
        <v>#REF!</v>
      </c>
      <c r="AB51" s="50"/>
    </row>
    <row r="52" outlineLevel="2" spans="1:28">
      <c r="A52" s="52">
        <f>MAX($A$6:A51)+1</f>
        <v>43</v>
      </c>
      <c r="B52" s="51" t="s">
        <v>282</v>
      </c>
      <c r="C52" s="51" t="e">
        <f>VLOOKUP($B52,#REF!,MATCH(C$2,#REF!,0),0)</f>
        <v>#REF!</v>
      </c>
      <c r="D52" s="136"/>
      <c r="E52" s="136"/>
      <c r="F52" s="136" t="e">
        <f>VLOOKUP($B52,#REF!,MATCH(F$2,#REF!,0),0)</f>
        <v>#REF!</v>
      </c>
      <c r="G52" s="137" t="e">
        <f>VLOOKUP($B52,#REF!,MATCH(G$2,#REF!,0),0)</f>
        <v>#REF!</v>
      </c>
      <c r="H52" s="48">
        <v>1.26</v>
      </c>
      <c r="I52" s="48">
        <v>1.26</v>
      </c>
      <c r="J52" s="48">
        <v>1.16</v>
      </c>
      <c r="K52" s="48">
        <v>1.16</v>
      </c>
      <c r="L52" s="48"/>
      <c r="M52" s="48"/>
      <c r="N52" s="48"/>
      <c r="O52" s="48"/>
      <c r="P52" s="48"/>
      <c r="Q52" s="48"/>
      <c r="R52" s="371" t="e">
        <f t="shared" si="22"/>
        <v>#REF!</v>
      </c>
      <c r="S52" s="371" t="e">
        <f t="shared" ref="S52:AA52" si="51">$G52*I52</f>
        <v>#REF!</v>
      </c>
      <c r="T52" s="371" t="e">
        <f t="shared" si="51"/>
        <v>#REF!</v>
      </c>
      <c r="U52" s="371" t="e">
        <f t="shared" si="51"/>
        <v>#REF!</v>
      </c>
      <c r="V52" s="371" t="e">
        <f t="shared" si="51"/>
        <v>#REF!</v>
      </c>
      <c r="W52" s="371" t="e">
        <f t="shared" si="51"/>
        <v>#REF!</v>
      </c>
      <c r="X52" s="371" t="e">
        <f t="shared" si="51"/>
        <v>#REF!</v>
      </c>
      <c r="Y52" s="371" t="e">
        <f t="shared" si="51"/>
        <v>#REF!</v>
      </c>
      <c r="Z52" s="371" t="e">
        <f t="shared" si="51"/>
        <v>#REF!</v>
      </c>
      <c r="AA52" s="371" t="e">
        <f t="shared" si="51"/>
        <v>#REF!</v>
      </c>
      <c r="AB52" s="50"/>
    </row>
    <row r="53" ht="28.8" outlineLevel="2" spans="1:28">
      <c r="A53" s="52">
        <f>MAX($A$6:A52)+1</f>
        <v>44</v>
      </c>
      <c r="B53" s="51" t="s">
        <v>283</v>
      </c>
      <c r="C53" s="51" t="e">
        <f>VLOOKUP($B53,#REF!,MATCH(C$2,#REF!,0),0)</f>
        <v>#REF!</v>
      </c>
      <c r="D53" s="136"/>
      <c r="E53" s="136"/>
      <c r="F53" s="136" t="e">
        <f>VLOOKUP($B53,#REF!,MATCH(F$2,#REF!,0),0)</f>
        <v>#REF!</v>
      </c>
      <c r="G53" s="137" t="e">
        <f>VLOOKUP($B53,#REF!,MATCH(G$2,#REF!,0),0)</f>
        <v>#REF!</v>
      </c>
      <c r="H53" s="48">
        <v>1.12</v>
      </c>
      <c r="I53" s="48">
        <v>1.12</v>
      </c>
      <c r="J53" s="48">
        <v>1.18</v>
      </c>
      <c r="K53" s="48">
        <v>1.18</v>
      </c>
      <c r="L53" s="48"/>
      <c r="M53" s="48"/>
      <c r="N53" s="48"/>
      <c r="O53" s="48"/>
      <c r="P53" s="48"/>
      <c r="Q53" s="48"/>
      <c r="R53" s="371" t="e">
        <f t="shared" si="22"/>
        <v>#REF!</v>
      </c>
      <c r="S53" s="371" t="e">
        <f t="shared" ref="S53:AA53" si="52">$G53*I53</f>
        <v>#REF!</v>
      </c>
      <c r="T53" s="371" t="e">
        <f t="shared" si="52"/>
        <v>#REF!</v>
      </c>
      <c r="U53" s="371" t="e">
        <f t="shared" si="52"/>
        <v>#REF!</v>
      </c>
      <c r="V53" s="371" t="e">
        <f t="shared" si="52"/>
        <v>#REF!</v>
      </c>
      <c r="W53" s="371" t="e">
        <f t="shared" si="52"/>
        <v>#REF!</v>
      </c>
      <c r="X53" s="371" t="e">
        <f t="shared" si="52"/>
        <v>#REF!</v>
      </c>
      <c r="Y53" s="371" t="e">
        <f t="shared" si="52"/>
        <v>#REF!</v>
      </c>
      <c r="Z53" s="371" t="e">
        <f t="shared" si="52"/>
        <v>#REF!</v>
      </c>
      <c r="AA53" s="371" t="e">
        <f t="shared" si="52"/>
        <v>#REF!</v>
      </c>
      <c r="AB53" s="50"/>
    </row>
    <row r="54" ht="28.8" outlineLevel="2" spans="1:28">
      <c r="A54" s="52">
        <f>MAX($A$6:A53)+1</f>
        <v>45</v>
      </c>
      <c r="B54" s="51" t="s">
        <v>284</v>
      </c>
      <c r="C54" s="51" t="e">
        <f>VLOOKUP($B54,#REF!,MATCH(C$2,#REF!,0),0)</f>
        <v>#REF!</v>
      </c>
      <c r="D54" s="136"/>
      <c r="E54" s="136"/>
      <c r="F54" s="136" t="e">
        <f>VLOOKUP($B54,#REF!,MATCH(F$2,#REF!,0),0)</f>
        <v>#REF!</v>
      </c>
      <c r="G54" s="137" t="e">
        <f>VLOOKUP($B54,#REF!,MATCH(G$2,#REF!,0),0)</f>
        <v>#REF!</v>
      </c>
      <c r="H54" s="48">
        <v>6.58</v>
      </c>
      <c r="I54" s="48">
        <v>6.58</v>
      </c>
      <c r="J54" s="48">
        <v>5.27</v>
      </c>
      <c r="K54" s="48">
        <v>5.27</v>
      </c>
      <c r="L54" s="48"/>
      <c r="M54" s="48"/>
      <c r="N54" s="48"/>
      <c r="O54" s="48"/>
      <c r="P54" s="48"/>
      <c r="Q54" s="48"/>
      <c r="R54" s="371" t="e">
        <f t="shared" si="22"/>
        <v>#REF!</v>
      </c>
      <c r="S54" s="371" t="e">
        <f t="shared" ref="S54:AA54" si="53">$G54*I54</f>
        <v>#REF!</v>
      </c>
      <c r="T54" s="371" t="e">
        <f t="shared" si="53"/>
        <v>#REF!</v>
      </c>
      <c r="U54" s="371" t="e">
        <f t="shared" si="53"/>
        <v>#REF!</v>
      </c>
      <c r="V54" s="371" t="e">
        <f t="shared" si="53"/>
        <v>#REF!</v>
      </c>
      <c r="W54" s="371" t="e">
        <f t="shared" si="53"/>
        <v>#REF!</v>
      </c>
      <c r="X54" s="371" t="e">
        <f t="shared" si="53"/>
        <v>#REF!</v>
      </c>
      <c r="Y54" s="371" t="e">
        <f t="shared" si="53"/>
        <v>#REF!</v>
      </c>
      <c r="Z54" s="371" t="e">
        <f t="shared" si="53"/>
        <v>#REF!</v>
      </c>
      <c r="AA54" s="371" t="e">
        <f t="shared" si="53"/>
        <v>#REF!</v>
      </c>
      <c r="AB54" s="50"/>
    </row>
    <row r="55" outlineLevel="2" spans="1:28">
      <c r="A55" s="52">
        <f>MAX($A$6:A54)+1</f>
        <v>46</v>
      </c>
      <c r="B55" s="51" t="s">
        <v>285</v>
      </c>
      <c r="C55" s="51" t="e">
        <f>VLOOKUP($B55,#REF!,MATCH(C$2,#REF!,0),0)</f>
        <v>#REF!</v>
      </c>
      <c r="D55" s="136"/>
      <c r="E55" s="136"/>
      <c r="F55" s="136" t="e">
        <f>VLOOKUP($B55,#REF!,MATCH(F$2,#REF!,0),0)</f>
        <v>#REF!</v>
      </c>
      <c r="G55" s="137" t="e">
        <f>VLOOKUP($B55,#REF!,MATCH(G$2,#REF!,0),0)</f>
        <v>#REF!</v>
      </c>
      <c r="H55" s="48">
        <v>0.15</v>
      </c>
      <c r="I55" s="48">
        <v>0.15</v>
      </c>
      <c r="J55" s="48">
        <v>0.24</v>
      </c>
      <c r="K55" s="48">
        <v>0.24</v>
      </c>
      <c r="L55" s="48">
        <v>0.05</v>
      </c>
      <c r="M55" s="48"/>
      <c r="N55" s="48"/>
      <c r="O55" s="48"/>
      <c r="P55" s="48">
        <v>2.93</v>
      </c>
      <c r="Q55" s="48">
        <v>1.54</v>
      </c>
      <c r="R55" s="371" t="e">
        <f t="shared" si="22"/>
        <v>#REF!</v>
      </c>
      <c r="S55" s="371" t="e">
        <f t="shared" ref="S55:AA55" si="54">$G55*I55</f>
        <v>#REF!</v>
      </c>
      <c r="T55" s="371" t="e">
        <f t="shared" si="54"/>
        <v>#REF!</v>
      </c>
      <c r="U55" s="371" t="e">
        <f t="shared" si="54"/>
        <v>#REF!</v>
      </c>
      <c r="V55" s="371" t="e">
        <f t="shared" si="54"/>
        <v>#REF!</v>
      </c>
      <c r="W55" s="371" t="e">
        <f t="shared" si="54"/>
        <v>#REF!</v>
      </c>
      <c r="X55" s="371" t="e">
        <f t="shared" si="54"/>
        <v>#REF!</v>
      </c>
      <c r="Y55" s="371" t="e">
        <f t="shared" si="54"/>
        <v>#REF!</v>
      </c>
      <c r="Z55" s="371" t="e">
        <f t="shared" si="54"/>
        <v>#REF!</v>
      </c>
      <c r="AA55" s="371" t="e">
        <f t="shared" si="54"/>
        <v>#REF!</v>
      </c>
      <c r="AB55" s="50"/>
    </row>
    <row r="56" outlineLevel="2" spans="1:28">
      <c r="A56" s="52">
        <f>MAX($A$6:A55)+1</f>
        <v>47</v>
      </c>
      <c r="B56" s="51" t="s">
        <v>286</v>
      </c>
      <c r="C56" s="51" t="e">
        <f>VLOOKUP($B56,#REF!,MATCH(C$2,#REF!,0),0)</f>
        <v>#REF!</v>
      </c>
      <c r="D56" s="136"/>
      <c r="E56" s="136"/>
      <c r="F56" s="136" t="e">
        <f>VLOOKUP($B56,#REF!,MATCH(F$2,#REF!,0),0)</f>
        <v>#REF!</v>
      </c>
      <c r="G56" s="137" t="e">
        <f>VLOOKUP($B56,#REF!,MATCH(G$2,#REF!,0),0)</f>
        <v>#REF!</v>
      </c>
      <c r="H56" s="48"/>
      <c r="I56" s="48"/>
      <c r="J56" s="48"/>
      <c r="K56" s="48"/>
      <c r="L56" s="48"/>
      <c r="M56" s="48"/>
      <c r="N56" s="48"/>
      <c r="O56" s="48"/>
      <c r="P56" s="48">
        <v>3224.06</v>
      </c>
      <c r="Q56" s="48">
        <v>8368.86</v>
      </c>
      <c r="R56" s="371" t="e">
        <f t="shared" si="22"/>
        <v>#REF!</v>
      </c>
      <c r="S56" s="371" t="e">
        <f t="shared" ref="S56:AA56" si="55">$G56*I56</f>
        <v>#REF!</v>
      </c>
      <c r="T56" s="371" t="e">
        <f t="shared" si="55"/>
        <v>#REF!</v>
      </c>
      <c r="U56" s="371" t="e">
        <f t="shared" si="55"/>
        <v>#REF!</v>
      </c>
      <c r="V56" s="371" t="e">
        <f t="shared" si="55"/>
        <v>#REF!</v>
      </c>
      <c r="W56" s="371" t="e">
        <f t="shared" si="55"/>
        <v>#REF!</v>
      </c>
      <c r="X56" s="371" t="e">
        <f t="shared" si="55"/>
        <v>#REF!</v>
      </c>
      <c r="Y56" s="371" t="e">
        <f t="shared" si="55"/>
        <v>#REF!</v>
      </c>
      <c r="Z56" s="371" t="e">
        <f t="shared" si="55"/>
        <v>#REF!</v>
      </c>
      <c r="AA56" s="371" t="e">
        <f t="shared" si="55"/>
        <v>#REF!</v>
      </c>
      <c r="AB56" s="50"/>
    </row>
    <row r="57" outlineLevel="2" spans="1:28">
      <c r="A57" s="52">
        <f>MAX($A$6:A56)+1</f>
        <v>48</v>
      </c>
      <c r="B57" s="51" t="s">
        <v>287</v>
      </c>
      <c r="C57" s="51" t="e">
        <f>VLOOKUP($B57,#REF!,MATCH(C$2,#REF!,0),0)</f>
        <v>#REF!</v>
      </c>
      <c r="D57" s="136"/>
      <c r="E57" s="136"/>
      <c r="F57" s="136" t="e">
        <f>VLOOKUP($B57,#REF!,MATCH(F$2,#REF!,0),0)</f>
        <v>#REF!</v>
      </c>
      <c r="G57" s="137" t="e">
        <f>VLOOKUP($B57,#REF!,MATCH(G$2,#REF!,0),0)</f>
        <v>#REF!</v>
      </c>
      <c r="H57" s="48"/>
      <c r="I57" s="48"/>
      <c r="J57" s="48"/>
      <c r="K57" s="48"/>
      <c r="L57" s="48"/>
      <c r="M57" s="48"/>
      <c r="N57" s="48"/>
      <c r="O57" s="48"/>
      <c r="P57" s="48">
        <v>40.65</v>
      </c>
      <c r="Q57" s="48">
        <v>67.61</v>
      </c>
      <c r="R57" s="371" t="e">
        <f t="shared" si="22"/>
        <v>#REF!</v>
      </c>
      <c r="S57" s="371" t="e">
        <f t="shared" ref="S57:AA57" si="56">$G57*I57</f>
        <v>#REF!</v>
      </c>
      <c r="T57" s="371" t="e">
        <f t="shared" si="56"/>
        <v>#REF!</v>
      </c>
      <c r="U57" s="371" t="e">
        <f t="shared" si="56"/>
        <v>#REF!</v>
      </c>
      <c r="V57" s="371" t="e">
        <f t="shared" si="56"/>
        <v>#REF!</v>
      </c>
      <c r="W57" s="371" t="e">
        <f t="shared" si="56"/>
        <v>#REF!</v>
      </c>
      <c r="X57" s="371" t="e">
        <f t="shared" si="56"/>
        <v>#REF!</v>
      </c>
      <c r="Y57" s="371" t="e">
        <f t="shared" si="56"/>
        <v>#REF!</v>
      </c>
      <c r="Z57" s="371" t="e">
        <f t="shared" si="56"/>
        <v>#REF!</v>
      </c>
      <c r="AA57" s="371" t="e">
        <f t="shared" si="56"/>
        <v>#REF!</v>
      </c>
      <c r="AB57" s="50"/>
    </row>
    <row r="58" ht="28.8" outlineLevel="2" spans="1:28">
      <c r="A58" s="52">
        <f>MAX($A$6:A57)+1</f>
        <v>49</v>
      </c>
      <c r="B58" s="51" t="s">
        <v>276</v>
      </c>
      <c r="C58" s="51" t="e">
        <f>VLOOKUP($B58,#REF!,MATCH(C$2,#REF!,0),0)</f>
        <v>#REF!</v>
      </c>
      <c r="D58" s="136"/>
      <c r="E58" s="136"/>
      <c r="F58" s="136" t="e">
        <f>VLOOKUP($B58,#REF!,MATCH(F$2,#REF!,0),0)</f>
        <v>#REF!</v>
      </c>
      <c r="G58" s="137" t="e">
        <f>VLOOKUP($B58,#REF!,MATCH(G$2,#REF!,0),0)</f>
        <v>#REF!</v>
      </c>
      <c r="H58" s="48"/>
      <c r="I58" s="48"/>
      <c r="J58" s="48"/>
      <c r="K58" s="48"/>
      <c r="L58" s="48"/>
      <c r="M58" s="48"/>
      <c r="N58" s="48"/>
      <c r="O58" s="48"/>
      <c r="P58" s="48">
        <v>0.32</v>
      </c>
      <c r="Q58" s="48">
        <v>1</v>
      </c>
      <c r="R58" s="371" t="e">
        <f t="shared" si="22"/>
        <v>#REF!</v>
      </c>
      <c r="S58" s="371" t="e">
        <f t="shared" ref="S58:AA58" si="57">$G58*I58</f>
        <v>#REF!</v>
      </c>
      <c r="T58" s="371" t="e">
        <f t="shared" si="57"/>
        <v>#REF!</v>
      </c>
      <c r="U58" s="371" t="e">
        <f t="shared" si="57"/>
        <v>#REF!</v>
      </c>
      <c r="V58" s="371" t="e">
        <f t="shared" si="57"/>
        <v>#REF!</v>
      </c>
      <c r="W58" s="371" t="e">
        <f t="shared" si="57"/>
        <v>#REF!</v>
      </c>
      <c r="X58" s="371" t="e">
        <f t="shared" si="57"/>
        <v>#REF!</v>
      </c>
      <c r="Y58" s="371" t="e">
        <f t="shared" si="57"/>
        <v>#REF!</v>
      </c>
      <c r="Z58" s="371" t="e">
        <f t="shared" si="57"/>
        <v>#REF!</v>
      </c>
      <c r="AA58" s="371" t="e">
        <f t="shared" si="57"/>
        <v>#REF!</v>
      </c>
      <c r="AB58" s="50"/>
    </row>
    <row r="59" outlineLevel="2" spans="1:28">
      <c r="A59" s="52">
        <f>MAX($A$6:A58)+1</f>
        <v>50</v>
      </c>
      <c r="B59" s="51" t="s">
        <v>288</v>
      </c>
      <c r="C59" s="51" t="e">
        <f>VLOOKUP($B59,#REF!,MATCH(C$2,#REF!,0),0)</f>
        <v>#REF!</v>
      </c>
      <c r="D59" s="136"/>
      <c r="E59" s="136"/>
      <c r="F59" s="136" t="e">
        <f>VLOOKUP($B59,#REF!,MATCH(F$2,#REF!,0),0)</f>
        <v>#REF!</v>
      </c>
      <c r="G59" s="137" t="e">
        <f>VLOOKUP($B59,#REF!,MATCH(G$2,#REF!,0),0)</f>
        <v>#REF!</v>
      </c>
      <c r="H59" s="48"/>
      <c r="I59" s="48"/>
      <c r="J59" s="48"/>
      <c r="K59" s="48"/>
      <c r="L59" s="48"/>
      <c r="M59" s="48"/>
      <c r="N59" s="48"/>
      <c r="O59" s="48"/>
      <c r="P59" s="48">
        <v>1.62</v>
      </c>
      <c r="Q59" s="48"/>
      <c r="R59" s="371" t="e">
        <f t="shared" si="22"/>
        <v>#REF!</v>
      </c>
      <c r="S59" s="371" t="e">
        <f t="shared" ref="S59:AA59" si="58">$G59*I59</f>
        <v>#REF!</v>
      </c>
      <c r="T59" s="371" t="e">
        <f t="shared" si="58"/>
        <v>#REF!</v>
      </c>
      <c r="U59" s="371" t="e">
        <f t="shared" si="58"/>
        <v>#REF!</v>
      </c>
      <c r="V59" s="371" t="e">
        <f t="shared" si="58"/>
        <v>#REF!</v>
      </c>
      <c r="W59" s="371" t="e">
        <f t="shared" si="58"/>
        <v>#REF!</v>
      </c>
      <c r="X59" s="371" t="e">
        <f t="shared" si="58"/>
        <v>#REF!</v>
      </c>
      <c r="Y59" s="371" t="e">
        <f t="shared" si="58"/>
        <v>#REF!</v>
      </c>
      <c r="Z59" s="371" t="e">
        <f t="shared" si="58"/>
        <v>#REF!</v>
      </c>
      <c r="AA59" s="371" t="e">
        <f t="shared" si="58"/>
        <v>#REF!</v>
      </c>
      <c r="AB59" s="50"/>
    </row>
    <row r="60" outlineLevel="2" spans="1:28">
      <c r="A60" s="52">
        <f>MAX($A$6:A59)+1</f>
        <v>51</v>
      </c>
      <c r="B60" s="51" t="s">
        <v>289</v>
      </c>
      <c r="C60" s="51" t="e">
        <f>VLOOKUP($B60,#REF!,MATCH(C$2,#REF!,0),0)</f>
        <v>#REF!</v>
      </c>
      <c r="D60" s="136"/>
      <c r="E60" s="136"/>
      <c r="F60" s="136" t="e">
        <f>VLOOKUP($B60,#REF!,MATCH(F$2,#REF!,0),0)</f>
        <v>#REF!</v>
      </c>
      <c r="G60" s="137" t="e">
        <f>VLOOKUP($B60,#REF!,MATCH(G$2,#REF!,0),0)</f>
        <v>#REF!</v>
      </c>
      <c r="H60" s="48"/>
      <c r="I60" s="48"/>
      <c r="J60" s="48"/>
      <c r="K60" s="48"/>
      <c r="L60" s="48"/>
      <c r="M60" s="48"/>
      <c r="N60" s="48"/>
      <c r="O60" s="48"/>
      <c r="P60" s="48">
        <v>43.27</v>
      </c>
      <c r="Q60" s="48"/>
      <c r="R60" s="371" t="e">
        <f t="shared" si="22"/>
        <v>#REF!</v>
      </c>
      <c r="S60" s="371" t="e">
        <f t="shared" ref="S60:AA60" si="59">$G60*I60</f>
        <v>#REF!</v>
      </c>
      <c r="T60" s="371" t="e">
        <f t="shared" si="59"/>
        <v>#REF!</v>
      </c>
      <c r="U60" s="371" t="e">
        <f t="shared" si="59"/>
        <v>#REF!</v>
      </c>
      <c r="V60" s="371" t="e">
        <f t="shared" si="59"/>
        <v>#REF!</v>
      </c>
      <c r="W60" s="371" t="e">
        <f t="shared" si="59"/>
        <v>#REF!</v>
      </c>
      <c r="X60" s="371" t="e">
        <f t="shared" si="59"/>
        <v>#REF!</v>
      </c>
      <c r="Y60" s="371" t="e">
        <f t="shared" si="59"/>
        <v>#REF!</v>
      </c>
      <c r="Z60" s="371" t="e">
        <f t="shared" si="59"/>
        <v>#REF!</v>
      </c>
      <c r="AA60" s="371" t="e">
        <f t="shared" si="59"/>
        <v>#REF!</v>
      </c>
      <c r="AB60" s="50"/>
    </row>
    <row r="61" outlineLevel="2" spans="1:28">
      <c r="A61" s="52">
        <f>MAX($A$6:A60)+1</f>
        <v>52</v>
      </c>
      <c r="B61" s="51" t="s">
        <v>290</v>
      </c>
      <c r="C61" s="51" t="e">
        <f>VLOOKUP($B61,#REF!,MATCH(C$2,#REF!,0),0)</f>
        <v>#REF!</v>
      </c>
      <c r="D61" s="136"/>
      <c r="E61" s="136"/>
      <c r="F61" s="136" t="e">
        <f>VLOOKUP($B61,#REF!,MATCH(F$2,#REF!,0),0)</f>
        <v>#REF!</v>
      </c>
      <c r="G61" s="137" t="e">
        <f>VLOOKUP($B61,#REF!,MATCH(G$2,#REF!,0),0)</f>
        <v>#REF!</v>
      </c>
      <c r="H61" s="48"/>
      <c r="I61" s="48"/>
      <c r="J61" s="48"/>
      <c r="K61" s="48"/>
      <c r="L61" s="48"/>
      <c r="M61" s="48"/>
      <c r="N61" s="48"/>
      <c r="O61" s="48"/>
      <c r="P61" s="48">
        <v>824.19</v>
      </c>
      <c r="Q61" s="48">
        <v>1565.57</v>
      </c>
      <c r="R61" s="371" t="e">
        <f t="shared" si="22"/>
        <v>#REF!</v>
      </c>
      <c r="S61" s="371" t="e">
        <f t="shared" ref="S61:AA61" si="60">$G61*I61</f>
        <v>#REF!</v>
      </c>
      <c r="T61" s="371" t="e">
        <f t="shared" si="60"/>
        <v>#REF!</v>
      </c>
      <c r="U61" s="371" t="e">
        <f t="shared" si="60"/>
        <v>#REF!</v>
      </c>
      <c r="V61" s="371" t="e">
        <f t="shared" si="60"/>
        <v>#REF!</v>
      </c>
      <c r="W61" s="371" t="e">
        <f t="shared" si="60"/>
        <v>#REF!</v>
      </c>
      <c r="X61" s="371" t="e">
        <f t="shared" si="60"/>
        <v>#REF!</v>
      </c>
      <c r="Y61" s="371" t="e">
        <f t="shared" si="60"/>
        <v>#REF!</v>
      </c>
      <c r="Z61" s="371" t="e">
        <f t="shared" si="60"/>
        <v>#REF!</v>
      </c>
      <c r="AA61" s="371" t="e">
        <f t="shared" si="60"/>
        <v>#REF!</v>
      </c>
      <c r="AB61" s="50"/>
    </row>
    <row r="62" outlineLevel="2" spans="1:28">
      <c r="A62" s="52">
        <f>MAX($A$6:A61)+1</f>
        <v>53</v>
      </c>
      <c r="B62" s="51" t="s">
        <v>280</v>
      </c>
      <c r="C62" s="51" t="e">
        <f>VLOOKUP($B62,#REF!,MATCH(C$2,#REF!,0),0)</f>
        <v>#REF!</v>
      </c>
      <c r="D62" s="136"/>
      <c r="E62" s="136"/>
      <c r="F62" s="136" t="e">
        <f>VLOOKUP($B62,#REF!,MATCH(F$2,#REF!,0),0)</f>
        <v>#REF!</v>
      </c>
      <c r="G62" s="137" t="e">
        <f>VLOOKUP($B62,#REF!,MATCH(G$2,#REF!,0),0)</f>
        <v>#REF!</v>
      </c>
      <c r="H62" s="48"/>
      <c r="I62" s="48"/>
      <c r="J62" s="48"/>
      <c r="K62" s="48"/>
      <c r="L62" s="48"/>
      <c r="M62" s="48"/>
      <c r="N62" s="48"/>
      <c r="O62" s="48"/>
      <c r="P62" s="48">
        <v>50.02</v>
      </c>
      <c r="Q62" s="48">
        <v>52.03</v>
      </c>
      <c r="R62" s="371" t="e">
        <f t="shared" si="22"/>
        <v>#REF!</v>
      </c>
      <c r="S62" s="371" t="e">
        <f t="shared" ref="S62:AA62" si="61">$G62*I62</f>
        <v>#REF!</v>
      </c>
      <c r="T62" s="371" t="e">
        <f t="shared" si="61"/>
        <v>#REF!</v>
      </c>
      <c r="U62" s="371" t="e">
        <f t="shared" si="61"/>
        <v>#REF!</v>
      </c>
      <c r="V62" s="371" t="e">
        <f t="shared" si="61"/>
        <v>#REF!</v>
      </c>
      <c r="W62" s="371" t="e">
        <f t="shared" si="61"/>
        <v>#REF!</v>
      </c>
      <c r="X62" s="371" t="e">
        <f t="shared" si="61"/>
        <v>#REF!</v>
      </c>
      <c r="Y62" s="371" t="e">
        <f t="shared" si="61"/>
        <v>#REF!</v>
      </c>
      <c r="Z62" s="371" t="e">
        <f t="shared" si="61"/>
        <v>#REF!</v>
      </c>
      <c r="AA62" s="371" t="e">
        <f t="shared" si="61"/>
        <v>#REF!</v>
      </c>
      <c r="AB62" s="50"/>
    </row>
    <row r="63" outlineLevel="2" spans="1:28">
      <c r="A63" s="52">
        <f>MAX($A$6:A62)+1</f>
        <v>54</v>
      </c>
      <c r="B63" s="51" t="s">
        <v>291</v>
      </c>
      <c r="C63" s="51" t="e">
        <f>VLOOKUP($B63,#REF!,MATCH(C$2,#REF!,0),0)</f>
        <v>#REF!</v>
      </c>
      <c r="D63" s="136"/>
      <c r="E63" s="136"/>
      <c r="F63" s="136" t="e">
        <f>VLOOKUP($B63,#REF!,MATCH(F$2,#REF!,0),0)</f>
        <v>#REF!</v>
      </c>
      <c r="G63" s="137" t="e">
        <f>VLOOKUP($B63,#REF!,MATCH(G$2,#REF!,0),0)</f>
        <v>#REF!</v>
      </c>
      <c r="H63" s="48"/>
      <c r="I63" s="48"/>
      <c r="J63" s="48"/>
      <c r="K63" s="48"/>
      <c r="L63" s="48"/>
      <c r="M63" s="48"/>
      <c r="N63" s="48"/>
      <c r="O63" s="48"/>
      <c r="P63" s="48">
        <v>0.52</v>
      </c>
      <c r="Q63" s="48">
        <v>6.63</v>
      </c>
      <c r="R63" s="371" t="e">
        <f t="shared" si="22"/>
        <v>#REF!</v>
      </c>
      <c r="S63" s="371" t="e">
        <f t="shared" ref="S63:AA63" si="62">$G63*I63</f>
        <v>#REF!</v>
      </c>
      <c r="T63" s="371" t="e">
        <f t="shared" si="62"/>
        <v>#REF!</v>
      </c>
      <c r="U63" s="371" t="e">
        <f t="shared" si="62"/>
        <v>#REF!</v>
      </c>
      <c r="V63" s="371" t="e">
        <f t="shared" si="62"/>
        <v>#REF!</v>
      </c>
      <c r="W63" s="371" t="e">
        <f t="shared" si="62"/>
        <v>#REF!</v>
      </c>
      <c r="X63" s="371" t="e">
        <f t="shared" si="62"/>
        <v>#REF!</v>
      </c>
      <c r="Y63" s="371" t="e">
        <f t="shared" si="62"/>
        <v>#REF!</v>
      </c>
      <c r="Z63" s="371" t="e">
        <f t="shared" si="62"/>
        <v>#REF!</v>
      </c>
      <c r="AA63" s="371" t="e">
        <f t="shared" si="62"/>
        <v>#REF!</v>
      </c>
      <c r="AB63" s="50"/>
    </row>
    <row r="64" ht="28.8" outlineLevel="2" spans="1:28">
      <c r="A64" s="52">
        <f>MAX($A$6:A63)+1</f>
        <v>55</v>
      </c>
      <c r="B64" s="51" t="s">
        <v>292</v>
      </c>
      <c r="C64" s="51" t="e">
        <f>VLOOKUP($B64,#REF!,MATCH(C$2,#REF!,0),0)</f>
        <v>#REF!</v>
      </c>
      <c r="D64" s="136"/>
      <c r="E64" s="136"/>
      <c r="F64" s="136" t="e">
        <f>VLOOKUP($B64,#REF!,MATCH(F$2,#REF!,0),0)</f>
        <v>#REF!</v>
      </c>
      <c r="G64" s="137" t="e">
        <f>VLOOKUP($B64,#REF!,MATCH(G$2,#REF!,0),0)</f>
        <v>#REF!</v>
      </c>
      <c r="H64" s="48"/>
      <c r="I64" s="48"/>
      <c r="J64" s="48"/>
      <c r="K64" s="48"/>
      <c r="L64" s="48"/>
      <c r="M64" s="48"/>
      <c r="N64" s="48"/>
      <c r="O64" s="48"/>
      <c r="P64" s="48">
        <v>10.08</v>
      </c>
      <c r="Q64" s="48">
        <v>31.23</v>
      </c>
      <c r="R64" s="371" t="e">
        <f t="shared" si="22"/>
        <v>#REF!</v>
      </c>
      <c r="S64" s="371" t="e">
        <f t="shared" ref="S64:AA64" si="63">$G64*I64</f>
        <v>#REF!</v>
      </c>
      <c r="T64" s="371" t="e">
        <f t="shared" si="63"/>
        <v>#REF!</v>
      </c>
      <c r="U64" s="371" t="e">
        <f t="shared" si="63"/>
        <v>#REF!</v>
      </c>
      <c r="V64" s="371" t="e">
        <f t="shared" si="63"/>
        <v>#REF!</v>
      </c>
      <c r="W64" s="371" t="e">
        <f t="shared" si="63"/>
        <v>#REF!</v>
      </c>
      <c r="X64" s="371" t="e">
        <f t="shared" si="63"/>
        <v>#REF!</v>
      </c>
      <c r="Y64" s="371" t="e">
        <f t="shared" si="63"/>
        <v>#REF!</v>
      </c>
      <c r="Z64" s="371" t="e">
        <f t="shared" si="63"/>
        <v>#REF!</v>
      </c>
      <c r="AA64" s="371" t="e">
        <f t="shared" si="63"/>
        <v>#REF!</v>
      </c>
      <c r="AB64" s="50"/>
    </row>
    <row r="65" ht="28.8" outlineLevel="2" spans="1:28">
      <c r="A65" s="52">
        <f>MAX($A$6:A64)+1</f>
        <v>56</v>
      </c>
      <c r="B65" s="51" t="s">
        <v>293</v>
      </c>
      <c r="C65" s="51" t="e">
        <f>VLOOKUP($B65,#REF!,MATCH(C$2,#REF!,0),0)</f>
        <v>#REF!</v>
      </c>
      <c r="D65" s="136"/>
      <c r="E65" s="136"/>
      <c r="F65" s="136" t="e">
        <f>VLOOKUP($B65,#REF!,MATCH(F$2,#REF!,0),0)</f>
        <v>#REF!</v>
      </c>
      <c r="G65" s="137" t="e">
        <f>VLOOKUP($B65,#REF!,MATCH(G$2,#REF!,0),0)</f>
        <v>#REF!</v>
      </c>
      <c r="H65" s="48"/>
      <c r="I65" s="48"/>
      <c r="J65" s="48"/>
      <c r="K65" s="48"/>
      <c r="L65" s="48"/>
      <c r="M65" s="48"/>
      <c r="N65" s="48"/>
      <c r="O65" s="48"/>
      <c r="P65" s="48">
        <v>269.19</v>
      </c>
      <c r="Q65" s="48">
        <v>667.78</v>
      </c>
      <c r="R65" s="371" t="e">
        <f t="shared" si="22"/>
        <v>#REF!</v>
      </c>
      <c r="S65" s="371" t="e">
        <f t="shared" ref="S65:AA65" si="64">$G65*I65</f>
        <v>#REF!</v>
      </c>
      <c r="T65" s="371" t="e">
        <f t="shared" si="64"/>
        <v>#REF!</v>
      </c>
      <c r="U65" s="371" t="e">
        <f t="shared" si="64"/>
        <v>#REF!</v>
      </c>
      <c r="V65" s="371" t="e">
        <f t="shared" si="64"/>
        <v>#REF!</v>
      </c>
      <c r="W65" s="371" t="e">
        <f t="shared" si="64"/>
        <v>#REF!</v>
      </c>
      <c r="X65" s="371" t="e">
        <f t="shared" si="64"/>
        <v>#REF!</v>
      </c>
      <c r="Y65" s="371" t="e">
        <f t="shared" si="64"/>
        <v>#REF!</v>
      </c>
      <c r="Z65" s="371" t="e">
        <f t="shared" si="64"/>
        <v>#REF!</v>
      </c>
      <c r="AA65" s="371" t="e">
        <f t="shared" si="64"/>
        <v>#REF!</v>
      </c>
      <c r="AB65" s="50"/>
    </row>
    <row r="66" ht="28.8" outlineLevel="2" spans="1:28">
      <c r="A66" s="52">
        <f>MAX($A$6:A65)+1</f>
        <v>57</v>
      </c>
      <c r="B66" s="51" t="s">
        <v>294</v>
      </c>
      <c r="C66" s="51" t="e">
        <f>VLOOKUP($B66,#REF!,MATCH(C$2,#REF!,0),0)</f>
        <v>#REF!</v>
      </c>
      <c r="D66" s="136"/>
      <c r="E66" s="136"/>
      <c r="F66" s="136" t="e">
        <f>VLOOKUP($B66,#REF!,MATCH(F$2,#REF!,0),0)</f>
        <v>#REF!</v>
      </c>
      <c r="G66" s="137" t="e">
        <f>VLOOKUP($B66,#REF!,MATCH(G$2,#REF!,0),0)</f>
        <v>#REF!</v>
      </c>
      <c r="H66" s="48"/>
      <c r="I66" s="48"/>
      <c r="J66" s="48"/>
      <c r="K66" s="48"/>
      <c r="L66" s="48"/>
      <c r="M66" s="48"/>
      <c r="N66" s="48"/>
      <c r="O66" s="48"/>
      <c r="P66" s="48">
        <v>26.92</v>
      </c>
      <c r="Q66" s="48">
        <v>18.04</v>
      </c>
      <c r="R66" s="371" t="e">
        <f t="shared" si="22"/>
        <v>#REF!</v>
      </c>
      <c r="S66" s="371" t="e">
        <f t="shared" ref="S66:AA66" si="65">$G66*I66</f>
        <v>#REF!</v>
      </c>
      <c r="T66" s="371" t="e">
        <f t="shared" si="65"/>
        <v>#REF!</v>
      </c>
      <c r="U66" s="371" t="e">
        <f t="shared" si="65"/>
        <v>#REF!</v>
      </c>
      <c r="V66" s="371" t="e">
        <f t="shared" si="65"/>
        <v>#REF!</v>
      </c>
      <c r="W66" s="371" t="e">
        <f t="shared" si="65"/>
        <v>#REF!</v>
      </c>
      <c r="X66" s="371" t="e">
        <f t="shared" si="65"/>
        <v>#REF!</v>
      </c>
      <c r="Y66" s="371" t="e">
        <f t="shared" si="65"/>
        <v>#REF!</v>
      </c>
      <c r="Z66" s="371" t="e">
        <f t="shared" si="65"/>
        <v>#REF!</v>
      </c>
      <c r="AA66" s="371" t="e">
        <f t="shared" si="65"/>
        <v>#REF!</v>
      </c>
      <c r="AB66" s="50"/>
    </row>
    <row r="67" ht="28.8" outlineLevel="2" spans="1:28">
      <c r="A67" s="52">
        <f>MAX($A$6:A66)+1</f>
        <v>58</v>
      </c>
      <c r="B67" s="51" t="s">
        <v>284</v>
      </c>
      <c r="C67" s="51" t="e">
        <f>VLOOKUP($B67,#REF!,MATCH(C$2,#REF!,0),0)</f>
        <v>#REF!</v>
      </c>
      <c r="D67" s="136"/>
      <c r="E67" s="136"/>
      <c r="F67" s="136" t="e">
        <f>VLOOKUP($B67,#REF!,MATCH(F$2,#REF!,0),0)</f>
        <v>#REF!</v>
      </c>
      <c r="G67" s="137" t="e">
        <f>VLOOKUP($B67,#REF!,MATCH(G$2,#REF!,0),0)</f>
        <v>#REF!</v>
      </c>
      <c r="H67" s="48"/>
      <c r="I67" s="48"/>
      <c r="J67" s="48"/>
      <c r="K67" s="48"/>
      <c r="L67" s="48"/>
      <c r="M67" s="48"/>
      <c r="N67" s="48"/>
      <c r="O67" s="48"/>
      <c r="P67" s="48">
        <v>381.77</v>
      </c>
      <c r="Q67" s="48">
        <v>917.3</v>
      </c>
      <c r="R67" s="371" t="e">
        <f t="shared" si="22"/>
        <v>#REF!</v>
      </c>
      <c r="S67" s="371" t="e">
        <f t="shared" ref="S67:AA67" si="66">$G67*I67</f>
        <v>#REF!</v>
      </c>
      <c r="T67" s="371" t="e">
        <f t="shared" si="66"/>
        <v>#REF!</v>
      </c>
      <c r="U67" s="371" t="e">
        <f t="shared" si="66"/>
        <v>#REF!</v>
      </c>
      <c r="V67" s="371" t="e">
        <f t="shared" si="66"/>
        <v>#REF!</v>
      </c>
      <c r="W67" s="371" t="e">
        <f t="shared" si="66"/>
        <v>#REF!</v>
      </c>
      <c r="X67" s="371" t="e">
        <f t="shared" si="66"/>
        <v>#REF!</v>
      </c>
      <c r="Y67" s="371" t="e">
        <f t="shared" si="66"/>
        <v>#REF!</v>
      </c>
      <c r="Z67" s="371" t="e">
        <f t="shared" si="66"/>
        <v>#REF!</v>
      </c>
      <c r="AA67" s="371" t="e">
        <f t="shared" si="66"/>
        <v>#REF!</v>
      </c>
      <c r="AB67" s="50"/>
    </row>
    <row r="68" ht="28.8" outlineLevel="2" spans="1:28">
      <c r="A68" s="52">
        <f>MAX($A$6:A67)+1</f>
        <v>59</v>
      </c>
      <c r="B68" s="51" t="s">
        <v>295</v>
      </c>
      <c r="C68" s="51" t="e">
        <f>VLOOKUP($B68,#REF!,MATCH(C$2,#REF!,0),0)</f>
        <v>#REF!</v>
      </c>
      <c r="D68" s="136"/>
      <c r="E68" s="136"/>
      <c r="F68" s="136" t="e">
        <f>VLOOKUP($B68,#REF!,MATCH(F$2,#REF!,0),0)</f>
        <v>#REF!</v>
      </c>
      <c r="G68" s="137" t="e">
        <f>VLOOKUP($B68,#REF!,MATCH(G$2,#REF!,0),0)</f>
        <v>#REF!</v>
      </c>
      <c r="H68" s="48"/>
      <c r="I68" s="48"/>
      <c r="J68" s="48"/>
      <c r="K68" s="48"/>
      <c r="L68" s="48"/>
      <c r="M68" s="48"/>
      <c r="N68" s="48"/>
      <c r="O68" s="48"/>
      <c r="P68" s="48">
        <v>1</v>
      </c>
      <c r="Q68" s="48">
        <v>1</v>
      </c>
      <c r="R68" s="371" t="e">
        <f t="shared" si="22"/>
        <v>#REF!</v>
      </c>
      <c r="S68" s="371" t="e">
        <f t="shared" ref="S68:AA68" si="67">$G68*I68</f>
        <v>#REF!</v>
      </c>
      <c r="T68" s="371" t="e">
        <f t="shared" si="67"/>
        <v>#REF!</v>
      </c>
      <c r="U68" s="371" t="e">
        <f t="shared" si="67"/>
        <v>#REF!</v>
      </c>
      <c r="V68" s="371" t="e">
        <f t="shared" si="67"/>
        <v>#REF!</v>
      </c>
      <c r="W68" s="371" t="e">
        <f t="shared" si="67"/>
        <v>#REF!</v>
      </c>
      <c r="X68" s="371" t="e">
        <f t="shared" si="67"/>
        <v>#REF!</v>
      </c>
      <c r="Y68" s="371" t="e">
        <f t="shared" si="67"/>
        <v>#REF!</v>
      </c>
      <c r="Z68" s="371" t="e">
        <f t="shared" si="67"/>
        <v>#REF!</v>
      </c>
      <c r="AA68" s="371" t="e">
        <f t="shared" si="67"/>
        <v>#REF!</v>
      </c>
      <c r="AB68" s="50"/>
    </row>
    <row r="69" ht="28.8" outlineLevel="2" spans="1:28">
      <c r="A69" s="52">
        <f>MAX($A$6:A68)+1</f>
        <v>60</v>
      </c>
      <c r="B69" s="51" t="s">
        <v>296</v>
      </c>
      <c r="C69" s="51" t="e">
        <f>VLOOKUP($B69,#REF!,MATCH(C$2,#REF!,0),0)</f>
        <v>#REF!</v>
      </c>
      <c r="D69" s="136"/>
      <c r="E69" s="136"/>
      <c r="F69" s="136" t="e">
        <f>VLOOKUP($B69,#REF!,MATCH(F$2,#REF!,0),0)</f>
        <v>#REF!</v>
      </c>
      <c r="G69" s="137" t="e">
        <f>VLOOKUP($B69,#REF!,MATCH(G$2,#REF!,0),0)</f>
        <v>#REF!</v>
      </c>
      <c r="H69" s="48"/>
      <c r="I69" s="48"/>
      <c r="J69" s="48"/>
      <c r="K69" s="48"/>
      <c r="L69" s="48"/>
      <c r="M69" s="48"/>
      <c r="N69" s="48"/>
      <c r="O69" s="48"/>
      <c r="P69" s="48">
        <v>1</v>
      </c>
      <c r="Q69" s="48">
        <v>1</v>
      </c>
      <c r="R69" s="371" t="e">
        <f t="shared" si="22"/>
        <v>#REF!</v>
      </c>
      <c r="S69" s="371" t="e">
        <f t="shared" ref="S69:AA69" si="68">$G69*I69</f>
        <v>#REF!</v>
      </c>
      <c r="T69" s="371" t="e">
        <f t="shared" si="68"/>
        <v>#REF!</v>
      </c>
      <c r="U69" s="371" t="e">
        <f t="shared" si="68"/>
        <v>#REF!</v>
      </c>
      <c r="V69" s="371" t="e">
        <f t="shared" si="68"/>
        <v>#REF!</v>
      </c>
      <c r="W69" s="371" t="e">
        <f t="shared" si="68"/>
        <v>#REF!</v>
      </c>
      <c r="X69" s="371" t="e">
        <f t="shared" si="68"/>
        <v>#REF!</v>
      </c>
      <c r="Y69" s="371" t="e">
        <f t="shared" si="68"/>
        <v>#REF!</v>
      </c>
      <c r="Z69" s="371" t="e">
        <f t="shared" si="68"/>
        <v>#REF!</v>
      </c>
      <c r="AA69" s="371" t="e">
        <f t="shared" si="68"/>
        <v>#REF!</v>
      </c>
      <c r="AB69" s="50"/>
    </row>
    <row r="70" outlineLevel="2" spans="1:28">
      <c r="A70" s="52">
        <f>MAX($A$6:A69)+1</f>
        <v>61</v>
      </c>
      <c r="B70" s="51" t="s">
        <v>297</v>
      </c>
      <c r="C70" s="51" t="e">
        <f>VLOOKUP($B70,#REF!,MATCH(C$2,#REF!,0),0)</f>
        <v>#REF!</v>
      </c>
      <c r="D70" s="136"/>
      <c r="E70" s="136"/>
      <c r="F70" s="136" t="e">
        <f>VLOOKUP($B70,#REF!,MATCH(F$2,#REF!,0),0)</f>
        <v>#REF!</v>
      </c>
      <c r="G70" s="137" t="e">
        <f>VLOOKUP($B70,#REF!,MATCH(G$2,#REF!,0),0)</f>
        <v>#REF!</v>
      </c>
      <c r="H70" s="48"/>
      <c r="I70" s="48"/>
      <c r="J70" s="48"/>
      <c r="K70" s="48"/>
      <c r="L70" s="48"/>
      <c r="M70" s="48"/>
      <c r="N70" s="48"/>
      <c r="O70" s="48"/>
      <c r="P70" s="48">
        <v>1.23</v>
      </c>
      <c r="Q70" s="48">
        <v>1.23</v>
      </c>
      <c r="R70" s="371" t="e">
        <f t="shared" si="22"/>
        <v>#REF!</v>
      </c>
      <c r="S70" s="371" t="e">
        <f t="shared" ref="S70:AA70" si="69">$G70*I70</f>
        <v>#REF!</v>
      </c>
      <c r="T70" s="371" t="e">
        <f t="shared" si="69"/>
        <v>#REF!</v>
      </c>
      <c r="U70" s="371" t="e">
        <f t="shared" si="69"/>
        <v>#REF!</v>
      </c>
      <c r="V70" s="371" t="e">
        <f t="shared" si="69"/>
        <v>#REF!</v>
      </c>
      <c r="W70" s="371" t="e">
        <f t="shared" si="69"/>
        <v>#REF!</v>
      </c>
      <c r="X70" s="371" t="e">
        <f t="shared" si="69"/>
        <v>#REF!</v>
      </c>
      <c r="Y70" s="371" t="e">
        <f t="shared" si="69"/>
        <v>#REF!</v>
      </c>
      <c r="Z70" s="371" t="e">
        <f t="shared" si="69"/>
        <v>#REF!</v>
      </c>
      <c r="AA70" s="371" t="e">
        <f t="shared" si="69"/>
        <v>#REF!</v>
      </c>
      <c r="AB70" s="50"/>
    </row>
    <row r="71" s="29" customFormat="1" outlineLevel="1" spans="1:28">
      <c r="A71" s="40"/>
      <c r="B71" s="41" t="str">
        <f>目录!H6</f>
        <v>A.02.02钢筋工程</v>
      </c>
      <c r="C71" s="41"/>
      <c r="D71" s="141"/>
      <c r="E71" s="141"/>
      <c r="F71" s="40"/>
      <c r="G71" s="43"/>
      <c r="H71" s="43"/>
      <c r="I71" s="43"/>
      <c r="J71" s="43"/>
      <c r="K71" s="43"/>
      <c r="L71" s="43"/>
      <c r="M71" s="43"/>
      <c r="N71" s="43"/>
      <c r="O71" s="43"/>
      <c r="P71" s="43"/>
      <c r="Q71" s="43"/>
      <c r="R71" s="369" t="e">
        <f t="shared" ref="R71:AA71" si="70">SUM(R72:R87)</f>
        <v>#REF!</v>
      </c>
      <c r="S71" s="369" t="e">
        <f t="shared" si="70"/>
        <v>#REF!</v>
      </c>
      <c r="T71" s="369" t="e">
        <f t="shared" si="70"/>
        <v>#REF!</v>
      </c>
      <c r="U71" s="369" t="e">
        <f t="shared" si="70"/>
        <v>#REF!</v>
      </c>
      <c r="V71" s="369" t="e">
        <f t="shared" si="70"/>
        <v>#REF!</v>
      </c>
      <c r="W71" s="369" t="e">
        <f t="shared" si="70"/>
        <v>#REF!</v>
      </c>
      <c r="X71" s="369" t="e">
        <f t="shared" si="70"/>
        <v>#REF!</v>
      </c>
      <c r="Y71" s="369" t="e">
        <f t="shared" si="70"/>
        <v>#REF!</v>
      </c>
      <c r="Z71" s="369" t="e">
        <f t="shared" si="70"/>
        <v>#REF!</v>
      </c>
      <c r="AA71" s="369" t="e">
        <f t="shared" si="70"/>
        <v>#REF!</v>
      </c>
      <c r="AB71" s="40"/>
    </row>
    <row r="72" ht="43.2" outlineLevel="2" spans="1:28">
      <c r="A72" s="52">
        <f>MAX($A$6:A71)+1</f>
        <v>62</v>
      </c>
      <c r="B72" s="51" t="s">
        <v>298</v>
      </c>
      <c r="C72" s="51" t="e">
        <f>VLOOKUP($B72,#REF!,MATCH(C$2,#REF!,0),0)</f>
        <v>#REF!</v>
      </c>
      <c r="D72" s="136" t="s">
        <v>190</v>
      </c>
      <c r="E72" s="136" t="s">
        <v>190</v>
      </c>
      <c r="F72" s="136" t="e">
        <f>VLOOKUP($B72,#REF!,MATCH(F$2,#REF!,0),0)</f>
        <v>#REF!</v>
      </c>
      <c r="G72" s="137" t="e">
        <f>VLOOKUP($B72,#REF!,MATCH(G$2,#REF!,0),0)</f>
        <v>#REF!</v>
      </c>
      <c r="H72" s="48">
        <v>0.21</v>
      </c>
      <c r="I72" s="48">
        <v>0.21</v>
      </c>
      <c r="J72" s="48">
        <v>0.197</v>
      </c>
      <c r="K72" s="48">
        <v>0.197</v>
      </c>
      <c r="L72" s="48">
        <v>0.186</v>
      </c>
      <c r="M72" s="48"/>
      <c r="N72" s="48"/>
      <c r="O72" s="48"/>
      <c r="P72" s="48">
        <v>4.507</v>
      </c>
      <c r="Q72" s="48">
        <v>15.252</v>
      </c>
      <c r="R72" s="371" t="e">
        <f>$G72*H72</f>
        <v>#REF!</v>
      </c>
      <c r="S72" s="371" t="e">
        <f t="shared" ref="S72:AA72" si="71">$G72*I72</f>
        <v>#REF!</v>
      </c>
      <c r="T72" s="371" t="e">
        <f t="shared" si="71"/>
        <v>#REF!</v>
      </c>
      <c r="U72" s="371" t="e">
        <f t="shared" si="71"/>
        <v>#REF!</v>
      </c>
      <c r="V72" s="371" t="e">
        <f t="shared" si="71"/>
        <v>#REF!</v>
      </c>
      <c r="W72" s="371" t="e">
        <f t="shared" si="71"/>
        <v>#REF!</v>
      </c>
      <c r="X72" s="371" t="e">
        <f t="shared" si="71"/>
        <v>#REF!</v>
      </c>
      <c r="Y72" s="371" t="e">
        <f t="shared" si="71"/>
        <v>#REF!</v>
      </c>
      <c r="Z72" s="371" t="e">
        <f t="shared" si="71"/>
        <v>#REF!</v>
      </c>
      <c r="AA72" s="371" t="e">
        <f t="shared" si="71"/>
        <v>#REF!</v>
      </c>
      <c r="AB72" s="50"/>
    </row>
    <row r="73" ht="43.2" outlineLevel="2" spans="1:28">
      <c r="A73" s="52">
        <f>MAX($A$6:A72)+1</f>
        <v>63</v>
      </c>
      <c r="B73" s="51" t="s">
        <v>299</v>
      </c>
      <c r="C73" s="51" t="e">
        <f>VLOOKUP($B73,#REF!,MATCH(C$2,#REF!,0),0)</f>
        <v>#REF!</v>
      </c>
      <c r="D73" s="136" t="s">
        <v>190</v>
      </c>
      <c r="E73" s="136" t="s">
        <v>190</v>
      </c>
      <c r="F73" s="136" t="e">
        <f>VLOOKUP($B73,#REF!,MATCH(F$2,#REF!,0),0)</f>
        <v>#REF!</v>
      </c>
      <c r="G73" s="137" t="e">
        <f>VLOOKUP($B73,#REF!,MATCH(G$2,#REF!,0),0)</f>
        <v>#REF!</v>
      </c>
      <c r="H73" s="48">
        <v>1.575</v>
      </c>
      <c r="I73" s="48">
        <v>1.575</v>
      </c>
      <c r="J73" s="48">
        <v>0.499</v>
      </c>
      <c r="K73" s="48">
        <v>0.499</v>
      </c>
      <c r="L73" s="48">
        <v>0.135</v>
      </c>
      <c r="M73" s="48"/>
      <c r="N73" s="48"/>
      <c r="O73" s="48"/>
      <c r="P73" s="48">
        <v>19.195</v>
      </c>
      <c r="Q73" s="48">
        <v>2.513</v>
      </c>
      <c r="R73" s="371" t="e">
        <f t="shared" ref="R73:R87" si="72">$G73*H73</f>
        <v>#REF!</v>
      </c>
      <c r="S73" s="371" t="e">
        <f t="shared" ref="S73:AA73" si="73">$G73*I73</f>
        <v>#REF!</v>
      </c>
      <c r="T73" s="371" t="e">
        <f t="shared" si="73"/>
        <v>#REF!</v>
      </c>
      <c r="U73" s="371" t="e">
        <f t="shared" si="73"/>
        <v>#REF!</v>
      </c>
      <c r="V73" s="371" t="e">
        <f t="shared" si="73"/>
        <v>#REF!</v>
      </c>
      <c r="W73" s="371" t="e">
        <f t="shared" si="73"/>
        <v>#REF!</v>
      </c>
      <c r="X73" s="371" t="e">
        <f t="shared" si="73"/>
        <v>#REF!</v>
      </c>
      <c r="Y73" s="371" t="e">
        <f t="shared" si="73"/>
        <v>#REF!</v>
      </c>
      <c r="Z73" s="371" t="e">
        <f t="shared" si="73"/>
        <v>#REF!</v>
      </c>
      <c r="AA73" s="371" t="e">
        <f t="shared" si="73"/>
        <v>#REF!</v>
      </c>
      <c r="AB73" s="50"/>
    </row>
    <row r="74" ht="43.2" outlineLevel="2" spans="1:28">
      <c r="A74" s="52">
        <f>MAX($A$6:A73)+1</f>
        <v>64</v>
      </c>
      <c r="B74" s="51" t="s">
        <v>300</v>
      </c>
      <c r="C74" s="51" t="e">
        <f>VLOOKUP($B74,#REF!,MATCH(C$2,#REF!,0),0)</f>
        <v>#REF!</v>
      </c>
      <c r="D74" s="136" t="s">
        <v>190</v>
      </c>
      <c r="E74" s="136" t="s">
        <v>190</v>
      </c>
      <c r="F74" s="136" t="e">
        <f>VLOOKUP($B74,#REF!,MATCH(F$2,#REF!,0),0)</f>
        <v>#REF!</v>
      </c>
      <c r="G74" s="137" t="e">
        <f>VLOOKUP($B74,#REF!,MATCH(G$2,#REF!,0),0)</f>
        <v>#REF!</v>
      </c>
      <c r="H74" s="48">
        <v>20.088</v>
      </c>
      <c r="I74" s="48">
        <v>20.088</v>
      </c>
      <c r="J74" s="48">
        <v>13.53</v>
      </c>
      <c r="K74" s="48">
        <v>13.53</v>
      </c>
      <c r="L74" s="48">
        <v>7.717</v>
      </c>
      <c r="M74" s="48"/>
      <c r="N74" s="48"/>
      <c r="O74" s="48"/>
      <c r="P74" s="48">
        <v>52.194</v>
      </c>
      <c r="Q74" s="48">
        <v>137.451</v>
      </c>
      <c r="R74" s="371" t="e">
        <f t="shared" si="72"/>
        <v>#REF!</v>
      </c>
      <c r="S74" s="371" t="e">
        <f t="shared" ref="S74:AA74" si="74">$G74*I74</f>
        <v>#REF!</v>
      </c>
      <c r="T74" s="371" t="e">
        <f t="shared" si="74"/>
        <v>#REF!</v>
      </c>
      <c r="U74" s="371" t="e">
        <f t="shared" si="74"/>
        <v>#REF!</v>
      </c>
      <c r="V74" s="371" t="e">
        <f t="shared" si="74"/>
        <v>#REF!</v>
      </c>
      <c r="W74" s="371" t="e">
        <f t="shared" si="74"/>
        <v>#REF!</v>
      </c>
      <c r="X74" s="371" t="e">
        <f t="shared" si="74"/>
        <v>#REF!</v>
      </c>
      <c r="Y74" s="371" t="e">
        <f t="shared" si="74"/>
        <v>#REF!</v>
      </c>
      <c r="Z74" s="371" t="e">
        <f t="shared" si="74"/>
        <v>#REF!</v>
      </c>
      <c r="AA74" s="371" t="e">
        <f t="shared" si="74"/>
        <v>#REF!</v>
      </c>
      <c r="AB74" s="50"/>
    </row>
    <row r="75" ht="43.2" outlineLevel="2" spans="1:28">
      <c r="A75" s="52">
        <f>MAX($A$6:A74)+1</f>
        <v>65</v>
      </c>
      <c r="B75" s="51" t="s">
        <v>301</v>
      </c>
      <c r="C75" s="51" t="e">
        <f>VLOOKUP($B75,#REF!,MATCH(C$2,#REF!,0),0)</f>
        <v>#REF!</v>
      </c>
      <c r="D75" s="136" t="s">
        <v>190</v>
      </c>
      <c r="E75" s="136" t="s">
        <v>190</v>
      </c>
      <c r="F75" s="136" t="e">
        <f>VLOOKUP($B75,#REF!,MATCH(F$2,#REF!,0),0)</f>
        <v>#REF!</v>
      </c>
      <c r="G75" s="137" t="e">
        <f>VLOOKUP($B75,#REF!,MATCH(G$2,#REF!,0),0)</f>
        <v>#REF!</v>
      </c>
      <c r="H75" s="48">
        <v>4.626</v>
      </c>
      <c r="I75" s="48">
        <v>4.626</v>
      </c>
      <c r="J75" s="48">
        <v>3.542</v>
      </c>
      <c r="K75" s="48">
        <v>3.542</v>
      </c>
      <c r="L75" s="48">
        <v>2.383</v>
      </c>
      <c r="M75" s="48"/>
      <c r="N75" s="48"/>
      <c r="O75" s="48"/>
      <c r="P75" s="48">
        <v>91.404</v>
      </c>
      <c r="Q75" s="48">
        <v>158.209</v>
      </c>
      <c r="R75" s="371" t="e">
        <f t="shared" si="72"/>
        <v>#REF!</v>
      </c>
      <c r="S75" s="371" t="e">
        <f t="shared" ref="S75:AA75" si="75">$G75*I75</f>
        <v>#REF!</v>
      </c>
      <c r="T75" s="371" t="e">
        <f t="shared" si="75"/>
        <v>#REF!</v>
      </c>
      <c r="U75" s="371" t="e">
        <f t="shared" si="75"/>
        <v>#REF!</v>
      </c>
      <c r="V75" s="371" t="e">
        <f t="shared" si="75"/>
        <v>#REF!</v>
      </c>
      <c r="W75" s="371" t="e">
        <f t="shared" si="75"/>
        <v>#REF!</v>
      </c>
      <c r="X75" s="371" t="e">
        <f t="shared" si="75"/>
        <v>#REF!</v>
      </c>
      <c r="Y75" s="371" t="e">
        <f t="shared" si="75"/>
        <v>#REF!</v>
      </c>
      <c r="Z75" s="371" t="e">
        <f t="shared" si="75"/>
        <v>#REF!</v>
      </c>
      <c r="AA75" s="371" t="e">
        <f t="shared" si="75"/>
        <v>#REF!</v>
      </c>
      <c r="AB75" s="50"/>
    </row>
    <row r="76" ht="43.2" outlineLevel="2" spans="1:28">
      <c r="A76" s="52">
        <f>MAX($A$6:A75)+1</f>
        <v>66</v>
      </c>
      <c r="B76" s="51" t="s">
        <v>302</v>
      </c>
      <c r="C76" s="51" t="e">
        <f>VLOOKUP($B76,#REF!,MATCH(C$2,#REF!,0),0)</f>
        <v>#REF!</v>
      </c>
      <c r="D76" s="136" t="s">
        <v>190</v>
      </c>
      <c r="E76" s="136" t="s">
        <v>190</v>
      </c>
      <c r="F76" s="136" t="e">
        <f>VLOOKUP($B76,#REF!,MATCH(F$2,#REF!,0),0)</f>
        <v>#REF!</v>
      </c>
      <c r="G76" s="137" t="e">
        <f>VLOOKUP($B76,#REF!,MATCH(G$2,#REF!,0),0)</f>
        <v>#REF!</v>
      </c>
      <c r="H76" s="48">
        <v>43.787</v>
      </c>
      <c r="I76" s="48">
        <v>43.787</v>
      </c>
      <c r="J76" s="48">
        <v>37.228</v>
      </c>
      <c r="K76" s="48">
        <v>37.228</v>
      </c>
      <c r="L76" s="48">
        <v>20.753</v>
      </c>
      <c r="M76" s="48"/>
      <c r="N76" s="48"/>
      <c r="O76" s="48"/>
      <c r="P76" s="48">
        <v>29.917</v>
      </c>
      <c r="Q76" s="48">
        <v>774.149</v>
      </c>
      <c r="R76" s="371" t="e">
        <f t="shared" si="72"/>
        <v>#REF!</v>
      </c>
      <c r="S76" s="371" t="e">
        <f t="shared" ref="S76:AA76" si="76">$G76*I76</f>
        <v>#REF!</v>
      </c>
      <c r="T76" s="371" t="e">
        <f t="shared" si="76"/>
        <v>#REF!</v>
      </c>
      <c r="U76" s="371" t="e">
        <f t="shared" si="76"/>
        <v>#REF!</v>
      </c>
      <c r="V76" s="371" t="e">
        <f t="shared" si="76"/>
        <v>#REF!</v>
      </c>
      <c r="W76" s="371" t="e">
        <f t="shared" si="76"/>
        <v>#REF!</v>
      </c>
      <c r="X76" s="371" t="e">
        <f t="shared" si="76"/>
        <v>#REF!</v>
      </c>
      <c r="Y76" s="371" t="e">
        <f t="shared" si="76"/>
        <v>#REF!</v>
      </c>
      <c r="Z76" s="371" t="e">
        <f t="shared" si="76"/>
        <v>#REF!</v>
      </c>
      <c r="AA76" s="371" t="e">
        <f t="shared" si="76"/>
        <v>#REF!</v>
      </c>
      <c r="AB76" s="50"/>
    </row>
    <row r="77" ht="43.2" outlineLevel="2" spans="1:28">
      <c r="A77" s="52">
        <f>MAX($A$6:A76)+1</f>
        <v>67</v>
      </c>
      <c r="B77" s="51" t="s">
        <v>303</v>
      </c>
      <c r="C77" s="51" t="e">
        <f>VLOOKUP($B77,#REF!,MATCH(C$2,#REF!,0),0)</f>
        <v>#REF!</v>
      </c>
      <c r="D77" s="136" t="s">
        <v>190</v>
      </c>
      <c r="E77" s="136" t="s">
        <v>190</v>
      </c>
      <c r="F77" s="136" t="e">
        <f>VLOOKUP($B77,#REF!,MATCH(F$2,#REF!,0),0)</f>
        <v>#REF!</v>
      </c>
      <c r="G77" s="137" t="e">
        <f>VLOOKUP($B77,#REF!,MATCH(G$2,#REF!,0),0)</f>
        <v>#REF!</v>
      </c>
      <c r="H77" s="48">
        <v>3.55</v>
      </c>
      <c r="I77" s="48">
        <v>3.55</v>
      </c>
      <c r="J77" s="48">
        <v>28.892</v>
      </c>
      <c r="K77" s="48">
        <v>28.892</v>
      </c>
      <c r="L77" s="48">
        <v>21.988</v>
      </c>
      <c r="M77" s="48"/>
      <c r="N77" s="48"/>
      <c r="O77" s="48"/>
      <c r="P77" s="48">
        <v>225.218</v>
      </c>
      <c r="Q77" s="48">
        <v>472.28</v>
      </c>
      <c r="R77" s="371" t="e">
        <f t="shared" si="72"/>
        <v>#REF!</v>
      </c>
      <c r="S77" s="371" t="e">
        <f t="shared" ref="S77:AA77" si="77">$G77*I77</f>
        <v>#REF!</v>
      </c>
      <c r="T77" s="371" t="e">
        <f t="shared" si="77"/>
        <v>#REF!</v>
      </c>
      <c r="U77" s="371" t="e">
        <f t="shared" si="77"/>
        <v>#REF!</v>
      </c>
      <c r="V77" s="371" t="e">
        <f t="shared" si="77"/>
        <v>#REF!</v>
      </c>
      <c r="W77" s="371" t="e">
        <f t="shared" si="77"/>
        <v>#REF!</v>
      </c>
      <c r="X77" s="371" t="e">
        <f t="shared" si="77"/>
        <v>#REF!</v>
      </c>
      <c r="Y77" s="371" t="e">
        <f t="shared" si="77"/>
        <v>#REF!</v>
      </c>
      <c r="Z77" s="371" t="e">
        <f t="shared" si="77"/>
        <v>#REF!</v>
      </c>
      <c r="AA77" s="371" t="e">
        <f t="shared" si="77"/>
        <v>#REF!</v>
      </c>
      <c r="AB77" s="50"/>
    </row>
    <row r="78" ht="43.2" outlineLevel="2" spans="1:28">
      <c r="A78" s="52">
        <f>MAX($A$6:A77)+1</f>
        <v>68</v>
      </c>
      <c r="B78" s="51" t="s">
        <v>304</v>
      </c>
      <c r="C78" s="51" t="e">
        <f>VLOOKUP($B78,#REF!,MATCH(C$2,#REF!,0),0)</f>
        <v>#REF!</v>
      </c>
      <c r="D78" s="136" t="s">
        <v>190</v>
      </c>
      <c r="E78" s="136" t="s">
        <v>190</v>
      </c>
      <c r="F78" s="136" t="e">
        <f>VLOOKUP($B78,#REF!,MATCH(F$2,#REF!,0),0)</f>
        <v>#REF!</v>
      </c>
      <c r="G78" s="137" t="e">
        <f>VLOOKUP($B78,#REF!,MATCH(G$2,#REF!,0),0)</f>
        <v>#REF!</v>
      </c>
      <c r="H78" s="48">
        <v>57.564</v>
      </c>
      <c r="I78" s="48">
        <v>57.564</v>
      </c>
      <c r="J78" s="48">
        <v>9.729</v>
      </c>
      <c r="K78" s="48">
        <v>9.729</v>
      </c>
      <c r="L78" s="48">
        <v>5.339</v>
      </c>
      <c r="M78" s="48"/>
      <c r="N78" s="48"/>
      <c r="O78" s="48"/>
      <c r="P78" s="48">
        <v>100.546</v>
      </c>
      <c r="Q78" s="48">
        <v>449.027</v>
      </c>
      <c r="R78" s="371" t="e">
        <f t="shared" si="72"/>
        <v>#REF!</v>
      </c>
      <c r="S78" s="371" t="e">
        <f t="shared" ref="S78:AA78" si="78">$G78*I78</f>
        <v>#REF!</v>
      </c>
      <c r="T78" s="371" t="e">
        <f t="shared" si="78"/>
        <v>#REF!</v>
      </c>
      <c r="U78" s="371" t="e">
        <f t="shared" si="78"/>
        <v>#REF!</v>
      </c>
      <c r="V78" s="371" t="e">
        <f t="shared" si="78"/>
        <v>#REF!</v>
      </c>
      <c r="W78" s="371" t="e">
        <f t="shared" si="78"/>
        <v>#REF!</v>
      </c>
      <c r="X78" s="371" t="e">
        <f t="shared" si="78"/>
        <v>#REF!</v>
      </c>
      <c r="Y78" s="371" t="e">
        <f t="shared" si="78"/>
        <v>#REF!</v>
      </c>
      <c r="Z78" s="371" t="e">
        <f t="shared" si="78"/>
        <v>#REF!</v>
      </c>
      <c r="AA78" s="371" t="e">
        <f t="shared" si="78"/>
        <v>#REF!</v>
      </c>
      <c r="AB78" s="50"/>
    </row>
    <row r="79" ht="43.2" outlineLevel="2" spans="1:28">
      <c r="A79" s="52">
        <f>MAX($A$6:A78)+1</f>
        <v>69</v>
      </c>
      <c r="B79" s="51" t="s">
        <v>305</v>
      </c>
      <c r="C79" s="51" t="e">
        <f>VLOOKUP($B79,#REF!,MATCH(C$2,#REF!,0),0)</f>
        <v>#REF!</v>
      </c>
      <c r="D79" s="136" t="s">
        <v>190</v>
      </c>
      <c r="E79" s="136" t="s">
        <v>190</v>
      </c>
      <c r="F79" s="136" t="e">
        <f>VLOOKUP($B79,#REF!,MATCH(F$2,#REF!,0),0)</f>
        <v>#REF!</v>
      </c>
      <c r="G79" s="137" t="e">
        <f>VLOOKUP($B79,#REF!,MATCH(G$2,#REF!,0),0)</f>
        <v>#REF!</v>
      </c>
      <c r="H79" s="48">
        <v>3.798</v>
      </c>
      <c r="I79" s="48">
        <v>3.798</v>
      </c>
      <c r="J79" s="48">
        <v>1.492</v>
      </c>
      <c r="K79" s="48">
        <v>1.492</v>
      </c>
      <c r="L79" s="48">
        <v>4.962</v>
      </c>
      <c r="M79" s="48"/>
      <c r="N79" s="48"/>
      <c r="O79" s="48"/>
      <c r="P79" s="48">
        <v>986.77</v>
      </c>
      <c r="Q79" s="48">
        <v>395.917</v>
      </c>
      <c r="R79" s="371" t="e">
        <f t="shared" si="72"/>
        <v>#REF!</v>
      </c>
      <c r="S79" s="371" t="e">
        <f t="shared" ref="S79:AA79" si="79">$G79*I79</f>
        <v>#REF!</v>
      </c>
      <c r="T79" s="371" t="e">
        <f t="shared" si="79"/>
        <v>#REF!</v>
      </c>
      <c r="U79" s="371" t="e">
        <f t="shared" si="79"/>
        <v>#REF!</v>
      </c>
      <c r="V79" s="371" t="e">
        <f t="shared" si="79"/>
        <v>#REF!</v>
      </c>
      <c r="W79" s="371" t="e">
        <f t="shared" si="79"/>
        <v>#REF!</v>
      </c>
      <c r="X79" s="371" t="e">
        <f t="shared" si="79"/>
        <v>#REF!</v>
      </c>
      <c r="Y79" s="371" t="e">
        <f t="shared" si="79"/>
        <v>#REF!</v>
      </c>
      <c r="Z79" s="371" t="e">
        <f t="shared" si="79"/>
        <v>#REF!</v>
      </c>
      <c r="AA79" s="371" t="e">
        <f t="shared" si="79"/>
        <v>#REF!</v>
      </c>
      <c r="AB79" s="50"/>
    </row>
    <row r="80" ht="43.2" outlineLevel="2" spans="1:28">
      <c r="A80" s="52">
        <f>MAX($A$6:A79)+1</f>
        <v>70</v>
      </c>
      <c r="B80" s="51" t="s">
        <v>306</v>
      </c>
      <c r="C80" s="51" t="e">
        <f>VLOOKUP($B80,#REF!,MATCH(C$2,#REF!,0),0)</f>
        <v>#REF!</v>
      </c>
      <c r="D80" s="136" t="s">
        <v>190</v>
      </c>
      <c r="E80" s="136" t="s">
        <v>190</v>
      </c>
      <c r="F80" s="136" t="e">
        <f>VLOOKUP($B80,#REF!,MATCH(F$2,#REF!,0),0)</f>
        <v>#REF!</v>
      </c>
      <c r="G80" s="137" t="e">
        <f>VLOOKUP($B80,#REF!,MATCH(G$2,#REF!,0),0)</f>
        <v>#REF!</v>
      </c>
      <c r="H80" s="48">
        <v>7.675</v>
      </c>
      <c r="I80" s="48">
        <v>7.675</v>
      </c>
      <c r="J80" s="48">
        <v>8.078</v>
      </c>
      <c r="K80" s="48">
        <v>8.078</v>
      </c>
      <c r="L80" s="48">
        <v>3.954</v>
      </c>
      <c r="M80" s="48"/>
      <c r="N80" s="48"/>
      <c r="O80" s="48"/>
      <c r="P80" s="48">
        <v>233.733</v>
      </c>
      <c r="Q80" s="48">
        <v>347.051</v>
      </c>
      <c r="R80" s="371" t="e">
        <f t="shared" si="72"/>
        <v>#REF!</v>
      </c>
      <c r="S80" s="371" t="e">
        <f t="shared" ref="S80:AA80" si="80">$G80*I80</f>
        <v>#REF!</v>
      </c>
      <c r="T80" s="371" t="e">
        <f t="shared" si="80"/>
        <v>#REF!</v>
      </c>
      <c r="U80" s="371" t="e">
        <f t="shared" si="80"/>
        <v>#REF!</v>
      </c>
      <c r="V80" s="371" t="e">
        <f t="shared" si="80"/>
        <v>#REF!</v>
      </c>
      <c r="W80" s="371" t="e">
        <f t="shared" si="80"/>
        <v>#REF!</v>
      </c>
      <c r="X80" s="371" t="e">
        <f t="shared" si="80"/>
        <v>#REF!</v>
      </c>
      <c r="Y80" s="371" t="e">
        <f t="shared" si="80"/>
        <v>#REF!</v>
      </c>
      <c r="Z80" s="371" t="e">
        <f t="shared" si="80"/>
        <v>#REF!</v>
      </c>
      <c r="AA80" s="371" t="e">
        <f t="shared" si="80"/>
        <v>#REF!</v>
      </c>
      <c r="AB80" s="50"/>
    </row>
    <row r="81" ht="43.2" outlineLevel="2" spans="1:28">
      <c r="A81" s="52">
        <f>MAX($A$6:A80)+1</f>
        <v>71</v>
      </c>
      <c r="B81" s="51" t="s">
        <v>307</v>
      </c>
      <c r="C81" s="51" t="e">
        <f>VLOOKUP($B81,#REF!,MATCH(C$2,#REF!,0),0)</f>
        <v>#REF!</v>
      </c>
      <c r="D81" s="136" t="s">
        <v>190</v>
      </c>
      <c r="E81" s="136" t="s">
        <v>190</v>
      </c>
      <c r="F81" s="136" t="e">
        <f>VLOOKUP($B81,#REF!,MATCH(F$2,#REF!,0),0)</f>
        <v>#REF!</v>
      </c>
      <c r="G81" s="137" t="e">
        <f>VLOOKUP($B81,#REF!,MATCH(G$2,#REF!,0),0)</f>
        <v>#REF!</v>
      </c>
      <c r="H81" s="48">
        <v>9.417</v>
      </c>
      <c r="I81" s="48">
        <v>9.417</v>
      </c>
      <c r="J81" s="48">
        <v>6.212</v>
      </c>
      <c r="K81" s="48">
        <v>6.212</v>
      </c>
      <c r="L81" s="48">
        <v>1.405</v>
      </c>
      <c r="M81" s="48"/>
      <c r="N81" s="48"/>
      <c r="O81" s="48"/>
      <c r="P81" s="48">
        <v>92.854</v>
      </c>
      <c r="Q81" s="48">
        <v>67.155</v>
      </c>
      <c r="R81" s="371" t="e">
        <f t="shared" si="72"/>
        <v>#REF!</v>
      </c>
      <c r="S81" s="371" t="e">
        <f t="shared" ref="S81:AA81" si="81">$G81*I81</f>
        <v>#REF!</v>
      </c>
      <c r="T81" s="371" t="e">
        <f t="shared" si="81"/>
        <v>#REF!</v>
      </c>
      <c r="U81" s="371" t="e">
        <f t="shared" si="81"/>
        <v>#REF!</v>
      </c>
      <c r="V81" s="371" t="e">
        <f t="shared" si="81"/>
        <v>#REF!</v>
      </c>
      <c r="W81" s="371" t="e">
        <f t="shared" si="81"/>
        <v>#REF!</v>
      </c>
      <c r="X81" s="371" t="e">
        <f t="shared" si="81"/>
        <v>#REF!</v>
      </c>
      <c r="Y81" s="371" t="e">
        <f t="shared" si="81"/>
        <v>#REF!</v>
      </c>
      <c r="Z81" s="371" t="e">
        <f t="shared" si="81"/>
        <v>#REF!</v>
      </c>
      <c r="AA81" s="371" t="e">
        <f t="shared" si="81"/>
        <v>#REF!</v>
      </c>
      <c r="AB81" s="50"/>
    </row>
    <row r="82" ht="43.2" outlineLevel="2" spans="1:28">
      <c r="A82" s="52">
        <f>MAX($A$6:A81)+1</f>
        <v>72</v>
      </c>
      <c r="B82" s="51" t="s">
        <v>308</v>
      </c>
      <c r="C82" s="51" t="e">
        <f>VLOOKUP($B82,#REF!,MATCH(C$2,#REF!,0),0)</f>
        <v>#REF!</v>
      </c>
      <c r="D82" s="136" t="s">
        <v>190</v>
      </c>
      <c r="E82" s="136" t="s">
        <v>190</v>
      </c>
      <c r="F82" s="136" t="e">
        <f>VLOOKUP($B82,#REF!,MATCH(F$2,#REF!,0),0)</f>
        <v>#REF!</v>
      </c>
      <c r="G82" s="137" t="e">
        <f>VLOOKUP($B82,#REF!,MATCH(G$2,#REF!,0),0)</f>
        <v>#REF!</v>
      </c>
      <c r="H82" s="48">
        <v>0.836</v>
      </c>
      <c r="I82" s="48">
        <v>0.836</v>
      </c>
      <c r="J82" s="48">
        <v>0.387</v>
      </c>
      <c r="K82" s="48">
        <v>0.387</v>
      </c>
      <c r="L82" s="48">
        <v>2.437</v>
      </c>
      <c r="M82" s="48"/>
      <c r="N82" s="48"/>
      <c r="O82" s="48"/>
      <c r="P82" s="48">
        <v>145.921</v>
      </c>
      <c r="Q82" s="48">
        <v>387.89</v>
      </c>
      <c r="R82" s="371" t="e">
        <f t="shared" si="72"/>
        <v>#REF!</v>
      </c>
      <c r="S82" s="371" t="e">
        <f t="shared" ref="S82:AA82" si="82">$G82*I82</f>
        <v>#REF!</v>
      </c>
      <c r="T82" s="371" t="e">
        <f t="shared" si="82"/>
        <v>#REF!</v>
      </c>
      <c r="U82" s="371" t="e">
        <f t="shared" si="82"/>
        <v>#REF!</v>
      </c>
      <c r="V82" s="371" t="e">
        <f t="shared" si="82"/>
        <v>#REF!</v>
      </c>
      <c r="W82" s="371" t="e">
        <f t="shared" si="82"/>
        <v>#REF!</v>
      </c>
      <c r="X82" s="371" t="e">
        <f t="shared" si="82"/>
        <v>#REF!</v>
      </c>
      <c r="Y82" s="371" t="e">
        <f t="shared" si="82"/>
        <v>#REF!</v>
      </c>
      <c r="Z82" s="371" t="e">
        <f t="shared" si="82"/>
        <v>#REF!</v>
      </c>
      <c r="AA82" s="371" t="e">
        <f t="shared" si="82"/>
        <v>#REF!</v>
      </c>
      <c r="AB82" s="50"/>
    </row>
    <row r="83" ht="43.2" outlineLevel="2" spans="1:28">
      <c r="A83" s="52">
        <f>MAX($A$6:A82)+1</f>
        <v>73</v>
      </c>
      <c r="B83" s="51" t="s">
        <v>309</v>
      </c>
      <c r="C83" s="51" t="e">
        <f>VLOOKUP($B83,#REF!,MATCH(C$2,#REF!,0),0)</f>
        <v>#REF!</v>
      </c>
      <c r="D83" s="136" t="s">
        <v>190</v>
      </c>
      <c r="E83" s="136" t="s">
        <v>190</v>
      </c>
      <c r="F83" s="136" t="e">
        <f>VLOOKUP($B83,#REF!,MATCH(F$2,#REF!,0),0)</f>
        <v>#REF!</v>
      </c>
      <c r="G83" s="137" t="e">
        <f>VLOOKUP($B83,#REF!,MATCH(G$2,#REF!,0),0)</f>
        <v>#REF!</v>
      </c>
      <c r="H83" s="48">
        <v>0.211</v>
      </c>
      <c r="I83" s="48">
        <v>0.211</v>
      </c>
      <c r="J83" s="48">
        <v>0.174</v>
      </c>
      <c r="K83" s="48">
        <v>0.174</v>
      </c>
      <c r="L83" s="48">
        <v>0.076</v>
      </c>
      <c r="M83" s="48"/>
      <c r="N83" s="48"/>
      <c r="O83" s="48"/>
      <c r="P83" s="48">
        <v>6.155</v>
      </c>
      <c r="Q83" s="48">
        <v>0.001</v>
      </c>
      <c r="R83" s="371" t="e">
        <f t="shared" si="72"/>
        <v>#REF!</v>
      </c>
      <c r="S83" s="371" t="e">
        <f t="shared" ref="S83:AA83" si="83">$G83*I83</f>
        <v>#REF!</v>
      </c>
      <c r="T83" s="371" t="e">
        <f t="shared" si="83"/>
        <v>#REF!</v>
      </c>
      <c r="U83" s="371" t="e">
        <f t="shared" si="83"/>
        <v>#REF!</v>
      </c>
      <c r="V83" s="371" t="e">
        <f t="shared" si="83"/>
        <v>#REF!</v>
      </c>
      <c r="W83" s="371" t="e">
        <f t="shared" si="83"/>
        <v>#REF!</v>
      </c>
      <c r="X83" s="371" t="e">
        <f t="shared" si="83"/>
        <v>#REF!</v>
      </c>
      <c r="Y83" s="371" t="e">
        <f t="shared" si="83"/>
        <v>#REF!</v>
      </c>
      <c r="Z83" s="371" t="e">
        <f t="shared" si="83"/>
        <v>#REF!</v>
      </c>
      <c r="AA83" s="371" t="e">
        <f t="shared" si="83"/>
        <v>#REF!</v>
      </c>
      <c r="AB83" s="50"/>
    </row>
    <row r="84" ht="43.2" outlineLevel="2" spans="1:28">
      <c r="A84" s="52">
        <f>MAX($A$6:A83)+1</f>
        <v>74</v>
      </c>
      <c r="B84" s="51" t="s">
        <v>310</v>
      </c>
      <c r="C84" s="51" t="e">
        <f>VLOOKUP($B84,#REF!,MATCH(C$2,#REF!,0),0)</f>
        <v>#REF!</v>
      </c>
      <c r="D84" s="136" t="s">
        <v>190</v>
      </c>
      <c r="E84" s="136" t="s">
        <v>190</v>
      </c>
      <c r="F84" s="136" t="e">
        <f>VLOOKUP($B84,#REF!,MATCH(F$2,#REF!,0),0)</f>
        <v>#REF!</v>
      </c>
      <c r="G84" s="137" t="e">
        <f>VLOOKUP($B84,#REF!,MATCH(G$2,#REF!,0),0)</f>
        <v>#REF!</v>
      </c>
      <c r="H84" s="48">
        <v>1.111</v>
      </c>
      <c r="I84" s="48">
        <v>1.111</v>
      </c>
      <c r="J84" s="48">
        <v>1.31</v>
      </c>
      <c r="K84" s="48">
        <v>1.31</v>
      </c>
      <c r="L84" s="48">
        <v>0</v>
      </c>
      <c r="M84" s="48"/>
      <c r="N84" s="48"/>
      <c r="O84" s="48"/>
      <c r="P84" s="48">
        <v>0.001</v>
      </c>
      <c r="Q84" s="48">
        <v>0.001</v>
      </c>
      <c r="R84" s="371" t="e">
        <f t="shared" si="72"/>
        <v>#REF!</v>
      </c>
      <c r="S84" s="371" t="e">
        <f t="shared" ref="S84:AA84" si="84">$G84*I84</f>
        <v>#REF!</v>
      </c>
      <c r="T84" s="371" t="e">
        <f t="shared" si="84"/>
        <v>#REF!</v>
      </c>
      <c r="U84" s="371" t="e">
        <f t="shared" si="84"/>
        <v>#REF!</v>
      </c>
      <c r="V84" s="371" t="e">
        <f t="shared" si="84"/>
        <v>#REF!</v>
      </c>
      <c r="W84" s="371" t="e">
        <f t="shared" si="84"/>
        <v>#REF!</v>
      </c>
      <c r="X84" s="371" t="e">
        <f t="shared" si="84"/>
        <v>#REF!</v>
      </c>
      <c r="Y84" s="371" t="e">
        <f t="shared" si="84"/>
        <v>#REF!</v>
      </c>
      <c r="Z84" s="371" t="e">
        <f t="shared" si="84"/>
        <v>#REF!</v>
      </c>
      <c r="AA84" s="371" t="e">
        <f t="shared" si="84"/>
        <v>#REF!</v>
      </c>
      <c r="AB84" s="50"/>
    </row>
    <row r="85" ht="43.2" outlineLevel="2" spans="1:28">
      <c r="A85" s="52">
        <f>MAX($A$6:A84)+1</f>
        <v>75</v>
      </c>
      <c r="B85" s="51" t="s">
        <v>311</v>
      </c>
      <c r="C85" s="51" t="e">
        <f>VLOOKUP($B85,#REF!,MATCH(C$2,#REF!,0),0)</f>
        <v>#REF!</v>
      </c>
      <c r="D85" s="136"/>
      <c r="E85" s="136" t="s">
        <v>190</v>
      </c>
      <c r="F85" s="136" t="e">
        <f>VLOOKUP($B85,#REF!,MATCH(F$2,#REF!,0),0)</f>
        <v>#REF!</v>
      </c>
      <c r="G85" s="137" t="e">
        <f>VLOOKUP($B85,#REF!,MATCH(G$2,#REF!,0),0)</f>
        <v>#REF!</v>
      </c>
      <c r="H85" s="48">
        <v>1236</v>
      </c>
      <c r="I85" s="48">
        <v>1236</v>
      </c>
      <c r="J85" s="48">
        <v>1064</v>
      </c>
      <c r="K85" s="48">
        <v>1064</v>
      </c>
      <c r="L85" s="48">
        <v>642</v>
      </c>
      <c r="M85" s="48"/>
      <c r="N85" s="48"/>
      <c r="O85" s="48"/>
      <c r="P85" s="48">
        <v>0.001</v>
      </c>
      <c r="Q85" s="48">
        <v>48095</v>
      </c>
      <c r="R85" s="371" t="e">
        <f t="shared" si="72"/>
        <v>#REF!</v>
      </c>
      <c r="S85" s="371" t="e">
        <f t="shared" ref="S85:AA85" si="85">$G85*I85</f>
        <v>#REF!</v>
      </c>
      <c r="T85" s="371" t="e">
        <f t="shared" si="85"/>
        <v>#REF!</v>
      </c>
      <c r="U85" s="371" t="e">
        <f t="shared" si="85"/>
        <v>#REF!</v>
      </c>
      <c r="V85" s="371" t="e">
        <f t="shared" si="85"/>
        <v>#REF!</v>
      </c>
      <c r="W85" s="371" t="e">
        <f t="shared" si="85"/>
        <v>#REF!</v>
      </c>
      <c r="X85" s="371" t="e">
        <f t="shared" si="85"/>
        <v>#REF!</v>
      </c>
      <c r="Y85" s="371" t="e">
        <f t="shared" si="85"/>
        <v>#REF!</v>
      </c>
      <c r="Z85" s="371" t="e">
        <f t="shared" si="85"/>
        <v>#REF!</v>
      </c>
      <c r="AA85" s="371" t="e">
        <f t="shared" si="85"/>
        <v>#REF!</v>
      </c>
      <c r="AB85" s="50"/>
    </row>
    <row r="86" ht="43.2" outlineLevel="2" spans="1:28">
      <c r="A86" s="52">
        <f>MAX($A$6:A85)+1</f>
        <v>76</v>
      </c>
      <c r="B86" s="51" t="s">
        <v>312</v>
      </c>
      <c r="C86" s="51" t="e">
        <f>VLOOKUP($B86,#REF!,MATCH(C$2,#REF!,0),0)</f>
        <v>#REF!</v>
      </c>
      <c r="D86" s="136"/>
      <c r="E86" s="136" t="s">
        <v>190</v>
      </c>
      <c r="F86" s="136" t="e">
        <f>VLOOKUP($B86,#REF!,MATCH(F$2,#REF!,0),0)</f>
        <v>#REF!</v>
      </c>
      <c r="G86" s="137" t="e">
        <f>VLOOKUP($B86,#REF!,MATCH(G$2,#REF!,0),0)</f>
        <v>#REF!</v>
      </c>
      <c r="H86" s="48">
        <v>44</v>
      </c>
      <c r="I86" s="48">
        <v>44</v>
      </c>
      <c r="J86" s="48">
        <v>28</v>
      </c>
      <c r="K86" s="48">
        <v>28</v>
      </c>
      <c r="L86" s="48">
        <v>18</v>
      </c>
      <c r="M86" s="48"/>
      <c r="N86" s="48"/>
      <c r="O86" s="48"/>
      <c r="P86" s="48">
        <v>34398</v>
      </c>
      <c r="Q86" s="48">
        <v>1</v>
      </c>
      <c r="R86" s="371" t="e">
        <f t="shared" si="72"/>
        <v>#REF!</v>
      </c>
      <c r="S86" s="371" t="e">
        <f t="shared" ref="S86:AA86" si="86">$G86*I86</f>
        <v>#REF!</v>
      </c>
      <c r="T86" s="371" t="e">
        <f t="shared" si="86"/>
        <v>#REF!</v>
      </c>
      <c r="U86" s="371" t="e">
        <f t="shared" si="86"/>
        <v>#REF!</v>
      </c>
      <c r="V86" s="371" t="e">
        <f t="shared" si="86"/>
        <v>#REF!</v>
      </c>
      <c r="W86" s="371" t="e">
        <f t="shared" si="86"/>
        <v>#REF!</v>
      </c>
      <c r="X86" s="371" t="e">
        <f t="shared" si="86"/>
        <v>#REF!</v>
      </c>
      <c r="Y86" s="371" t="e">
        <f t="shared" si="86"/>
        <v>#REF!</v>
      </c>
      <c r="Z86" s="371" t="e">
        <f t="shared" si="86"/>
        <v>#REF!</v>
      </c>
      <c r="AA86" s="371" t="e">
        <f t="shared" si="86"/>
        <v>#REF!</v>
      </c>
      <c r="AB86" s="50"/>
    </row>
    <row r="87" ht="43.2" outlineLevel="2" spans="1:28">
      <c r="A87" s="52">
        <f>MAX($A$6:A86)+1</f>
        <v>77</v>
      </c>
      <c r="B87" s="51" t="s">
        <v>313</v>
      </c>
      <c r="C87" s="51" t="e">
        <f>VLOOKUP($B87,#REF!,MATCH(C$2,#REF!,0),0)</f>
        <v>#REF!</v>
      </c>
      <c r="D87" s="136"/>
      <c r="E87" s="136" t="s">
        <v>190</v>
      </c>
      <c r="F87" s="136" t="e">
        <f>VLOOKUP($B87,#REF!,MATCH(F$2,#REF!,0),0)</f>
        <v>#REF!</v>
      </c>
      <c r="G87" s="137" t="e">
        <f>VLOOKUP($B87,#REF!,MATCH(G$2,#REF!,0),0)</f>
        <v>#REF!</v>
      </c>
      <c r="H87" s="48">
        <v>3224</v>
      </c>
      <c r="I87" s="48">
        <v>3224</v>
      </c>
      <c r="J87" s="48">
        <f>2326+152</f>
        <v>2478</v>
      </c>
      <c r="K87" s="48">
        <f>2326+152</f>
        <v>2478</v>
      </c>
      <c r="L87" s="48">
        <v>1359</v>
      </c>
      <c r="M87" s="48"/>
      <c r="N87" s="48"/>
      <c r="O87" s="48"/>
      <c r="P87" s="48">
        <f>1+21351</f>
        <v>21352</v>
      </c>
      <c r="Q87" s="48">
        <f>23697+45.76</f>
        <v>23742.76</v>
      </c>
      <c r="R87" s="371" t="e">
        <f t="shared" si="72"/>
        <v>#REF!</v>
      </c>
      <c r="S87" s="371" t="e">
        <f t="shared" ref="S87:AA87" si="87">$G87*I87</f>
        <v>#REF!</v>
      </c>
      <c r="T87" s="371" t="e">
        <f t="shared" si="87"/>
        <v>#REF!</v>
      </c>
      <c r="U87" s="371" t="e">
        <f t="shared" si="87"/>
        <v>#REF!</v>
      </c>
      <c r="V87" s="371" t="e">
        <f t="shared" si="87"/>
        <v>#REF!</v>
      </c>
      <c r="W87" s="371" t="e">
        <f t="shared" si="87"/>
        <v>#REF!</v>
      </c>
      <c r="X87" s="371" t="e">
        <f t="shared" si="87"/>
        <v>#REF!</v>
      </c>
      <c r="Y87" s="371" t="e">
        <f t="shared" si="87"/>
        <v>#REF!</v>
      </c>
      <c r="Z87" s="371" t="e">
        <f t="shared" si="87"/>
        <v>#REF!</v>
      </c>
      <c r="AA87" s="371" t="e">
        <f t="shared" si="87"/>
        <v>#REF!</v>
      </c>
      <c r="AB87" s="50"/>
    </row>
    <row r="88" s="355" customFormat="1" spans="1:28">
      <c r="A88" s="130"/>
      <c r="B88" s="131" t="str">
        <f>目录!G7</f>
        <v>A.03二次结构工程</v>
      </c>
      <c r="C88" s="131"/>
      <c r="D88" s="154"/>
      <c r="E88" s="154"/>
      <c r="F88" s="154"/>
      <c r="G88" s="359"/>
      <c r="H88" s="134"/>
      <c r="I88" s="134"/>
      <c r="J88" s="134"/>
      <c r="K88" s="134"/>
      <c r="L88" s="134"/>
      <c r="M88" s="134"/>
      <c r="N88" s="134"/>
      <c r="O88" s="134"/>
      <c r="P88" s="134"/>
      <c r="Q88" s="134"/>
      <c r="R88" s="367" t="e">
        <f t="shared" ref="R88:AA88" si="88">SUM(R89,R92,R106,R115)</f>
        <v>#REF!</v>
      </c>
      <c r="S88" s="367" t="e">
        <f t="shared" si="88"/>
        <v>#REF!</v>
      </c>
      <c r="T88" s="367" t="e">
        <f t="shared" si="88"/>
        <v>#REF!</v>
      </c>
      <c r="U88" s="367" t="e">
        <f t="shared" si="88"/>
        <v>#REF!</v>
      </c>
      <c r="V88" s="367" t="e">
        <f t="shared" si="88"/>
        <v>#REF!</v>
      </c>
      <c r="W88" s="367" t="e">
        <f t="shared" si="88"/>
        <v>#REF!</v>
      </c>
      <c r="X88" s="367" t="e">
        <f t="shared" si="88"/>
        <v>#REF!</v>
      </c>
      <c r="Y88" s="367" t="e">
        <f t="shared" si="88"/>
        <v>#REF!</v>
      </c>
      <c r="Z88" s="367" t="e">
        <f t="shared" si="88"/>
        <v>#REF!</v>
      </c>
      <c r="AA88" s="367" t="e">
        <f t="shared" si="88"/>
        <v>#REF!</v>
      </c>
      <c r="AB88" s="130"/>
    </row>
    <row r="89" s="29" customFormat="1" outlineLevel="1" spans="1:28">
      <c r="A89" s="40"/>
      <c r="B89" s="41" t="str">
        <f>目录!H7</f>
        <v>A.03.01砌筑工程</v>
      </c>
      <c r="C89" s="41"/>
      <c r="D89" s="141"/>
      <c r="E89" s="141"/>
      <c r="F89" s="40"/>
      <c r="G89" s="43"/>
      <c r="H89" s="43"/>
      <c r="I89" s="43"/>
      <c r="J89" s="43"/>
      <c r="K89" s="43"/>
      <c r="L89" s="43"/>
      <c r="M89" s="43"/>
      <c r="N89" s="43"/>
      <c r="O89" s="43"/>
      <c r="P89" s="43"/>
      <c r="Q89" s="43"/>
      <c r="R89" s="369" t="e">
        <f t="shared" ref="R89:AA89" si="89">SUM(R90:R91)</f>
        <v>#REF!</v>
      </c>
      <c r="S89" s="369" t="e">
        <f t="shared" si="89"/>
        <v>#REF!</v>
      </c>
      <c r="T89" s="369" t="e">
        <f t="shared" si="89"/>
        <v>#REF!</v>
      </c>
      <c r="U89" s="369" t="e">
        <f t="shared" si="89"/>
        <v>#REF!</v>
      </c>
      <c r="V89" s="369" t="e">
        <f t="shared" si="89"/>
        <v>#REF!</v>
      </c>
      <c r="W89" s="369" t="e">
        <f t="shared" si="89"/>
        <v>#REF!</v>
      </c>
      <c r="X89" s="369" t="e">
        <f t="shared" si="89"/>
        <v>#REF!</v>
      </c>
      <c r="Y89" s="369" t="e">
        <f t="shared" si="89"/>
        <v>#REF!</v>
      </c>
      <c r="Z89" s="369" t="e">
        <f t="shared" si="89"/>
        <v>#REF!</v>
      </c>
      <c r="AA89" s="369" t="e">
        <f t="shared" si="89"/>
        <v>#REF!</v>
      </c>
      <c r="AB89" s="40"/>
    </row>
    <row r="90" outlineLevel="2" spans="1:28">
      <c r="A90" s="52">
        <f>MAX($A$6:A89)+1</f>
        <v>78</v>
      </c>
      <c r="B90" s="51" t="s">
        <v>314</v>
      </c>
      <c r="C90" s="51" t="e">
        <f>VLOOKUP($B90,#REF!,MATCH(C$2,#REF!,0),0)</f>
        <v>#REF!</v>
      </c>
      <c r="D90" s="136"/>
      <c r="E90" s="136"/>
      <c r="F90" s="136" t="e">
        <f>VLOOKUP($B90,#REF!,MATCH(F$2,#REF!,0),0)</f>
        <v>#REF!</v>
      </c>
      <c r="G90" s="137" t="e">
        <f>VLOOKUP($B90,#REF!,MATCH(G$2,#REF!,0),0)</f>
        <v>#REF!</v>
      </c>
      <c r="H90" s="48">
        <v>138.61</v>
      </c>
      <c r="I90" s="48">
        <v>138.61</v>
      </c>
      <c r="J90" s="48">
        <v>95.83</v>
      </c>
      <c r="K90" s="48">
        <v>95.83</v>
      </c>
      <c r="L90" s="48">
        <v>74.7</v>
      </c>
      <c r="M90" s="48"/>
      <c r="N90" s="48"/>
      <c r="O90" s="48"/>
      <c r="P90" s="48">
        <v>268.26</v>
      </c>
      <c r="Q90" s="48">
        <v>1220.78</v>
      </c>
      <c r="R90" s="371" t="e">
        <f>$G90*H90</f>
        <v>#REF!</v>
      </c>
      <c r="S90" s="371" t="e">
        <f t="shared" ref="S90:AA90" si="90">$G90*I90</f>
        <v>#REF!</v>
      </c>
      <c r="T90" s="371" t="e">
        <f t="shared" si="90"/>
        <v>#REF!</v>
      </c>
      <c r="U90" s="371" t="e">
        <f t="shared" si="90"/>
        <v>#REF!</v>
      </c>
      <c r="V90" s="371" t="e">
        <f t="shared" si="90"/>
        <v>#REF!</v>
      </c>
      <c r="W90" s="371" t="e">
        <f t="shared" si="90"/>
        <v>#REF!</v>
      </c>
      <c r="X90" s="371" t="e">
        <f t="shared" si="90"/>
        <v>#REF!</v>
      </c>
      <c r="Y90" s="371" t="e">
        <f t="shared" si="90"/>
        <v>#REF!</v>
      </c>
      <c r="Z90" s="371" t="e">
        <f t="shared" si="90"/>
        <v>#REF!</v>
      </c>
      <c r="AA90" s="371" t="e">
        <f t="shared" si="90"/>
        <v>#REF!</v>
      </c>
      <c r="AB90" s="50"/>
    </row>
    <row r="91" outlineLevel="2" spans="1:28">
      <c r="A91" s="52">
        <f>MAX($A$6:A90)+1</f>
        <v>79</v>
      </c>
      <c r="B91" s="51" t="s">
        <v>315</v>
      </c>
      <c r="C91" s="51" t="e">
        <f>VLOOKUP($B91,#REF!,MATCH(C$2,#REF!,0),0)</f>
        <v>#REF!</v>
      </c>
      <c r="D91" s="136"/>
      <c r="E91" s="136"/>
      <c r="F91" s="136" t="e">
        <f>VLOOKUP($B91,#REF!,MATCH(F$2,#REF!,0),0)</f>
        <v>#REF!</v>
      </c>
      <c r="G91" s="137" t="e">
        <f>VLOOKUP($B91,#REF!,MATCH(G$2,#REF!,0),0)</f>
        <v>#REF!</v>
      </c>
      <c r="H91" s="48"/>
      <c r="I91" s="48"/>
      <c r="J91" s="48"/>
      <c r="K91" s="48"/>
      <c r="L91" s="48"/>
      <c r="M91" s="48"/>
      <c r="N91" s="48"/>
      <c r="O91" s="48"/>
      <c r="P91" s="48">
        <v>9.46</v>
      </c>
      <c r="Q91" s="48">
        <v>3.26</v>
      </c>
      <c r="R91" s="371" t="e">
        <f>$G91*H91</f>
        <v>#REF!</v>
      </c>
      <c r="S91" s="371" t="e">
        <f t="shared" ref="S91:AA91" si="91">$G91*I91</f>
        <v>#REF!</v>
      </c>
      <c r="T91" s="371" t="e">
        <f t="shared" si="91"/>
        <v>#REF!</v>
      </c>
      <c r="U91" s="371" t="e">
        <f t="shared" si="91"/>
        <v>#REF!</v>
      </c>
      <c r="V91" s="371" t="e">
        <f t="shared" si="91"/>
        <v>#REF!</v>
      </c>
      <c r="W91" s="371" t="e">
        <f t="shared" si="91"/>
        <v>#REF!</v>
      </c>
      <c r="X91" s="371" t="e">
        <f t="shared" si="91"/>
        <v>#REF!</v>
      </c>
      <c r="Y91" s="371" t="e">
        <f t="shared" si="91"/>
        <v>#REF!</v>
      </c>
      <c r="Z91" s="371" t="e">
        <f t="shared" si="91"/>
        <v>#REF!</v>
      </c>
      <c r="AA91" s="371" t="e">
        <f t="shared" si="91"/>
        <v>#REF!</v>
      </c>
      <c r="AB91" s="50"/>
    </row>
    <row r="92" s="29" customFormat="1" outlineLevel="1" spans="1:28">
      <c r="A92" s="40"/>
      <c r="B92" s="41" t="str">
        <f>目录!H8</f>
        <v>A.03.02混凝土工程</v>
      </c>
      <c r="C92" s="41"/>
      <c r="D92" s="141"/>
      <c r="E92" s="141"/>
      <c r="F92" s="40"/>
      <c r="G92" s="43"/>
      <c r="H92" s="43"/>
      <c r="I92" s="43"/>
      <c r="J92" s="43"/>
      <c r="K92" s="43"/>
      <c r="L92" s="43"/>
      <c r="M92" s="43"/>
      <c r="N92" s="43"/>
      <c r="O92" s="43"/>
      <c r="P92" s="43"/>
      <c r="Q92" s="43"/>
      <c r="R92" s="369" t="e">
        <f t="shared" ref="R92:AA92" si="92">SUM(R93:R105)</f>
        <v>#REF!</v>
      </c>
      <c r="S92" s="369" t="e">
        <f t="shared" si="92"/>
        <v>#REF!</v>
      </c>
      <c r="T92" s="369" t="e">
        <f t="shared" si="92"/>
        <v>#REF!</v>
      </c>
      <c r="U92" s="369" t="e">
        <f t="shared" si="92"/>
        <v>#REF!</v>
      </c>
      <c r="V92" s="369" t="e">
        <f t="shared" si="92"/>
        <v>#REF!</v>
      </c>
      <c r="W92" s="369" t="e">
        <f t="shared" si="92"/>
        <v>#REF!</v>
      </c>
      <c r="X92" s="369" t="e">
        <f t="shared" si="92"/>
        <v>#REF!</v>
      </c>
      <c r="Y92" s="369" t="e">
        <f t="shared" si="92"/>
        <v>#REF!</v>
      </c>
      <c r="Z92" s="369" t="e">
        <f t="shared" si="92"/>
        <v>#REF!</v>
      </c>
      <c r="AA92" s="369" t="e">
        <f t="shared" si="92"/>
        <v>#REF!</v>
      </c>
      <c r="AB92" s="40"/>
    </row>
    <row r="93" outlineLevel="2" spans="1:28">
      <c r="A93" s="52">
        <f>MAX($A$6:A92)+1</f>
        <v>80</v>
      </c>
      <c r="B93" s="51" t="s">
        <v>316</v>
      </c>
      <c r="C93" s="51" t="e">
        <f>VLOOKUP($B93,#REF!,MATCH(C$2,#REF!,0),0)</f>
        <v>#REF!</v>
      </c>
      <c r="D93" s="136"/>
      <c r="E93" s="136"/>
      <c r="F93" s="136" t="e">
        <f>VLOOKUP($B93,#REF!,MATCH(F$2,#REF!,0),0)</f>
        <v>#REF!</v>
      </c>
      <c r="G93" s="137" t="e">
        <f>VLOOKUP($B93,#REF!,MATCH(G$2,#REF!,0),0)</f>
        <v>#REF!</v>
      </c>
      <c r="H93" s="48">
        <v>3.59</v>
      </c>
      <c r="I93" s="48">
        <v>3.59</v>
      </c>
      <c r="J93" s="48">
        <v>2.42</v>
      </c>
      <c r="K93" s="48">
        <v>2.42</v>
      </c>
      <c r="L93" s="48">
        <v>1.7722</v>
      </c>
      <c r="M93" s="48"/>
      <c r="N93" s="48"/>
      <c r="O93" s="48"/>
      <c r="P93" s="48">
        <v>0.38</v>
      </c>
      <c r="Q93" s="48">
        <v>36.35</v>
      </c>
      <c r="R93" s="371" t="e">
        <f>$G93*H93</f>
        <v>#REF!</v>
      </c>
      <c r="S93" s="371" t="e">
        <f t="shared" ref="S93:AA93" si="93">$G93*I93</f>
        <v>#REF!</v>
      </c>
      <c r="T93" s="371" t="e">
        <f t="shared" si="93"/>
        <v>#REF!</v>
      </c>
      <c r="U93" s="371" t="e">
        <f t="shared" si="93"/>
        <v>#REF!</v>
      </c>
      <c r="V93" s="371" t="e">
        <f t="shared" si="93"/>
        <v>#REF!</v>
      </c>
      <c r="W93" s="371" t="e">
        <f t="shared" si="93"/>
        <v>#REF!</v>
      </c>
      <c r="X93" s="371" t="e">
        <f t="shared" si="93"/>
        <v>#REF!</v>
      </c>
      <c r="Y93" s="371" t="e">
        <f t="shared" si="93"/>
        <v>#REF!</v>
      </c>
      <c r="Z93" s="371" t="e">
        <f t="shared" si="93"/>
        <v>#REF!</v>
      </c>
      <c r="AA93" s="371" t="e">
        <f t="shared" si="93"/>
        <v>#REF!</v>
      </c>
      <c r="AB93" s="50"/>
    </row>
    <row r="94" outlineLevel="2" spans="1:28">
      <c r="A94" s="52">
        <f>MAX($A$6:A93)+1</f>
        <v>81</v>
      </c>
      <c r="B94" s="51" t="s">
        <v>317</v>
      </c>
      <c r="C94" s="51" t="e">
        <f>VLOOKUP($B94,#REF!,MATCH(C$2,#REF!,0),0)</f>
        <v>#REF!</v>
      </c>
      <c r="D94" s="136"/>
      <c r="E94" s="136"/>
      <c r="F94" s="136" t="e">
        <f>VLOOKUP($B94,#REF!,MATCH(F$2,#REF!,0),0)</f>
        <v>#REF!</v>
      </c>
      <c r="G94" s="137" t="e">
        <f>VLOOKUP($B94,#REF!,MATCH(G$2,#REF!,0),0)</f>
        <v>#REF!</v>
      </c>
      <c r="H94" s="48">
        <v>6.66</v>
      </c>
      <c r="I94" s="48">
        <v>6.66</v>
      </c>
      <c r="J94" s="48">
        <v>1.37</v>
      </c>
      <c r="K94" s="48">
        <v>1.37</v>
      </c>
      <c r="L94" s="48">
        <v>1.311</v>
      </c>
      <c r="M94" s="48"/>
      <c r="N94" s="48"/>
      <c r="O94" s="48"/>
      <c r="P94" s="48">
        <v>9.3</v>
      </c>
      <c r="Q94" s="48">
        <v>55.34</v>
      </c>
      <c r="R94" s="371" t="e">
        <f t="shared" ref="R94:R101" si="94">$G94*H94</f>
        <v>#REF!</v>
      </c>
      <c r="S94" s="371" t="e">
        <f t="shared" ref="S94:S101" si="95">$G94*I94</f>
        <v>#REF!</v>
      </c>
      <c r="T94" s="371" t="e">
        <f t="shared" ref="T94:T101" si="96">$G94*J94</f>
        <v>#REF!</v>
      </c>
      <c r="U94" s="371" t="e">
        <f t="shared" ref="U94:U101" si="97">$G94*K94</f>
        <v>#REF!</v>
      </c>
      <c r="V94" s="371" t="e">
        <f t="shared" ref="V94:V101" si="98">$G94*L94</f>
        <v>#REF!</v>
      </c>
      <c r="W94" s="371" t="e">
        <f t="shared" ref="W94:W101" si="99">$G94*M94</f>
        <v>#REF!</v>
      </c>
      <c r="X94" s="371" t="e">
        <f t="shared" ref="X94:X101" si="100">$G94*N94</f>
        <v>#REF!</v>
      </c>
      <c r="Y94" s="371" t="e">
        <f t="shared" ref="Y94:Y101" si="101">$G94*O94</f>
        <v>#REF!</v>
      </c>
      <c r="Z94" s="371" t="e">
        <f t="shared" ref="Z94:Z101" si="102">$G94*P94</f>
        <v>#REF!</v>
      </c>
      <c r="AA94" s="371" t="e">
        <f t="shared" ref="AA94:AA101" si="103">$G94*Q94</f>
        <v>#REF!</v>
      </c>
      <c r="AB94" s="50"/>
    </row>
    <row r="95" outlineLevel="2" spans="1:28">
      <c r="A95" s="52">
        <f>MAX($A$6:A94)+1</f>
        <v>82</v>
      </c>
      <c r="B95" s="51" t="s">
        <v>318</v>
      </c>
      <c r="C95" s="51" t="e">
        <f>VLOOKUP($B95,#REF!,MATCH(C$2,#REF!,0),0)</f>
        <v>#REF!</v>
      </c>
      <c r="D95" s="136"/>
      <c r="E95" s="136"/>
      <c r="F95" s="136" t="e">
        <f>VLOOKUP($B95,#REF!,MATCH(F$2,#REF!,0),0)</f>
        <v>#REF!</v>
      </c>
      <c r="G95" s="137" t="e">
        <f>VLOOKUP($B95,#REF!,MATCH(G$2,#REF!,0),0)</f>
        <v>#REF!</v>
      </c>
      <c r="H95" s="48">
        <v>0.01</v>
      </c>
      <c r="I95" s="48">
        <v>0.01</v>
      </c>
      <c r="J95" s="48">
        <v>1</v>
      </c>
      <c r="K95" s="48">
        <v>1</v>
      </c>
      <c r="L95" s="48">
        <v>0.4283</v>
      </c>
      <c r="M95" s="48"/>
      <c r="N95" s="48"/>
      <c r="O95" s="48"/>
      <c r="P95" s="48">
        <v>3.02</v>
      </c>
      <c r="Q95" s="48">
        <v>32.63</v>
      </c>
      <c r="R95" s="371" t="e">
        <f t="shared" si="94"/>
        <v>#REF!</v>
      </c>
      <c r="S95" s="371" t="e">
        <f t="shared" si="95"/>
        <v>#REF!</v>
      </c>
      <c r="T95" s="371" t="e">
        <f t="shared" si="96"/>
        <v>#REF!</v>
      </c>
      <c r="U95" s="371" t="e">
        <f t="shared" si="97"/>
        <v>#REF!</v>
      </c>
      <c r="V95" s="371" t="e">
        <f t="shared" si="98"/>
        <v>#REF!</v>
      </c>
      <c r="W95" s="371" t="e">
        <f t="shared" si="99"/>
        <v>#REF!</v>
      </c>
      <c r="X95" s="371" t="e">
        <f t="shared" si="100"/>
        <v>#REF!</v>
      </c>
      <c r="Y95" s="371" t="e">
        <f t="shared" si="101"/>
        <v>#REF!</v>
      </c>
      <c r="Z95" s="371" t="e">
        <f t="shared" si="102"/>
        <v>#REF!</v>
      </c>
      <c r="AA95" s="371" t="e">
        <f t="shared" si="103"/>
        <v>#REF!</v>
      </c>
      <c r="AB95" s="50"/>
    </row>
    <row r="96" outlineLevel="2" spans="1:28">
      <c r="A96" s="52">
        <f>MAX($A$6:A95)+1</f>
        <v>83</v>
      </c>
      <c r="B96" s="51" t="s">
        <v>319</v>
      </c>
      <c r="C96" s="51" t="e">
        <f>VLOOKUP($B96,#REF!,MATCH(C$2,#REF!,0),0)</f>
        <v>#REF!</v>
      </c>
      <c r="D96" s="136"/>
      <c r="E96" s="136"/>
      <c r="F96" s="136" t="e">
        <f>VLOOKUP($B96,#REF!,MATCH(F$2,#REF!,0),0)</f>
        <v>#REF!</v>
      </c>
      <c r="G96" s="137" t="e">
        <f>VLOOKUP($B96,#REF!,MATCH(G$2,#REF!,0),0)</f>
        <v>#REF!</v>
      </c>
      <c r="H96" s="48">
        <v>0.229090909090909</v>
      </c>
      <c r="I96" s="48">
        <v>0.229090909090909</v>
      </c>
      <c r="J96" s="48">
        <v>0.14</v>
      </c>
      <c r="K96" s="48">
        <v>0.14</v>
      </c>
      <c r="L96" s="48"/>
      <c r="M96" s="48"/>
      <c r="N96" s="48"/>
      <c r="O96" s="48"/>
      <c r="P96" s="48">
        <v>1</v>
      </c>
      <c r="Q96" s="48">
        <v>0.79</v>
      </c>
      <c r="R96" s="371" t="e">
        <f t="shared" si="94"/>
        <v>#REF!</v>
      </c>
      <c r="S96" s="371" t="e">
        <f t="shared" si="95"/>
        <v>#REF!</v>
      </c>
      <c r="T96" s="371" t="e">
        <f t="shared" si="96"/>
        <v>#REF!</v>
      </c>
      <c r="U96" s="371" t="e">
        <f t="shared" si="97"/>
        <v>#REF!</v>
      </c>
      <c r="V96" s="371" t="e">
        <f t="shared" si="98"/>
        <v>#REF!</v>
      </c>
      <c r="W96" s="371" t="e">
        <f t="shared" si="99"/>
        <v>#REF!</v>
      </c>
      <c r="X96" s="371" t="e">
        <f t="shared" si="100"/>
        <v>#REF!</v>
      </c>
      <c r="Y96" s="371" t="e">
        <f t="shared" si="101"/>
        <v>#REF!</v>
      </c>
      <c r="Z96" s="371" t="e">
        <f t="shared" si="102"/>
        <v>#REF!</v>
      </c>
      <c r="AA96" s="371" t="e">
        <f t="shared" si="103"/>
        <v>#REF!</v>
      </c>
      <c r="AB96" s="50"/>
    </row>
    <row r="97" outlineLevel="2" spans="1:28">
      <c r="A97" s="52">
        <f>MAX($A$6:A96)+1</f>
        <v>84</v>
      </c>
      <c r="B97" s="51" t="s">
        <v>320</v>
      </c>
      <c r="C97" s="51" t="e">
        <f>VLOOKUP($B97,#REF!,MATCH(C$2,#REF!,0),0)</f>
        <v>#REF!</v>
      </c>
      <c r="D97" s="136"/>
      <c r="E97" s="136"/>
      <c r="F97" s="136" t="e">
        <f>VLOOKUP($B97,#REF!,MATCH(F$2,#REF!,0),0)</f>
        <v>#REF!</v>
      </c>
      <c r="G97" s="137" t="e">
        <f>VLOOKUP($B97,#REF!,MATCH(G$2,#REF!,0),0)</f>
        <v>#REF!</v>
      </c>
      <c r="H97" s="48"/>
      <c r="I97" s="48"/>
      <c r="J97" s="48"/>
      <c r="K97" s="48"/>
      <c r="L97" s="48"/>
      <c r="M97" s="48"/>
      <c r="N97" s="48"/>
      <c r="O97" s="48"/>
      <c r="P97" s="48">
        <v>9.86</v>
      </c>
      <c r="Q97" s="48">
        <v>10.12</v>
      </c>
      <c r="R97" s="371" t="e">
        <f t="shared" si="94"/>
        <v>#REF!</v>
      </c>
      <c r="S97" s="371" t="e">
        <f t="shared" si="95"/>
        <v>#REF!</v>
      </c>
      <c r="T97" s="371" t="e">
        <f t="shared" si="96"/>
        <v>#REF!</v>
      </c>
      <c r="U97" s="371" t="e">
        <f t="shared" si="97"/>
        <v>#REF!</v>
      </c>
      <c r="V97" s="371" t="e">
        <f t="shared" si="98"/>
        <v>#REF!</v>
      </c>
      <c r="W97" s="371" t="e">
        <f t="shared" si="99"/>
        <v>#REF!</v>
      </c>
      <c r="X97" s="371" t="e">
        <f t="shared" si="100"/>
        <v>#REF!</v>
      </c>
      <c r="Y97" s="371" t="e">
        <f t="shared" si="101"/>
        <v>#REF!</v>
      </c>
      <c r="Z97" s="371" t="e">
        <f t="shared" si="102"/>
        <v>#REF!</v>
      </c>
      <c r="AA97" s="371" t="e">
        <f t="shared" si="103"/>
        <v>#REF!</v>
      </c>
      <c r="AB97" s="50"/>
    </row>
    <row r="98" s="122" customFormat="1" outlineLevel="2" spans="1:28">
      <c r="A98" s="130"/>
      <c r="B98" s="154" t="s">
        <v>321</v>
      </c>
      <c r="C98" s="154"/>
      <c r="D98" s="154"/>
      <c r="E98" s="154"/>
      <c r="F98" s="130"/>
      <c r="G98" s="134"/>
      <c r="H98" s="134"/>
      <c r="I98" s="134"/>
      <c r="J98" s="134"/>
      <c r="K98" s="134"/>
      <c r="L98" s="134"/>
      <c r="M98" s="134"/>
      <c r="N98" s="134"/>
      <c r="O98" s="134"/>
      <c r="P98" s="134"/>
      <c r="Q98" s="134"/>
      <c r="R98" s="371">
        <f t="shared" si="94"/>
        <v>0</v>
      </c>
      <c r="S98" s="371">
        <f t="shared" si="95"/>
        <v>0</v>
      </c>
      <c r="T98" s="371">
        <f t="shared" si="96"/>
        <v>0</v>
      </c>
      <c r="U98" s="371">
        <f t="shared" si="97"/>
        <v>0</v>
      </c>
      <c r="V98" s="371">
        <f t="shared" si="98"/>
        <v>0</v>
      </c>
      <c r="W98" s="371">
        <f t="shared" si="99"/>
        <v>0</v>
      </c>
      <c r="X98" s="371">
        <f t="shared" si="100"/>
        <v>0</v>
      </c>
      <c r="Y98" s="371">
        <f t="shared" si="101"/>
        <v>0</v>
      </c>
      <c r="Z98" s="371">
        <f t="shared" si="102"/>
        <v>0</v>
      </c>
      <c r="AA98" s="371">
        <f t="shared" si="103"/>
        <v>0</v>
      </c>
      <c r="AB98" s="130"/>
    </row>
    <row r="99" outlineLevel="2" spans="1:28">
      <c r="A99" s="52">
        <f>MAX($A$6:A98)+1</f>
        <v>85</v>
      </c>
      <c r="B99" s="373" t="s">
        <v>322</v>
      </c>
      <c r="C99" s="51" t="e">
        <f>VLOOKUP($B99,#REF!,MATCH(C$2,#REF!,0),0)</f>
        <v>#REF!</v>
      </c>
      <c r="D99" s="136"/>
      <c r="E99" s="136"/>
      <c r="F99" s="136" t="e">
        <f>VLOOKUP($B99,#REF!,MATCH(F$2,#REF!,0),0)</f>
        <v>#REF!</v>
      </c>
      <c r="G99" s="137" t="e">
        <f>VLOOKUP($B99,#REF!,MATCH(G$2,#REF!,0),0)</f>
        <v>#REF!</v>
      </c>
      <c r="H99" s="48"/>
      <c r="I99" s="48"/>
      <c r="J99" s="48"/>
      <c r="K99" s="48"/>
      <c r="L99" s="48"/>
      <c r="M99" s="48"/>
      <c r="N99" s="48"/>
      <c r="O99" s="48"/>
      <c r="P99" s="48">
        <v>32.06</v>
      </c>
      <c r="Q99" s="48">
        <v>89.15</v>
      </c>
      <c r="R99" s="371" t="e">
        <f t="shared" si="94"/>
        <v>#REF!</v>
      </c>
      <c r="S99" s="371" t="e">
        <f t="shared" si="95"/>
        <v>#REF!</v>
      </c>
      <c r="T99" s="371" t="e">
        <f t="shared" si="96"/>
        <v>#REF!</v>
      </c>
      <c r="U99" s="371" t="e">
        <f t="shared" si="97"/>
        <v>#REF!</v>
      </c>
      <c r="V99" s="371" t="e">
        <f t="shared" si="98"/>
        <v>#REF!</v>
      </c>
      <c r="W99" s="371" t="e">
        <f t="shared" si="99"/>
        <v>#REF!</v>
      </c>
      <c r="X99" s="371" t="e">
        <f t="shared" si="100"/>
        <v>#REF!</v>
      </c>
      <c r="Y99" s="371" t="e">
        <f t="shared" si="101"/>
        <v>#REF!</v>
      </c>
      <c r="Z99" s="371" t="e">
        <f t="shared" si="102"/>
        <v>#REF!</v>
      </c>
      <c r="AA99" s="371" t="e">
        <f t="shared" si="103"/>
        <v>#REF!</v>
      </c>
      <c r="AB99" s="50"/>
    </row>
    <row r="100" outlineLevel="2" spans="1:28">
      <c r="A100" s="52">
        <f>MAX($A$6:A99)+1</f>
        <v>86</v>
      </c>
      <c r="B100" s="51" t="s">
        <v>323</v>
      </c>
      <c r="C100" s="51" t="e">
        <f>VLOOKUP($B100,#REF!,MATCH(C$2,#REF!,0),0)</f>
        <v>#REF!</v>
      </c>
      <c r="D100" s="136"/>
      <c r="E100" s="136"/>
      <c r="F100" s="136" t="e">
        <f>VLOOKUP($B100,#REF!,MATCH(F$2,#REF!,0),0)</f>
        <v>#REF!</v>
      </c>
      <c r="G100" s="137" t="e">
        <f>VLOOKUP($B100,#REF!,MATCH(G$2,#REF!,0),0)</f>
        <v>#REF!</v>
      </c>
      <c r="H100" s="48"/>
      <c r="I100" s="48"/>
      <c r="J100" s="48"/>
      <c r="K100" s="48"/>
      <c r="L100" s="48"/>
      <c r="M100" s="48"/>
      <c r="N100" s="48"/>
      <c r="O100" s="48"/>
      <c r="P100" s="48">
        <v>32.06</v>
      </c>
      <c r="Q100" s="48">
        <v>89.15</v>
      </c>
      <c r="R100" s="371" t="e">
        <f t="shared" si="94"/>
        <v>#REF!</v>
      </c>
      <c r="S100" s="371" t="e">
        <f t="shared" si="95"/>
        <v>#REF!</v>
      </c>
      <c r="T100" s="371" t="e">
        <f t="shared" si="96"/>
        <v>#REF!</v>
      </c>
      <c r="U100" s="371" t="e">
        <f t="shared" si="97"/>
        <v>#REF!</v>
      </c>
      <c r="V100" s="371" t="e">
        <f t="shared" si="98"/>
        <v>#REF!</v>
      </c>
      <c r="W100" s="371" t="e">
        <f t="shared" si="99"/>
        <v>#REF!</v>
      </c>
      <c r="X100" s="371" t="e">
        <f t="shared" si="100"/>
        <v>#REF!</v>
      </c>
      <c r="Y100" s="371" t="e">
        <f t="shared" si="101"/>
        <v>#REF!</v>
      </c>
      <c r="Z100" s="371" t="e">
        <f t="shared" si="102"/>
        <v>#REF!</v>
      </c>
      <c r="AA100" s="371" t="e">
        <f t="shared" si="103"/>
        <v>#REF!</v>
      </c>
      <c r="AB100" s="50"/>
    </row>
    <row r="101" outlineLevel="2" spans="1:28">
      <c r="A101" s="52">
        <f>MAX($A$6:A100)+1</f>
        <v>87</v>
      </c>
      <c r="B101" s="51" t="s">
        <v>324</v>
      </c>
      <c r="C101" s="51" t="e">
        <f>VLOOKUP($B101,#REF!,MATCH(C$2,#REF!,0),0)</f>
        <v>#REF!</v>
      </c>
      <c r="D101" s="136"/>
      <c r="E101" s="136"/>
      <c r="F101" s="136" t="e">
        <f>VLOOKUP($B101,#REF!,MATCH(F$2,#REF!,0),0)</f>
        <v>#REF!</v>
      </c>
      <c r="G101" s="137" t="e">
        <f>VLOOKUP($B101,#REF!,MATCH(G$2,#REF!,0),0)</f>
        <v>#REF!</v>
      </c>
      <c r="H101" s="48"/>
      <c r="I101" s="48"/>
      <c r="J101" s="48"/>
      <c r="K101" s="48"/>
      <c r="L101" s="48"/>
      <c r="M101" s="48"/>
      <c r="N101" s="48"/>
      <c r="O101" s="48"/>
      <c r="P101" s="48">
        <v>32.06</v>
      </c>
      <c r="Q101" s="48">
        <v>89.15</v>
      </c>
      <c r="R101" s="371" t="e">
        <f t="shared" si="94"/>
        <v>#REF!</v>
      </c>
      <c r="S101" s="371" t="e">
        <f t="shared" si="95"/>
        <v>#REF!</v>
      </c>
      <c r="T101" s="371" t="e">
        <f t="shared" si="96"/>
        <v>#REF!</v>
      </c>
      <c r="U101" s="371" t="e">
        <f t="shared" si="97"/>
        <v>#REF!</v>
      </c>
      <c r="V101" s="371" t="e">
        <f t="shared" si="98"/>
        <v>#REF!</v>
      </c>
      <c r="W101" s="371" t="e">
        <f t="shared" si="99"/>
        <v>#REF!</v>
      </c>
      <c r="X101" s="371" t="e">
        <f t="shared" si="100"/>
        <v>#REF!</v>
      </c>
      <c r="Y101" s="371" t="e">
        <f t="shared" si="101"/>
        <v>#REF!</v>
      </c>
      <c r="Z101" s="371" t="e">
        <f t="shared" si="102"/>
        <v>#REF!</v>
      </c>
      <c r="AA101" s="371" t="e">
        <f t="shared" si="103"/>
        <v>#REF!</v>
      </c>
      <c r="AB101" s="50"/>
    </row>
    <row r="102" s="122" customFormat="1" outlineLevel="2" spans="1:28">
      <c r="A102" s="130"/>
      <c r="B102" s="154" t="s">
        <v>325</v>
      </c>
      <c r="C102" s="154"/>
      <c r="D102" s="154"/>
      <c r="E102" s="154"/>
      <c r="F102" s="130"/>
      <c r="G102" s="134"/>
      <c r="H102" s="134"/>
      <c r="I102" s="134"/>
      <c r="J102" s="134"/>
      <c r="K102" s="134"/>
      <c r="L102" s="134"/>
      <c r="M102" s="134"/>
      <c r="N102" s="134"/>
      <c r="O102" s="134"/>
      <c r="P102" s="134"/>
      <c r="Q102" s="134"/>
      <c r="R102" s="367"/>
      <c r="S102" s="367"/>
      <c r="T102" s="367"/>
      <c r="U102" s="367"/>
      <c r="V102" s="371"/>
      <c r="W102" s="367"/>
      <c r="X102" s="367"/>
      <c r="Y102" s="367"/>
      <c r="Z102" s="367"/>
      <c r="AA102" s="367"/>
      <c r="AB102" s="130"/>
    </row>
    <row r="103" outlineLevel="2" spans="1:28">
      <c r="A103" s="52">
        <f>MAX($A$6:A102)+1</f>
        <v>88</v>
      </c>
      <c r="B103" s="51" t="s">
        <v>326</v>
      </c>
      <c r="C103" s="51" t="e">
        <f>VLOOKUP($B103,#REF!,MATCH(C$2,#REF!,0),0)</f>
        <v>#REF!</v>
      </c>
      <c r="D103" s="136"/>
      <c r="E103" s="136"/>
      <c r="F103" s="136" t="e">
        <f>VLOOKUP($B103,#REF!,MATCH(F$2,#REF!,0),0)</f>
        <v>#REF!</v>
      </c>
      <c r="G103" s="137" t="e">
        <f>VLOOKUP($B103,#REF!,MATCH(G$2,#REF!,0),0)</f>
        <v>#REF!</v>
      </c>
      <c r="H103" s="48"/>
      <c r="I103" s="48"/>
      <c r="J103" s="48"/>
      <c r="K103" s="48"/>
      <c r="L103" s="48"/>
      <c r="M103" s="48"/>
      <c r="N103" s="48"/>
      <c r="O103" s="48"/>
      <c r="P103" s="48">
        <v>3.92</v>
      </c>
      <c r="Q103" s="48">
        <v>34.03</v>
      </c>
      <c r="R103" s="371" t="e">
        <f t="shared" ref="R103:R105" si="104">$G103*H103</f>
        <v>#REF!</v>
      </c>
      <c r="S103" s="371" t="e">
        <f t="shared" ref="S103:AA103" si="105">$G103*I103</f>
        <v>#REF!</v>
      </c>
      <c r="T103" s="371" t="e">
        <f t="shared" si="105"/>
        <v>#REF!</v>
      </c>
      <c r="U103" s="371" t="e">
        <f t="shared" si="105"/>
        <v>#REF!</v>
      </c>
      <c r="V103" s="371" t="e">
        <f t="shared" si="105"/>
        <v>#REF!</v>
      </c>
      <c r="W103" s="371" t="e">
        <f t="shared" si="105"/>
        <v>#REF!</v>
      </c>
      <c r="X103" s="371" t="e">
        <f t="shared" si="105"/>
        <v>#REF!</v>
      </c>
      <c r="Y103" s="371" t="e">
        <f t="shared" si="105"/>
        <v>#REF!</v>
      </c>
      <c r="Z103" s="371" t="e">
        <f t="shared" si="105"/>
        <v>#REF!</v>
      </c>
      <c r="AA103" s="371" t="e">
        <f t="shared" si="105"/>
        <v>#REF!</v>
      </c>
      <c r="AB103" s="50"/>
    </row>
    <row r="104" outlineLevel="2" spans="1:28">
      <c r="A104" s="52">
        <f>MAX($A$6:A103)+1</f>
        <v>89</v>
      </c>
      <c r="B104" s="51" t="s">
        <v>327</v>
      </c>
      <c r="C104" s="51" t="e">
        <f>VLOOKUP($B104,#REF!,MATCH(C$2,#REF!,0),0)</f>
        <v>#REF!</v>
      </c>
      <c r="D104" s="136"/>
      <c r="E104" s="136"/>
      <c r="F104" s="136" t="e">
        <f>VLOOKUP($B104,#REF!,MATCH(F$2,#REF!,0),0)</f>
        <v>#REF!</v>
      </c>
      <c r="G104" s="137" t="e">
        <f>VLOOKUP($B104,#REF!,MATCH(G$2,#REF!,0),0)</f>
        <v>#REF!</v>
      </c>
      <c r="H104" s="48"/>
      <c r="I104" s="48"/>
      <c r="J104" s="48"/>
      <c r="K104" s="48"/>
      <c r="L104" s="48"/>
      <c r="M104" s="48"/>
      <c r="N104" s="48"/>
      <c r="O104" s="48"/>
      <c r="P104" s="48">
        <v>3.92</v>
      </c>
      <c r="Q104" s="48">
        <v>34.03</v>
      </c>
      <c r="R104" s="371" t="e">
        <f t="shared" si="104"/>
        <v>#REF!</v>
      </c>
      <c r="S104" s="371" t="e">
        <f t="shared" ref="S104:AA104" si="106">$G104*I104</f>
        <v>#REF!</v>
      </c>
      <c r="T104" s="371" t="e">
        <f t="shared" si="106"/>
        <v>#REF!</v>
      </c>
      <c r="U104" s="371" t="e">
        <f t="shared" si="106"/>
        <v>#REF!</v>
      </c>
      <c r="V104" s="371" t="e">
        <f t="shared" si="106"/>
        <v>#REF!</v>
      </c>
      <c r="W104" s="371" t="e">
        <f t="shared" si="106"/>
        <v>#REF!</v>
      </c>
      <c r="X104" s="371" t="e">
        <f t="shared" si="106"/>
        <v>#REF!</v>
      </c>
      <c r="Y104" s="371" t="e">
        <f t="shared" si="106"/>
        <v>#REF!</v>
      </c>
      <c r="Z104" s="371" t="e">
        <f t="shared" si="106"/>
        <v>#REF!</v>
      </c>
      <c r="AA104" s="371" t="e">
        <f t="shared" si="106"/>
        <v>#REF!</v>
      </c>
      <c r="AB104" s="50"/>
    </row>
    <row r="105" outlineLevel="2" spans="1:28">
      <c r="A105" s="52">
        <f>MAX($A$6:A104)+1</f>
        <v>90</v>
      </c>
      <c r="B105" s="51" t="s">
        <v>328</v>
      </c>
      <c r="C105" s="51" t="e">
        <f>VLOOKUP($B105,#REF!,MATCH(C$2,#REF!,0),0)</f>
        <v>#REF!</v>
      </c>
      <c r="D105" s="136"/>
      <c r="E105" s="136"/>
      <c r="F105" s="136" t="e">
        <f>VLOOKUP($B105,#REF!,MATCH(F$2,#REF!,0),0)</f>
        <v>#REF!</v>
      </c>
      <c r="G105" s="137" t="e">
        <f>VLOOKUP($B105,#REF!,MATCH(G$2,#REF!,0),0)</f>
        <v>#REF!</v>
      </c>
      <c r="H105" s="48"/>
      <c r="I105" s="48"/>
      <c r="J105" s="48"/>
      <c r="K105" s="48"/>
      <c r="L105" s="48"/>
      <c r="M105" s="48"/>
      <c r="N105" s="48"/>
      <c r="O105" s="48"/>
      <c r="P105" s="48">
        <v>3.92</v>
      </c>
      <c r="Q105" s="48">
        <v>34.03</v>
      </c>
      <c r="R105" s="371" t="e">
        <f t="shared" si="104"/>
        <v>#REF!</v>
      </c>
      <c r="S105" s="371" t="e">
        <f t="shared" ref="S105:AA105" si="107">$G105*I105</f>
        <v>#REF!</v>
      </c>
      <c r="T105" s="371" t="e">
        <f t="shared" si="107"/>
        <v>#REF!</v>
      </c>
      <c r="U105" s="371" t="e">
        <f t="shared" si="107"/>
        <v>#REF!</v>
      </c>
      <c r="V105" s="371" t="e">
        <f t="shared" si="107"/>
        <v>#REF!</v>
      </c>
      <c r="W105" s="371" t="e">
        <f t="shared" si="107"/>
        <v>#REF!</v>
      </c>
      <c r="X105" s="371" t="e">
        <f t="shared" si="107"/>
        <v>#REF!</v>
      </c>
      <c r="Y105" s="371" t="e">
        <f t="shared" si="107"/>
        <v>#REF!</v>
      </c>
      <c r="Z105" s="371" t="e">
        <f t="shared" si="107"/>
        <v>#REF!</v>
      </c>
      <c r="AA105" s="371" t="e">
        <f t="shared" si="107"/>
        <v>#REF!</v>
      </c>
      <c r="AB105" s="50"/>
    </row>
    <row r="106" s="29" customFormat="1" outlineLevel="1" spans="1:28">
      <c r="A106" s="40"/>
      <c r="B106" s="41" t="str">
        <f>目录!H9</f>
        <v>A.03.03钢筋工程</v>
      </c>
      <c r="C106" s="41"/>
      <c r="D106" s="141"/>
      <c r="E106" s="141"/>
      <c r="F106" s="40"/>
      <c r="G106" s="43"/>
      <c r="H106" s="43"/>
      <c r="I106" s="43"/>
      <c r="J106" s="43"/>
      <c r="K106" s="43"/>
      <c r="L106" s="43"/>
      <c r="M106" s="43"/>
      <c r="N106" s="43"/>
      <c r="O106" s="43"/>
      <c r="P106" s="43"/>
      <c r="Q106" s="43"/>
      <c r="R106" s="369" t="e">
        <f t="shared" ref="R106:AA106" si="108">SUM(R107:R114)</f>
        <v>#REF!</v>
      </c>
      <c r="S106" s="369" t="e">
        <f t="shared" si="108"/>
        <v>#REF!</v>
      </c>
      <c r="T106" s="369" t="e">
        <f t="shared" si="108"/>
        <v>#REF!</v>
      </c>
      <c r="U106" s="369" t="e">
        <f t="shared" si="108"/>
        <v>#REF!</v>
      </c>
      <c r="V106" s="369" t="e">
        <f t="shared" si="108"/>
        <v>#REF!</v>
      </c>
      <c r="W106" s="369" t="e">
        <f t="shared" si="108"/>
        <v>#REF!</v>
      </c>
      <c r="X106" s="369" t="e">
        <f t="shared" si="108"/>
        <v>#REF!</v>
      </c>
      <c r="Y106" s="369" t="e">
        <f t="shared" si="108"/>
        <v>#REF!</v>
      </c>
      <c r="Z106" s="369" t="e">
        <f t="shared" si="108"/>
        <v>#REF!</v>
      </c>
      <c r="AA106" s="369" t="e">
        <f t="shared" si="108"/>
        <v>#REF!</v>
      </c>
      <c r="AB106" s="40"/>
    </row>
    <row r="107" ht="28.8" outlineLevel="2" spans="1:28">
      <c r="A107" s="52">
        <f>MAX($A$6:A106)+1</f>
        <v>91</v>
      </c>
      <c r="B107" s="51" t="s">
        <v>298</v>
      </c>
      <c r="C107" s="51" t="e">
        <f>VLOOKUP($B107,#REF!,MATCH(C$2,#REF!,0),0)</f>
        <v>#REF!</v>
      </c>
      <c r="D107" s="136"/>
      <c r="E107" s="136"/>
      <c r="F107" s="136" t="e">
        <f>VLOOKUP($B107,#REF!,MATCH(F$2,#REF!,0),0)</f>
        <v>#REF!</v>
      </c>
      <c r="G107" s="137" t="e">
        <f>VLOOKUP($B107,#REF!,MATCH(G$2,#REF!,0),0)</f>
        <v>#REF!</v>
      </c>
      <c r="H107" s="48">
        <v>0.354</v>
      </c>
      <c r="I107" s="48">
        <v>0.354</v>
      </c>
      <c r="J107" s="48">
        <v>0.001</v>
      </c>
      <c r="K107" s="48">
        <v>0.001</v>
      </c>
      <c r="L107" s="48">
        <v>0.0225</v>
      </c>
      <c r="M107" s="48"/>
      <c r="N107" s="48"/>
      <c r="O107" s="48"/>
      <c r="P107" s="48">
        <v>0.001</v>
      </c>
      <c r="Q107" s="48">
        <v>0.001</v>
      </c>
      <c r="R107" s="371" t="e">
        <f>$G107*H107</f>
        <v>#REF!</v>
      </c>
      <c r="S107" s="371" t="e">
        <f t="shared" ref="S107:AA107" si="109">$G107*I107</f>
        <v>#REF!</v>
      </c>
      <c r="T107" s="371" t="e">
        <f t="shared" si="109"/>
        <v>#REF!</v>
      </c>
      <c r="U107" s="371" t="e">
        <f t="shared" si="109"/>
        <v>#REF!</v>
      </c>
      <c r="V107" s="371" t="e">
        <f t="shared" si="109"/>
        <v>#REF!</v>
      </c>
      <c r="W107" s="371" t="e">
        <f t="shared" si="109"/>
        <v>#REF!</v>
      </c>
      <c r="X107" s="371" t="e">
        <f t="shared" si="109"/>
        <v>#REF!</v>
      </c>
      <c r="Y107" s="371" t="e">
        <f t="shared" si="109"/>
        <v>#REF!</v>
      </c>
      <c r="Z107" s="371" t="e">
        <f t="shared" si="109"/>
        <v>#REF!</v>
      </c>
      <c r="AA107" s="371" t="e">
        <f t="shared" si="109"/>
        <v>#REF!</v>
      </c>
      <c r="AB107" s="50"/>
    </row>
    <row r="108" ht="28.8" outlineLevel="2" spans="1:28">
      <c r="A108" s="52">
        <f>MAX($A$6:A107)+1</f>
        <v>92</v>
      </c>
      <c r="B108" s="51" t="s">
        <v>299</v>
      </c>
      <c r="C108" s="51" t="e">
        <f>VLOOKUP($B108,#REF!,MATCH(C$2,#REF!,0),0)</f>
        <v>#REF!</v>
      </c>
      <c r="D108" s="136"/>
      <c r="E108" s="136"/>
      <c r="F108" s="136" t="e">
        <f>VLOOKUP($B108,#REF!,MATCH(F$2,#REF!,0),0)</f>
        <v>#REF!</v>
      </c>
      <c r="G108" s="137" t="e">
        <f>VLOOKUP($B108,#REF!,MATCH(G$2,#REF!,0),0)</f>
        <v>#REF!</v>
      </c>
      <c r="H108" s="48">
        <v>0.137</v>
      </c>
      <c r="I108" s="48">
        <v>0.137</v>
      </c>
      <c r="J108" s="48">
        <v>0.063</v>
      </c>
      <c r="K108" s="48">
        <v>0.063</v>
      </c>
      <c r="L108" s="48">
        <v>0.049</v>
      </c>
      <c r="M108" s="48"/>
      <c r="N108" s="48"/>
      <c r="O108" s="48"/>
      <c r="P108" s="48">
        <v>0.337</v>
      </c>
      <c r="Q108" s="48">
        <v>1.809</v>
      </c>
      <c r="R108" s="371" t="e">
        <f t="shared" ref="R108:R114" si="110">$G108*H108</f>
        <v>#REF!</v>
      </c>
      <c r="S108" s="371" t="e">
        <f t="shared" ref="S108:S114" si="111">$G108*I108</f>
        <v>#REF!</v>
      </c>
      <c r="T108" s="371" t="e">
        <f t="shared" ref="T108:T114" si="112">$G108*J108</f>
        <v>#REF!</v>
      </c>
      <c r="U108" s="371" t="e">
        <f t="shared" ref="U108:U114" si="113">$G108*K108</f>
        <v>#REF!</v>
      </c>
      <c r="V108" s="371" t="e">
        <f t="shared" ref="V108:V114" si="114">$G108*L108</f>
        <v>#REF!</v>
      </c>
      <c r="W108" s="371" t="e">
        <f t="shared" ref="W108:W114" si="115">$G108*M108</f>
        <v>#REF!</v>
      </c>
      <c r="X108" s="371" t="e">
        <f t="shared" ref="X108:X114" si="116">$G108*N108</f>
        <v>#REF!</v>
      </c>
      <c r="Y108" s="371" t="e">
        <f t="shared" ref="Y108:Y114" si="117">$G108*O108</f>
        <v>#REF!</v>
      </c>
      <c r="Z108" s="371" t="e">
        <f t="shared" ref="Z108:Z114" si="118">$G108*P108</f>
        <v>#REF!</v>
      </c>
      <c r="AA108" s="371" t="e">
        <f t="shared" ref="AA108:AA114" si="119">$G108*Q108</f>
        <v>#REF!</v>
      </c>
      <c r="AB108" s="50"/>
    </row>
    <row r="109" ht="28.8" outlineLevel="2" spans="1:28">
      <c r="A109" s="52">
        <f>MAX($A$6:A108)+1</f>
        <v>93</v>
      </c>
      <c r="B109" s="51" t="s">
        <v>300</v>
      </c>
      <c r="C109" s="51" t="e">
        <f>VLOOKUP($B109,#REF!,MATCH(C$2,#REF!,0),0)</f>
        <v>#REF!</v>
      </c>
      <c r="D109" s="136"/>
      <c r="E109" s="136"/>
      <c r="F109" s="136" t="e">
        <f>VLOOKUP($B109,#REF!,MATCH(F$2,#REF!,0),0)</f>
        <v>#REF!</v>
      </c>
      <c r="G109" s="137" t="e">
        <f>VLOOKUP($B109,#REF!,MATCH(G$2,#REF!,0),0)</f>
        <v>#REF!</v>
      </c>
      <c r="H109" s="48"/>
      <c r="I109" s="48"/>
      <c r="J109" s="48"/>
      <c r="K109" s="48"/>
      <c r="L109" s="48">
        <v>0.275</v>
      </c>
      <c r="M109" s="48"/>
      <c r="N109" s="48"/>
      <c r="O109" s="48"/>
      <c r="P109" s="48">
        <v>0.226</v>
      </c>
      <c r="Q109" s="48">
        <v>3.361</v>
      </c>
      <c r="R109" s="371" t="e">
        <f t="shared" si="110"/>
        <v>#REF!</v>
      </c>
      <c r="S109" s="371" t="e">
        <f t="shared" si="111"/>
        <v>#REF!</v>
      </c>
      <c r="T109" s="371" t="e">
        <f t="shared" si="112"/>
        <v>#REF!</v>
      </c>
      <c r="U109" s="371" t="e">
        <f t="shared" si="113"/>
        <v>#REF!</v>
      </c>
      <c r="V109" s="371" t="e">
        <f t="shared" si="114"/>
        <v>#REF!</v>
      </c>
      <c r="W109" s="371" t="e">
        <f t="shared" si="115"/>
        <v>#REF!</v>
      </c>
      <c r="X109" s="371" t="e">
        <f t="shared" si="116"/>
        <v>#REF!</v>
      </c>
      <c r="Y109" s="371" t="e">
        <f t="shared" si="117"/>
        <v>#REF!</v>
      </c>
      <c r="Z109" s="371" t="e">
        <f t="shared" si="118"/>
        <v>#REF!</v>
      </c>
      <c r="AA109" s="371" t="e">
        <f t="shared" si="119"/>
        <v>#REF!</v>
      </c>
      <c r="AB109" s="50"/>
    </row>
    <row r="110" ht="28.8" outlineLevel="2" spans="1:28">
      <c r="A110" s="52">
        <f>MAX($A$6:A109)+1</f>
        <v>94</v>
      </c>
      <c r="B110" s="51" t="s">
        <v>301</v>
      </c>
      <c r="C110" s="51" t="e">
        <f>VLOOKUP($B110,#REF!,MATCH(C$2,#REF!,0),0)</f>
        <v>#REF!</v>
      </c>
      <c r="D110" s="136"/>
      <c r="E110" s="136"/>
      <c r="F110" s="136" t="e">
        <f>VLOOKUP($B110,#REF!,MATCH(F$2,#REF!,0),0)</f>
        <v>#REF!</v>
      </c>
      <c r="G110" s="137" t="e">
        <f>VLOOKUP($B110,#REF!,MATCH(G$2,#REF!,0),0)</f>
        <v>#REF!</v>
      </c>
      <c r="H110" s="48">
        <v>0.621</v>
      </c>
      <c r="I110" s="48">
        <v>0.621</v>
      </c>
      <c r="J110" s="48">
        <v>0.382</v>
      </c>
      <c r="K110" s="48">
        <v>0.382</v>
      </c>
      <c r="L110" s="48">
        <v>0.131</v>
      </c>
      <c r="M110" s="48"/>
      <c r="N110" s="48"/>
      <c r="O110" s="48"/>
      <c r="P110" s="48">
        <v>0.428</v>
      </c>
      <c r="Q110" s="48">
        <v>6.185</v>
      </c>
      <c r="R110" s="371" t="e">
        <f t="shared" si="110"/>
        <v>#REF!</v>
      </c>
      <c r="S110" s="371" t="e">
        <f t="shared" si="111"/>
        <v>#REF!</v>
      </c>
      <c r="T110" s="371" t="e">
        <f t="shared" si="112"/>
        <v>#REF!</v>
      </c>
      <c r="U110" s="371" t="e">
        <f t="shared" si="113"/>
        <v>#REF!</v>
      </c>
      <c r="V110" s="371" t="e">
        <f t="shared" si="114"/>
        <v>#REF!</v>
      </c>
      <c r="W110" s="371" t="e">
        <f t="shared" si="115"/>
        <v>#REF!</v>
      </c>
      <c r="X110" s="371" t="e">
        <f t="shared" si="116"/>
        <v>#REF!</v>
      </c>
      <c r="Y110" s="371" t="e">
        <f t="shared" si="117"/>
        <v>#REF!</v>
      </c>
      <c r="Z110" s="371" t="e">
        <f t="shared" si="118"/>
        <v>#REF!</v>
      </c>
      <c r="AA110" s="371" t="e">
        <f t="shared" si="119"/>
        <v>#REF!</v>
      </c>
      <c r="AB110" s="50"/>
    </row>
    <row r="111" ht="28.8" outlineLevel="2" spans="1:28">
      <c r="A111" s="52">
        <f>MAX($A$6:A110)+1</f>
        <v>95</v>
      </c>
      <c r="B111" s="51" t="s">
        <v>302</v>
      </c>
      <c r="C111" s="51" t="e">
        <f>VLOOKUP($B111,#REF!,MATCH(C$2,#REF!,0),0)</f>
        <v>#REF!</v>
      </c>
      <c r="D111" s="136"/>
      <c r="E111" s="136"/>
      <c r="F111" s="136" t="e">
        <f>VLOOKUP($B111,#REF!,MATCH(F$2,#REF!,0),0)</f>
        <v>#REF!</v>
      </c>
      <c r="G111" s="137" t="e">
        <f>VLOOKUP($B111,#REF!,MATCH(G$2,#REF!,0),0)</f>
        <v>#REF!</v>
      </c>
      <c r="H111" s="48">
        <v>0.52</v>
      </c>
      <c r="I111" s="48">
        <v>0.52</v>
      </c>
      <c r="J111" s="48">
        <v>0.045</v>
      </c>
      <c r="K111" s="48">
        <v>0.045</v>
      </c>
      <c r="L111" s="48"/>
      <c r="M111" s="48"/>
      <c r="N111" s="48"/>
      <c r="O111" s="48"/>
      <c r="P111" s="48">
        <v>0.702</v>
      </c>
      <c r="Q111" s="48">
        <v>5.506</v>
      </c>
      <c r="R111" s="371" t="e">
        <f t="shared" si="110"/>
        <v>#REF!</v>
      </c>
      <c r="S111" s="371" t="e">
        <f t="shared" si="111"/>
        <v>#REF!</v>
      </c>
      <c r="T111" s="371" t="e">
        <f t="shared" si="112"/>
        <v>#REF!</v>
      </c>
      <c r="U111" s="371" t="e">
        <f t="shared" si="113"/>
        <v>#REF!</v>
      </c>
      <c r="V111" s="371" t="e">
        <f t="shared" si="114"/>
        <v>#REF!</v>
      </c>
      <c r="W111" s="371" t="e">
        <f t="shared" si="115"/>
        <v>#REF!</v>
      </c>
      <c r="X111" s="371" t="e">
        <f t="shared" si="116"/>
        <v>#REF!</v>
      </c>
      <c r="Y111" s="371" t="e">
        <f t="shared" si="117"/>
        <v>#REF!</v>
      </c>
      <c r="Z111" s="371" t="e">
        <f t="shared" si="118"/>
        <v>#REF!</v>
      </c>
      <c r="AA111" s="371" t="e">
        <f t="shared" si="119"/>
        <v>#REF!</v>
      </c>
      <c r="AB111" s="50"/>
    </row>
    <row r="112" ht="28.8" outlineLevel="2" spans="1:28">
      <c r="A112" s="52">
        <f>MAX($A$6:A111)+1</f>
        <v>96</v>
      </c>
      <c r="B112" s="51" t="s">
        <v>303</v>
      </c>
      <c r="C112" s="51" t="e">
        <f>VLOOKUP($B112,#REF!,MATCH(C$2,#REF!,0),0)</f>
        <v>#REF!</v>
      </c>
      <c r="D112" s="136"/>
      <c r="E112" s="136"/>
      <c r="F112" s="136" t="e">
        <f>VLOOKUP($B112,#REF!,MATCH(F$2,#REF!,0),0)</f>
        <v>#REF!</v>
      </c>
      <c r="G112" s="137" t="e">
        <f>VLOOKUP($B112,#REF!,MATCH(G$2,#REF!,0),0)</f>
        <v>#REF!</v>
      </c>
      <c r="H112" s="48"/>
      <c r="I112" s="48"/>
      <c r="J112" s="48"/>
      <c r="K112" s="48"/>
      <c r="L112" s="48"/>
      <c r="M112" s="48"/>
      <c r="N112" s="48"/>
      <c r="O112" s="48"/>
      <c r="P112" s="48">
        <v>1.01</v>
      </c>
      <c r="Q112" s="48">
        <v>1.973</v>
      </c>
      <c r="R112" s="371" t="e">
        <f t="shared" si="110"/>
        <v>#REF!</v>
      </c>
      <c r="S112" s="371" t="e">
        <f t="shared" si="111"/>
        <v>#REF!</v>
      </c>
      <c r="T112" s="371" t="e">
        <f t="shared" si="112"/>
        <v>#REF!</v>
      </c>
      <c r="U112" s="371" t="e">
        <f t="shared" si="113"/>
        <v>#REF!</v>
      </c>
      <c r="V112" s="371" t="e">
        <f t="shared" si="114"/>
        <v>#REF!</v>
      </c>
      <c r="W112" s="371" t="e">
        <f t="shared" si="115"/>
        <v>#REF!</v>
      </c>
      <c r="X112" s="371" t="e">
        <f t="shared" si="116"/>
        <v>#REF!</v>
      </c>
      <c r="Y112" s="371" t="e">
        <f t="shared" si="117"/>
        <v>#REF!</v>
      </c>
      <c r="Z112" s="371" t="e">
        <f t="shared" si="118"/>
        <v>#REF!</v>
      </c>
      <c r="AA112" s="371" t="e">
        <f t="shared" si="119"/>
        <v>#REF!</v>
      </c>
      <c r="AB112" s="50"/>
    </row>
    <row r="113" ht="28.8" outlineLevel="2" spans="1:28">
      <c r="A113" s="52">
        <f>MAX($A$6:A112)+1</f>
        <v>97</v>
      </c>
      <c r="B113" s="51" t="s">
        <v>304</v>
      </c>
      <c r="C113" s="51" t="e">
        <f>VLOOKUP($B113,#REF!,MATCH(C$2,#REF!,0),0)</f>
        <v>#REF!</v>
      </c>
      <c r="D113" s="136"/>
      <c r="E113" s="136"/>
      <c r="F113" s="136" t="e">
        <f>VLOOKUP($B113,#REF!,MATCH(F$2,#REF!,0),0)</f>
        <v>#REF!</v>
      </c>
      <c r="G113" s="137" t="e">
        <f>VLOOKUP($B113,#REF!,MATCH(G$2,#REF!,0),0)</f>
        <v>#REF!</v>
      </c>
      <c r="H113" s="48"/>
      <c r="I113" s="48"/>
      <c r="J113" s="48"/>
      <c r="K113" s="48"/>
      <c r="L113" s="48"/>
      <c r="M113" s="48"/>
      <c r="N113" s="48"/>
      <c r="O113" s="48"/>
      <c r="P113" s="48">
        <v>0.001</v>
      </c>
      <c r="Q113" s="48">
        <v>1.216</v>
      </c>
      <c r="R113" s="371" t="e">
        <f t="shared" si="110"/>
        <v>#REF!</v>
      </c>
      <c r="S113" s="371" t="e">
        <f t="shared" si="111"/>
        <v>#REF!</v>
      </c>
      <c r="T113" s="371" t="e">
        <f t="shared" si="112"/>
        <v>#REF!</v>
      </c>
      <c r="U113" s="371" t="e">
        <f t="shared" si="113"/>
        <v>#REF!</v>
      </c>
      <c r="V113" s="371" t="e">
        <f t="shared" si="114"/>
        <v>#REF!</v>
      </c>
      <c r="W113" s="371" t="e">
        <f t="shared" si="115"/>
        <v>#REF!</v>
      </c>
      <c r="X113" s="371" t="e">
        <f t="shared" si="116"/>
        <v>#REF!</v>
      </c>
      <c r="Y113" s="371" t="e">
        <f t="shared" si="117"/>
        <v>#REF!</v>
      </c>
      <c r="Z113" s="371" t="e">
        <f t="shared" si="118"/>
        <v>#REF!</v>
      </c>
      <c r="AA113" s="371" t="e">
        <f t="shared" si="119"/>
        <v>#REF!</v>
      </c>
      <c r="AB113" s="50"/>
    </row>
    <row r="114" ht="28.8" outlineLevel="2" spans="1:28">
      <c r="A114" s="52">
        <f>MAX($A$6:A113)+1</f>
        <v>98</v>
      </c>
      <c r="B114" s="51" t="s">
        <v>329</v>
      </c>
      <c r="C114" s="51" t="e">
        <f>VLOOKUP($B114,#REF!,MATCH(C$2,#REF!,0),0)</f>
        <v>#REF!</v>
      </c>
      <c r="D114" s="136"/>
      <c r="E114" s="136"/>
      <c r="F114" s="136" t="e">
        <f>VLOOKUP($B114,#REF!,MATCH(F$2,#REF!,0),0)</f>
        <v>#REF!</v>
      </c>
      <c r="G114" s="137" t="e">
        <f>VLOOKUP($B114,#REF!,MATCH(G$2,#REF!,0),0)</f>
        <v>#REF!</v>
      </c>
      <c r="H114" s="48">
        <v>0.712</v>
      </c>
      <c r="I114" s="48">
        <v>0.712</v>
      </c>
      <c r="J114" s="48">
        <v>0.55</v>
      </c>
      <c r="K114" s="48">
        <v>0.55</v>
      </c>
      <c r="L114" s="48"/>
      <c r="M114" s="48"/>
      <c r="N114" s="48"/>
      <c r="O114" s="48"/>
      <c r="P114" s="48">
        <v>0.963</v>
      </c>
      <c r="Q114" s="48">
        <v>6.011</v>
      </c>
      <c r="R114" s="371" t="e">
        <f t="shared" si="110"/>
        <v>#REF!</v>
      </c>
      <c r="S114" s="371" t="e">
        <f t="shared" si="111"/>
        <v>#REF!</v>
      </c>
      <c r="T114" s="371" t="e">
        <f t="shared" si="112"/>
        <v>#REF!</v>
      </c>
      <c r="U114" s="371" t="e">
        <f t="shared" si="113"/>
        <v>#REF!</v>
      </c>
      <c r="V114" s="371" t="e">
        <f t="shared" si="114"/>
        <v>#REF!</v>
      </c>
      <c r="W114" s="371" t="e">
        <f t="shared" si="115"/>
        <v>#REF!</v>
      </c>
      <c r="X114" s="371" t="e">
        <f t="shared" si="116"/>
        <v>#REF!</v>
      </c>
      <c r="Y114" s="371" t="e">
        <f t="shared" si="117"/>
        <v>#REF!</v>
      </c>
      <c r="Z114" s="371" t="e">
        <f t="shared" si="118"/>
        <v>#REF!</v>
      </c>
      <c r="AA114" s="371" t="e">
        <f t="shared" si="119"/>
        <v>#REF!</v>
      </c>
      <c r="AB114" s="50"/>
    </row>
    <row r="115" s="29" customFormat="1" outlineLevel="1" spans="1:28">
      <c r="A115" s="40"/>
      <c r="B115" s="41" t="str">
        <f>目录!H10</f>
        <v>A.03.04金属工程</v>
      </c>
      <c r="C115" s="41"/>
      <c r="D115" s="141"/>
      <c r="E115" s="141"/>
      <c r="F115" s="40"/>
      <c r="G115" s="43"/>
      <c r="H115" s="43"/>
      <c r="I115" s="43"/>
      <c r="J115" s="43"/>
      <c r="K115" s="43"/>
      <c r="L115" s="43"/>
      <c r="M115" s="43"/>
      <c r="N115" s="43"/>
      <c r="O115" s="43"/>
      <c r="P115" s="43"/>
      <c r="Q115" s="43"/>
      <c r="R115" s="369" t="e">
        <f t="shared" ref="R115:AA115" si="120">SUM(R116:R125)</f>
        <v>#REF!</v>
      </c>
      <c r="S115" s="369" t="e">
        <f t="shared" si="120"/>
        <v>#REF!</v>
      </c>
      <c r="T115" s="369" t="e">
        <f t="shared" si="120"/>
        <v>#REF!</v>
      </c>
      <c r="U115" s="369" t="e">
        <f t="shared" si="120"/>
        <v>#REF!</v>
      </c>
      <c r="V115" s="369" t="e">
        <f t="shared" si="120"/>
        <v>#REF!</v>
      </c>
      <c r="W115" s="369" t="e">
        <f t="shared" si="120"/>
        <v>#REF!</v>
      </c>
      <c r="X115" s="369" t="e">
        <f t="shared" si="120"/>
        <v>#REF!</v>
      </c>
      <c r="Y115" s="369" t="e">
        <f t="shared" si="120"/>
        <v>#REF!</v>
      </c>
      <c r="Z115" s="369" t="e">
        <f t="shared" si="120"/>
        <v>#REF!</v>
      </c>
      <c r="AA115" s="369" t="e">
        <f t="shared" si="120"/>
        <v>#REF!</v>
      </c>
      <c r="AB115" s="40"/>
    </row>
    <row r="116" ht="28.8" outlineLevel="2" spans="1:28">
      <c r="A116" s="52">
        <f>MAX($A$6:A115)+1</f>
        <v>99</v>
      </c>
      <c r="B116" s="51" t="s">
        <v>330</v>
      </c>
      <c r="C116" s="51" t="e">
        <f>VLOOKUP($B116,#REF!,MATCH(C$2,#REF!,0),0)</f>
        <v>#REF!</v>
      </c>
      <c r="D116" s="136"/>
      <c r="E116" s="136"/>
      <c r="F116" s="136" t="e">
        <f>VLOOKUP($B116,#REF!,MATCH(F$2,#REF!,0),0)</f>
        <v>#REF!</v>
      </c>
      <c r="G116" s="137" t="e">
        <f>VLOOKUP($B116,#REF!,MATCH(G$2,#REF!,0),0)</f>
        <v>#REF!</v>
      </c>
      <c r="H116" s="48">
        <v>667.08</v>
      </c>
      <c r="I116" s="48">
        <v>667.08</v>
      </c>
      <c r="J116" s="48">
        <v>289.8</v>
      </c>
      <c r="K116" s="48">
        <v>289.8</v>
      </c>
      <c r="L116" s="48">
        <v>46.2</v>
      </c>
      <c r="M116" s="48"/>
      <c r="N116" s="48"/>
      <c r="O116" s="48"/>
      <c r="P116" s="48">
        <v>658.73</v>
      </c>
      <c r="Q116" s="48">
        <v>3037.1</v>
      </c>
      <c r="R116" s="371" t="e">
        <f>$G116*H116</f>
        <v>#REF!</v>
      </c>
      <c r="S116" s="371" t="e">
        <f t="shared" ref="S116:AA116" si="121">$G116*I116</f>
        <v>#REF!</v>
      </c>
      <c r="T116" s="371" t="e">
        <f t="shared" si="121"/>
        <v>#REF!</v>
      </c>
      <c r="U116" s="371" t="e">
        <f t="shared" si="121"/>
        <v>#REF!</v>
      </c>
      <c r="V116" s="371" t="e">
        <f t="shared" si="121"/>
        <v>#REF!</v>
      </c>
      <c r="W116" s="371" t="e">
        <f t="shared" si="121"/>
        <v>#REF!</v>
      </c>
      <c r="X116" s="371" t="e">
        <f t="shared" si="121"/>
        <v>#REF!</v>
      </c>
      <c r="Y116" s="371" t="e">
        <f t="shared" si="121"/>
        <v>#REF!</v>
      </c>
      <c r="Z116" s="371" t="e">
        <f t="shared" si="121"/>
        <v>#REF!</v>
      </c>
      <c r="AA116" s="371" t="e">
        <f t="shared" si="121"/>
        <v>#REF!</v>
      </c>
      <c r="AB116" s="50"/>
    </row>
    <row r="117" outlineLevel="2" spans="1:28">
      <c r="A117" s="52">
        <f>MAX($A$6:A116)+1</f>
        <v>100</v>
      </c>
      <c r="B117" s="51" t="s">
        <v>331</v>
      </c>
      <c r="C117" s="51" t="e">
        <f>VLOOKUP($B117,#REF!,MATCH(C$2,#REF!,0),0)</f>
        <v>#REF!</v>
      </c>
      <c r="D117" s="136"/>
      <c r="E117" s="136"/>
      <c r="F117" s="136" t="e">
        <f>VLOOKUP($B117,#REF!,MATCH(F$2,#REF!,0),0)</f>
        <v>#REF!</v>
      </c>
      <c r="G117" s="137" t="e">
        <f>VLOOKUP($B117,#REF!,MATCH(G$2,#REF!,0),0)</f>
        <v>#REF!</v>
      </c>
      <c r="H117" s="48">
        <v>182.19</v>
      </c>
      <c r="I117" s="48">
        <v>182.19</v>
      </c>
      <c r="J117" s="48">
        <v>218.4</v>
      </c>
      <c r="K117" s="48">
        <v>218.4</v>
      </c>
      <c r="L117" s="48">
        <v>190.1952</v>
      </c>
      <c r="M117" s="48"/>
      <c r="N117" s="48"/>
      <c r="O117" s="48"/>
      <c r="P117" s="48">
        <v>1</v>
      </c>
      <c r="Q117" s="48">
        <v>1</v>
      </c>
      <c r="R117" s="371" t="e">
        <f t="shared" ref="R117:AA117" si="122">$G117*H117</f>
        <v>#REF!</v>
      </c>
      <c r="S117" s="371" t="e">
        <f t="shared" si="122"/>
        <v>#REF!</v>
      </c>
      <c r="T117" s="371" t="e">
        <f t="shared" si="122"/>
        <v>#REF!</v>
      </c>
      <c r="U117" s="371" t="e">
        <f t="shared" si="122"/>
        <v>#REF!</v>
      </c>
      <c r="V117" s="371" t="e">
        <f t="shared" si="122"/>
        <v>#REF!</v>
      </c>
      <c r="W117" s="371" t="e">
        <f t="shared" si="122"/>
        <v>#REF!</v>
      </c>
      <c r="X117" s="371" t="e">
        <f t="shared" si="122"/>
        <v>#REF!</v>
      </c>
      <c r="Y117" s="371" t="e">
        <f t="shared" si="122"/>
        <v>#REF!</v>
      </c>
      <c r="Z117" s="371" t="e">
        <f t="shared" si="122"/>
        <v>#REF!</v>
      </c>
      <c r="AA117" s="371" t="e">
        <f t="shared" si="122"/>
        <v>#REF!</v>
      </c>
      <c r="AB117" s="50"/>
    </row>
    <row r="118" outlineLevel="2" spans="1:28">
      <c r="A118" s="52">
        <f>MAX($A$6:A117)+1</f>
        <v>101</v>
      </c>
      <c r="B118" s="51" t="s">
        <v>332</v>
      </c>
      <c r="C118" s="51" t="e">
        <f>VLOOKUP($B118,#REF!,MATCH(C$2,#REF!,0),0)</f>
        <v>#REF!</v>
      </c>
      <c r="D118" s="136"/>
      <c r="E118" s="136"/>
      <c r="F118" s="136" t="e">
        <f>VLOOKUP($B118,#REF!,MATCH(F$2,#REF!,0),0)</f>
        <v>#REF!</v>
      </c>
      <c r="G118" s="137" t="e">
        <f>VLOOKUP($B118,#REF!,MATCH(G$2,#REF!,0),0)</f>
        <v>#REF!</v>
      </c>
      <c r="H118" s="48"/>
      <c r="I118" s="48"/>
      <c r="J118" s="48"/>
      <c r="K118" s="48"/>
      <c r="L118" s="48"/>
      <c r="M118" s="48"/>
      <c r="N118" s="48"/>
      <c r="O118" s="48"/>
      <c r="P118" s="48">
        <v>0.93</v>
      </c>
      <c r="Q118" s="48">
        <v>0.117</v>
      </c>
      <c r="R118" s="371" t="e">
        <f t="shared" ref="R118:AA118" si="123">$G118*H118</f>
        <v>#REF!</v>
      </c>
      <c r="S118" s="371" t="e">
        <f t="shared" si="123"/>
        <v>#REF!</v>
      </c>
      <c r="T118" s="371" t="e">
        <f t="shared" si="123"/>
        <v>#REF!</v>
      </c>
      <c r="U118" s="371" t="e">
        <f t="shared" si="123"/>
        <v>#REF!</v>
      </c>
      <c r="V118" s="371" t="e">
        <f t="shared" si="123"/>
        <v>#REF!</v>
      </c>
      <c r="W118" s="371" t="e">
        <f t="shared" si="123"/>
        <v>#REF!</v>
      </c>
      <c r="X118" s="371" t="e">
        <f t="shared" si="123"/>
        <v>#REF!</v>
      </c>
      <c r="Y118" s="371" t="e">
        <f t="shared" si="123"/>
        <v>#REF!</v>
      </c>
      <c r="Z118" s="371" t="e">
        <f t="shared" si="123"/>
        <v>#REF!</v>
      </c>
      <c r="AA118" s="371" t="e">
        <f t="shared" si="123"/>
        <v>#REF!</v>
      </c>
      <c r="AB118" s="50"/>
    </row>
    <row r="119" ht="73" customHeight="1" outlineLevel="2" spans="1:28">
      <c r="A119" s="52">
        <f>MAX($A$6:A118)+1</f>
        <v>102</v>
      </c>
      <c r="B119" s="51" t="s">
        <v>333</v>
      </c>
      <c r="C119" s="51" t="e">
        <f>VLOOKUP($B119,#REF!,MATCH(C$2,#REF!,0),0)</f>
        <v>#REF!</v>
      </c>
      <c r="D119" s="136"/>
      <c r="E119" s="136"/>
      <c r="F119" s="136" t="e">
        <f>VLOOKUP($B119,#REF!,MATCH(F$2,#REF!,0),0)</f>
        <v>#REF!</v>
      </c>
      <c r="G119" s="137" t="e">
        <f>VLOOKUP($B119,#REF!,MATCH(G$2,#REF!,0),0)</f>
        <v>#REF!</v>
      </c>
      <c r="H119" s="48"/>
      <c r="I119" s="48"/>
      <c r="J119" s="48"/>
      <c r="K119" s="48"/>
      <c r="L119" s="48"/>
      <c r="M119" s="48"/>
      <c r="N119" s="48"/>
      <c r="O119" s="48"/>
      <c r="P119" s="48">
        <v>9.8</v>
      </c>
      <c r="Q119" s="48">
        <v>102.64</v>
      </c>
      <c r="R119" s="371" t="e">
        <f t="shared" ref="R119:AA119" si="124">$G119*H119</f>
        <v>#REF!</v>
      </c>
      <c r="S119" s="371" t="e">
        <f t="shared" si="124"/>
        <v>#REF!</v>
      </c>
      <c r="T119" s="371" t="e">
        <f t="shared" si="124"/>
        <v>#REF!</v>
      </c>
      <c r="U119" s="371" t="e">
        <f t="shared" si="124"/>
        <v>#REF!</v>
      </c>
      <c r="V119" s="371" t="e">
        <f t="shared" si="124"/>
        <v>#REF!</v>
      </c>
      <c r="W119" s="371" t="e">
        <f t="shared" si="124"/>
        <v>#REF!</v>
      </c>
      <c r="X119" s="371" t="e">
        <f t="shared" si="124"/>
        <v>#REF!</v>
      </c>
      <c r="Y119" s="371" t="e">
        <f t="shared" si="124"/>
        <v>#REF!</v>
      </c>
      <c r="Z119" s="371" t="e">
        <f t="shared" si="124"/>
        <v>#REF!</v>
      </c>
      <c r="AA119" s="371" t="e">
        <f t="shared" si="124"/>
        <v>#REF!</v>
      </c>
      <c r="AB119" s="50"/>
    </row>
    <row r="120" ht="73" customHeight="1" outlineLevel="2" spans="1:28">
      <c r="A120" s="52">
        <f>MAX($A$6:A119)+1</f>
        <v>103</v>
      </c>
      <c r="B120" s="51" t="s">
        <v>334</v>
      </c>
      <c r="C120" s="51" t="e">
        <f>VLOOKUP($B120,#REF!,MATCH(C$2,#REF!,0),0)</f>
        <v>#REF!</v>
      </c>
      <c r="D120" s="136"/>
      <c r="E120" s="136"/>
      <c r="F120" s="136" t="e">
        <f>VLOOKUP($B120,#REF!,MATCH(F$2,#REF!,0),0)</f>
        <v>#REF!</v>
      </c>
      <c r="G120" s="137" t="e">
        <f>VLOOKUP($B120,#REF!,MATCH(G$2,#REF!,0),0)</f>
        <v>#REF!</v>
      </c>
      <c r="H120" s="48"/>
      <c r="I120" s="48"/>
      <c r="J120" s="48"/>
      <c r="K120" s="48"/>
      <c r="L120" s="48"/>
      <c r="M120" s="48"/>
      <c r="N120" s="48"/>
      <c r="O120" s="48"/>
      <c r="P120" s="48"/>
      <c r="Q120" s="48"/>
      <c r="R120" s="371" t="e">
        <f t="shared" ref="R120:AA120" si="125">$G120*H120</f>
        <v>#REF!</v>
      </c>
      <c r="S120" s="371" t="e">
        <f t="shared" si="125"/>
        <v>#REF!</v>
      </c>
      <c r="T120" s="371" t="e">
        <f t="shared" si="125"/>
        <v>#REF!</v>
      </c>
      <c r="U120" s="371" t="e">
        <f t="shared" si="125"/>
        <v>#REF!</v>
      </c>
      <c r="V120" s="371" t="e">
        <f t="shared" si="125"/>
        <v>#REF!</v>
      </c>
      <c r="W120" s="371" t="e">
        <f t="shared" si="125"/>
        <v>#REF!</v>
      </c>
      <c r="X120" s="371" t="e">
        <f t="shared" si="125"/>
        <v>#REF!</v>
      </c>
      <c r="Y120" s="371" t="e">
        <f t="shared" si="125"/>
        <v>#REF!</v>
      </c>
      <c r="Z120" s="371" t="e">
        <f t="shared" si="125"/>
        <v>#REF!</v>
      </c>
      <c r="AA120" s="371" t="e">
        <f t="shared" si="125"/>
        <v>#REF!</v>
      </c>
      <c r="AB120" s="50"/>
    </row>
    <row r="121" outlineLevel="2" spans="1:28">
      <c r="A121" s="52">
        <f>MAX($A$6:A120)+1</f>
        <v>104</v>
      </c>
      <c r="B121" s="51" t="s">
        <v>335</v>
      </c>
      <c r="C121" s="51" t="e">
        <f>VLOOKUP($B121,#REF!,MATCH(C$2,#REF!,0),0)</f>
        <v>#REF!</v>
      </c>
      <c r="D121" s="136"/>
      <c r="E121" s="136"/>
      <c r="F121" s="136" t="e">
        <f>VLOOKUP($B121,#REF!,MATCH(F$2,#REF!,0),0)</f>
        <v>#REF!</v>
      </c>
      <c r="G121" s="137" t="e">
        <f>VLOOKUP($B121,#REF!,MATCH(G$2,#REF!,0),0)</f>
        <v>#REF!</v>
      </c>
      <c r="H121" s="48"/>
      <c r="I121" s="48"/>
      <c r="J121" s="48"/>
      <c r="K121" s="48"/>
      <c r="L121" s="48">
        <v>20.3</v>
      </c>
      <c r="M121" s="48"/>
      <c r="N121" s="48"/>
      <c r="O121" s="48"/>
      <c r="P121" s="48">
        <v>9.8</v>
      </c>
      <c r="Q121" s="48">
        <v>54</v>
      </c>
      <c r="R121" s="371" t="e">
        <f t="shared" ref="R121:AA121" si="126">$G121*H121</f>
        <v>#REF!</v>
      </c>
      <c r="S121" s="371" t="e">
        <f t="shared" si="126"/>
        <v>#REF!</v>
      </c>
      <c r="T121" s="371" t="e">
        <f t="shared" si="126"/>
        <v>#REF!</v>
      </c>
      <c r="U121" s="371" t="e">
        <f t="shared" si="126"/>
        <v>#REF!</v>
      </c>
      <c r="V121" s="371" t="e">
        <f t="shared" si="126"/>
        <v>#REF!</v>
      </c>
      <c r="W121" s="371" t="e">
        <f t="shared" si="126"/>
        <v>#REF!</v>
      </c>
      <c r="X121" s="371" t="e">
        <f t="shared" si="126"/>
        <v>#REF!</v>
      </c>
      <c r="Y121" s="371" t="e">
        <f t="shared" si="126"/>
        <v>#REF!</v>
      </c>
      <c r="Z121" s="371" t="e">
        <f t="shared" si="126"/>
        <v>#REF!</v>
      </c>
      <c r="AA121" s="371" t="e">
        <f t="shared" si="126"/>
        <v>#REF!</v>
      </c>
      <c r="AB121" s="50"/>
    </row>
    <row r="122" ht="54" customHeight="1" outlineLevel="2" spans="1:28">
      <c r="A122" s="52">
        <f>MAX($A$6:A121)+1</f>
        <v>105</v>
      </c>
      <c r="B122" s="51" t="s">
        <v>336</v>
      </c>
      <c r="C122" s="51" t="e">
        <f>VLOOKUP($B122,#REF!,MATCH(C$2,#REF!,0),0)</f>
        <v>#REF!</v>
      </c>
      <c r="D122" s="136"/>
      <c r="E122" s="136"/>
      <c r="F122" s="136" t="e">
        <f>VLOOKUP($B122,#REF!,MATCH(F$2,#REF!,0),0)</f>
        <v>#REF!</v>
      </c>
      <c r="G122" s="137" t="e">
        <f>VLOOKUP($B122,#REF!,MATCH(G$2,#REF!,0),0)</f>
        <v>#REF!</v>
      </c>
      <c r="H122" s="48"/>
      <c r="I122" s="48"/>
      <c r="J122" s="48"/>
      <c r="K122" s="48"/>
      <c r="L122" s="48"/>
      <c r="M122" s="48"/>
      <c r="N122" s="48"/>
      <c r="O122" s="48"/>
      <c r="P122" s="48">
        <v>24</v>
      </c>
      <c r="Q122" s="48">
        <v>54</v>
      </c>
      <c r="R122" s="371" t="e">
        <f t="shared" ref="R122:AA122" si="127">$G122*H122</f>
        <v>#REF!</v>
      </c>
      <c r="S122" s="371" t="e">
        <f t="shared" si="127"/>
        <v>#REF!</v>
      </c>
      <c r="T122" s="371" t="e">
        <f t="shared" si="127"/>
        <v>#REF!</v>
      </c>
      <c r="U122" s="371" t="e">
        <f t="shared" si="127"/>
        <v>#REF!</v>
      </c>
      <c r="V122" s="371" t="e">
        <f t="shared" si="127"/>
        <v>#REF!</v>
      </c>
      <c r="W122" s="371" t="e">
        <f t="shared" si="127"/>
        <v>#REF!</v>
      </c>
      <c r="X122" s="371" t="e">
        <f t="shared" si="127"/>
        <v>#REF!</v>
      </c>
      <c r="Y122" s="371" t="e">
        <f t="shared" si="127"/>
        <v>#REF!</v>
      </c>
      <c r="Z122" s="371" t="e">
        <f t="shared" si="127"/>
        <v>#REF!</v>
      </c>
      <c r="AA122" s="371" t="e">
        <f t="shared" si="127"/>
        <v>#REF!</v>
      </c>
      <c r="AB122" s="50"/>
    </row>
    <row r="123" ht="70" customHeight="1" outlineLevel="2" spans="1:28">
      <c r="A123" s="52">
        <f>MAX($A$6:A122)+1</f>
        <v>106</v>
      </c>
      <c r="B123" s="51" t="s">
        <v>337</v>
      </c>
      <c r="C123" s="51" t="e">
        <f>VLOOKUP($B123,#REF!,MATCH(C$2,#REF!,0),0)</f>
        <v>#REF!</v>
      </c>
      <c r="D123" s="136"/>
      <c r="E123" s="136"/>
      <c r="F123" s="136" t="e">
        <f>VLOOKUP($B123,#REF!,MATCH(F$2,#REF!,0),0)</f>
        <v>#REF!</v>
      </c>
      <c r="G123" s="137" t="e">
        <f>VLOOKUP($B123,#REF!,MATCH(G$2,#REF!,0),0)</f>
        <v>#REF!</v>
      </c>
      <c r="H123" s="48"/>
      <c r="I123" s="48"/>
      <c r="J123" s="48"/>
      <c r="K123" s="48"/>
      <c r="L123" s="48"/>
      <c r="M123" s="48"/>
      <c r="N123" s="48"/>
      <c r="O123" s="48"/>
      <c r="P123" s="48">
        <v>25</v>
      </c>
      <c r="Q123" s="48">
        <v>55</v>
      </c>
      <c r="R123" s="371" t="e">
        <f t="shared" ref="R123:AA123" si="128">$G123*H123</f>
        <v>#REF!</v>
      </c>
      <c r="S123" s="371" t="e">
        <f t="shared" si="128"/>
        <v>#REF!</v>
      </c>
      <c r="T123" s="371" t="e">
        <f t="shared" si="128"/>
        <v>#REF!</v>
      </c>
      <c r="U123" s="371" t="e">
        <f t="shared" si="128"/>
        <v>#REF!</v>
      </c>
      <c r="V123" s="371" t="e">
        <f t="shared" si="128"/>
        <v>#REF!</v>
      </c>
      <c r="W123" s="371" t="e">
        <f t="shared" si="128"/>
        <v>#REF!</v>
      </c>
      <c r="X123" s="371" t="e">
        <f t="shared" si="128"/>
        <v>#REF!</v>
      </c>
      <c r="Y123" s="371" t="e">
        <f t="shared" si="128"/>
        <v>#REF!</v>
      </c>
      <c r="Z123" s="371" t="e">
        <f t="shared" si="128"/>
        <v>#REF!</v>
      </c>
      <c r="AA123" s="371" t="e">
        <f t="shared" si="128"/>
        <v>#REF!</v>
      </c>
      <c r="AB123" s="50"/>
    </row>
    <row r="124" ht="80" customHeight="1" outlineLevel="2" spans="1:28">
      <c r="A124" s="52">
        <f>MAX($A$6:A123)+1</f>
        <v>107</v>
      </c>
      <c r="B124" s="51" t="s">
        <v>338</v>
      </c>
      <c r="C124" s="51" t="e">
        <f>VLOOKUP($B124,#REF!,MATCH(C$2,#REF!,0),0)</f>
        <v>#REF!</v>
      </c>
      <c r="D124" s="136"/>
      <c r="E124" s="136"/>
      <c r="F124" s="136" t="e">
        <f>VLOOKUP($B124,#REF!,MATCH(F$2,#REF!,0),0)</f>
        <v>#REF!</v>
      </c>
      <c r="G124" s="137" t="e">
        <f>VLOOKUP($B124,#REF!,MATCH(G$2,#REF!,0),0)</f>
        <v>#REF!</v>
      </c>
      <c r="H124" s="48"/>
      <c r="I124" s="48"/>
      <c r="J124" s="48"/>
      <c r="K124" s="48"/>
      <c r="L124" s="48"/>
      <c r="M124" s="48"/>
      <c r="N124" s="48"/>
      <c r="O124" s="48"/>
      <c r="P124" s="48">
        <v>26</v>
      </c>
      <c r="Q124" s="48">
        <v>56</v>
      </c>
      <c r="R124" s="371" t="e">
        <f t="shared" ref="R124:AA124" si="129">$G124*H124</f>
        <v>#REF!</v>
      </c>
      <c r="S124" s="371" t="e">
        <f t="shared" si="129"/>
        <v>#REF!</v>
      </c>
      <c r="T124" s="371" t="e">
        <f t="shared" si="129"/>
        <v>#REF!</v>
      </c>
      <c r="U124" s="371" t="e">
        <f t="shared" si="129"/>
        <v>#REF!</v>
      </c>
      <c r="V124" s="371" t="e">
        <f t="shared" si="129"/>
        <v>#REF!</v>
      </c>
      <c r="W124" s="371" t="e">
        <f t="shared" si="129"/>
        <v>#REF!</v>
      </c>
      <c r="X124" s="371" t="e">
        <f t="shared" si="129"/>
        <v>#REF!</v>
      </c>
      <c r="Y124" s="371" t="e">
        <f t="shared" si="129"/>
        <v>#REF!</v>
      </c>
      <c r="Z124" s="371" t="e">
        <f t="shared" si="129"/>
        <v>#REF!</v>
      </c>
      <c r="AA124" s="371" t="e">
        <f t="shared" si="129"/>
        <v>#REF!</v>
      </c>
      <c r="AB124" s="50"/>
    </row>
    <row r="125" outlineLevel="2" spans="1:28">
      <c r="A125" s="52">
        <f>MAX($A$6:A124)+1</f>
        <v>108</v>
      </c>
      <c r="B125" s="51" t="s">
        <v>339</v>
      </c>
      <c r="C125" s="51" t="e">
        <f>VLOOKUP($B125,#REF!,MATCH(C$2,#REF!,0),0)</f>
        <v>#REF!</v>
      </c>
      <c r="D125" s="136"/>
      <c r="E125" s="136"/>
      <c r="F125" s="136" t="e">
        <f>VLOOKUP($B125,#REF!,MATCH(F$2,#REF!,0),0)</f>
        <v>#REF!</v>
      </c>
      <c r="G125" s="137" t="e">
        <f>VLOOKUP($B125,#REF!,MATCH(G$2,#REF!,0),0)</f>
        <v>#REF!</v>
      </c>
      <c r="H125" s="48"/>
      <c r="I125" s="48"/>
      <c r="J125" s="48"/>
      <c r="K125" s="48"/>
      <c r="L125" s="48"/>
      <c r="M125" s="48"/>
      <c r="N125" s="48"/>
      <c r="O125" s="48"/>
      <c r="P125" s="48">
        <v>24</v>
      </c>
      <c r="Q125" s="48"/>
      <c r="R125" s="371" t="e">
        <f t="shared" ref="R125:AA125" si="130">$G125*H125</f>
        <v>#REF!</v>
      </c>
      <c r="S125" s="371" t="e">
        <f t="shared" si="130"/>
        <v>#REF!</v>
      </c>
      <c r="T125" s="371" t="e">
        <f t="shared" si="130"/>
        <v>#REF!</v>
      </c>
      <c r="U125" s="371" t="e">
        <f t="shared" si="130"/>
        <v>#REF!</v>
      </c>
      <c r="V125" s="371" t="e">
        <f t="shared" si="130"/>
        <v>#REF!</v>
      </c>
      <c r="W125" s="371" t="e">
        <f t="shared" si="130"/>
        <v>#REF!</v>
      </c>
      <c r="X125" s="371" t="e">
        <f t="shared" si="130"/>
        <v>#REF!</v>
      </c>
      <c r="Y125" s="371" t="e">
        <f t="shared" si="130"/>
        <v>#REF!</v>
      </c>
      <c r="Z125" s="371" t="e">
        <f t="shared" si="130"/>
        <v>#REF!</v>
      </c>
      <c r="AA125" s="371" t="e">
        <f t="shared" si="130"/>
        <v>#REF!</v>
      </c>
      <c r="AB125" s="50"/>
    </row>
    <row r="126" s="355" customFormat="1" spans="1:28">
      <c r="A126" s="130"/>
      <c r="B126" s="131" t="str">
        <f>目录!G11</f>
        <v>A.04隔热防水工程</v>
      </c>
      <c r="C126" s="131"/>
      <c r="D126" s="154"/>
      <c r="E126" s="154"/>
      <c r="F126" s="154"/>
      <c r="G126" s="359"/>
      <c r="H126" s="134"/>
      <c r="I126" s="134"/>
      <c r="J126" s="134"/>
      <c r="K126" s="134"/>
      <c r="L126" s="134"/>
      <c r="M126" s="134"/>
      <c r="N126" s="134"/>
      <c r="O126" s="134"/>
      <c r="P126" s="134"/>
      <c r="Q126" s="134"/>
      <c r="R126" s="367" t="e">
        <f t="shared" ref="R126:AA126" si="131">SUM(R127,R148)</f>
        <v>#REF!</v>
      </c>
      <c r="S126" s="367" t="e">
        <f t="shared" si="131"/>
        <v>#REF!</v>
      </c>
      <c r="T126" s="367" t="e">
        <f t="shared" si="131"/>
        <v>#REF!</v>
      </c>
      <c r="U126" s="367" t="e">
        <f t="shared" si="131"/>
        <v>#REF!</v>
      </c>
      <c r="V126" s="367" t="e">
        <f t="shared" si="131"/>
        <v>#REF!</v>
      </c>
      <c r="W126" s="367" t="e">
        <f t="shared" si="131"/>
        <v>#REF!</v>
      </c>
      <c r="X126" s="367" t="e">
        <f t="shared" si="131"/>
        <v>#REF!</v>
      </c>
      <c r="Y126" s="367" t="e">
        <f t="shared" si="131"/>
        <v>#REF!</v>
      </c>
      <c r="Z126" s="367" t="e">
        <f t="shared" si="131"/>
        <v>#REF!</v>
      </c>
      <c r="AA126" s="367" t="e">
        <f t="shared" si="131"/>
        <v>#REF!</v>
      </c>
      <c r="AB126" s="130"/>
    </row>
    <row r="127" s="29" customFormat="1" ht="28.8" outlineLevel="1" spans="1:28">
      <c r="A127" s="40"/>
      <c r="B127" s="41" t="str">
        <f>目录!H11</f>
        <v>A.04.01保温隔热工程</v>
      </c>
      <c r="C127" s="41"/>
      <c r="D127" s="141"/>
      <c r="E127" s="141"/>
      <c r="F127" s="40"/>
      <c r="G127" s="43"/>
      <c r="H127" s="43"/>
      <c r="I127" s="43"/>
      <c r="J127" s="43"/>
      <c r="K127" s="43"/>
      <c r="L127" s="43"/>
      <c r="M127" s="43"/>
      <c r="N127" s="43"/>
      <c r="O127" s="43"/>
      <c r="P127" s="43"/>
      <c r="Q127" s="43"/>
      <c r="R127" s="369" t="e">
        <f t="shared" ref="R127:AA127" si="132">SUM(R128:R147)</f>
        <v>#REF!</v>
      </c>
      <c r="S127" s="369" t="e">
        <f t="shared" si="132"/>
        <v>#REF!</v>
      </c>
      <c r="T127" s="369" t="e">
        <f t="shared" si="132"/>
        <v>#REF!</v>
      </c>
      <c r="U127" s="369" t="e">
        <f t="shared" si="132"/>
        <v>#REF!</v>
      </c>
      <c r="V127" s="369" t="e">
        <f t="shared" si="132"/>
        <v>#REF!</v>
      </c>
      <c r="W127" s="369" t="e">
        <f t="shared" si="132"/>
        <v>#REF!</v>
      </c>
      <c r="X127" s="369" t="e">
        <f t="shared" si="132"/>
        <v>#REF!</v>
      </c>
      <c r="Y127" s="369" t="e">
        <f t="shared" si="132"/>
        <v>#REF!</v>
      </c>
      <c r="Z127" s="369" t="e">
        <f t="shared" si="132"/>
        <v>#REF!</v>
      </c>
      <c r="AA127" s="369" t="e">
        <f t="shared" si="132"/>
        <v>#REF!</v>
      </c>
      <c r="AB127" s="40"/>
    </row>
    <row r="128" s="122" customFormat="1" outlineLevel="2" spans="1:28">
      <c r="A128" s="130"/>
      <c r="B128" s="154" t="s">
        <v>340</v>
      </c>
      <c r="C128" s="154"/>
      <c r="D128" s="154"/>
      <c r="E128" s="154"/>
      <c r="F128" s="130"/>
      <c r="G128" s="134"/>
      <c r="H128" s="134"/>
      <c r="I128" s="134"/>
      <c r="J128" s="134"/>
      <c r="K128" s="134"/>
      <c r="L128" s="134"/>
      <c r="M128" s="134"/>
      <c r="N128" s="134"/>
      <c r="O128" s="134"/>
      <c r="P128" s="134"/>
      <c r="Q128" s="134"/>
      <c r="R128" s="367"/>
      <c r="S128" s="367"/>
      <c r="T128" s="367"/>
      <c r="U128" s="367"/>
      <c r="V128" s="371">
        <f>$G128*L128</f>
        <v>0</v>
      </c>
      <c r="W128" s="367"/>
      <c r="X128" s="367"/>
      <c r="Y128" s="367"/>
      <c r="Z128" s="367"/>
      <c r="AA128" s="367"/>
      <c r="AB128" s="130"/>
    </row>
    <row r="129" outlineLevel="2" spans="1:28">
      <c r="A129" s="52">
        <f>MAX($A$6:A128)+1</f>
        <v>109</v>
      </c>
      <c r="B129" s="51" t="s">
        <v>341</v>
      </c>
      <c r="C129" s="51" t="e">
        <f>VLOOKUP($B129,#REF!,MATCH(C$2,#REF!,0),0)</f>
        <v>#REF!</v>
      </c>
      <c r="D129" s="136"/>
      <c r="E129" s="136"/>
      <c r="F129" s="136" t="e">
        <f>VLOOKUP($B129,#REF!,MATCH(F$2,#REF!,0),0)</f>
        <v>#REF!</v>
      </c>
      <c r="G129" s="137" t="e">
        <f>VLOOKUP($B129,#REF!,MATCH(G$2,#REF!,0),0)</f>
        <v>#REF!</v>
      </c>
      <c r="H129" s="48">
        <v>556.62</v>
      </c>
      <c r="I129" s="48">
        <v>556.62</v>
      </c>
      <c r="J129" s="48">
        <v>556.62</v>
      </c>
      <c r="K129" s="48">
        <v>1</v>
      </c>
      <c r="L129" s="48">
        <v>371.4</v>
      </c>
      <c r="M129" s="48"/>
      <c r="N129" s="48"/>
      <c r="O129" s="48"/>
      <c r="P129" s="48"/>
      <c r="Q129" s="48"/>
      <c r="R129" s="371" t="e">
        <f>$G129*H129</f>
        <v>#REF!</v>
      </c>
      <c r="S129" s="371" t="e">
        <f t="shared" ref="S129:AA129" si="133">$G129*I129</f>
        <v>#REF!</v>
      </c>
      <c r="T129" s="371" t="e">
        <f t="shared" si="133"/>
        <v>#REF!</v>
      </c>
      <c r="U129" s="371" t="e">
        <f t="shared" si="133"/>
        <v>#REF!</v>
      </c>
      <c r="V129" s="371" t="e">
        <f t="shared" si="133"/>
        <v>#REF!</v>
      </c>
      <c r="W129" s="371" t="e">
        <f t="shared" si="133"/>
        <v>#REF!</v>
      </c>
      <c r="X129" s="371" t="e">
        <f t="shared" si="133"/>
        <v>#REF!</v>
      </c>
      <c r="Y129" s="371" t="e">
        <f t="shared" si="133"/>
        <v>#REF!</v>
      </c>
      <c r="Z129" s="371" t="e">
        <f t="shared" si="133"/>
        <v>#REF!</v>
      </c>
      <c r="AA129" s="371" t="e">
        <f t="shared" si="133"/>
        <v>#REF!</v>
      </c>
      <c r="AB129" s="50"/>
    </row>
    <row r="130" outlineLevel="2" spans="1:28">
      <c r="A130" s="52">
        <f>MAX($A$6:A129)+1</f>
        <v>110</v>
      </c>
      <c r="B130" s="51" t="s">
        <v>342</v>
      </c>
      <c r="C130" s="51" t="e">
        <f>VLOOKUP($B130,#REF!,MATCH(C$2,#REF!,0),0)</f>
        <v>#REF!</v>
      </c>
      <c r="D130" s="136"/>
      <c r="E130" s="136"/>
      <c r="F130" s="136" t="e">
        <f>VLOOKUP($B130,#REF!,MATCH(F$2,#REF!,0),0)</f>
        <v>#REF!</v>
      </c>
      <c r="G130" s="137" t="e">
        <f>VLOOKUP($B130,#REF!,MATCH(G$2,#REF!,0),0)</f>
        <v>#REF!</v>
      </c>
      <c r="H130" s="48"/>
      <c r="I130" s="48"/>
      <c r="J130" s="48"/>
      <c r="K130" s="48"/>
      <c r="L130" s="48"/>
      <c r="M130" s="48"/>
      <c r="N130" s="48"/>
      <c r="O130" s="48"/>
      <c r="P130" s="48"/>
      <c r="Q130" s="48"/>
      <c r="R130" s="371" t="e">
        <f t="shared" ref="R130:AA130" si="134">$G130*H130</f>
        <v>#REF!</v>
      </c>
      <c r="S130" s="371" t="e">
        <f t="shared" si="134"/>
        <v>#REF!</v>
      </c>
      <c r="T130" s="371" t="e">
        <f t="shared" si="134"/>
        <v>#REF!</v>
      </c>
      <c r="U130" s="371" t="e">
        <f t="shared" si="134"/>
        <v>#REF!</v>
      </c>
      <c r="V130" s="371" t="e">
        <f t="shared" si="134"/>
        <v>#REF!</v>
      </c>
      <c r="W130" s="371" t="e">
        <f t="shared" si="134"/>
        <v>#REF!</v>
      </c>
      <c r="X130" s="371" t="e">
        <f t="shared" si="134"/>
        <v>#REF!</v>
      </c>
      <c r="Y130" s="371" t="e">
        <f t="shared" si="134"/>
        <v>#REF!</v>
      </c>
      <c r="Z130" s="371" t="e">
        <f t="shared" si="134"/>
        <v>#REF!</v>
      </c>
      <c r="AA130" s="371" t="e">
        <f t="shared" si="134"/>
        <v>#REF!</v>
      </c>
      <c r="AB130" s="50"/>
    </row>
    <row r="131" outlineLevel="2" spans="1:28">
      <c r="A131" s="52">
        <f>MAX($A$6:A130)+1</f>
        <v>111</v>
      </c>
      <c r="B131" s="51" t="s">
        <v>343</v>
      </c>
      <c r="C131" s="51" t="e">
        <f>VLOOKUP($B131,#REF!,MATCH(C$2,#REF!,0),0)</f>
        <v>#REF!</v>
      </c>
      <c r="D131" s="136"/>
      <c r="E131" s="136"/>
      <c r="F131" s="136" t="e">
        <f>VLOOKUP($B131,#REF!,MATCH(F$2,#REF!,0),0)</f>
        <v>#REF!</v>
      </c>
      <c r="G131" s="137" t="e">
        <f>VLOOKUP($B131,#REF!,MATCH(G$2,#REF!,0),0)</f>
        <v>#REF!</v>
      </c>
      <c r="H131" s="48">
        <v>556.62</v>
      </c>
      <c r="I131" s="48">
        <v>556.62</v>
      </c>
      <c r="J131" s="48">
        <v>556.62</v>
      </c>
      <c r="K131" s="48">
        <v>1</v>
      </c>
      <c r="L131" s="48">
        <v>371.4</v>
      </c>
      <c r="M131" s="48"/>
      <c r="N131" s="48"/>
      <c r="O131" s="48"/>
      <c r="P131" s="48"/>
      <c r="Q131" s="48"/>
      <c r="R131" s="371" t="e">
        <f t="shared" ref="R131:AA131" si="135">$G131*H131</f>
        <v>#REF!</v>
      </c>
      <c r="S131" s="371" t="e">
        <f t="shared" si="135"/>
        <v>#REF!</v>
      </c>
      <c r="T131" s="371" t="e">
        <f t="shared" si="135"/>
        <v>#REF!</v>
      </c>
      <c r="U131" s="371" t="e">
        <f t="shared" si="135"/>
        <v>#REF!</v>
      </c>
      <c r="V131" s="371" t="e">
        <f t="shared" si="135"/>
        <v>#REF!</v>
      </c>
      <c r="W131" s="371" t="e">
        <f t="shared" si="135"/>
        <v>#REF!</v>
      </c>
      <c r="X131" s="371" t="e">
        <f t="shared" si="135"/>
        <v>#REF!</v>
      </c>
      <c r="Y131" s="371" t="e">
        <f t="shared" si="135"/>
        <v>#REF!</v>
      </c>
      <c r="Z131" s="371" t="e">
        <f t="shared" si="135"/>
        <v>#REF!</v>
      </c>
      <c r="AA131" s="371" t="e">
        <f t="shared" si="135"/>
        <v>#REF!</v>
      </c>
      <c r="AB131" s="50"/>
    </row>
    <row r="132" outlineLevel="2" spans="1:28">
      <c r="A132" s="52">
        <f>MAX($A$6:A131)+1</f>
        <v>112</v>
      </c>
      <c r="B132" s="51" t="s">
        <v>344</v>
      </c>
      <c r="C132" s="51" t="e">
        <f>VLOOKUP($B132,#REF!,MATCH(C$2,#REF!,0),0)</f>
        <v>#REF!</v>
      </c>
      <c r="D132" s="136"/>
      <c r="E132" s="136"/>
      <c r="F132" s="136" t="e">
        <f>VLOOKUP($B132,#REF!,MATCH(F$2,#REF!,0),0)</f>
        <v>#REF!</v>
      </c>
      <c r="G132" s="137" t="e">
        <f>VLOOKUP($B132,#REF!,MATCH(G$2,#REF!,0),0)</f>
        <v>#REF!</v>
      </c>
      <c r="H132" s="48">
        <v>556.62</v>
      </c>
      <c r="I132" s="48">
        <v>556.62</v>
      </c>
      <c r="J132" s="48">
        <v>556.62</v>
      </c>
      <c r="K132" s="48">
        <v>1</v>
      </c>
      <c r="L132" s="48">
        <v>371.4</v>
      </c>
      <c r="M132" s="48"/>
      <c r="N132" s="48"/>
      <c r="O132" s="48"/>
      <c r="P132" s="48"/>
      <c r="Q132" s="48"/>
      <c r="R132" s="371" t="e">
        <f t="shared" ref="R132:AA132" si="136">$G132*H132</f>
        <v>#REF!</v>
      </c>
      <c r="S132" s="371" t="e">
        <f t="shared" si="136"/>
        <v>#REF!</v>
      </c>
      <c r="T132" s="371" t="e">
        <f t="shared" si="136"/>
        <v>#REF!</v>
      </c>
      <c r="U132" s="371" t="e">
        <f t="shared" si="136"/>
        <v>#REF!</v>
      </c>
      <c r="V132" s="371" t="e">
        <f t="shared" si="136"/>
        <v>#REF!</v>
      </c>
      <c r="W132" s="371" t="e">
        <f t="shared" si="136"/>
        <v>#REF!</v>
      </c>
      <c r="X132" s="371" t="e">
        <f t="shared" si="136"/>
        <v>#REF!</v>
      </c>
      <c r="Y132" s="371" t="e">
        <f t="shared" si="136"/>
        <v>#REF!</v>
      </c>
      <c r="Z132" s="371" t="e">
        <f t="shared" si="136"/>
        <v>#REF!</v>
      </c>
      <c r="AA132" s="371" t="e">
        <f t="shared" si="136"/>
        <v>#REF!</v>
      </c>
      <c r="AB132" s="50"/>
    </row>
    <row r="133" s="1" customFormat="1" outlineLevel="2" spans="1:28">
      <c r="A133" s="52">
        <f>MAX($A$6:A132)+1</f>
        <v>113</v>
      </c>
      <c r="B133" s="374" t="s">
        <v>345</v>
      </c>
      <c r="C133" s="51" t="e">
        <f>VLOOKUP($B133,#REF!,MATCH(C$2,#REF!,0),0)</f>
        <v>#REF!</v>
      </c>
      <c r="D133" s="136"/>
      <c r="E133" s="136"/>
      <c r="F133" s="136" t="e">
        <f>VLOOKUP($B133,#REF!,MATCH(F$2,#REF!,0),0)</f>
        <v>#REF!</v>
      </c>
      <c r="G133" s="137" t="e">
        <f>VLOOKUP($B133,#REF!,MATCH(G$2,#REF!,0),0)</f>
        <v>#REF!</v>
      </c>
      <c r="H133" s="48">
        <v>556.62</v>
      </c>
      <c r="I133" s="48">
        <v>556.62</v>
      </c>
      <c r="J133" s="48">
        <v>556.62</v>
      </c>
      <c r="K133" s="48">
        <v>1</v>
      </c>
      <c r="L133" s="48">
        <v>371.4</v>
      </c>
      <c r="M133" s="139"/>
      <c r="N133" s="139"/>
      <c r="O133" s="139"/>
      <c r="P133" s="139"/>
      <c r="Q133" s="139"/>
      <c r="R133" s="371" t="e">
        <f t="shared" ref="R133:AA133" si="137">$G133*H133</f>
        <v>#REF!</v>
      </c>
      <c r="S133" s="371" t="e">
        <f t="shared" si="137"/>
        <v>#REF!</v>
      </c>
      <c r="T133" s="371" t="e">
        <f t="shared" si="137"/>
        <v>#REF!</v>
      </c>
      <c r="U133" s="371" t="e">
        <f t="shared" si="137"/>
        <v>#REF!</v>
      </c>
      <c r="V133" s="371" t="e">
        <f t="shared" si="137"/>
        <v>#REF!</v>
      </c>
      <c r="W133" s="371" t="e">
        <f t="shared" si="137"/>
        <v>#REF!</v>
      </c>
      <c r="X133" s="371" t="e">
        <f t="shared" si="137"/>
        <v>#REF!</v>
      </c>
      <c r="Y133" s="371" t="e">
        <f t="shared" si="137"/>
        <v>#REF!</v>
      </c>
      <c r="Z133" s="371" t="e">
        <f t="shared" si="137"/>
        <v>#REF!</v>
      </c>
      <c r="AA133" s="371" t="e">
        <f t="shared" si="137"/>
        <v>#REF!</v>
      </c>
      <c r="AB133" s="26"/>
    </row>
    <row r="134" s="122" customFormat="1" outlineLevel="2" spans="1:28">
      <c r="A134" s="130"/>
      <c r="B134" s="154" t="s">
        <v>346</v>
      </c>
      <c r="C134" s="154"/>
      <c r="D134" s="154"/>
      <c r="E134" s="154"/>
      <c r="F134" s="130"/>
      <c r="G134" s="134"/>
      <c r="H134" s="134"/>
      <c r="I134" s="134"/>
      <c r="J134" s="134"/>
      <c r="K134" s="134"/>
      <c r="L134" s="134"/>
      <c r="M134" s="134"/>
      <c r="N134" s="134"/>
      <c r="O134" s="134"/>
      <c r="P134" s="134"/>
      <c r="Q134" s="134"/>
      <c r="R134" s="367"/>
      <c r="S134" s="367"/>
      <c r="T134" s="367"/>
      <c r="U134" s="367"/>
      <c r="V134" s="371"/>
      <c r="W134" s="367"/>
      <c r="X134" s="367"/>
      <c r="Y134" s="367"/>
      <c r="Z134" s="367"/>
      <c r="AA134" s="367"/>
      <c r="AB134" s="130"/>
    </row>
    <row r="135" outlineLevel="2" spans="1:28">
      <c r="A135" s="52">
        <f>MAX($A$6:A134)+1</f>
        <v>114</v>
      </c>
      <c r="B135" s="51" t="s">
        <v>347</v>
      </c>
      <c r="C135" s="51" t="e">
        <f>VLOOKUP($B135,#REF!,MATCH(C$2,#REF!,0),0)</f>
        <v>#REF!</v>
      </c>
      <c r="D135" s="136"/>
      <c r="E135" s="136"/>
      <c r="F135" s="136" t="e">
        <f>VLOOKUP($B135,#REF!,MATCH(F$2,#REF!,0),0)</f>
        <v>#REF!</v>
      </c>
      <c r="G135" s="137" t="e">
        <f>VLOOKUP($B135,#REF!,MATCH(G$2,#REF!,0),0)</f>
        <v>#REF!</v>
      </c>
      <c r="H135" s="48"/>
      <c r="I135" s="48"/>
      <c r="J135" s="139">
        <v>186</v>
      </c>
      <c r="K135" s="139">
        <v>1</v>
      </c>
      <c r="L135" s="139">
        <v>1</v>
      </c>
      <c r="M135" s="139"/>
      <c r="N135" s="139">
        <v>144</v>
      </c>
      <c r="O135" s="139"/>
      <c r="P135" s="48"/>
      <c r="Q135" s="48"/>
      <c r="R135" s="371" t="e">
        <f t="shared" ref="R135:R137" si="138">$G135*H135</f>
        <v>#REF!</v>
      </c>
      <c r="S135" s="371" t="e">
        <f t="shared" ref="S135:AA135" si="139">$G135*I135</f>
        <v>#REF!</v>
      </c>
      <c r="T135" s="371" t="e">
        <f t="shared" si="139"/>
        <v>#REF!</v>
      </c>
      <c r="U135" s="371" t="e">
        <f t="shared" si="139"/>
        <v>#REF!</v>
      </c>
      <c r="V135" s="371" t="e">
        <f t="shared" si="139"/>
        <v>#REF!</v>
      </c>
      <c r="W135" s="371" t="e">
        <f t="shared" si="139"/>
        <v>#REF!</v>
      </c>
      <c r="X135" s="371" t="e">
        <f t="shared" si="139"/>
        <v>#REF!</v>
      </c>
      <c r="Y135" s="371" t="e">
        <f t="shared" si="139"/>
        <v>#REF!</v>
      </c>
      <c r="Z135" s="371" t="e">
        <f t="shared" si="139"/>
        <v>#REF!</v>
      </c>
      <c r="AA135" s="371" t="e">
        <f t="shared" si="139"/>
        <v>#REF!</v>
      </c>
      <c r="AB135" s="50"/>
    </row>
    <row r="136" outlineLevel="2" spans="1:28">
      <c r="A136" s="52">
        <f>MAX($A$6:A135)+1</f>
        <v>115</v>
      </c>
      <c r="B136" s="51" t="s">
        <v>348</v>
      </c>
      <c r="C136" s="51" t="e">
        <f>VLOOKUP($B136,#REF!,MATCH(C$2,#REF!,0),0)</f>
        <v>#REF!</v>
      </c>
      <c r="D136" s="136"/>
      <c r="E136" s="136"/>
      <c r="F136" s="136" t="e">
        <f>VLOOKUP($B136,#REF!,MATCH(F$2,#REF!,0),0)</f>
        <v>#REF!</v>
      </c>
      <c r="G136" s="137" t="e">
        <f>VLOOKUP($B136,#REF!,MATCH(G$2,#REF!,0),0)</f>
        <v>#REF!</v>
      </c>
      <c r="H136" s="48"/>
      <c r="I136" s="48"/>
      <c r="J136" s="139">
        <v>186</v>
      </c>
      <c r="K136" s="139">
        <v>1</v>
      </c>
      <c r="L136" s="139">
        <v>1</v>
      </c>
      <c r="M136" s="139"/>
      <c r="N136" s="139">
        <v>144</v>
      </c>
      <c r="O136" s="139"/>
      <c r="P136" s="48"/>
      <c r="Q136" s="48"/>
      <c r="R136" s="371" t="e">
        <f t="shared" si="138"/>
        <v>#REF!</v>
      </c>
      <c r="S136" s="371" t="e">
        <f t="shared" ref="S136:AA136" si="140">$G136*I136</f>
        <v>#REF!</v>
      </c>
      <c r="T136" s="371" t="e">
        <f t="shared" si="140"/>
        <v>#REF!</v>
      </c>
      <c r="U136" s="371" t="e">
        <f t="shared" si="140"/>
        <v>#REF!</v>
      </c>
      <c r="V136" s="371" t="e">
        <f t="shared" si="140"/>
        <v>#REF!</v>
      </c>
      <c r="W136" s="371" t="e">
        <f t="shared" si="140"/>
        <v>#REF!</v>
      </c>
      <c r="X136" s="371" t="e">
        <f t="shared" si="140"/>
        <v>#REF!</v>
      </c>
      <c r="Y136" s="371" t="e">
        <f t="shared" si="140"/>
        <v>#REF!</v>
      </c>
      <c r="Z136" s="371" t="e">
        <f t="shared" si="140"/>
        <v>#REF!</v>
      </c>
      <c r="AA136" s="371" t="e">
        <f t="shared" si="140"/>
        <v>#REF!</v>
      </c>
      <c r="AB136" s="50"/>
    </row>
    <row r="137" outlineLevel="2" spans="1:28">
      <c r="A137" s="52">
        <f>MAX($A$6:A136)+1</f>
        <v>116</v>
      </c>
      <c r="B137" s="51" t="s">
        <v>349</v>
      </c>
      <c r="C137" s="51" t="e">
        <f>VLOOKUP($B137,#REF!,MATCH(C$2,#REF!,0),0)</f>
        <v>#REF!</v>
      </c>
      <c r="D137" s="136"/>
      <c r="E137" s="136"/>
      <c r="F137" s="136" t="e">
        <f>VLOOKUP($B137,#REF!,MATCH(F$2,#REF!,0),0)</f>
        <v>#REF!</v>
      </c>
      <c r="G137" s="137" t="e">
        <f>VLOOKUP($B137,#REF!,MATCH(G$2,#REF!,0),0)</f>
        <v>#REF!</v>
      </c>
      <c r="H137" s="48"/>
      <c r="I137" s="48"/>
      <c r="J137" s="139">
        <v>186</v>
      </c>
      <c r="K137" s="139">
        <v>1</v>
      </c>
      <c r="L137" s="139">
        <v>1</v>
      </c>
      <c r="M137" s="139"/>
      <c r="N137" s="139">
        <v>144</v>
      </c>
      <c r="O137" s="139"/>
      <c r="P137" s="48"/>
      <c r="Q137" s="48"/>
      <c r="R137" s="371" t="e">
        <f t="shared" si="138"/>
        <v>#REF!</v>
      </c>
      <c r="S137" s="371" t="e">
        <f t="shared" ref="S137:AA137" si="141">$G137*I137</f>
        <v>#REF!</v>
      </c>
      <c r="T137" s="371" t="e">
        <f t="shared" si="141"/>
        <v>#REF!</v>
      </c>
      <c r="U137" s="371" t="e">
        <f t="shared" si="141"/>
        <v>#REF!</v>
      </c>
      <c r="V137" s="371" t="e">
        <f t="shared" si="141"/>
        <v>#REF!</v>
      </c>
      <c r="W137" s="371" t="e">
        <f t="shared" si="141"/>
        <v>#REF!</v>
      </c>
      <c r="X137" s="371" t="e">
        <f t="shared" si="141"/>
        <v>#REF!</v>
      </c>
      <c r="Y137" s="371" t="e">
        <f t="shared" si="141"/>
        <v>#REF!</v>
      </c>
      <c r="Z137" s="371" t="e">
        <f t="shared" si="141"/>
        <v>#REF!</v>
      </c>
      <c r="AA137" s="371" t="e">
        <f t="shared" si="141"/>
        <v>#REF!</v>
      </c>
      <c r="AB137" s="50"/>
    </row>
    <row r="138" s="122" customFormat="1" outlineLevel="2" spans="1:28">
      <c r="A138" s="130"/>
      <c r="B138" s="154" t="s">
        <v>350</v>
      </c>
      <c r="C138" s="154"/>
      <c r="D138" s="154"/>
      <c r="E138" s="154"/>
      <c r="F138" s="130"/>
      <c r="G138" s="134"/>
      <c r="H138" s="134"/>
      <c r="I138" s="134"/>
      <c r="J138" s="134"/>
      <c r="K138" s="134"/>
      <c r="L138" s="134"/>
      <c r="M138" s="134"/>
      <c r="N138" s="134"/>
      <c r="O138" s="134"/>
      <c r="P138" s="134"/>
      <c r="Q138" s="134"/>
      <c r="R138" s="367"/>
      <c r="S138" s="367"/>
      <c r="T138" s="367"/>
      <c r="U138" s="367"/>
      <c r="V138" s="371"/>
      <c r="W138" s="367"/>
      <c r="X138" s="367"/>
      <c r="Y138" s="367"/>
      <c r="Z138" s="367"/>
      <c r="AA138" s="367"/>
      <c r="AB138" s="130"/>
    </row>
    <row r="139" outlineLevel="2" spans="1:28">
      <c r="A139" s="52">
        <f>MAX($A$6:A138)+1</f>
        <v>117</v>
      </c>
      <c r="B139" s="51" t="s">
        <v>351</v>
      </c>
      <c r="C139" s="51" t="e">
        <f>VLOOKUP($B139,#REF!,MATCH(C$2,#REF!,0),0)</f>
        <v>#REF!</v>
      </c>
      <c r="D139" s="136"/>
      <c r="E139" s="136"/>
      <c r="F139" s="136" t="e">
        <f>VLOOKUP($B139,#REF!,MATCH(F$2,#REF!,0),0)</f>
        <v>#REF!</v>
      </c>
      <c r="G139" s="137" t="e">
        <f>VLOOKUP($B139,#REF!,MATCH(G$2,#REF!,0),0)</f>
        <v>#REF!</v>
      </c>
      <c r="H139" s="48"/>
      <c r="I139" s="48"/>
      <c r="J139" s="139">
        <v>1</v>
      </c>
      <c r="K139" s="139">
        <v>1</v>
      </c>
      <c r="L139" s="139"/>
      <c r="M139" s="139"/>
      <c r="N139" s="139"/>
      <c r="O139" s="139"/>
      <c r="P139" s="48"/>
      <c r="Q139" s="48"/>
      <c r="R139" s="371" t="e">
        <f>$G139*H139</f>
        <v>#REF!</v>
      </c>
      <c r="S139" s="371" t="e">
        <f t="shared" ref="S139:AA139" si="142">$G139*I139</f>
        <v>#REF!</v>
      </c>
      <c r="T139" s="371" t="e">
        <f t="shared" si="142"/>
        <v>#REF!</v>
      </c>
      <c r="U139" s="371" t="e">
        <f t="shared" si="142"/>
        <v>#REF!</v>
      </c>
      <c r="V139" s="371" t="e">
        <f t="shared" si="142"/>
        <v>#REF!</v>
      </c>
      <c r="W139" s="371" t="e">
        <f t="shared" si="142"/>
        <v>#REF!</v>
      </c>
      <c r="X139" s="371" t="e">
        <f t="shared" si="142"/>
        <v>#REF!</v>
      </c>
      <c r="Y139" s="371" t="e">
        <f t="shared" si="142"/>
        <v>#REF!</v>
      </c>
      <c r="Z139" s="371" t="e">
        <f t="shared" si="142"/>
        <v>#REF!</v>
      </c>
      <c r="AA139" s="371" t="e">
        <f t="shared" si="142"/>
        <v>#REF!</v>
      </c>
      <c r="AB139" s="50"/>
    </row>
    <row r="140" outlineLevel="2" spans="1:28">
      <c r="A140" s="52">
        <f>MAX($A$6:A139)+1</f>
        <v>118</v>
      </c>
      <c r="B140" s="51" t="s">
        <v>348</v>
      </c>
      <c r="C140" s="51" t="e">
        <f>VLOOKUP($B140,#REF!,MATCH(C$2,#REF!,0),0)</f>
        <v>#REF!</v>
      </c>
      <c r="D140" s="136"/>
      <c r="E140" s="136"/>
      <c r="F140" s="136" t="e">
        <f>VLOOKUP($B140,#REF!,MATCH(F$2,#REF!,0),0)</f>
        <v>#REF!</v>
      </c>
      <c r="G140" s="137" t="e">
        <f>VLOOKUP($B140,#REF!,MATCH(G$2,#REF!,0),0)</f>
        <v>#REF!</v>
      </c>
      <c r="H140" s="48"/>
      <c r="I140" s="48"/>
      <c r="J140" s="48">
        <v>1</v>
      </c>
      <c r="K140" s="48">
        <v>1</v>
      </c>
      <c r="L140" s="48"/>
      <c r="M140" s="48"/>
      <c r="N140" s="48"/>
      <c r="O140" s="48"/>
      <c r="P140" s="48"/>
      <c r="Q140" s="48"/>
      <c r="R140" s="371" t="e">
        <f t="shared" ref="R140:AA140" si="143">$G140*H140</f>
        <v>#REF!</v>
      </c>
      <c r="S140" s="371" t="e">
        <f t="shared" si="143"/>
        <v>#REF!</v>
      </c>
      <c r="T140" s="371" t="e">
        <f t="shared" si="143"/>
        <v>#REF!</v>
      </c>
      <c r="U140" s="371" t="e">
        <f t="shared" si="143"/>
        <v>#REF!</v>
      </c>
      <c r="V140" s="371" t="e">
        <f t="shared" si="143"/>
        <v>#REF!</v>
      </c>
      <c r="W140" s="371" t="e">
        <f t="shared" si="143"/>
        <v>#REF!</v>
      </c>
      <c r="X140" s="371" t="e">
        <f t="shared" si="143"/>
        <v>#REF!</v>
      </c>
      <c r="Y140" s="371" t="e">
        <f t="shared" si="143"/>
        <v>#REF!</v>
      </c>
      <c r="Z140" s="371" t="e">
        <f t="shared" si="143"/>
        <v>#REF!</v>
      </c>
      <c r="AA140" s="371" t="e">
        <f t="shared" si="143"/>
        <v>#REF!</v>
      </c>
      <c r="AB140" s="50"/>
    </row>
    <row r="141" outlineLevel="2" spans="1:28">
      <c r="A141" s="52">
        <f>MAX($A$6:A140)+1</f>
        <v>119</v>
      </c>
      <c r="B141" s="51" t="s">
        <v>349</v>
      </c>
      <c r="C141" s="51" t="e">
        <f>VLOOKUP($B141,#REF!,MATCH(C$2,#REF!,0),0)</f>
        <v>#REF!</v>
      </c>
      <c r="D141" s="136"/>
      <c r="E141" s="136"/>
      <c r="F141" s="136" t="e">
        <f>VLOOKUP($B141,#REF!,MATCH(F$2,#REF!,0),0)</f>
        <v>#REF!</v>
      </c>
      <c r="G141" s="137" t="e">
        <f>VLOOKUP($B141,#REF!,MATCH(G$2,#REF!,0),0)</f>
        <v>#REF!</v>
      </c>
      <c r="H141" s="48"/>
      <c r="I141" s="48"/>
      <c r="J141" s="48">
        <v>1</v>
      </c>
      <c r="K141" s="48">
        <v>1</v>
      </c>
      <c r="L141" s="48"/>
      <c r="M141" s="48"/>
      <c r="N141" s="48"/>
      <c r="O141" s="48"/>
      <c r="P141" s="48"/>
      <c r="Q141" s="48"/>
      <c r="R141" s="371" t="e">
        <f t="shared" ref="R141:AA141" si="144">$G141*H141</f>
        <v>#REF!</v>
      </c>
      <c r="S141" s="371" t="e">
        <f t="shared" si="144"/>
        <v>#REF!</v>
      </c>
      <c r="T141" s="371" t="e">
        <f t="shared" si="144"/>
        <v>#REF!</v>
      </c>
      <c r="U141" s="371" t="e">
        <f t="shared" si="144"/>
        <v>#REF!</v>
      </c>
      <c r="V141" s="371" t="e">
        <f t="shared" si="144"/>
        <v>#REF!</v>
      </c>
      <c r="W141" s="371" t="e">
        <f t="shared" si="144"/>
        <v>#REF!</v>
      </c>
      <c r="X141" s="371" t="e">
        <f t="shared" si="144"/>
        <v>#REF!</v>
      </c>
      <c r="Y141" s="371" t="e">
        <f t="shared" si="144"/>
        <v>#REF!</v>
      </c>
      <c r="Z141" s="371" t="e">
        <f t="shared" si="144"/>
        <v>#REF!</v>
      </c>
      <c r="AA141" s="371" t="e">
        <f t="shared" si="144"/>
        <v>#REF!</v>
      </c>
      <c r="AB141" s="50"/>
    </row>
    <row r="142" outlineLevel="2" spans="1:28">
      <c r="A142" s="52">
        <f>MAX($A$6:A141)+1</f>
        <v>120</v>
      </c>
      <c r="B142" s="51" t="s">
        <v>352</v>
      </c>
      <c r="C142" s="51" t="e">
        <f>VLOOKUP($B142,#REF!,MATCH(C$2,#REF!,0),0)</f>
        <v>#REF!</v>
      </c>
      <c r="D142" s="136"/>
      <c r="E142" s="136"/>
      <c r="F142" s="136" t="e">
        <f>VLOOKUP($B142,#REF!,MATCH(F$2,#REF!,0),0)</f>
        <v>#REF!</v>
      </c>
      <c r="G142" s="137" t="e">
        <f>VLOOKUP($B142,#REF!,MATCH(G$2,#REF!,0),0)</f>
        <v>#REF!</v>
      </c>
      <c r="H142" s="48"/>
      <c r="I142" s="48"/>
      <c r="J142" s="48"/>
      <c r="K142" s="48"/>
      <c r="L142" s="48"/>
      <c r="M142" s="48"/>
      <c r="N142" s="48"/>
      <c r="O142" s="48"/>
      <c r="P142" s="48">
        <v>1740</v>
      </c>
      <c r="Q142" s="48"/>
      <c r="R142" s="371" t="e">
        <f t="shared" ref="R142:AA142" si="145">$G142*H142</f>
        <v>#REF!</v>
      </c>
      <c r="S142" s="371" t="e">
        <f t="shared" si="145"/>
        <v>#REF!</v>
      </c>
      <c r="T142" s="371" t="e">
        <f t="shared" si="145"/>
        <v>#REF!</v>
      </c>
      <c r="U142" s="371" t="e">
        <f t="shared" si="145"/>
        <v>#REF!</v>
      </c>
      <c r="V142" s="371" t="e">
        <f t="shared" si="145"/>
        <v>#REF!</v>
      </c>
      <c r="W142" s="371" t="e">
        <f t="shared" si="145"/>
        <v>#REF!</v>
      </c>
      <c r="X142" s="371" t="e">
        <f t="shared" si="145"/>
        <v>#REF!</v>
      </c>
      <c r="Y142" s="371" t="e">
        <f t="shared" si="145"/>
        <v>#REF!</v>
      </c>
      <c r="Z142" s="371" t="e">
        <f t="shared" si="145"/>
        <v>#REF!</v>
      </c>
      <c r="AA142" s="371" t="e">
        <f t="shared" si="145"/>
        <v>#REF!</v>
      </c>
      <c r="AB142" s="50"/>
    </row>
    <row r="143" s="122" customFormat="1" outlineLevel="2" spans="1:28">
      <c r="A143" s="130"/>
      <c r="B143" s="154" t="s">
        <v>353</v>
      </c>
      <c r="C143" s="154"/>
      <c r="D143" s="154"/>
      <c r="E143" s="154"/>
      <c r="F143" s="130"/>
      <c r="G143" s="134"/>
      <c r="H143" s="134"/>
      <c r="I143" s="134"/>
      <c r="J143" s="134"/>
      <c r="K143" s="134"/>
      <c r="L143" s="134"/>
      <c r="M143" s="134"/>
      <c r="N143" s="134"/>
      <c r="O143" s="134"/>
      <c r="P143" s="134"/>
      <c r="Q143" s="134"/>
      <c r="R143" s="367"/>
      <c r="S143" s="367"/>
      <c r="T143" s="367"/>
      <c r="U143" s="367"/>
      <c r="V143" s="371"/>
      <c r="W143" s="367"/>
      <c r="X143" s="367"/>
      <c r="Y143" s="367"/>
      <c r="Z143" s="367"/>
      <c r="AA143" s="367"/>
      <c r="AB143" s="130"/>
    </row>
    <row r="144" outlineLevel="2" spans="1:28">
      <c r="A144" s="52">
        <f>MAX($A$6:A143)+1</f>
        <v>121</v>
      </c>
      <c r="B144" s="51" t="s">
        <v>354</v>
      </c>
      <c r="C144" s="51" t="e">
        <f>VLOOKUP($B144,#REF!,MATCH(C$2,#REF!,0),0)</f>
        <v>#REF!</v>
      </c>
      <c r="D144" s="136"/>
      <c r="E144" s="136"/>
      <c r="F144" s="136" t="e">
        <f>VLOOKUP($B144,#REF!,MATCH(F$2,#REF!,0),0)</f>
        <v>#REF!</v>
      </c>
      <c r="G144" s="137" t="e">
        <f>VLOOKUP($B144,#REF!,MATCH(G$2,#REF!,0),0)</f>
        <v>#REF!</v>
      </c>
      <c r="H144" s="48"/>
      <c r="I144" s="48"/>
      <c r="J144" s="48">
        <v>483.43</v>
      </c>
      <c r="K144" s="48">
        <v>483.43</v>
      </c>
      <c r="L144" s="48"/>
      <c r="M144" s="48"/>
      <c r="N144" s="48"/>
      <c r="O144" s="48"/>
      <c r="P144" s="48"/>
      <c r="Q144" s="48"/>
      <c r="R144" s="371" t="e">
        <f>$G144*H144</f>
        <v>#REF!</v>
      </c>
      <c r="S144" s="371" t="e">
        <f t="shared" ref="S144:AA144" si="146">$G144*I144</f>
        <v>#REF!</v>
      </c>
      <c r="T144" s="371" t="e">
        <f t="shared" si="146"/>
        <v>#REF!</v>
      </c>
      <c r="U144" s="371" t="e">
        <f t="shared" si="146"/>
        <v>#REF!</v>
      </c>
      <c r="V144" s="371" t="e">
        <f t="shared" si="146"/>
        <v>#REF!</v>
      </c>
      <c r="W144" s="371" t="e">
        <f t="shared" si="146"/>
        <v>#REF!</v>
      </c>
      <c r="X144" s="371" t="e">
        <f t="shared" si="146"/>
        <v>#REF!</v>
      </c>
      <c r="Y144" s="371" t="e">
        <f t="shared" si="146"/>
        <v>#REF!</v>
      </c>
      <c r="Z144" s="371" t="e">
        <f t="shared" si="146"/>
        <v>#REF!</v>
      </c>
      <c r="AA144" s="371" t="e">
        <f t="shared" si="146"/>
        <v>#REF!</v>
      </c>
      <c r="AB144" s="50"/>
    </row>
    <row r="145" ht="28.8" outlineLevel="2" spans="1:28">
      <c r="A145" s="52">
        <f>MAX($A$6:A144)+1</f>
        <v>122</v>
      </c>
      <c r="B145" s="51" t="s">
        <v>355</v>
      </c>
      <c r="C145" s="51" t="e">
        <f>VLOOKUP($B145,#REF!,MATCH(C$2,#REF!,0),0)</f>
        <v>#REF!</v>
      </c>
      <c r="D145" s="136"/>
      <c r="E145" s="136"/>
      <c r="F145" s="136" t="e">
        <f>VLOOKUP($B145,#REF!,MATCH(F$2,#REF!,0),0)</f>
        <v>#REF!</v>
      </c>
      <c r="G145" s="137" t="e">
        <f>VLOOKUP($B145,#REF!,MATCH(G$2,#REF!,0),0)</f>
        <v>#REF!</v>
      </c>
      <c r="H145" s="48"/>
      <c r="I145" s="48"/>
      <c r="J145" s="48">
        <v>483.43</v>
      </c>
      <c r="K145" s="48">
        <v>483.43</v>
      </c>
      <c r="L145" s="48"/>
      <c r="M145" s="48"/>
      <c r="N145" s="48"/>
      <c r="O145" s="48"/>
      <c r="P145" s="48"/>
      <c r="Q145" s="48"/>
      <c r="R145" s="371" t="e">
        <f t="shared" ref="R145:AA145" si="147">$G145*H145</f>
        <v>#REF!</v>
      </c>
      <c r="S145" s="371" t="e">
        <f t="shared" si="147"/>
        <v>#REF!</v>
      </c>
      <c r="T145" s="371" t="e">
        <f t="shared" si="147"/>
        <v>#REF!</v>
      </c>
      <c r="U145" s="371" t="e">
        <f t="shared" si="147"/>
        <v>#REF!</v>
      </c>
      <c r="V145" s="371" t="e">
        <f t="shared" si="147"/>
        <v>#REF!</v>
      </c>
      <c r="W145" s="371" t="e">
        <f t="shared" si="147"/>
        <v>#REF!</v>
      </c>
      <c r="X145" s="371" t="e">
        <f t="shared" si="147"/>
        <v>#REF!</v>
      </c>
      <c r="Y145" s="371" t="e">
        <f t="shared" si="147"/>
        <v>#REF!</v>
      </c>
      <c r="Z145" s="371" t="e">
        <f t="shared" si="147"/>
        <v>#REF!</v>
      </c>
      <c r="AA145" s="371" t="e">
        <f t="shared" si="147"/>
        <v>#REF!</v>
      </c>
      <c r="AB145" s="50"/>
    </row>
    <row r="146" outlineLevel="2" spans="1:28">
      <c r="A146" s="52">
        <f>MAX($A$6:A145)+1</f>
        <v>123</v>
      </c>
      <c r="B146" s="51" t="s">
        <v>356</v>
      </c>
      <c r="C146" s="51" t="e">
        <f>VLOOKUP($B146,#REF!,MATCH(C$2,#REF!,0),0)</f>
        <v>#REF!</v>
      </c>
      <c r="D146" s="136"/>
      <c r="E146" s="136"/>
      <c r="F146" s="136" t="e">
        <f>VLOOKUP($B146,#REF!,MATCH(F$2,#REF!,0),0)</f>
        <v>#REF!</v>
      </c>
      <c r="G146" s="137" t="e">
        <f>VLOOKUP($B146,#REF!,MATCH(G$2,#REF!,0),0)</f>
        <v>#REF!</v>
      </c>
      <c r="H146" s="48"/>
      <c r="I146" s="48"/>
      <c r="J146" s="48">
        <v>483.43</v>
      </c>
      <c r="K146" s="48">
        <v>483.43</v>
      </c>
      <c r="L146" s="48"/>
      <c r="M146" s="48"/>
      <c r="N146" s="48"/>
      <c r="O146" s="48"/>
      <c r="P146" s="48"/>
      <c r="Q146" s="48"/>
      <c r="R146" s="371" t="e">
        <f t="shared" ref="R146:AA146" si="148">$G146*H146</f>
        <v>#REF!</v>
      </c>
      <c r="S146" s="371" t="e">
        <f t="shared" si="148"/>
        <v>#REF!</v>
      </c>
      <c r="T146" s="371" t="e">
        <f t="shared" si="148"/>
        <v>#REF!</v>
      </c>
      <c r="U146" s="371" t="e">
        <f t="shared" si="148"/>
        <v>#REF!</v>
      </c>
      <c r="V146" s="371" t="e">
        <f t="shared" si="148"/>
        <v>#REF!</v>
      </c>
      <c r="W146" s="371" t="e">
        <f t="shared" si="148"/>
        <v>#REF!</v>
      </c>
      <c r="X146" s="371" t="e">
        <f t="shared" si="148"/>
        <v>#REF!</v>
      </c>
      <c r="Y146" s="371" t="e">
        <f t="shared" si="148"/>
        <v>#REF!</v>
      </c>
      <c r="Z146" s="371" t="e">
        <f t="shared" si="148"/>
        <v>#REF!</v>
      </c>
      <c r="AA146" s="371" t="e">
        <f t="shared" si="148"/>
        <v>#REF!</v>
      </c>
      <c r="AB146" s="50"/>
    </row>
    <row r="147" outlineLevel="2" spans="1:28">
      <c r="A147" s="52">
        <f>MAX($A$6:A146)+1</f>
        <v>124</v>
      </c>
      <c r="B147" s="51" t="s">
        <v>357</v>
      </c>
      <c r="C147" s="51" t="e">
        <f>VLOOKUP($B147,#REF!,MATCH(C$2,#REF!,0),0)</f>
        <v>#REF!</v>
      </c>
      <c r="D147" s="136"/>
      <c r="E147" s="136"/>
      <c r="F147" s="136" t="e">
        <f>VLOOKUP($B147,#REF!,MATCH(F$2,#REF!,0),0)</f>
        <v>#REF!</v>
      </c>
      <c r="G147" s="137" t="e">
        <f>VLOOKUP($B147,#REF!,MATCH(G$2,#REF!,0),0)</f>
        <v>#REF!</v>
      </c>
      <c r="H147" s="48"/>
      <c r="I147" s="48"/>
      <c r="J147" s="48">
        <v>483.43</v>
      </c>
      <c r="K147" s="48">
        <v>483.43</v>
      </c>
      <c r="L147" s="48"/>
      <c r="M147" s="48"/>
      <c r="N147" s="48"/>
      <c r="O147" s="48"/>
      <c r="P147" s="48"/>
      <c r="Q147" s="48"/>
      <c r="R147" s="371" t="e">
        <f t="shared" ref="R147:AA147" si="149">$G147*H147</f>
        <v>#REF!</v>
      </c>
      <c r="S147" s="371" t="e">
        <f t="shared" si="149"/>
        <v>#REF!</v>
      </c>
      <c r="T147" s="371" t="e">
        <f t="shared" si="149"/>
        <v>#REF!</v>
      </c>
      <c r="U147" s="371" t="e">
        <f t="shared" si="149"/>
        <v>#REF!</v>
      </c>
      <c r="V147" s="371" t="e">
        <f t="shared" si="149"/>
        <v>#REF!</v>
      </c>
      <c r="W147" s="371" t="e">
        <f t="shared" si="149"/>
        <v>#REF!</v>
      </c>
      <c r="X147" s="371" t="e">
        <f t="shared" si="149"/>
        <v>#REF!</v>
      </c>
      <c r="Y147" s="371" t="e">
        <f t="shared" si="149"/>
        <v>#REF!</v>
      </c>
      <c r="Z147" s="371" t="e">
        <f t="shared" si="149"/>
        <v>#REF!</v>
      </c>
      <c r="AA147" s="371" t="e">
        <f t="shared" si="149"/>
        <v>#REF!</v>
      </c>
      <c r="AB147" s="50"/>
    </row>
    <row r="148" s="29" customFormat="1" ht="28.8" outlineLevel="1" spans="1:28">
      <c r="A148" s="40"/>
      <c r="B148" s="41" t="str">
        <f>目录!H12</f>
        <v>A.04.02屋面与防水工程</v>
      </c>
      <c r="C148" s="41"/>
      <c r="D148" s="141"/>
      <c r="E148" s="141"/>
      <c r="F148" s="40"/>
      <c r="G148" s="43"/>
      <c r="H148" s="43"/>
      <c r="I148" s="43"/>
      <c r="J148" s="43"/>
      <c r="K148" s="43"/>
      <c r="L148" s="43"/>
      <c r="M148" s="43"/>
      <c r="N148" s="43"/>
      <c r="O148" s="43"/>
      <c r="P148" s="43"/>
      <c r="Q148" s="43"/>
      <c r="R148" s="369" t="e">
        <f t="shared" ref="R148:AA148" si="150">SUM(R149:R225)</f>
        <v>#REF!</v>
      </c>
      <c r="S148" s="369" t="e">
        <f t="shared" si="150"/>
        <v>#REF!</v>
      </c>
      <c r="T148" s="369" t="e">
        <f t="shared" si="150"/>
        <v>#REF!</v>
      </c>
      <c r="U148" s="369" t="e">
        <f t="shared" si="150"/>
        <v>#REF!</v>
      </c>
      <c r="V148" s="369" t="e">
        <f t="shared" si="150"/>
        <v>#REF!</v>
      </c>
      <c r="W148" s="369" t="e">
        <f t="shared" si="150"/>
        <v>#REF!</v>
      </c>
      <c r="X148" s="369" t="e">
        <f t="shared" si="150"/>
        <v>#REF!</v>
      </c>
      <c r="Y148" s="369" t="e">
        <f t="shared" si="150"/>
        <v>#REF!</v>
      </c>
      <c r="Z148" s="369" t="e">
        <f t="shared" si="150"/>
        <v>#REF!</v>
      </c>
      <c r="AA148" s="369" t="e">
        <f t="shared" si="150"/>
        <v>#REF!</v>
      </c>
      <c r="AB148" s="40"/>
    </row>
    <row r="149" s="122" customFormat="1" outlineLevel="2" spans="1:28">
      <c r="A149" s="130"/>
      <c r="B149" s="154" t="s">
        <v>358</v>
      </c>
      <c r="C149" s="154"/>
      <c r="D149" s="154"/>
      <c r="E149" s="154"/>
      <c r="F149" s="130"/>
      <c r="G149" s="134"/>
      <c r="H149" s="134"/>
      <c r="I149" s="134"/>
      <c r="J149" s="134"/>
      <c r="K149" s="134"/>
      <c r="L149" s="134"/>
      <c r="M149" s="134"/>
      <c r="N149" s="134"/>
      <c r="O149" s="134"/>
      <c r="P149" s="134"/>
      <c r="Q149" s="134"/>
      <c r="R149" s="367"/>
      <c r="S149" s="367"/>
      <c r="T149" s="367"/>
      <c r="U149" s="367"/>
      <c r="V149" s="371"/>
      <c r="W149" s="367"/>
      <c r="X149" s="367"/>
      <c r="Y149" s="367"/>
      <c r="Z149" s="367"/>
      <c r="AA149" s="367"/>
      <c r="AB149" s="130"/>
    </row>
    <row r="150" outlineLevel="2" spans="1:28">
      <c r="A150" s="52">
        <f>MAX($A$6:A149)+1</f>
        <v>125</v>
      </c>
      <c r="B150" s="51" t="s">
        <v>359</v>
      </c>
      <c r="C150" s="51" t="e">
        <f>VLOOKUP($B150,#REF!,MATCH(C$2,#REF!,0),0)</f>
        <v>#REF!</v>
      </c>
      <c r="D150" s="136"/>
      <c r="E150" s="136"/>
      <c r="F150" s="136" t="e">
        <f>VLOOKUP($B150,#REF!,MATCH(F$2,#REF!,0),0)</f>
        <v>#REF!</v>
      </c>
      <c r="G150" s="137" t="e">
        <f>VLOOKUP($B150,#REF!,MATCH(G$2,#REF!,0),0)</f>
        <v>#REF!</v>
      </c>
      <c r="H150" s="48"/>
      <c r="I150" s="48"/>
      <c r="J150" s="48">
        <v>296.1</v>
      </c>
      <c r="K150" s="48">
        <v>296.1</v>
      </c>
      <c r="L150" s="48">
        <v>141</v>
      </c>
      <c r="M150" s="48"/>
      <c r="N150" s="48"/>
      <c r="O150" s="48"/>
      <c r="P150" s="48"/>
      <c r="Q150" s="48"/>
      <c r="R150" s="371" t="e">
        <f t="shared" ref="R150:R152" si="151">$G150*H150</f>
        <v>#REF!</v>
      </c>
      <c r="S150" s="371" t="e">
        <f t="shared" ref="S150:AA150" si="152">$G150*I150</f>
        <v>#REF!</v>
      </c>
      <c r="T150" s="371" t="e">
        <f t="shared" si="152"/>
        <v>#REF!</v>
      </c>
      <c r="U150" s="371" t="e">
        <f t="shared" si="152"/>
        <v>#REF!</v>
      </c>
      <c r="V150" s="371" t="e">
        <f t="shared" si="152"/>
        <v>#REF!</v>
      </c>
      <c r="W150" s="371" t="e">
        <f t="shared" si="152"/>
        <v>#REF!</v>
      </c>
      <c r="X150" s="371" t="e">
        <f t="shared" si="152"/>
        <v>#REF!</v>
      </c>
      <c r="Y150" s="371" t="e">
        <f t="shared" si="152"/>
        <v>#REF!</v>
      </c>
      <c r="Z150" s="371" t="e">
        <f t="shared" si="152"/>
        <v>#REF!</v>
      </c>
      <c r="AA150" s="371" t="e">
        <f t="shared" si="152"/>
        <v>#REF!</v>
      </c>
      <c r="AB150" s="50"/>
    </row>
    <row r="151" ht="28.8" outlineLevel="2" spans="1:28">
      <c r="A151" s="52">
        <f>MAX($A$6:A150)+1</f>
        <v>126</v>
      </c>
      <c r="B151" s="51" t="s">
        <v>360</v>
      </c>
      <c r="C151" s="51" t="e">
        <f>VLOOKUP($B151,#REF!,MATCH(C$2,#REF!,0),0)</f>
        <v>#REF!</v>
      </c>
      <c r="D151" s="136"/>
      <c r="E151" s="136"/>
      <c r="F151" s="136" t="e">
        <f>VLOOKUP($B151,#REF!,MATCH(F$2,#REF!,0),0)</f>
        <v>#REF!</v>
      </c>
      <c r="G151" s="137" t="e">
        <f>VLOOKUP($B151,#REF!,MATCH(G$2,#REF!,0),0)</f>
        <v>#REF!</v>
      </c>
      <c r="H151" s="48"/>
      <c r="I151" s="48"/>
      <c r="J151" s="48">
        <v>296.1</v>
      </c>
      <c r="K151" s="48">
        <v>296.1</v>
      </c>
      <c r="L151" s="48">
        <v>141</v>
      </c>
      <c r="M151" s="48"/>
      <c r="N151" s="48"/>
      <c r="O151" s="48"/>
      <c r="P151" s="48"/>
      <c r="Q151" s="48"/>
      <c r="R151" s="371" t="e">
        <f t="shared" si="151"/>
        <v>#REF!</v>
      </c>
      <c r="S151" s="371" t="e">
        <f t="shared" ref="S151:AA151" si="153">$G151*I151</f>
        <v>#REF!</v>
      </c>
      <c r="T151" s="371" t="e">
        <f t="shared" si="153"/>
        <v>#REF!</v>
      </c>
      <c r="U151" s="371" t="e">
        <f t="shared" si="153"/>
        <v>#REF!</v>
      </c>
      <c r="V151" s="371" t="e">
        <f t="shared" si="153"/>
        <v>#REF!</v>
      </c>
      <c r="W151" s="371" t="e">
        <f t="shared" si="153"/>
        <v>#REF!</v>
      </c>
      <c r="X151" s="371" t="e">
        <f t="shared" si="153"/>
        <v>#REF!</v>
      </c>
      <c r="Y151" s="371" t="e">
        <f t="shared" si="153"/>
        <v>#REF!</v>
      </c>
      <c r="Z151" s="371" t="e">
        <f t="shared" si="153"/>
        <v>#REF!</v>
      </c>
      <c r="AA151" s="371" t="e">
        <f t="shared" si="153"/>
        <v>#REF!</v>
      </c>
      <c r="AB151" s="50"/>
    </row>
    <row r="152" outlineLevel="2" spans="1:28">
      <c r="A152" s="52">
        <f>MAX($A$6:A151)+1</f>
        <v>127</v>
      </c>
      <c r="B152" s="51" t="s">
        <v>361</v>
      </c>
      <c r="C152" s="51" t="e">
        <f>VLOOKUP($B152,#REF!,MATCH(C$2,#REF!,0),0)</f>
        <v>#REF!</v>
      </c>
      <c r="D152" s="136"/>
      <c r="E152" s="136"/>
      <c r="F152" s="136" t="e">
        <f>VLOOKUP($B152,#REF!,MATCH(F$2,#REF!,0),0)</f>
        <v>#REF!</v>
      </c>
      <c r="G152" s="137" t="e">
        <f>VLOOKUP($B152,#REF!,MATCH(G$2,#REF!,0),0)</f>
        <v>#REF!</v>
      </c>
      <c r="H152" s="48"/>
      <c r="I152" s="48"/>
      <c r="J152" s="48">
        <v>296.1</v>
      </c>
      <c r="K152" s="48">
        <v>296.1</v>
      </c>
      <c r="L152" s="48">
        <v>141</v>
      </c>
      <c r="M152" s="48"/>
      <c r="N152" s="48"/>
      <c r="O152" s="48"/>
      <c r="P152" s="48"/>
      <c r="Q152" s="48"/>
      <c r="R152" s="371" t="e">
        <f t="shared" si="151"/>
        <v>#REF!</v>
      </c>
      <c r="S152" s="371" t="e">
        <f t="shared" ref="S152:AA152" si="154">$G152*I152</f>
        <v>#REF!</v>
      </c>
      <c r="T152" s="371" t="e">
        <f t="shared" si="154"/>
        <v>#REF!</v>
      </c>
      <c r="U152" s="371" t="e">
        <f t="shared" si="154"/>
        <v>#REF!</v>
      </c>
      <c r="V152" s="371" t="e">
        <f t="shared" si="154"/>
        <v>#REF!</v>
      </c>
      <c r="W152" s="371" t="e">
        <f t="shared" si="154"/>
        <v>#REF!</v>
      </c>
      <c r="X152" s="371" t="e">
        <f t="shared" si="154"/>
        <v>#REF!</v>
      </c>
      <c r="Y152" s="371" t="e">
        <f t="shared" si="154"/>
        <v>#REF!</v>
      </c>
      <c r="Z152" s="371" t="e">
        <f t="shared" si="154"/>
        <v>#REF!</v>
      </c>
      <c r="AA152" s="371" t="e">
        <f t="shared" si="154"/>
        <v>#REF!</v>
      </c>
      <c r="AB152" s="50"/>
    </row>
    <row r="153" s="122" customFormat="1" outlineLevel="2" spans="1:28">
      <c r="A153" s="130"/>
      <c r="B153" s="154" t="s">
        <v>362</v>
      </c>
      <c r="C153" s="154"/>
      <c r="D153" s="154"/>
      <c r="E153" s="154"/>
      <c r="F153" s="130"/>
      <c r="G153" s="134"/>
      <c r="H153" s="134"/>
      <c r="I153" s="134"/>
      <c r="J153" s="134"/>
      <c r="K153" s="134"/>
      <c r="L153" s="134"/>
      <c r="M153" s="134"/>
      <c r="N153" s="134"/>
      <c r="O153" s="134"/>
      <c r="P153" s="134"/>
      <c r="Q153" s="134"/>
      <c r="R153" s="367"/>
      <c r="S153" s="367"/>
      <c r="T153" s="367"/>
      <c r="U153" s="367"/>
      <c r="V153" s="371"/>
      <c r="W153" s="367"/>
      <c r="X153" s="367"/>
      <c r="Y153" s="367"/>
      <c r="Z153" s="367"/>
      <c r="AA153" s="367"/>
      <c r="AB153" s="130"/>
    </row>
    <row r="154" outlineLevel="2" spans="1:28">
      <c r="A154" s="52">
        <f>MAX($A$6:A153)+1</f>
        <v>128</v>
      </c>
      <c r="B154" s="51" t="s">
        <v>359</v>
      </c>
      <c r="C154" s="51" t="e">
        <f>VLOOKUP($B154,#REF!,MATCH(C$2,#REF!,0),0)</f>
        <v>#REF!</v>
      </c>
      <c r="D154" s="136"/>
      <c r="E154" s="136"/>
      <c r="F154" s="136" t="e">
        <f>VLOOKUP($B154,#REF!,MATCH(F$2,#REF!,0),0)</f>
        <v>#REF!</v>
      </c>
      <c r="G154" s="137" t="e">
        <f>VLOOKUP($B154,#REF!,MATCH(G$2,#REF!,0),0)</f>
        <v>#REF!</v>
      </c>
      <c r="H154" s="48"/>
      <c r="I154" s="48"/>
      <c r="J154" s="48">
        <v>1</v>
      </c>
      <c r="K154" s="48">
        <v>1</v>
      </c>
      <c r="L154" s="48"/>
      <c r="M154" s="48"/>
      <c r="N154" s="48"/>
      <c r="O154" s="48"/>
      <c r="P154" s="48"/>
      <c r="Q154" s="48"/>
      <c r="R154" s="371" t="e">
        <f>$G154*H154</f>
        <v>#REF!</v>
      </c>
      <c r="S154" s="371" t="e">
        <f t="shared" ref="S154:AA154" si="155">$G154*I154</f>
        <v>#REF!</v>
      </c>
      <c r="T154" s="371" t="e">
        <f t="shared" si="155"/>
        <v>#REF!</v>
      </c>
      <c r="U154" s="371" t="e">
        <f t="shared" si="155"/>
        <v>#REF!</v>
      </c>
      <c r="V154" s="371" t="e">
        <f t="shared" si="155"/>
        <v>#REF!</v>
      </c>
      <c r="W154" s="371" t="e">
        <f t="shared" si="155"/>
        <v>#REF!</v>
      </c>
      <c r="X154" s="371" t="e">
        <f t="shared" si="155"/>
        <v>#REF!</v>
      </c>
      <c r="Y154" s="371" t="e">
        <f t="shared" si="155"/>
        <v>#REF!</v>
      </c>
      <c r="Z154" s="371" t="e">
        <f t="shared" si="155"/>
        <v>#REF!</v>
      </c>
      <c r="AA154" s="371" t="e">
        <f t="shared" si="155"/>
        <v>#REF!</v>
      </c>
      <c r="AB154" s="50"/>
    </row>
    <row r="155" ht="28.8" outlineLevel="2" spans="1:28">
      <c r="A155" s="52">
        <f>MAX($A$6:A154)+1</f>
        <v>129</v>
      </c>
      <c r="B155" s="51" t="s">
        <v>360</v>
      </c>
      <c r="C155" s="51" t="e">
        <f>VLOOKUP($B155,#REF!,MATCH(C$2,#REF!,0),0)</f>
        <v>#REF!</v>
      </c>
      <c r="D155" s="136"/>
      <c r="E155" s="136"/>
      <c r="F155" s="136" t="e">
        <f>VLOOKUP($B155,#REF!,MATCH(F$2,#REF!,0),0)</f>
        <v>#REF!</v>
      </c>
      <c r="G155" s="137" t="e">
        <f>VLOOKUP($B155,#REF!,MATCH(G$2,#REF!,0),0)</f>
        <v>#REF!</v>
      </c>
      <c r="H155" s="48"/>
      <c r="I155" s="48"/>
      <c r="J155" s="48">
        <v>1</v>
      </c>
      <c r="K155" s="48">
        <v>1</v>
      </c>
      <c r="L155" s="48"/>
      <c r="M155" s="48"/>
      <c r="N155" s="48"/>
      <c r="O155" s="48"/>
      <c r="P155" s="48"/>
      <c r="Q155" s="48"/>
      <c r="R155" s="371" t="e">
        <f t="shared" ref="R155:AA155" si="156">$G155*H155</f>
        <v>#REF!</v>
      </c>
      <c r="S155" s="371" t="e">
        <f t="shared" si="156"/>
        <v>#REF!</v>
      </c>
      <c r="T155" s="371" t="e">
        <f t="shared" si="156"/>
        <v>#REF!</v>
      </c>
      <c r="U155" s="371" t="e">
        <f t="shared" si="156"/>
        <v>#REF!</v>
      </c>
      <c r="V155" s="371" t="e">
        <f t="shared" si="156"/>
        <v>#REF!</v>
      </c>
      <c r="W155" s="371" t="e">
        <f t="shared" si="156"/>
        <v>#REF!</v>
      </c>
      <c r="X155" s="371" t="e">
        <f t="shared" si="156"/>
        <v>#REF!</v>
      </c>
      <c r="Y155" s="371" t="e">
        <f t="shared" si="156"/>
        <v>#REF!</v>
      </c>
      <c r="Z155" s="371" t="e">
        <f t="shared" si="156"/>
        <v>#REF!</v>
      </c>
      <c r="AA155" s="371" t="e">
        <f t="shared" si="156"/>
        <v>#REF!</v>
      </c>
      <c r="AB155" s="50"/>
    </row>
    <row r="156" ht="28.8" outlineLevel="2" spans="1:28">
      <c r="A156" s="52">
        <f>MAX($A$6:A155)+1</f>
        <v>130</v>
      </c>
      <c r="B156" s="51" t="s">
        <v>363</v>
      </c>
      <c r="C156" s="51" t="e">
        <f>VLOOKUP($B156,#REF!,MATCH(C$2,#REF!,0),0)</f>
        <v>#REF!</v>
      </c>
      <c r="D156" s="136"/>
      <c r="E156" s="136"/>
      <c r="F156" s="136" t="e">
        <f>VLOOKUP($B156,#REF!,MATCH(F$2,#REF!,0),0)</f>
        <v>#REF!</v>
      </c>
      <c r="G156" s="137" t="e">
        <f>VLOOKUP($B156,#REF!,MATCH(G$2,#REF!,0),0)</f>
        <v>#REF!</v>
      </c>
      <c r="H156" s="48"/>
      <c r="I156" s="48"/>
      <c r="J156" s="48">
        <v>1</v>
      </c>
      <c r="K156" s="48">
        <v>1</v>
      </c>
      <c r="L156" s="48"/>
      <c r="M156" s="48"/>
      <c r="N156" s="48"/>
      <c r="O156" s="48"/>
      <c r="P156" s="48"/>
      <c r="Q156" s="48"/>
      <c r="R156" s="371" t="e">
        <f t="shared" ref="R156:AA156" si="157">$G156*H156</f>
        <v>#REF!</v>
      </c>
      <c r="S156" s="371" t="e">
        <f t="shared" si="157"/>
        <v>#REF!</v>
      </c>
      <c r="T156" s="371" t="e">
        <f t="shared" si="157"/>
        <v>#REF!</v>
      </c>
      <c r="U156" s="371" t="e">
        <f t="shared" si="157"/>
        <v>#REF!</v>
      </c>
      <c r="V156" s="371" t="e">
        <f t="shared" si="157"/>
        <v>#REF!</v>
      </c>
      <c r="W156" s="371" t="e">
        <f t="shared" si="157"/>
        <v>#REF!</v>
      </c>
      <c r="X156" s="371" t="e">
        <f t="shared" si="157"/>
        <v>#REF!</v>
      </c>
      <c r="Y156" s="371" t="e">
        <f t="shared" si="157"/>
        <v>#REF!</v>
      </c>
      <c r="Z156" s="371" t="e">
        <f t="shared" si="157"/>
        <v>#REF!</v>
      </c>
      <c r="AA156" s="371" t="e">
        <f t="shared" si="157"/>
        <v>#REF!</v>
      </c>
      <c r="AB156" s="50"/>
    </row>
    <row r="157" outlineLevel="2" spans="1:28">
      <c r="A157" s="52">
        <f>MAX($A$6:A156)+1</f>
        <v>131</v>
      </c>
      <c r="B157" s="51" t="s">
        <v>361</v>
      </c>
      <c r="C157" s="51" t="e">
        <f>VLOOKUP($B157,#REF!,MATCH(C$2,#REF!,0),0)</f>
        <v>#REF!</v>
      </c>
      <c r="D157" s="136"/>
      <c r="E157" s="136"/>
      <c r="F157" s="136" t="e">
        <f>VLOOKUP($B157,#REF!,MATCH(F$2,#REF!,0),0)</f>
        <v>#REF!</v>
      </c>
      <c r="G157" s="137" t="e">
        <f>VLOOKUP($B157,#REF!,MATCH(G$2,#REF!,0),0)</f>
        <v>#REF!</v>
      </c>
      <c r="H157" s="48"/>
      <c r="I157" s="48"/>
      <c r="J157" s="48">
        <v>1</v>
      </c>
      <c r="K157" s="48">
        <v>1</v>
      </c>
      <c r="L157" s="48"/>
      <c r="M157" s="48"/>
      <c r="N157" s="48"/>
      <c r="O157" s="48"/>
      <c r="P157" s="48"/>
      <c r="Q157" s="48"/>
      <c r="R157" s="371" t="e">
        <f t="shared" ref="R157:AA157" si="158">$G157*H157</f>
        <v>#REF!</v>
      </c>
      <c r="S157" s="371" t="e">
        <f t="shared" si="158"/>
        <v>#REF!</v>
      </c>
      <c r="T157" s="371" t="e">
        <f t="shared" si="158"/>
        <v>#REF!</v>
      </c>
      <c r="U157" s="371" t="e">
        <f t="shared" si="158"/>
        <v>#REF!</v>
      </c>
      <c r="V157" s="371" t="e">
        <f t="shared" si="158"/>
        <v>#REF!</v>
      </c>
      <c r="W157" s="371" t="e">
        <f t="shared" si="158"/>
        <v>#REF!</v>
      </c>
      <c r="X157" s="371" t="e">
        <f t="shared" si="158"/>
        <v>#REF!</v>
      </c>
      <c r="Y157" s="371" t="e">
        <f t="shared" si="158"/>
        <v>#REF!</v>
      </c>
      <c r="Z157" s="371" t="e">
        <f t="shared" si="158"/>
        <v>#REF!</v>
      </c>
      <c r="AA157" s="371" t="e">
        <f t="shared" si="158"/>
        <v>#REF!</v>
      </c>
      <c r="AB157" s="50"/>
    </row>
    <row r="158" s="122" customFormat="1" outlineLevel="2" spans="1:28">
      <c r="A158" s="130"/>
      <c r="B158" s="154" t="s">
        <v>364</v>
      </c>
      <c r="C158" s="154"/>
      <c r="D158" s="154"/>
      <c r="E158" s="154"/>
      <c r="F158" s="130"/>
      <c r="G158" s="134"/>
      <c r="H158" s="134"/>
      <c r="I158" s="134"/>
      <c r="J158" s="134"/>
      <c r="K158" s="134"/>
      <c r="L158" s="134"/>
      <c r="M158" s="134"/>
      <c r="N158" s="134"/>
      <c r="O158" s="134"/>
      <c r="P158" s="134"/>
      <c r="Q158" s="134"/>
      <c r="R158" s="367"/>
      <c r="S158" s="367"/>
      <c r="T158" s="367"/>
      <c r="U158" s="367"/>
      <c r="V158" s="371"/>
      <c r="W158" s="367"/>
      <c r="X158" s="367"/>
      <c r="Y158" s="367"/>
      <c r="Z158" s="367"/>
      <c r="AA158" s="367"/>
      <c r="AB158" s="130"/>
    </row>
    <row r="159" outlineLevel="2" spans="1:28">
      <c r="A159" s="52">
        <f>MAX($A$6:A158)+1</f>
        <v>132</v>
      </c>
      <c r="B159" s="51" t="s">
        <v>365</v>
      </c>
      <c r="C159" s="51" t="e">
        <f>VLOOKUP($B159,#REF!,MATCH(C$2,#REF!,0),0)</f>
        <v>#REF!</v>
      </c>
      <c r="D159" s="136"/>
      <c r="E159" s="136"/>
      <c r="F159" s="136" t="e">
        <f>VLOOKUP($B159,#REF!,MATCH(F$2,#REF!,0),0)</f>
        <v>#REF!</v>
      </c>
      <c r="G159" s="137" t="e">
        <f>VLOOKUP($B159,#REF!,MATCH(G$2,#REF!,0),0)</f>
        <v>#REF!</v>
      </c>
      <c r="H159" s="48">
        <v>463.77</v>
      </c>
      <c r="I159" s="48">
        <v>494.92</v>
      </c>
      <c r="J159" s="48"/>
      <c r="K159" s="48"/>
      <c r="L159" s="48"/>
      <c r="M159" s="48"/>
      <c r="N159" s="48">
        <v>144</v>
      </c>
      <c r="O159" s="48"/>
      <c r="P159" s="48">
        <v>1740</v>
      </c>
      <c r="Q159" s="48">
        <v>4656.78</v>
      </c>
      <c r="R159" s="371" t="e">
        <f t="shared" ref="R159:R161" si="159">$G159*H159</f>
        <v>#REF!</v>
      </c>
      <c r="S159" s="371" t="e">
        <f t="shared" ref="S159:AA159" si="160">$G159*I159</f>
        <v>#REF!</v>
      </c>
      <c r="T159" s="371" t="e">
        <f t="shared" si="160"/>
        <v>#REF!</v>
      </c>
      <c r="U159" s="371" t="e">
        <f t="shared" si="160"/>
        <v>#REF!</v>
      </c>
      <c r="V159" s="371" t="e">
        <f t="shared" si="160"/>
        <v>#REF!</v>
      </c>
      <c r="W159" s="371" t="e">
        <f t="shared" si="160"/>
        <v>#REF!</v>
      </c>
      <c r="X159" s="371" t="e">
        <f t="shared" si="160"/>
        <v>#REF!</v>
      </c>
      <c r="Y159" s="371" t="e">
        <f t="shared" si="160"/>
        <v>#REF!</v>
      </c>
      <c r="Z159" s="371" t="e">
        <f t="shared" si="160"/>
        <v>#REF!</v>
      </c>
      <c r="AA159" s="371" t="e">
        <f t="shared" si="160"/>
        <v>#REF!</v>
      </c>
      <c r="AB159" s="50"/>
    </row>
    <row r="160" ht="28.8" outlineLevel="2" spans="1:28">
      <c r="A160" s="52">
        <f>MAX($A$6:A159)+1</f>
        <v>133</v>
      </c>
      <c r="B160" s="51" t="s">
        <v>360</v>
      </c>
      <c r="C160" s="51" t="e">
        <f>VLOOKUP($B160,#REF!,MATCH(C$2,#REF!,0),0)</f>
        <v>#REF!</v>
      </c>
      <c r="D160" s="136"/>
      <c r="E160" s="136"/>
      <c r="F160" s="136" t="e">
        <f>VLOOKUP($B160,#REF!,MATCH(F$2,#REF!,0),0)</f>
        <v>#REF!</v>
      </c>
      <c r="G160" s="137" t="e">
        <f>VLOOKUP($B160,#REF!,MATCH(G$2,#REF!,0),0)</f>
        <v>#REF!</v>
      </c>
      <c r="H160" s="48">
        <v>463.77</v>
      </c>
      <c r="I160" s="48">
        <v>494.92</v>
      </c>
      <c r="J160" s="48"/>
      <c r="K160" s="48"/>
      <c r="L160" s="48"/>
      <c r="M160" s="48"/>
      <c r="N160" s="48">
        <v>144</v>
      </c>
      <c r="O160" s="48"/>
      <c r="P160" s="48">
        <v>1740</v>
      </c>
      <c r="Q160" s="48">
        <v>4656.78</v>
      </c>
      <c r="R160" s="371" t="e">
        <f t="shared" si="159"/>
        <v>#REF!</v>
      </c>
      <c r="S160" s="371" t="e">
        <f t="shared" ref="S160:AA160" si="161">$G160*I160</f>
        <v>#REF!</v>
      </c>
      <c r="T160" s="371" t="e">
        <f t="shared" si="161"/>
        <v>#REF!</v>
      </c>
      <c r="U160" s="371" t="e">
        <f t="shared" si="161"/>
        <v>#REF!</v>
      </c>
      <c r="V160" s="371" t="e">
        <f t="shared" si="161"/>
        <v>#REF!</v>
      </c>
      <c r="W160" s="371" t="e">
        <f t="shared" si="161"/>
        <v>#REF!</v>
      </c>
      <c r="X160" s="371" t="e">
        <f t="shared" si="161"/>
        <v>#REF!</v>
      </c>
      <c r="Y160" s="371" t="e">
        <f t="shared" si="161"/>
        <v>#REF!</v>
      </c>
      <c r="Z160" s="371" t="e">
        <f t="shared" si="161"/>
        <v>#REF!</v>
      </c>
      <c r="AA160" s="371" t="e">
        <f t="shared" si="161"/>
        <v>#REF!</v>
      </c>
      <c r="AB160" s="50"/>
    </row>
    <row r="161" outlineLevel="2" spans="1:28">
      <c r="A161" s="52">
        <f>MAX($A$6:A160)+1</f>
        <v>134</v>
      </c>
      <c r="B161" s="51" t="s">
        <v>361</v>
      </c>
      <c r="C161" s="51" t="e">
        <f>VLOOKUP($B161,#REF!,MATCH(C$2,#REF!,0),0)</f>
        <v>#REF!</v>
      </c>
      <c r="D161" s="136"/>
      <c r="E161" s="136"/>
      <c r="F161" s="136" t="e">
        <f>VLOOKUP($B161,#REF!,MATCH(F$2,#REF!,0),0)</f>
        <v>#REF!</v>
      </c>
      <c r="G161" s="137" t="e">
        <f>VLOOKUP($B161,#REF!,MATCH(G$2,#REF!,0),0)</f>
        <v>#REF!</v>
      </c>
      <c r="H161" s="48">
        <v>463.77</v>
      </c>
      <c r="I161" s="48">
        <v>494.92</v>
      </c>
      <c r="J161" s="48"/>
      <c r="K161" s="48"/>
      <c r="L161" s="48"/>
      <c r="M161" s="48"/>
      <c r="N161" s="48">
        <v>144</v>
      </c>
      <c r="O161" s="48"/>
      <c r="P161" s="48">
        <v>1740</v>
      </c>
      <c r="Q161" s="48">
        <v>4656.78</v>
      </c>
      <c r="R161" s="371" t="e">
        <f t="shared" si="159"/>
        <v>#REF!</v>
      </c>
      <c r="S161" s="371" t="e">
        <f t="shared" ref="S161:AA161" si="162">$G161*I161</f>
        <v>#REF!</v>
      </c>
      <c r="T161" s="371" t="e">
        <f t="shared" si="162"/>
        <v>#REF!</v>
      </c>
      <c r="U161" s="371" t="e">
        <f t="shared" si="162"/>
        <v>#REF!</v>
      </c>
      <c r="V161" s="371" t="e">
        <f t="shared" si="162"/>
        <v>#REF!</v>
      </c>
      <c r="W161" s="371" t="e">
        <f t="shared" si="162"/>
        <v>#REF!</v>
      </c>
      <c r="X161" s="371" t="e">
        <f t="shared" si="162"/>
        <v>#REF!</v>
      </c>
      <c r="Y161" s="371" t="e">
        <f t="shared" si="162"/>
        <v>#REF!</v>
      </c>
      <c r="Z161" s="371" t="e">
        <f t="shared" si="162"/>
        <v>#REF!</v>
      </c>
      <c r="AA161" s="371" t="e">
        <f t="shared" si="162"/>
        <v>#REF!</v>
      </c>
      <c r="AB161" s="50"/>
    </row>
    <row r="162" s="122" customFormat="1" outlineLevel="2" spans="1:28">
      <c r="A162" s="130"/>
      <c r="B162" s="154" t="s">
        <v>366</v>
      </c>
      <c r="C162" s="154"/>
      <c r="D162" s="154"/>
      <c r="E162" s="154"/>
      <c r="F162" s="130"/>
      <c r="G162" s="134"/>
      <c r="H162" s="134"/>
      <c r="I162" s="134"/>
      <c r="J162" s="134"/>
      <c r="K162" s="134"/>
      <c r="L162" s="134"/>
      <c r="M162" s="134"/>
      <c r="N162" s="134"/>
      <c r="O162" s="134"/>
      <c r="P162" s="134"/>
      <c r="Q162" s="134"/>
      <c r="R162" s="367"/>
      <c r="S162" s="367"/>
      <c r="T162" s="367"/>
      <c r="U162" s="367"/>
      <c r="V162" s="371"/>
      <c r="W162" s="367"/>
      <c r="X162" s="367"/>
      <c r="Y162" s="367"/>
      <c r="Z162" s="367"/>
      <c r="AA162" s="367"/>
      <c r="AB162" s="130"/>
    </row>
    <row r="163" outlineLevel="2" spans="1:28">
      <c r="A163" s="52">
        <f>MAX($A$6:A162)+1</f>
        <v>135</v>
      </c>
      <c r="B163" s="51" t="s">
        <v>365</v>
      </c>
      <c r="C163" s="51" t="e">
        <f>VLOOKUP($B163,#REF!,MATCH(C$2,#REF!,0),0)</f>
        <v>#REF!</v>
      </c>
      <c r="D163" s="136"/>
      <c r="E163" s="136"/>
      <c r="F163" s="136" t="e">
        <f>VLOOKUP($B163,#REF!,MATCH(F$2,#REF!,0),0)</f>
        <v>#REF!</v>
      </c>
      <c r="G163" s="137" t="e">
        <f>VLOOKUP($B163,#REF!,MATCH(G$2,#REF!,0),0)</f>
        <v>#REF!</v>
      </c>
      <c r="H163" s="48">
        <v>31.15</v>
      </c>
      <c r="I163" s="48">
        <v>1</v>
      </c>
      <c r="J163" s="48"/>
      <c r="K163" s="48"/>
      <c r="L163" s="48"/>
      <c r="M163" s="48"/>
      <c r="N163" s="48"/>
      <c r="O163" s="48"/>
      <c r="P163" s="48">
        <v>1</v>
      </c>
      <c r="Q163" s="48">
        <v>1</v>
      </c>
      <c r="R163" s="371" t="e">
        <f>$G163*H163</f>
        <v>#REF!</v>
      </c>
      <c r="S163" s="371" t="e">
        <f t="shared" ref="S163:AA163" si="163">$G163*I163</f>
        <v>#REF!</v>
      </c>
      <c r="T163" s="371" t="e">
        <f t="shared" si="163"/>
        <v>#REF!</v>
      </c>
      <c r="U163" s="371" t="e">
        <f t="shared" si="163"/>
        <v>#REF!</v>
      </c>
      <c r="V163" s="371" t="e">
        <f t="shared" si="163"/>
        <v>#REF!</v>
      </c>
      <c r="W163" s="371" t="e">
        <f t="shared" si="163"/>
        <v>#REF!</v>
      </c>
      <c r="X163" s="371" t="e">
        <f t="shared" si="163"/>
        <v>#REF!</v>
      </c>
      <c r="Y163" s="371" t="e">
        <f t="shared" si="163"/>
        <v>#REF!</v>
      </c>
      <c r="Z163" s="371" t="e">
        <f t="shared" si="163"/>
        <v>#REF!</v>
      </c>
      <c r="AA163" s="371" t="e">
        <f t="shared" si="163"/>
        <v>#REF!</v>
      </c>
      <c r="AB163" s="50"/>
    </row>
    <row r="164" ht="28.8" outlineLevel="2" spans="1:28">
      <c r="A164" s="52">
        <f>MAX($A$6:A163)+1</f>
        <v>136</v>
      </c>
      <c r="B164" s="51" t="s">
        <v>360</v>
      </c>
      <c r="C164" s="51" t="e">
        <f>VLOOKUP($B164,#REF!,MATCH(C$2,#REF!,0),0)</f>
        <v>#REF!</v>
      </c>
      <c r="D164" s="136"/>
      <c r="E164" s="136"/>
      <c r="F164" s="136" t="e">
        <f>VLOOKUP($B164,#REF!,MATCH(F$2,#REF!,0),0)</f>
        <v>#REF!</v>
      </c>
      <c r="G164" s="137" t="e">
        <f>VLOOKUP($B164,#REF!,MATCH(G$2,#REF!,0),0)</f>
        <v>#REF!</v>
      </c>
      <c r="H164" s="48">
        <v>31.15</v>
      </c>
      <c r="I164" s="48">
        <v>1</v>
      </c>
      <c r="J164" s="48"/>
      <c r="K164" s="48"/>
      <c r="L164" s="48"/>
      <c r="M164" s="48"/>
      <c r="N164" s="48"/>
      <c r="O164" s="48"/>
      <c r="P164" s="48">
        <v>1</v>
      </c>
      <c r="Q164" s="48">
        <v>1</v>
      </c>
      <c r="R164" s="371" t="e">
        <f t="shared" ref="R164:AA164" si="164">$G164*H164</f>
        <v>#REF!</v>
      </c>
      <c r="S164" s="371" t="e">
        <f t="shared" si="164"/>
        <v>#REF!</v>
      </c>
      <c r="T164" s="371" t="e">
        <f t="shared" si="164"/>
        <v>#REF!</v>
      </c>
      <c r="U164" s="371" t="e">
        <f t="shared" si="164"/>
        <v>#REF!</v>
      </c>
      <c r="V164" s="371" t="e">
        <f t="shared" si="164"/>
        <v>#REF!</v>
      </c>
      <c r="W164" s="371" t="e">
        <f t="shared" si="164"/>
        <v>#REF!</v>
      </c>
      <c r="X164" s="371" t="e">
        <f t="shared" si="164"/>
        <v>#REF!</v>
      </c>
      <c r="Y164" s="371" t="e">
        <f t="shared" si="164"/>
        <v>#REF!</v>
      </c>
      <c r="Z164" s="371" t="e">
        <f t="shared" si="164"/>
        <v>#REF!</v>
      </c>
      <c r="AA164" s="371" t="e">
        <f t="shared" si="164"/>
        <v>#REF!</v>
      </c>
      <c r="AB164" s="50"/>
    </row>
    <row r="165" ht="28.8" outlineLevel="2" spans="1:28">
      <c r="A165" s="52">
        <f>MAX($A$6:A164)+1</f>
        <v>137</v>
      </c>
      <c r="B165" s="51" t="s">
        <v>363</v>
      </c>
      <c r="C165" s="51" t="e">
        <f>VLOOKUP($B165,#REF!,MATCH(C$2,#REF!,0),0)</f>
        <v>#REF!</v>
      </c>
      <c r="D165" s="136"/>
      <c r="E165" s="136"/>
      <c r="F165" s="136" t="e">
        <f>VLOOKUP($B165,#REF!,MATCH(F$2,#REF!,0),0)</f>
        <v>#REF!</v>
      </c>
      <c r="G165" s="137" t="e">
        <f>VLOOKUP($B165,#REF!,MATCH(G$2,#REF!,0),0)</f>
        <v>#REF!</v>
      </c>
      <c r="H165" s="48">
        <v>31.15</v>
      </c>
      <c r="I165" s="48">
        <v>1</v>
      </c>
      <c r="J165" s="48"/>
      <c r="K165" s="48"/>
      <c r="L165" s="48"/>
      <c r="M165" s="48"/>
      <c r="N165" s="48"/>
      <c r="O165" s="48"/>
      <c r="P165" s="48">
        <v>1</v>
      </c>
      <c r="Q165" s="48">
        <v>1</v>
      </c>
      <c r="R165" s="371" t="e">
        <f t="shared" ref="R165:AA165" si="165">$G165*H165</f>
        <v>#REF!</v>
      </c>
      <c r="S165" s="371" t="e">
        <f t="shared" si="165"/>
        <v>#REF!</v>
      </c>
      <c r="T165" s="371" t="e">
        <f t="shared" si="165"/>
        <v>#REF!</v>
      </c>
      <c r="U165" s="371" t="e">
        <f t="shared" si="165"/>
        <v>#REF!</v>
      </c>
      <c r="V165" s="371" t="e">
        <f t="shared" si="165"/>
        <v>#REF!</v>
      </c>
      <c r="W165" s="371" t="e">
        <f t="shared" si="165"/>
        <v>#REF!</v>
      </c>
      <c r="X165" s="371" t="e">
        <f t="shared" si="165"/>
        <v>#REF!</v>
      </c>
      <c r="Y165" s="371" t="e">
        <f t="shared" si="165"/>
        <v>#REF!</v>
      </c>
      <c r="Z165" s="371" t="e">
        <f t="shared" si="165"/>
        <v>#REF!</v>
      </c>
      <c r="AA165" s="371" t="e">
        <f t="shared" si="165"/>
        <v>#REF!</v>
      </c>
      <c r="AB165" s="50"/>
    </row>
    <row r="166" outlineLevel="2" spans="1:28">
      <c r="A166" s="52">
        <f>MAX($A$6:A165)+1</f>
        <v>138</v>
      </c>
      <c r="B166" s="51" t="s">
        <v>361</v>
      </c>
      <c r="C166" s="51" t="e">
        <f>VLOOKUP($B166,#REF!,MATCH(C$2,#REF!,0),0)</f>
        <v>#REF!</v>
      </c>
      <c r="D166" s="136"/>
      <c r="E166" s="136"/>
      <c r="F166" s="136" t="e">
        <f>VLOOKUP($B166,#REF!,MATCH(F$2,#REF!,0),0)</f>
        <v>#REF!</v>
      </c>
      <c r="G166" s="137" t="e">
        <f>VLOOKUP($B166,#REF!,MATCH(G$2,#REF!,0),0)</f>
        <v>#REF!</v>
      </c>
      <c r="H166" s="48">
        <v>31.15</v>
      </c>
      <c r="I166" s="48">
        <v>1</v>
      </c>
      <c r="J166" s="48"/>
      <c r="K166" s="48"/>
      <c r="L166" s="48"/>
      <c r="M166" s="48"/>
      <c r="N166" s="48"/>
      <c r="O166" s="48"/>
      <c r="P166" s="48">
        <v>1</v>
      </c>
      <c r="Q166" s="48">
        <v>1</v>
      </c>
      <c r="R166" s="371" t="e">
        <f t="shared" ref="R166:AA166" si="166">$G166*H166</f>
        <v>#REF!</v>
      </c>
      <c r="S166" s="371" t="e">
        <f t="shared" si="166"/>
        <v>#REF!</v>
      </c>
      <c r="T166" s="371" t="e">
        <f t="shared" si="166"/>
        <v>#REF!</v>
      </c>
      <c r="U166" s="371" t="e">
        <f t="shared" si="166"/>
        <v>#REF!</v>
      </c>
      <c r="V166" s="371" t="e">
        <f t="shared" si="166"/>
        <v>#REF!</v>
      </c>
      <c r="W166" s="371" t="e">
        <f t="shared" si="166"/>
        <v>#REF!</v>
      </c>
      <c r="X166" s="371" t="e">
        <f t="shared" si="166"/>
        <v>#REF!</v>
      </c>
      <c r="Y166" s="371" t="e">
        <f t="shared" si="166"/>
        <v>#REF!</v>
      </c>
      <c r="Z166" s="371" t="e">
        <f t="shared" si="166"/>
        <v>#REF!</v>
      </c>
      <c r="AA166" s="371" t="e">
        <f t="shared" si="166"/>
        <v>#REF!</v>
      </c>
      <c r="AB166" s="50"/>
    </row>
    <row r="167" s="122" customFormat="1" outlineLevel="2" spans="1:28">
      <c r="A167" s="130"/>
      <c r="B167" s="154" t="s">
        <v>367</v>
      </c>
      <c r="C167" s="154"/>
      <c r="D167" s="154"/>
      <c r="E167" s="154"/>
      <c r="F167" s="130"/>
      <c r="G167" s="134"/>
      <c r="H167" s="134"/>
      <c r="I167" s="134"/>
      <c r="J167" s="134"/>
      <c r="K167" s="134"/>
      <c r="L167" s="134"/>
      <c r="M167" s="134"/>
      <c r="N167" s="134"/>
      <c r="O167" s="134"/>
      <c r="P167" s="134"/>
      <c r="Q167" s="134"/>
      <c r="R167" s="367"/>
      <c r="S167" s="367"/>
      <c r="T167" s="367"/>
      <c r="U167" s="367"/>
      <c r="V167" s="371"/>
      <c r="W167" s="367"/>
      <c r="X167" s="367"/>
      <c r="Y167" s="367"/>
      <c r="Z167" s="367"/>
      <c r="AA167" s="367"/>
      <c r="AB167" s="130"/>
    </row>
    <row r="168" outlineLevel="2" spans="1:28">
      <c r="A168" s="52">
        <f>MAX($A$6:A167)+1</f>
        <v>139</v>
      </c>
      <c r="B168" s="51" t="s">
        <v>368</v>
      </c>
      <c r="C168" s="51" t="e">
        <f>VLOOKUP($B168,#REF!,MATCH(C$2,#REF!,0),0)</f>
        <v>#REF!</v>
      </c>
      <c r="D168" s="136"/>
      <c r="E168" s="136"/>
      <c r="F168" s="136" t="e">
        <f>VLOOKUP($B168,#REF!,MATCH(F$2,#REF!,0),0)</f>
        <v>#REF!</v>
      </c>
      <c r="G168" s="137" t="e">
        <f>VLOOKUP($B168,#REF!,MATCH(G$2,#REF!,0),0)</f>
        <v>#REF!</v>
      </c>
      <c r="H168" s="48"/>
      <c r="I168" s="48"/>
      <c r="J168" s="48"/>
      <c r="K168" s="48"/>
      <c r="L168" s="48"/>
      <c r="M168" s="48"/>
      <c r="N168" s="48"/>
      <c r="O168" s="48"/>
      <c r="P168" s="48">
        <v>1</v>
      </c>
      <c r="Q168" s="48">
        <v>1</v>
      </c>
      <c r="R168" s="371" t="e">
        <f t="shared" ref="R168:R170" si="167">$G168*H168</f>
        <v>#REF!</v>
      </c>
      <c r="S168" s="371" t="e">
        <f t="shared" ref="S168:AA168" si="168">$G168*I168</f>
        <v>#REF!</v>
      </c>
      <c r="T168" s="371" t="e">
        <f t="shared" si="168"/>
        <v>#REF!</v>
      </c>
      <c r="U168" s="371" t="e">
        <f t="shared" si="168"/>
        <v>#REF!</v>
      </c>
      <c r="V168" s="371" t="e">
        <f t="shared" si="168"/>
        <v>#REF!</v>
      </c>
      <c r="W168" s="371" t="e">
        <f t="shared" si="168"/>
        <v>#REF!</v>
      </c>
      <c r="X168" s="371" t="e">
        <f t="shared" si="168"/>
        <v>#REF!</v>
      </c>
      <c r="Y168" s="371" t="e">
        <f t="shared" si="168"/>
        <v>#REF!</v>
      </c>
      <c r="Z168" s="371" t="e">
        <f t="shared" si="168"/>
        <v>#REF!</v>
      </c>
      <c r="AA168" s="371" t="e">
        <f t="shared" si="168"/>
        <v>#REF!</v>
      </c>
      <c r="AB168" s="50"/>
    </row>
    <row r="169" outlineLevel="2" spans="1:28">
      <c r="A169" s="52">
        <f>MAX($A$6:A168)+1</f>
        <v>140</v>
      </c>
      <c r="B169" s="51" t="s">
        <v>369</v>
      </c>
      <c r="C169" s="51" t="e">
        <f>VLOOKUP($B169,#REF!,MATCH(C$2,#REF!,0),0)</f>
        <v>#REF!</v>
      </c>
      <c r="D169" s="136"/>
      <c r="E169" s="136"/>
      <c r="F169" s="136" t="e">
        <f>VLOOKUP($B169,#REF!,MATCH(F$2,#REF!,0),0)</f>
        <v>#REF!</v>
      </c>
      <c r="G169" s="137" t="e">
        <f>VLOOKUP($B169,#REF!,MATCH(G$2,#REF!,0),0)</f>
        <v>#REF!</v>
      </c>
      <c r="H169" s="48"/>
      <c r="I169" s="48"/>
      <c r="J169" s="48"/>
      <c r="K169" s="48"/>
      <c r="L169" s="48"/>
      <c r="M169" s="48"/>
      <c r="N169" s="48"/>
      <c r="O169" s="48"/>
      <c r="P169" s="48">
        <v>1</v>
      </c>
      <c r="Q169" s="48">
        <v>1</v>
      </c>
      <c r="R169" s="371" t="e">
        <f t="shared" si="167"/>
        <v>#REF!</v>
      </c>
      <c r="S169" s="371" t="e">
        <f t="shared" ref="S169:AA169" si="169">$G169*I169</f>
        <v>#REF!</v>
      </c>
      <c r="T169" s="371" t="e">
        <f t="shared" si="169"/>
        <v>#REF!</v>
      </c>
      <c r="U169" s="371" t="e">
        <f t="shared" si="169"/>
        <v>#REF!</v>
      </c>
      <c r="V169" s="371" t="e">
        <f t="shared" si="169"/>
        <v>#REF!</v>
      </c>
      <c r="W169" s="371" t="e">
        <f t="shared" si="169"/>
        <v>#REF!</v>
      </c>
      <c r="X169" s="371" t="e">
        <f t="shared" si="169"/>
        <v>#REF!</v>
      </c>
      <c r="Y169" s="371" t="e">
        <f t="shared" si="169"/>
        <v>#REF!</v>
      </c>
      <c r="Z169" s="371" t="e">
        <f t="shared" si="169"/>
        <v>#REF!</v>
      </c>
      <c r="AA169" s="371" t="e">
        <f t="shared" si="169"/>
        <v>#REF!</v>
      </c>
      <c r="AB169" s="50"/>
    </row>
    <row r="170" outlineLevel="2" spans="1:28">
      <c r="A170" s="52">
        <f>MAX($A$6:A169)+1</f>
        <v>141</v>
      </c>
      <c r="B170" s="51" t="s">
        <v>349</v>
      </c>
      <c r="C170" s="51" t="e">
        <f>VLOOKUP($B170,#REF!,MATCH(C$2,#REF!,0),0)</f>
        <v>#REF!</v>
      </c>
      <c r="D170" s="136"/>
      <c r="E170" s="136"/>
      <c r="F170" s="136" t="e">
        <f>VLOOKUP($B170,#REF!,MATCH(F$2,#REF!,0),0)</f>
        <v>#REF!</v>
      </c>
      <c r="G170" s="137" t="e">
        <f>VLOOKUP($B170,#REF!,MATCH(G$2,#REF!,0),0)</f>
        <v>#REF!</v>
      </c>
      <c r="H170" s="48"/>
      <c r="I170" s="48"/>
      <c r="J170" s="48"/>
      <c r="K170" s="48"/>
      <c r="L170" s="48"/>
      <c r="M170" s="48"/>
      <c r="N170" s="48"/>
      <c r="O170" s="48"/>
      <c r="P170" s="48">
        <v>1</v>
      </c>
      <c r="Q170" s="48">
        <v>1</v>
      </c>
      <c r="R170" s="371" t="e">
        <f t="shared" si="167"/>
        <v>#REF!</v>
      </c>
      <c r="S170" s="371" t="e">
        <f t="shared" ref="S170:AA170" si="170">$G170*I170</f>
        <v>#REF!</v>
      </c>
      <c r="T170" s="371" t="e">
        <f t="shared" si="170"/>
        <v>#REF!</v>
      </c>
      <c r="U170" s="371" t="e">
        <f t="shared" si="170"/>
        <v>#REF!</v>
      </c>
      <c r="V170" s="371" t="e">
        <f t="shared" si="170"/>
        <v>#REF!</v>
      </c>
      <c r="W170" s="371" t="e">
        <f t="shared" si="170"/>
        <v>#REF!</v>
      </c>
      <c r="X170" s="371" t="e">
        <f t="shared" si="170"/>
        <v>#REF!</v>
      </c>
      <c r="Y170" s="371" t="e">
        <f t="shared" si="170"/>
        <v>#REF!</v>
      </c>
      <c r="Z170" s="371" t="e">
        <f t="shared" si="170"/>
        <v>#REF!</v>
      </c>
      <c r="AA170" s="371" t="e">
        <f t="shared" si="170"/>
        <v>#REF!</v>
      </c>
      <c r="AB170" s="50"/>
    </row>
    <row r="171" s="122" customFormat="1" outlineLevel="2" spans="1:28">
      <c r="A171" s="130"/>
      <c r="B171" s="154" t="s">
        <v>370</v>
      </c>
      <c r="C171" s="154"/>
      <c r="D171" s="154"/>
      <c r="E171" s="154"/>
      <c r="F171" s="130"/>
      <c r="G171" s="134"/>
      <c r="H171" s="134"/>
      <c r="I171" s="134"/>
      <c r="J171" s="134"/>
      <c r="K171" s="134"/>
      <c r="L171" s="134"/>
      <c r="M171" s="134"/>
      <c r="N171" s="134"/>
      <c r="O171" s="134"/>
      <c r="P171" s="134"/>
      <c r="Q171" s="134"/>
      <c r="R171" s="367"/>
      <c r="S171" s="367"/>
      <c r="T171" s="367"/>
      <c r="U171" s="367"/>
      <c r="V171" s="371"/>
      <c r="W171" s="367"/>
      <c r="X171" s="367"/>
      <c r="Y171" s="367"/>
      <c r="Z171" s="367"/>
      <c r="AA171" s="367"/>
      <c r="AB171" s="130"/>
    </row>
    <row r="172" s="1" customFormat="1" outlineLevel="2" spans="1:28">
      <c r="A172" s="52">
        <f>MAX($A$6:A171)+1</f>
        <v>142</v>
      </c>
      <c r="B172" s="51" t="s">
        <v>368</v>
      </c>
      <c r="C172" s="51" t="e">
        <f>VLOOKUP($B172,#REF!,MATCH(C$2,#REF!,0),0)</f>
        <v>#REF!</v>
      </c>
      <c r="D172" s="136"/>
      <c r="E172" s="136"/>
      <c r="F172" s="136" t="e">
        <f>VLOOKUP($B172,#REF!,MATCH(F$2,#REF!,0),0)</f>
        <v>#REF!</v>
      </c>
      <c r="G172" s="137" t="e">
        <f>VLOOKUP($B172,#REF!,MATCH(G$2,#REF!,0),0)</f>
        <v>#REF!</v>
      </c>
      <c r="H172" s="139"/>
      <c r="I172" s="139"/>
      <c r="J172" s="139"/>
      <c r="K172" s="139"/>
      <c r="L172" s="139"/>
      <c r="M172" s="139"/>
      <c r="N172" s="139"/>
      <c r="O172" s="139"/>
      <c r="P172" s="48">
        <v>1</v>
      </c>
      <c r="Q172" s="48">
        <v>1</v>
      </c>
      <c r="R172" s="371" t="e">
        <f t="shared" ref="R172:R174" si="171">$G172*H172</f>
        <v>#REF!</v>
      </c>
      <c r="S172" s="371" t="e">
        <f t="shared" ref="S172:AA172" si="172">$G172*I172</f>
        <v>#REF!</v>
      </c>
      <c r="T172" s="371" t="e">
        <f t="shared" si="172"/>
        <v>#REF!</v>
      </c>
      <c r="U172" s="371" t="e">
        <f t="shared" si="172"/>
        <v>#REF!</v>
      </c>
      <c r="V172" s="371" t="e">
        <f t="shared" si="172"/>
        <v>#REF!</v>
      </c>
      <c r="W172" s="371" t="e">
        <f t="shared" si="172"/>
        <v>#REF!</v>
      </c>
      <c r="X172" s="371" t="e">
        <f t="shared" si="172"/>
        <v>#REF!</v>
      </c>
      <c r="Y172" s="371" t="e">
        <f t="shared" si="172"/>
        <v>#REF!</v>
      </c>
      <c r="Z172" s="371" t="e">
        <f t="shared" si="172"/>
        <v>#REF!</v>
      </c>
      <c r="AA172" s="371" t="e">
        <f t="shared" si="172"/>
        <v>#REF!</v>
      </c>
      <c r="AB172" s="26"/>
    </row>
    <row r="173" s="1" customFormat="1" outlineLevel="2" spans="1:28">
      <c r="A173" s="52">
        <f>MAX($A$6:A172)+1</f>
        <v>143</v>
      </c>
      <c r="B173" s="51" t="s">
        <v>369</v>
      </c>
      <c r="C173" s="51" t="e">
        <f>VLOOKUP($B173,#REF!,MATCH(C$2,#REF!,0),0)</f>
        <v>#REF!</v>
      </c>
      <c r="D173" s="136"/>
      <c r="E173" s="136"/>
      <c r="F173" s="136" t="e">
        <f>VLOOKUP($B173,#REF!,MATCH(F$2,#REF!,0),0)</f>
        <v>#REF!</v>
      </c>
      <c r="G173" s="137" t="e">
        <f>VLOOKUP($B173,#REF!,MATCH(G$2,#REF!,0),0)</f>
        <v>#REF!</v>
      </c>
      <c r="H173" s="139"/>
      <c r="I173" s="139"/>
      <c r="J173" s="139"/>
      <c r="K173" s="139"/>
      <c r="L173" s="139"/>
      <c r="M173" s="139"/>
      <c r="N173" s="139"/>
      <c r="O173" s="139"/>
      <c r="P173" s="48">
        <v>1</v>
      </c>
      <c r="Q173" s="48">
        <v>1</v>
      </c>
      <c r="R173" s="371" t="e">
        <f t="shared" si="171"/>
        <v>#REF!</v>
      </c>
      <c r="S173" s="371" t="e">
        <f t="shared" ref="S173:AA173" si="173">$G173*I173</f>
        <v>#REF!</v>
      </c>
      <c r="T173" s="371" t="e">
        <f t="shared" si="173"/>
        <v>#REF!</v>
      </c>
      <c r="U173" s="371" t="e">
        <f t="shared" si="173"/>
        <v>#REF!</v>
      </c>
      <c r="V173" s="371" t="e">
        <f t="shared" si="173"/>
        <v>#REF!</v>
      </c>
      <c r="W173" s="371" t="e">
        <f t="shared" si="173"/>
        <v>#REF!</v>
      </c>
      <c r="X173" s="371" t="e">
        <f t="shared" si="173"/>
        <v>#REF!</v>
      </c>
      <c r="Y173" s="371" t="e">
        <f t="shared" si="173"/>
        <v>#REF!</v>
      </c>
      <c r="Z173" s="371" t="e">
        <f t="shared" si="173"/>
        <v>#REF!</v>
      </c>
      <c r="AA173" s="371" t="e">
        <f t="shared" si="173"/>
        <v>#REF!</v>
      </c>
      <c r="AB173" s="26"/>
    </row>
    <row r="174" outlineLevel="2" spans="1:28">
      <c r="A174" s="52">
        <f>MAX($A$6:A173)+1</f>
        <v>144</v>
      </c>
      <c r="B174" s="51" t="s">
        <v>349</v>
      </c>
      <c r="C174" s="51" t="e">
        <f>VLOOKUP($B174,#REF!,MATCH(C$2,#REF!,0),0)</f>
        <v>#REF!</v>
      </c>
      <c r="D174" s="136"/>
      <c r="E174" s="136"/>
      <c r="F174" s="136" t="e">
        <f>VLOOKUP($B174,#REF!,MATCH(F$2,#REF!,0),0)</f>
        <v>#REF!</v>
      </c>
      <c r="G174" s="137" t="e">
        <f>VLOOKUP($B174,#REF!,MATCH(G$2,#REF!,0),0)</f>
        <v>#REF!</v>
      </c>
      <c r="H174" s="48"/>
      <c r="I174" s="48"/>
      <c r="J174" s="48"/>
      <c r="K174" s="48"/>
      <c r="L174" s="48"/>
      <c r="M174" s="48"/>
      <c r="N174" s="48"/>
      <c r="O174" s="48"/>
      <c r="P174" s="48">
        <v>1</v>
      </c>
      <c r="Q174" s="48">
        <v>1</v>
      </c>
      <c r="R174" s="371" t="e">
        <f t="shared" si="171"/>
        <v>#REF!</v>
      </c>
      <c r="S174" s="371" t="e">
        <f t="shared" ref="S174:AA174" si="174">$G174*I174</f>
        <v>#REF!</v>
      </c>
      <c r="T174" s="371" t="e">
        <f t="shared" si="174"/>
        <v>#REF!</v>
      </c>
      <c r="U174" s="371" t="e">
        <f t="shared" si="174"/>
        <v>#REF!</v>
      </c>
      <c r="V174" s="371" t="e">
        <f t="shared" si="174"/>
        <v>#REF!</v>
      </c>
      <c r="W174" s="371" t="e">
        <f t="shared" si="174"/>
        <v>#REF!</v>
      </c>
      <c r="X174" s="371" t="e">
        <f t="shared" si="174"/>
        <v>#REF!</v>
      </c>
      <c r="Y174" s="371" t="e">
        <f t="shared" si="174"/>
        <v>#REF!</v>
      </c>
      <c r="Z174" s="371" t="e">
        <f t="shared" si="174"/>
        <v>#REF!</v>
      </c>
      <c r="AA174" s="371" t="e">
        <f t="shared" si="174"/>
        <v>#REF!</v>
      </c>
      <c r="AB174" s="50"/>
    </row>
    <row r="175" s="122" customFormat="1" outlineLevel="2" spans="1:28">
      <c r="A175" s="130"/>
      <c r="B175" s="154" t="s">
        <v>371</v>
      </c>
      <c r="C175" s="154"/>
      <c r="D175" s="154"/>
      <c r="E175" s="154"/>
      <c r="F175" s="130"/>
      <c r="G175" s="134"/>
      <c r="H175" s="134"/>
      <c r="I175" s="134"/>
      <c r="J175" s="134"/>
      <c r="K175" s="134"/>
      <c r="L175" s="134"/>
      <c r="M175" s="134"/>
      <c r="N175" s="134"/>
      <c r="O175" s="134"/>
      <c r="P175" s="134"/>
      <c r="Q175" s="134"/>
      <c r="R175" s="367"/>
      <c r="S175" s="367"/>
      <c r="T175" s="367"/>
      <c r="U175" s="367"/>
      <c r="V175" s="371"/>
      <c r="W175" s="367"/>
      <c r="X175" s="367"/>
      <c r="Y175" s="367"/>
      <c r="Z175" s="367"/>
      <c r="AA175" s="367"/>
      <c r="AB175" s="130"/>
    </row>
    <row r="176" ht="28.8" outlineLevel="2" spans="1:28">
      <c r="A176" s="52">
        <f>MAX($A$6:A175)+1</f>
        <v>145</v>
      </c>
      <c r="B176" s="51" t="s">
        <v>372</v>
      </c>
      <c r="C176" s="51" t="e">
        <f>VLOOKUP($B176,#REF!,MATCH(C$2,#REF!,0),0)</f>
        <v>#REF!</v>
      </c>
      <c r="D176" s="136"/>
      <c r="E176" s="136"/>
      <c r="F176" s="136" t="e">
        <f>VLOOKUP($B176,#REF!,MATCH(F$2,#REF!,0),0)</f>
        <v>#REF!</v>
      </c>
      <c r="G176" s="137" t="e">
        <f>VLOOKUP($B176,#REF!,MATCH(G$2,#REF!,0),0)</f>
        <v>#REF!</v>
      </c>
      <c r="H176" s="48">
        <v>34.64</v>
      </c>
      <c r="I176" s="48">
        <v>34.64</v>
      </c>
      <c r="J176" s="48">
        <v>1</v>
      </c>
      <c r="K176" s="48">
        <v>1</v>
      </c>
      <c r="L176" s="48"/>
      <c r="M176" s="48"/>
      <c r="N176" s="48"/>
      <c r="O176" s="48"/>
      <c r="P176" s="48">
        <v>9944.58</v>
      </c>
      <c r="Q176" s="48">
        <v>28745.26</v>
      </c>
      <c r="R176" s="371" t="e">
        <f>$G176*H176</f>
        <v>#REF!</v>
      </c>
      <c r="S176" s="371" t="e">
        <f t="shared" ref="S176:AA176" si="175">$G176*I176</f>
        <v>#REF!</v>
      </c>
      <c r="T176" s="371" t="e">
        <f t="shared" si="175"/>
        <v>#REF!</v>
      </c>
      <c r="U176" s="371" t="e">
        <f t="shared" si="175"/>
        <v>#REF!</v>
      </c>
      <c r="V176" s="371" t="e">
        <f t="shared" si="175"/>
        <v>#REF!</v>
      </c>
      <c r="W176" s="371" t="e">
        <f t="shared" si="175"/>
        <v>#REF!</v>
      </c>
      <c r="X176" s="371" t="e">
        <f t="shared" si="175"/>
        <v>#REF!</v>
      </c>
      <c r="Y176" s="371" t="e">
        <f t="shared" si="175"/>
        <v>#REF!</v>
      </c>
      <c r="Z176" s="371" t="e">
        <f t="shared" si="175"/>
        <v>#REF!</v>
      </c>
      <c r="AA176" s="371" t="e">
        <f t="shared" si="175"/>
        <v>#REF!</v>
      </c>
      <c r="AB176" s="50"/>
    </row>
    <row r="177" ht="28.8" outlineLevel="2" spans="1:28">
      <c r="A177" s="52">
        <f>MAX($A$6:A176)+1</f>
        <v>146</v>
      </c>
      <c r="B177" s="51" t="s">
        <v>373</v>
      </c>
      <c r="C177" s="51" t="e">
        <f>VLOOKUP($B177,#REF!,MATCH(C$2,#REF!,0),0)</f>
        <v>#REF!</v>
      </c>
      <c r="D177" s="136"/>
      <c r="E177" s="136"/>
      <c r="F177" s="136" t="e">
        <f>VLOOKUP($B177,#REF!,MATCH(F$2,#REF!,0),0)</f>
        <v>#REF!</v>
      </c>
      <c r="G177" s="137" t="e">
        <f>VLOOKUP($B177,#REF!,MATCH(G$2,#REF!,0),0)</f>
        <v>#REF!</v>
      </c>
      <c r="H177" s="48">
        <v>34.64</v>
      </c>
      <c r="I177" s="48">
        <v>34.64</v>
      </c>
      <c r="J177" s="48">
        <v>1</v>
      </c>
      <c r="K177" s="48">
        <v>1</v>
      </c>
      <c r="L177" s="48"/>
      <c r="M177" s="48"/>
      <c r="N177" s="48"/>
      <c r="O177" s="48"/>
      <c r="P177" s="48">
        <v>9944.58</v>
      </c>
      <c r="Q177" s="48">
        <v>28745.26</v>
      </c>
      <c r="R177" s="371" t="e">
        <f t="shared" ref="R177:AA177" si="176">$G177*H177</f>
        <v>#REF!</v>
      </c>
      <c r="S177" s="371" t="e">
        <f t="shared" si="176"/>
        <v>#REF!</v>
      </c>
      <c r="T177" s="371" t="e">
        <f t="shared" si="176"/>
        <v>#REF!</v>
      </c>
      <c r="U177" s="371" t="e">
        <f t="shared" si="176"/>
        <v>#REF!</v>
      </c>
      <c r="V177" s="371" t="e">
        <f t="shared" si="176"/>
        <v>#REF!</v>
      </c>
      <c r="W177" s="371" t="e">
        <f t="shared" si="176"/>
        <v>#REF!</v>
      </c>
      <c r="X177" s="371" t="e">
        <f t="shared" si="176"/>
        <v>#REF!</v>
      </c>
      <c r="Y177" s="371" t="e">
        <f t="shared" si="176"/>
        <v>#REF!</v>
      </c>
      <c r="Z177" s="371" t="e">
        <f t="shared" si="176"/>
        <v>#REF!</v>
      </c>
      <c r="AA177" s="371" t="e">
        <f t="shared" si="176"/>
        <v>#REF!</v>
      </c>
      <c r="AB177" s="50"/>
    </row>
    <row r="178" s="122" customFormat="1" outlineLevel="2" spans="1:28">
      <c r="A178" s="130"/>
      <c r="B178" s="154" t="s">
        <v>374</v>
      </c>
      <c r="C178" s="154"/>
      <c r="D178" s="154"/>
      <c r="E178" s="154"/>
      <c r="F178" s="130"/>
      <c r="G178" s="134"/>
      <c r="H178" s="134"/>
      <c r="I178" s="134"/>
      <c r="J178" s="134"/>
      <c r="K178" s="134"/>
      <c r="L178" s="134"/>
      <c r="M178" s="134"/>
      <c r="N178" s="134"/>
      <c r="O178" s="134"/>
      <c r="P178" s="134"/>
      <c r="Q178" s="134"/>
      <c r="R178" s="367"/>
      <c r="S178" s="367"/>
      <c r="T178" s="367"/>
      <c r="U178" s="367"/>
      <c r="V178" s="371"/>
      <c r="W178" s="367"/>
      <c r="X178" s="367"/>
      <c r="Y178" s="367"/>
      <c r="Z178" s="367"/>
      <c r="AA178" s="367"/>
      <c r="AB178" s="130"/>
    </row>
    <row r="179" ht="28.8" outlineLevel="2" spans="1:28">
      <c r="A179" s="52">
        <f>MAX($A$6:A178)+1</f>
        <v>147</v>
      </c>
      <c r="B179" s="51" t="s">
        <v>372</v>
      </c>
      <c r="C179" s="51" t="e">
        <f>VLOOKUP($B179,#REF!,MATCH(C$2,#REF!,0),0)</f>
        <v>#REF!</v>
      </c>
      <c r="D179" s="136"/>
      <c r="E179" s="136"/>
      <c r="F179" s="136" t="e">
        <f>VLOOKUP($B179,#REF!,MATCH(F$2,#REF!,0),0)</f>
        <v>#REF!</v>
      </c>
      <c r="G179" s="137" t="e">
        <f>VLOOKUP($B179,#REF!,MATCH(G$2,#REF!,0),0)</f>
        <v>#REF!</v>
      </c>
      <c r="H179" s="48">
        <v>1</v>
      </c>
      <c r="I179" s="48">
        <v>1</v>
      </c>
      <c r="J179" s="48">
        <v>1</v>
      </c>
      <c r="K179" s="48">
        <v>1</v>
      </c>
      <c r="L179" s="48"/>
      <c r="M179" s="48"/>
      <c r="N179" s="48"/>
      <c r="O179" s="48"/>
      <c r="P179" s="48">
        <v>1</v>
      </c>
      <c r="Q179" s="48">
        <v>1</v>
      </c>
      <c r="R179" s="371" t="e">
        <f>$G179*H179</f>
        <v>#REF!</v>
      </c>
      <c r="S179" s="371" t="e">
        <f t="shared" ref="S179:AA179" si="177">$G179*I179</f>
        <v>#REF!</v>
      </c>
      <c r="T179" s="371" t="e">
        <f t="shared" si="177"/>
        <v>#REF!</v>
      </c>
      <c r="U179" s="371" t="e">
        <f t="shared" si="177"/>
        <v>#REF!</v>
      </c>
      <c r="V179" s="371" t="e">
        <f t="shared" si="177"/>
        <v>#REF!</v>
      </c>
      <c r="W179" s="371" t="e">
        <f t="shared" si="177"/>
        <v>#REF!</v>
      </c>
      <c r="X179" s="371" t="e">
        <f t="shared" si="177"/>
        <v>#REF!</v>
      </c>
      <c r="Y179" s="371" t="e">
        <f t="shared" si="177"/>
        <v>#REF!</v>
      </c>
      <c r="Z179" s="371" t="e">
        <f t="shared" si="177"/>
        <v>#REF!</v>
      </c>
      <c r="AA179" s="371" t="e">
        <f t="shared" si="177"/>
        <v>#REF!</v>
      </c>
      <c r="AB179" s="50"/>
    </row>
    <row r="180" ht="28.8" outlineLevel="2" spans="1:28">
      <c r="A180" s="52">
        <f>MAX($A$6:A179)+1</f>
        <v>148</v>
      </c>
      <c r="B180" s="51" t="s">
        <v>375</v>
      </c>
      <c r="C180" s="51" t="e">
        <f>VLOOKUP($B180,#REF!,MATCH(C$2,#REF!,0),0)</f>
        <v>#REF!</v>
      </c>
      <c r="D180" s="136"/>
      <c r="E180" s="136"/>
      <c r="F180" s="136" t="e">
        <f>VLOOKUP($B180,#REF!,MATCH(F$2,#REF!,0),0)</f>
        <v>#REF!</v>
      </c>
      <c r="G180" s="137" t="e">
        <f>VLOOKUP($B180,#REF!,MATCH(G$2,#REF!,0),0)</f>
        <v>#REF!</v>
      </c>
      <c r="H180" s="48">
        <v>1</v>
      </c>
      <c r="I180" s="48">
        <v>1</v>
      </c>
      <c r="J180" s="48">
        <v>1</v>
      </c>
      <c r="K180" s="48">
        <v>1</v>
      </c>
      <c r="L180" s="48"/>
      <c r="M180" s="48"/>
      <c r="N180" s="48"/>
      <c r="O180" s="48"/>
      <c r="P180" s="48">
        <v>1</v>
      </c>
      <c r="Q180" s="48">
        <v>1</v>
      </c>
      <c r="R180" s="371" t="e">
        <f t="shared" ref="R180:AA180" si="178">$G180*H180</f>
        <v>#REF!</v>
      </c>
      <c r="S180" s="371" t="e">
        <f t="shared" si="178"/>
        <v>#REF!</v>
      </c>
      <c r="T180" s="371" t="e">
        <f t="shared" si="178"/>
        <v>#REF!</v>
      </c>
      <c r="U180" s="371" t="e">
        <f t="shared" si="178"/>
        <v>#REF!</v>
      </c>
      <c r="V180" s="371" t="e">
        <f t="shared" si="178"/>
        <v>#REF!</v>
      </c>
      <c r="W180" s="371" t="e">
        <f t="shared" si="178"/>
        <v>#REF!</v>
      </c>
      <c r="X180" s="371" t="e">
        <f t="shared" si="178"/>
        <v>#REF!</v>
      </c>
      <c r="Y180" s="371" t="e">
        <f t="shared" si="178"/>
        <v>#REF!</v>
      </c>
      <c r="Z180" s="371" t="e">
        <f t="shared" si="178"/>
        <v>#REF!</v>
      </c>
      <c r="AA180" s="371" t="e">
        <f t="shared" si="178"/>
        <v>#REF!</v>
      </c>
      <c r="AB180" s="50"/>
    </row>
    <row r="181" outlineLevel="2" spans="1:28">
      <c r="A181" s="52">
        <f>MAX($A$6:A180)+1</f>
        <v>149</v>
      </c>
      <c r="B181" s="51" t="s">
        <v>376</v>
      </c>
      <c r="C181" s="51" t="e">
        <f>VLOOKUP($B181,#REF!,MATCH(C$2,#REF!,0),0)</f>
        <v>#REF!</v>
      </c>
      <c r="D181" s="136"/>
      <c r="E181" s="136"/>
      <c r="F181" s="136" t="e">
        <f>VLOOKUP($B181,#REF!,MATCH(F$2,#REF!,0),0)</f>
        <v>#REF!</v>
      </c>
      <c r="G181" s="137" t="e">
        <f>VLOOKUP($B181,#REF!,MATCH(G$2,#REF!,0),0)</f>
        <v>#REF!</v>
      </c>
      <c r="H181" s="48"/>
      <c r="I181" s="48"/>
      <c r="J181" s="48">
        <v>1</v>
      </c>
      <c r="K181" s="48">
        <v>1</v>
      </c>
      <c r="L181" s="48"/>
      <c r="M181" s="48"/>
      <c r="N181" s="48"/>
      <c r="O181" s="48"/>
      <c r="P181" s="48"/>
      <c r="Q181" s="48"/>
      <c r="R181" s="371" t="e">
        <f t="shared" ref="R181:AA181" si="179">$G181*H181</f>
        <v>#REF!</v>
      </c>
      <c r="S181" s="371" t="e">
        <f t="shared" si="179"/>
        <v>#REF!</v>
      </c>
      <c r="T181" s="371" t="e">
        <f t="shared" si="179"/>
        <v>#REF!</v>
      </c>
      <c r="U181" s="371" t="e">
        <f t="shared" si="179"/>
        <v>#REF!</v>
      </c>
      <c r="V181" s="371" t="e">
        <f t="shared" si="179"/>
        <v>#REF!</v>
      </c>
      <c r="W181" s="371" t="e">
        <f t="shared" si="179"/>
        <v>#REF!</v>
      </c>
      <c r="X181" s="371" t="e">
        <f t="shared" si="179"/>
        <v>#REF!</v>
      </c>
      <c r="Y181" s="371" t="e">
        <f t="shared" si="179"/>
        <v>#REF!</v>
      </c>
      <c r="Z181" s="371" t="e">
        <f t="shared" si="179"/>
        <v>#REF!</v>
      </c>
      <c r="AA181" s="371" t="e">
        <f t="shared" si="179"/>
        <v>#REF!</v>
      </c>
      <c r="AB181" s="50"/>
    </row>
    <row r="182" outlineLevel="2" spans="1:28">
      <c r="A182" s="52">
        <f>MAX($A$6:A181)+1</f>
        <v>150</v>
      </c>
      <c r="B182" s="51" t="s">
        <v>377</v>
      </c>
      <c r="C182" s="51" t="e">
        <f>VLOOKUP($B182,#REF!,MATCH(C$2,#REF!,0),0)</f>
        <v>#REF!</v>
      </c>
      <c r="D182" s="136"/>
      <c r="E182" s="136"/>
      <c r="F182" s="136" t="e">
        <f>VLOOKUP($B182,#REF!,MATCH(F$2,#REF!,0),0)</f>
        <v>#REF!</v>
      </c>
      <c r="G182" s="137" t="e">
        <f>VLOOKUP($B182,#REF!,MATCH(G$2,#REF!,0),0)</f>
        <v>#REF!</v>
      </c>
      <c r="H182" s="48"/>
      <c r="I182" s="48"/>
      <c r="J182" s="48"/>
      <c r="K182" s="48"/>
      <c r="L182" s="48"/>
      <c r="M182" s="48"/>
      <c r="N182" s="48"/>
      <c r="O182" s="48"/>
      <c r="P182" s="48">
        <v>1</v>
      </c>
      <c r="Q182" s="48">
        <v>81.97</v>
      </c>
      <c r="R182" s="371" t="e">
        <f t="shared" ref="R182:AA182" si="180">$G182*H182</f>
        <v>#REF!</v>
      </c>
      <c r="S182" s="371" t="e">
        <f t="shared" si="180"/>
        <v>#REF!</v>
      </c>
      <c r="T182" s="371" t="e">
        <f t="shared" si="180"/>
        <v>#REF!</v>
      </c>
      <c r="U182" s="371" t="e">
        <f t="shared" si="180"/>
        <v>#REF!</v>
      </c>
      <c r="V182" s="371" t="e">
        <f t="shared" si="180"/>
        <v>#REF!</v>
      </c>
      <c r="W182" s="371" t="e">
        <f t="shared" si="180"/>
        <v>#REF!</v>
      </c>
      <c r="X182" s="371" t="e">
        <f t="shared" si="180"/>
        <v>#REF!</v>
      </c>
      <c r="Y182" s="371" t="e">
        <f t="shared" si="180"/>
        <v>#REF!</v>
      </c>
      <c r="Z182" s="371" t="e">
        <f t="shared" si="180"/>
        <v>#REF!</v>
      </c>
      <c r="AA182" s="371" t="e">
        <f t="shared" si="180"/>
        <v>#REF!</v>
      </c>
      <c r="AB182" s="50"/>
    </row>
    <row r="183" s="122" customFormat="1" outlineLevel="2" spans="1:28">
      <c r="A183" s="130"/>
      <c r="B183" s="154" t="s">
        <v>378</v>
      </c>
      <c r="C183" s="154"/>
      <c r="D183" s="154"/>
      <c r="E183" s="154"/>
      <c r="F183" s="130"/>
      <c r="G183" s="134"/>
      <c r="H183" s="134"/>
      <c r="I183" s="134"/>
      <c r="J183" s="134"/>
      <c r="K183" s="134"/>
      <c r="L183" s="134"/>
      <c r="M183" s="134"/>
      <c r="N183" s="134"/>
      <c r="O183" s="134"/>
      <c r="P183" s="134"/>
      <c r="Q183" s="134"/>
      <c r="R183" s="367"/>
      <c r="S183" s="367"/>
      <c r="T183" s="367"/>
      <c r="U183" s="367"/>
      <c r="V183" s="371"/>
      <c r="W183" s="367"/>
      <c r="X183" s="367"/>
      <c r="Y183" s="367"/>
      <c r="Z183" s="367"/>
      <c r="AA183" s="367"/>
      <c r="AB183" s="130"/>
    </row>
    <row r="184" ht="28.8" outlineLevel="2" spans="1:28">
      <c r="A184" s="52">
        <f>MAX($A$6:A183)+1</f>
        <v>151</v>
      </c>
      <c r="B184" s="51" t="s">
        <v>379</v>
      </c>
      <c r="C184" s="51" t="e">
        <f>VLOOKUP($B184,#REF!,MATCH(C$2,#REF!,0),0)</f>
        <v>#REF!</v>
      </c>
      <c r="D184" s="136"/>
      <c r="E184" s="136"/>
      <c r="F184" s="136" t="e">
        <f>VLOOKUP($B184,#REF!,MATCH(F$2,#REF!,0),0)</f>
        <v>#REF!</v>
      </c>
      <c r="G184" s="137" t="e">
        <f>VLOOKUP($B184,#REF!,MATCH(G$2,#REF!,0),0)</f>
        <v>#REF!</v>
      </c>
      <c r="H184" s="48">
        <v>993.95</v>
      </c>
      <c r="I184" s="48">
        <v>993.95</v>
      </c>
      <c r="J184" s="48">
        <v>744.47</v>
      </c>
      <c r="K184" s="48">
        <v>744.47</v>
      </c>
      <c r="L184" s="48">
        <v>596</v>
      </c>
      <c r="M184" s="48"/>
      <c r="N184" s="48"/>
      <c r="O184" s="48"/>
      <c r="P184" s="48">
        <v>12426.35</v>
      </c>
      <c r="Q184" s="48">
        <v>30366.4</v>
      </c>
      <c r="R184" s="371" t="e">
        <f>$G184*H184</f>
        <v>#REF!</v>
      </c>
      <c r="S184" s="371" t="e">
        <f t="shared" ref="S184:AA184" si="181">$G184*I184</f>
        <v>#REF!</v>
      </c>
      <c r="T184" s="371" t="e">
        <f t="shared" si="181"/>
        <v>#REF!</v>
      </c>
      <c r="U184" s="371" t="e">
        <f t="shared" si="181"/>
        <v>#REF!</v>
      </c>
      <c r="V184" s="371" t="e">
        <f t="shared" si="181"/>
        <v>#REF!</v>
      </c>
      <c r="W184" s="371" t="e">
        <f t="shared" si="181"/>
        <v>#REF!</v>
      </c>
      <c r="X184" s="371" t="e">
        <f t="shared" si="181"/>
        <v>#REF!</v>
      </c>
      <c r="Y184" s="371" t="e">
        <f t="shared" si="181"/>
        <v>#REF!</v>
      </c>
      <c r="Z184" s="371" t="e">
        <f t="shared" si="181"/>
        <v>#REF!</v>
      </c>
      <c r="AA184" s="371" t="e">
        <f t="shared" si="181"/>
        <v>#REF!</v>
      </c>
      <c r="AB184" s="50"/>
    </row>
    <row r="185" ht="28.8" outlineLevel="2" spans="1:28">
      <c r="A185" s="52">
        <f>MAX($A$6:A184)+1</f>
        <v>152</v>
      </c>
      <c r="B185" s="51" t="s">
        <v>380</v>
      </c>
      <c r="C185" s="51" t="e">
        <f>VLOOKUP($B185,#REF!,MATCH(C$2,#REF!,0),0)</f>
        <v>#REF!</v>
      </c>
      <c r="D185" s="136"/>
      <c r="E185" s="136"/>
      <c r="F185" s="136" t="e">
        <f>VLOOKUP($B185,#REF!,MATCH(F$2,#REF!,0),0)</f>
        <v>#REF!</v>
      </c>
      <c r="G185" s="137" t="e">
        <f>VLOOKUP($B185,#REF!,MATCH(G$2,#REF!,0),0)</f>
        <v>#REF!</v>
      </c>
      <c r="H185" s="48"/>
      <c r="I185" s="48"/>
      <c r="J185" s="48"/>
      <c r="K185" s="48"/>
      <c r="L185" s="48"/>
      <c r="M185" s="48"/>
      <c r="N185" s="48"/>
      <c r="O185" s="48"/>
      <c r="P185" s="48"/>
      <c r="Q185" s="48"/>
      <c r="R185" s="371" t="e">
        <f t="shared" ref="R185:AA185" si="182">$G185*H185</f>
        <v>#REF!</v>
      </c>
      <c r="S185" s="371" t="e">
        <f t="shared" si="182"/>
        <v>#REF!</v>
      </c>
      <c r="T185" s="371" t="e">
        <f t="shared" si="182"/>
        <v>#REF!</v>
      </c>
      <c r="U185" s="371" t="e">
        <f t="shared" si="182"/>
        <v>#REF!</v>
      </c>
      <c r="V185" s="371" t="e">
        <f t="shared" si="182"/>
        <v>#REF!</v>
      </c>
      <c r="W185" s="371" t="e">
        <f t="shared" si="182"/>
        <v>#REF!</v>
      </c>
      <c r="X185" s="371" t="e">
        <f t="shared" si="182"/>
        <v>#REF!</v>
      </c>
      <c r="Y185" s="371" t="e">
        <f t="shared" si="182"/>
        <v>#REF!</v>
      </c>
      <c r="Z185" s="371" t="e">
        <f t="shared" si="182"/>
        <v>#REF!</v>
      </c>
      <c r="AA185" s="371" t="e">
        <f t="shared" si="182"/>
        <v>#REF!</v>
      </c>
      <c r="AB185" s="50"/>
    </row>
    <row r="186" ht="28.8" outlineLevel="2" spans="1:28">
      <c r="A186" s="52">
        <f>MAX($A$6:A185)+1</f>
        <v>153</v>
      </c>
      <c r="B186" s="51" t="s">
        <v>381</v>
      </c>
      <c r="C186" s="51" t="e">
        <f>VLOOKUP($B186,#REF!,MATCH(C$2,#REF!,0),0)</f>
        <v>#REF!</v>
      </c>
      <c r="D186" s="136"/>
      <c r="E186" s="136"/>
      <c r="F186" s="136" t="e">
        <f>VLOOKUP($B186,#REF!,MATCH(F$2,#REF!,0),0)</f>
        <v>#REF!</v>
      </c>
      <c r="G186" s="137" t="e">
        <f>VLOOKUP($B186,#REF!,MATCH(G$2,#REF!,0),0)</f>
        <v>#REF!</v>
      </c>
      <c r="H186" s="48">
        <v>113.11</v>
      </c>
      <c r="I186" s="48">
        <v>113.11</v>
      </c>
      <c r="J186" s="48">
        <v>59.96</v>
      </c>
      <c r="K186" s="48">
        <v>59.96</v>
      </c>
      <c r="L186" s="48">
        <v>34</v>
      </c>
      <c r="M186" s="48"/>
      <c r="N186" s="48"/>
      <c r="O186" s="48"/>
      <c r="P186" s="48">
        <v>507.16</v>
      </c>
      <c r="Q186" s="48">
        <v>600.19</v>
      </c>
      <c r="R186" s="371" t="e">
        <f t="shared" ref="R186:AA186" si="183">$G186*H186</f>
        <v>#REF!</v>
      </c>
      <c r="S186" s="371" t="e">
        <f t="shared" si="183"/>
        <v>#REF!</v>
      </c>
      <c r="T186" s="371" t="e">
        <f t="shared" si="183"/>
        <v>#REF!</v>
      </c>
      <c r="U186" s="371" t="e">
        <f t="shared" si="183"/>
        <v>#REF!</v>
      </c>
      <c r="V186" s="371" t="e">
        <f t="shared" si="183"/>
        <v>#REF!</v>
      </c>
      <c r="W186" s="371" t="e">
        <f t="shared" si="183"/>
        <v>#REF!</v>
      </c>
      <c r="X186" s="371" t="e">
        <f t="shared" si="183"/>
        <v>#REF!</v>
      </c>
      <c r="Y186" s="371" t="e">
        <f t="shared" si="183"/>
        <v>#REF!</v>
      </c>
      <c r="Z186" s="371" t="e">
        <f t="shared" si="183"/>
        <v>#REF!</v>
      </c>
      <c r="AA186" s="371" t="e">
        <f t="shared" si="183"/>
        <v>#REF!</v>
      </c>
      <c r="AB186" s="50"/>
    </row>
    <row r="187" s="122" customFormat="1" outlineLevel="2" spans="1:28">
      <c r="A187" s="130"/>
      <c r="B187" s="154" t="s">
        <v>382</v>
      </c>
      <c r="C187" s="154"/>
      <c r="D187" s="154"/>
      <c r="E187" s="154"/>
      <c r="F187" s="130"/>
      <c r="G187" s="134"/>
      <c r="H187" s="134"/>
      <c r="I187" s="134"/>
      <c r="J187" s="134"/>
      <c r="K187" s="134"/>
      <c r="L187" s="134"/>
      <c r="M187" s="134"/>
      <c r="N187" s="134"/>
      <c r="O187" s="134"/>
      <c r="P187" s="134"/>
      <c r="Q187" s="134"/>
      <c r="R187" s="367"/>
      <c r="S187" s="367"/>
      <c r="T187" s="367"/>
      <c r="U187" s="367"/>
      <c r="V187" s="371"/>
      <c r="W187" s="367"/>
      <c r="X187" s="367"/>
      <c r="Y187" s="367"/>
      <c r="Z187" s="367"/>
      <c r="AA187" s="367"/>
      <c r="AB187" s="130"/>
    </row>
    <row r="188" outlineLevel="2" spans="1:28">
      <c r="A188" s="52">
        <f>MAX($A$6:A187)+1</f>
        <v>154</v>
      </c>
      <c r="B188" s="51" t="s">
        <v>383</v>
      </c>
      <c r="C188" s="51" t="e">
        <f>VLOOKUP($B188,#REF!,MATCH(C$2,#REF!,0),0)</f>
        <v>#REF!</v>
      </c>
      <c r="D188" s="136"/>
      <c r="E188" s="136"/>
      <c r="F188" s="136" t="e">
        <f>VLOOKUP($B188,#REF!,MATCH(F$2,#REF!,0),0)</f>
        <v>#REF!</v>
      </c>
      <c r="G188" s="137" t="e">
        <f>VLOOKUP($B188,#REF!,MATCH(G$2,#REF!,0),0)</f>
        <v>#REF!</v>
      </c>
      <c r="H188" s="48"/>
      <c r="I188" s="48"/>
      <c r="J188" s="48">
        <v>1</v>
      </c>
      <c r="K188" s="48">
        <v>1</v>
      </c>
      <c r="L188" s="48"/>
      <c r="M188" s="48"/>
      <c r="N188" s="48"/>
      <c r="O188" s="48"/>
      <c r="P188" s="48"/>
      <c r="Q188" s="48"/>
      <c r="R188" s="371" t="e">
        <f>$G188*H188</f>
        <v>#REF!</v>
      </c>
      <c r="S188" s="371" t="e">
        <f t="shared" ref="S188:AA188" si="184">$G188*I188</f>
        <v>#REF!</v>
      </c>
      <c r="T188" s="371" t="e">
        <f t="shared" si="184"/>
        <v>#REF!</v>
      </c>
      <c r="U188" s="371" t="e">
        <f t="shared" si="184"/>
        <v>#REF!</v>
      </c>
      <c r="V188" s="371" t="e">
        <f t="shared" si="184"/>
        <v>#REF!</v>
      </c>
      <c r="W188" s="371" t="e">
        <f t="shared" si="184"/>
        <v>#REF!</v>
      </c>
      <c r="X188" s="371" t="e">
        <f t="shared" si="184"/>
        <v>#REF!</v>
      </c>
      <c r="Y188" s="371" t="e">
        <f t="shared" si="184"/>
        <v>#REF!</v>
      </c>
      <c r="Z188" s="371" t="e">
        <f t="shared" si="184"/>
        <v>#REF!</v>
      </c>
      <c r="AA188" s="371" t="e">
        <f t="shared" si="184"/>
        <v>#REF!</v>
      </c>
      <c r="AB188" s="50"/>
    </row>
    <row r="189" ht="28.8" outlineLevel="2" spans="1:28">
      <c r="A189" s="52">
        <f>MAX($A$6:A188)+1</f>
        <v>155</v>
      </c>
      <c r="B189" s="51" t="s">
        <v>381</v>
      </c>
      <c r="C189" s="51" t="e">
        <f>VLOOKUP($B189,#REF!,MATCH(C$2,#REF!,0),0)</f>
        <v>#REF!</v>
      </c>
      <c r="D189" s="136"/>
      <c r="E189" s="136"/>
      <c r="F189" s="136" t="e">
        <f>VLOOKUP($B189,#REF!,MATCH(F$2,#REF!,0),0)</f>
        <v>#REF!</v>
      </c>
      <c r="G189" s="137" t="e">
        <f>VLOOKUP($B189,#REF!,MATCH(G$2,#REF!,0),0)</f>
        <v>#REF!</v>
      </c>
      <c r="H189" s="48"/>
      <c r="I189" s="48"/>
      <c r="J189" s="48"/>
      <c r="K189" s="48"/>
      <c r="L189" s="48"/>
      <c r="M189" s="48"/>
      <c r="N189" s="48"/>
      <c r="O189" s="48"/>
      <c r="P189" s="48"/>
      <c r="Q189" s="48"/>
      <c r="R189" s="371" t="e">
        <f t="shared" ref="R189:R201" si="185">$G189*H189</f>
        <v>#REF!</v>
      </c>
      <c r="S189" s="371" t="e">
        <f t="shared" ref="S189:S201" si="186">$G189*I189</f>
        <v>#REF!</v>
      </c>
      <c r="T189" s="371" t="e">
        <f t="shared" ref="T189:T201" si="187">$G189*J189</f>
        <v>#REF!</v>
      </c>
      <c r="U189" s="371" t="e">
        <f t="shared" ref="U189:U201" si="188">$G189*K189</f>
        <v>#REF!</v>
      </c>
      <c r="V189" s="371" t="e">
        <f t="shared" ref="V189:V201" si="189">$G189*L189</f>
        <v>#REF!</v>
      </c>
      <c r="W189" s="371" t="e">
        <f t="shared" ref="W189:W201" si="190">$G189*M189</f>
        <v>#REF!</v>
      </c>
      <c r="X189" s="371" t="e">
        <f t="shared" ref="X189:X201" si="191">$G189*N189</f>
        <v>#REF!</v>
      </c>
      <c r="Y189" s="371" t="e">
        <f t="shared" ref="Y189:Y201" si="192">$G189*O189</f>
        <v>#REF!</v>
      </c>
      <c r="Z189" s="371" t="e">
        <f t="shared" ref="Z189:Z201" si="193">$G189*P189</f>
        <v>#REF!</v>
      </c>
      <c r="AA189" s="371" t="e">
        <f t="shared" ref="AA189:AA201" si="194">$G189*Q189</f>
        <v>#REF!</v>
      </c>
      <c r="AB189" s="50"/>
    </row>
    <row r="190" ht="28.8" outlineLevel="2" spans="1:28">
      <c r="A190" s="52">
        <f>MAX($A$6:A189)+1</f>
        <v>156</v>
      </c>
      <c r="B190" s="51" t="s">
        <v>384</v>
      </c>
      <c r="C190" s="51" t="e">
        <f>VLOOKUP($B190,#REF!,MATCH(C$2,#REF!,0),0)</f>
        <v>#REF!</v>
      </c>
      <c r="D190" s="136"/>
      <c r="E190" s="136"/>
      <c r="F190" s="136" t="e">
        <f>VLOOKUP($B190,#REF!,MATCH(F$2,#REF!,0),0)</f>
        <v>#REF!</v>
      </c>
      <c r="G190" s="137" t="e">
        <f>VLOOKUP($B190,#REF!,MATCH(G$2,#REF!,0),0)</f>
        <v>#REF!</v>
      </c>
      <c r="H190" s="48"/>
      <c r="I190" s="48"/>
      <c r="J190" s="48">
        <v>1</v>
      </c>
      <c r="K190" s="48">
        <v>1</v>
      </c>
      <c r="L190" s="48"/>
      <c r="M190" s="48"/>
      <c r="N190" s="48"/>
      <c r="O190" s="48"/>
      <c r="P190" s="48"/>
      <c r="Q190" s="48"/>
      <c r="R190" s="371" t="e">
        <f t="shared" si="185"/>
        <v>#REF!</v>
      </c>
      <c r="S190" s="371" t="e">
        <f t="shared" si="186"/>
        <v>#REF!</v>
      </c>
      <c r="T190" s="371" t="e">
        <f t="shared" si="187"/>
        <v>#REF!</v>
      </c>
      <c r="U190" s="371" t="e">
        <f t="shared" si="188"/>
        <v>#REF!</v>
      </c>
      <c r="V190" s="371" t="e">
        <f t="shared" si="189"/>
        <v>#REF!</v>
      </c>
      <c r="W190" s="371" t="e">
        <f t="shared" si="190"/>
        <v>#REF!</v>
      </c>
      <c r="X190" s="371" t="e">
        <f t="shared" si="191"/>
        <v>#REF!</v>
      </c>
      <c r="Y190" s="371" t="e">
        <f t="shared" si="192"/>
        <v>#REF!</v>
      </c>
      <c r="Z190" s="371" t="e">
        <f t="shared" si="193"/>
        <v>#REF!</v>
      </c>
      <c r="AA190" s="371" t="e">
        <f t="shared" si="194"/>
        <v>#REF!</v>
      </c>
      <c r="AB190" s="50"/>
    </row>
    <row r="191" outlineLevel="2" spans="1:28">
      <c r="A191" s="52">
        <f>MAX($A$6:A190)+1</f>
        <v>157</v>
      </c>
      <c r="B191" s="51" t="s">
        <v>385</v>
      </c>
      <c r="C191" s="51" t="e">
        <f>VLOOKUP($B191,#REF!,MATCH(C$2,#REF!,0),0)</f>
        <v>#REF!</v>
      </c>
      <c r="D191" s="136"/>
      <c r="E191" s="136"/>
      <c r="F191" s="136" t="e">
        <f>VLOOKUP($B191,#REF!,MATCH(F$2,#REF!,0),0)</f>
        <v>#REF!</v>
      </c>
      <c r="G191" s="137" t="e">
        <f>VLOOKUP($B191,#REF!,MATCH(G$2,#REF!,0),0)</f>
        <v>#REF!</v>
      </c>
      <c r="H191" s="48"/>
      <c r="I191" s="48"/>
      <c r="J191" s="48">
        <v>1</v>
      </c>
      <c r="K191" s="48">
        <v>1</v>
      </c>
      <c r="L191" s="48"/>
      <c r="M191" s="48"/>
      <c r="N191" s="48"/>
      <c r="O191" s="48"/>
      <c r="P191" s="48"/>
      <c r="Q191" s="48"/>
      <c r="R191" s="371" t="e">
        <f t="shared" si="185"/>
        <v>#REF!</v>
      </c>
      <c r="S191" s="371" t="e">
        <f t="shared" si="186"/>
        <v>#REF!</v>
      </c>
      <c r="T191" s="371" t="e">
        <f t="shared" si="187"/>
        <v>#REF!</v>
      </c>
      <c r="U191" s="371" t="e">
        <f t="shared" si="188"/>
        <v>#REF!</v>
      </c>
      <c r="V191" s="371" t="e">
        <f t="shared" si="189"/>
        <v>#REF!</v>
      </c>
      <c r="W191" s="371" t="e">
        <f t="shared" si="190"/>
        <v>#REF!</v>
      </c>
      <c r="X191" s="371" t="e">
        <f t="shared" si="191"/>
        <v>#REF!</v>
      </c>
      <c r="Y191" s="371" t="e">
        <f t="shared" si="192"/>
        <v>#REF!</v>
      </c>
      <c r="Z191" s="371" t="e">
        <f t="shared" si="193"/>
        <v>#REF!</v>
      </c>
      <c r="AA191" s="371" t="e">
        <f t="shared" si="194"/>
        <v>#REF!</v>
      </c>
      <c r="AB191" s="50"/>
    </row>
    <row r="192" ht="28.8" outlineLevel="2" spans="1:28">
      <c r="A192" s="52">
        <f>MAX($A$6:A191)+1</f>
        <v>158</v>
      </c>
      <c r="B192" s="51" t="s">
        <v>386</v>
      </c>
      <c r="C192" s="51" t="e">
        <f>VLOOKUP($B192,#REF!,MATCH(C$2,#REF!,0),0)</f>
        <v>#REF!</v>
      </c>
      <c r="D192" s="136"/>
      <c r="E192" s="136"/>
      <c r="F192" s="136" t="e">
        <f>VLOOKUP($B192,#REF!,MATCH(F$2,#REF!,0),0)</f>
        <v>#REF!</v>
      </c>
      <c r="G192" s="137" t="e">
        <f>VLOOKUP($B192,#REF!,MATCH(G$2,#REF!,0),0)</f>
        <v>#REF!</v>
      </c>
      <c r="H192" s="48"/>
      <c r="I192" s="48"/>
      <c r="J192" s="48">
        <v>1</v>
      </c>
      <c r="K192" s="48">
        <v>1</v>
      </c>
      <c r="L192" s="48"/>
      <c r="M192" s="48"/>
      <c r="N192" s="48"/>
      <c r="O192" s="48"/>
      <c r="P192" s="48"/>
      <c r="Q192" s="48"/>
      <c r="R192" s="371" t="e">
        <f t="shared" si="185"/>
        <v>#REF!</v>
      </c>
      <c r="S192" s="371" t="e">
        <f t="shared" si="186"/>
        <v>#REF!</v>
      </c>
      <c r="T192" s="371" t="e">
        <f t="shared" si="187"/>
        <v>#REF!</v>
      </c>
      <c r="U192" s="371" t="e">
        <f t="shared" si="188"/>
        <v>#REF!</v>
      </c>
      <c r="V192" s="371" t="e">
        <f t="shared" si="189"/>
        <v>#REF!</v>
      </c>
      <c r="W192" s="371" t="e">
        <f t="shared" si="190"/>
        <v>#REF!</v>
      </c>
      <c r="X192" s="371" t="e">
        <f t="shared" si="191"/>
        <v>#REF!</v>
      </c>
      <c r="Y192" s="371" t="e">
        <f t="shared" si="192"/>
        <v>#REF!</v>
      </c>
      <c r="Z192" s="371" t="e">
        <f t="shared" si="193"/>
        <v>#REF!</v>
      </c>
      <c r="AA192" s="371" t="e">
        <f t="shared" si="194"/>
        <v>#REF!</v>
      </c>
      <c r="AB192" s="50"/>
    </row>
    <row r="193" outlineLevel="2" spans="1:28">
      <c r="A193" s="52">
        <f>MAX($A$6:A192)+1</f>
        <v>159</v>
      </c>
      <c r="B193" s="51" t="s">
        <v>387</v>
      </c>
      <c r="C193" s="51" t="e">
        <f>VLOOKUP($B193,#REF!,MATCH(C$2,#REF!,0),0)</f>
        <v>#REF!</v>
      </c>
      <c r="D193" s="136"/>
      <c r="E193" s="136"/>
      <c r="F193" s="136" t="e">
        <f>VLOOKUP($B193,#REF!,MATCH(F$2,#REF!,0),0)</f>
        <v>#REF!</v>
      </c>
      <c r="G193" s="137" t="e">
        <f>VLOOKUP($B193,#REF!,MATCH(G$2,#REF!,0),0)</f>
        <v>#REF!</v>
      </c>
      <c r="H193" s="48"/>
      <c r="I193" s="48"/>
      <c r="J193" s="48">
        <v>1</v>
      </c>
      <c r="K193" s="48">
        <v>1</v>
      </c>
      <c r="L193" s="48"/>
      <c r="M193" s="48"/>
      <c r="N193" s="48"/>
      <c r="O193" s="48"/>
      <c r="P193" s="48"/>
      <c r="Q193" s="48"/>
      <c r="R193" s="371" t="e">
        <f t="shared" si="185"/>
        <v>#REF!</v>
      </c>
      <c r="S193" s="371" t="e">
        <f t="shared" si="186"/>
        <v>#REF!</v>
      </c>
      <c r="T193" s="371" t="e">
        <f t="shared" si="187"/>
        <v>#REF!</v>
      </c>
      <c r="U193" s="371" t="e">
        <f t="shared" si="188"/>
        <v>#REF!</v>
      </c>
      <c r="V193" s="371" t="e">
        <f t="shared" si="189"/>
        <v>#REF!</v>
      </c>
      <c r="W193" s="371" t="e">
        <f t="shared" si="190"/>
        <v>#REF!</v>
      </c>
      <c r="X193" s="371" t="e">
        <f t="shared" si="191"/>
        <v>#REF!</v>
      </c>
      <c r="Y193" s="371" t="e">
        <f t="shared" si="192"/>
        <v>#REF!</v>
      </c>
      <c r="Z193" s="371" t="e">
        <f t="shared" si="193"/>
        <v>#REF!</v>
      </c>
      <c r="AA193" s="371" t="e">
        <f t="shared" si="194"/>
        <v>#REF!</v>
      </c>
      <c r="AB193" s="50"/>
    </row>
    <row r="194" outlineLevel="2" spans="1:28">
      <c r="A194" s="52">
        <f>MAX($A$6:A193)+1</f>
        <v>160</v>
      </c>
      <c r="B194" s="51" t="s">
        <v>388</v>
      </c>
      <c r="C194" s="51" t="e">
        <f>VLOOKUP($B194,#REF!,MATCH(C$2,#REF!,0),0)</f>
        <v>#REF!</v>
      </c>
      <c r="D194" s="136"/>
      <c r="E194" s="136"/>
      <c r="F194" s="136" t="e">
        <f>VLOOKUP($B194,#REF!,MATCH(F$2,#REF!,0),0)</f>
        <v>#REF!</v>
      </c>
      <c r="G194" s="137" t="e">
        <f>VLOOKUP($B194,#REF!,MATCH(G$2,#REF!,0),0)</f>
        <v>#REF!</v>
      </c>
      <c r="H194" s="48"/>
      <c r="I194" s="48"/>
      <c r="J194" s="48">
        <v>1</v>
      </c>
      <c r="K194" s="48">
        <v>1</v>
      </c>
      <c r="L194" s="48"/>
      <c r="M194" s="48"/>
      <c r="N194" s="48"/>
      <c r="O194" s="48"/>
      <c r="P194" s="48"/>
      <c r="Q194" s="48"/>
      <c r="R194" s="371" t="e">
        <f t="shared" si="185"/>
        <v>#REF!</v>
      </c>
      <c r="S194" s="371" t="e">
        <f t="shared" si="186"/>
        <v>#REF!</v>
      </c>
      <c r="T194" s="371" t="e">
        <f t="shared" si="187"/>
        <v>#REF!</v>
      </c>
      <c r="U194" s="371" t="e">
        <f t="shared" si="188"/>
        <v>#REF!</v>
      </c>
      <c r="V194" s="371" t="e">
        <f t="shared" si="189"/>
        <v>#REF!</v>
      </c>
      <c r="W194" s="371" t="e">
        <f t="shared" si="190"/>
        <v>#REF!</v>
      </c>
      <c r="X194" s="371" t="e">
        <f t="shared" si="191"/>
        <v>#REF!</v>
      </c>
      <c r="Y194" s="371" t="e">
        <f t="shared" si="192"/>
        <v>#REF!</v>
      </c>
      <c r="Z194" s="371" t="e">
        <f t="shared" si="193"/>
        <v>#REF!</v>
      </c>
      <c r="AA194" s="371" t="e">
        <f t="shared" si="194"/>
        <v>#REF!</v>
      </c>
      <c r="AB194" s="50"/>
    </row>
    <row r="195" ht="28.8" outlineLevel="2" spans="1:28">
      <c r="A195" s="52">
        <f>MAX($A$6:A194)+1</f>
        <v>161</v>
      </c>
      <c r="B195" s="51" t="s">
        <v>384</v>
      </c>
      <c r="C195" s="51" t="e">
        <f>VLOOKUP($B195,#REF!,MATCH(C$2,#REF!,0),0)</f>
        <v>#REF!</v>
      </c>
      <c r="D195" s="136"/>
      <c r="E195" s="136"/>
      <c r="F195" s="136" t="e">
        <f>VLOOKUP($B195,#REF!,MATCH(F$2,#REF!,0),0)</f>
        <v>#REF!</v>
      </c>
      <c r="G195" s="137" t="e">
        <f>VLOOKUP($B195,#REF!,MATCH(G$2,#REF!,0),0)</f>
        <v>#REF!</v>
      </c>
      <c r="H195" s="48"/>
      <c r="I195" s="48"/>
      <c r="J195" s="48">
        <v>1</v>
      </c>
      <c r="K195" s="48">
        <v>1</v>
      </c>
      <c r="L195" s="48"/>
      <c r="M195" s="48"/>
      <c r="N195" s="48"/>
      <c r="O195" s="48"/>
      <c r="P195" s="48"/>
      <c r="Q195" s="48"/>
      <c r="R195" s="371" t="e">
        <f t="shared" si="185"/>
        <v>#REF!</v>
      </c>
      <c r="S195" s="371" t="e">
        <f t="shared" si="186"/>
        <v>#REF!</v>
      </c>
      <c r="T195" s="371" t="e">
        <f t="shared" si="187"/>
        <v>#REF!</v>
      </c>
      <c r="U195" s="371" t="e">
        <f t="shared" si="188"/>
        <v>#REF!</v>
      </c>
      <c r="V195" s="371" t="e">
        <f t="shared" si="189"/>
        <v>#REF!</v>
      </c>
      <c r="W195" s="371" t="e">
        <f t="shared" si="190"/>
        <v>#REF!</v>
      </c>
      <c r="X195" s="371" t="e">
        <f t="shared" si="191"/>
        <v>#REF!</v>
      </c>
      <c r="Y195" s="371" t="e">
        <f t="shared" si="192"/>
        <v>#REF!</v>
      </c>
      <c r="Z195" s="371" t="e">
        <f t="shared" si="193"/>
        <v>#REF!</v>
      </c>
      <c r="AA195" s="371" t="e">
        <f t="shared" si="194"/>
        <v>#REF!</v>
      </c>
      <c r="AB195" s="50"/>
    </row>
    <row r="196" outlineLevel="2" spans="1:28">
      <c r="A196" s="52">
        <f>MAX($A$6:A195)+1</f>
        <v>162</v>
      </c>
      <c r="B196" s="51" t="s">
        <v>389</v>
      </c>
      <c r="C196" s="51" t="e">
        <f>VLOOKUP($B196,#REF!,MATCH(C$2,#REF!,0),0)</f>
        <v>#REF!</v>
      </c>
      <c r="D196" s="136"/>
      <c r="E196" s="136"/>
      <c r="F196" s="136" t="e">
        <f>VLOOKUP($B196,#REF!,MATCH(F$2,#REF!,0),0)</f>
        <v>#REF!</v>
      </c>
      <c r="G196" s="137" t="e">
        <f>VLOOKUP($B196,#REF!,MATCH(G$2,#REF!,0),0)</f>
        <v>#REF!</v>
      </c>
      <c r="H196" s="48"/>
      <c r="I196" s="48"/>
      <c r="J196" s="48">
        <v>1</v>
      </c>
      <c r="K196" s="48">
        <v>1</v>
      </c>
      <c r="L196" s="48"/>
      <c r="M196" s="48"/>
      <c r="N196" s="48"/>
      <c r="O196" s="48"/>
      <c r="P196" s="48"/>
      <c r="Q196" s="48"/>
      <c r="R196" s="371" t="e">
        <f t="shared" si="185"/>
        <v>#REF!</v>
      </c>
      <c r="S196" s="371" t="e">
        <f t="shared" si="186"/>
        <v>#REF!</v>
      </c>
      <c r="T196" s="371" t="e">
        <f t="shared" si="187"/>
        <v>#REF!</v>
      </c>
      <c r="U196" s="371" t="e">
        <f t="shared" si="188"/>
        <v>#REF!</v>
      </c>
      <c r="V196" s="371" t="e">
        <f t="shared" si="189"/>
        <v>#REF!</v>
      </c>
      <c r="W196" s="371" t="e">
        <f t="shared" si="190"/>
        <v>#REF!</v>
      </c>
      <c r="X196" s="371" t="e">
        <f t="shared" si="191"/>
        <v>#REF!</v>
      </c>
      <c r="Y196" s="371" t="e">
        <f t="shared" si="192"/>
        <v>#REF!</v>
      </c>
      <c r="Z196" s="371" t="e">
        <f t="shared" si="193"/>
        <v>#REF!</v>
      </c>
      <c r="AA196" s="371" t="e">
        <f t="shared" si="194"/>
        <v>#REF!</v>
      </c>
      <c r="AB196" s="50"/>
    </row>
    <row r="197" ht="28.8" outlineLevel="2" spans="1:28">
      <c r="A197" s="52">
        <f>MAX($A$6:A196)+1</f>
        <v>163</v>
      </c>
      <c r="B197" s="51" t="s">
        <v>390</v>
      </c>
      <c r="C197" s="51" t="e">
        <f>VLOOKUP($B197,#REF!,MATCH(C$2,#REF!,0),0)</f>
        <v>#REF!</v>
      </c>
      <c r="D197" s="136"/>
      <c r="E197" s="136"/>
      <c r="F197" s="136" t="e">
        <f>VLOOKUP($B197,#REF!,MATCH(F$2,#REF!,0),0)</f>
        <v>#REF!</v>
      </c>
      <c r="G197" s="137" t="e">
        <f>VLOOKUP($B197,#REF!,MATCH(G$2,#REF!,0),0)</f>
        <v>#REF!</v>
      </c>
      <c r="H197" s="48"/>
      <c r="I197" s="48"/>
      <c r="J197" s="48">
        <v>1</v>
      </c>
      <c r="K197" s="48">
        <v>1</v>
      </c>
      <c r="L197" s="48"/>
      <c r="M197" s="48"/>
      <c r="N197" s="48"/>
      <c r="O197" s="48"/>
      <c r="P197" s="48"/>
      <c r="Q197" s="48"/>
      <c r="R197" s="371" t="e">
        <f t="shared" si="185"/>
        <v>#REF!</v>
      </c>
      <c r="S197" s="371" t="e">
        <f t="shared" si="186"/>
        <v>#REF!</v>
      </c>
      <c r="T197" s="371" t="e">
        <f t="shared" si="187"/>
        <v>#REF!</v>
      </c>
      <c r="U197" s="371" t="e">
        <f t="shared" si="188"/>
        <v>#REF!</v>
      </c>
      <c r="V197" s="371" t="e">
        <f t="shared" si="189"/>
        <v>#REF!</v>
      </c>
      <c r="W197" s="371" t="e">
        <f t="shared" si="190"/>
        <v>#REF!</v>
      </c>
      <c r="X197" s="371" t="e">
        <f t="shared" si="191"/>
        <v>#REF!</v>
      </c>
      <c r="Y197" s="371" t="e">
        <f t="shared" si="192"/>
        <v>#REF!</v>
      </c>
      <c r="Z197" s="371" t="e">
        <f t="shared" si="193"/>
        <v>#REF!</v>
      </c>
      <c r="AA197" s="371" t="e">
        <f t="shared" si="194"/>
        <v>#REF!</v>
      </c>
      <c r="AB197" s="50"/>
    </row>
    <row r="198" ht="28.8" outlineLevel="2" spans="1:28">
      <c r="A198" s="52">
        <f>MAX($A$6:A197)+1</f>
        <v>164</v>
      </c>
      <c r="B198" s="51" t="s">
        <v>391</v>
      </c>
      <c r="C198" s="51" t="e">
        <f>VLOOKUP($B198,#REF!,MATCH(C$2,#REF!,0),0)</f>
        <v>#REF!</v>
      </c>
      <c r="D198" s="136"/>
      <c r="E198" s="136"/>
      <c r="F198" s="136" t="e">
        <f>VLOOKUP($B198,#REF!,MATCH(F$2,#REF!,0),0)</f>
        <v>#REF!</v>
      </c>
      <c r="G198" s="137" t="e">
        <f>VLOOKUP($B198,#REF!,MATCH(G$2,#REF!,0),0)</f>
        <v>#REF!</v>
      </c>
      <c r="H198" s="48"/>
      <c r="I198" s="48"/>
      <c r="J198" s="48">
        <v>1</v>
      </c>
      <c r="K198" s="48">
        <v>1</v>
      </c>
      <c r="L198" s="48"/>
      <c r="M198" s="48"/>
      <c r="N198" s="48"/>
      <c r="O198" s="48"/>
      <c r="P198" s="48"/>
      <c r="Q198" s="48"/>
      <c r="R198" s="371" t="e">
        <f t="shared" si="185"/>
        <v>#REF!</v>
      </c>
      <c r="S198" s="371" t="e">
        <f t="shared" si="186"/>
        <v>#REF!</v>
      </c>
      <c r="T198" s="371" t="e">
        <f t="shared" si="187"/>
        <v>#REF!</v>
      </c>
      <c r="U198" s="371" t="e">
        <f t="shared" si="188"/>
        <v>#REF!</v>
      </c>
      <c r="V198" s="371" t="e">
        <f t="shared" si="189"/>
        <v>#REF!</v>
      </c>
      <c r="W198" s="371" t="e">
        <f t="shared" si="190"/>
        <v>#REF!</v>
      </c>
      <c r="X198" s="371" t="e">
        <f t="shared" si="191"/>
        <v>#REF!</v>
      </c>
      <c r="Y198" s="371" t="e">
        <f t="shared" si="192"/>
        <v>#REF!</v>
      </c>
      <c r="Z198" s="371" t="e">
        <f t="shared" si="193"/>
        <v>#REF!</v>
      </c>
      <c r="AA198" s="371" t="e">
        <f t="shared" si="194"/>
        <v>#REF!</v>
      </c>
      <c r="AB198" s="50"/>
    </row>
    <row r="199" outlineLevel="2" spans="1:28">
      <c r="A199" s="52">
        <f>MAX($A$6:A198)+1</f>
        <v>165</v>
      </c>
      <c r="B199" s="51" t="s">
        <v>392</v>
      </c>
      <c r="C199" s="51" t="e">
        <f>VLOOKUP($B199,#REF!,MATCH(C$2,#REF!,0),0)</f>
        <v>#REF!</v>
      </c>
      <c r="D199" s="136"/>
      <c r="E199" s="136"/>
      <c r="F199" s="136" t="e">
        <f>VLOOKUP($B199,#REF!,MATCH(F$2,#REF!,0),0)</f>
        <v>#REF!</v>
      </c>
      <c r="G199" s="137" t="e">
        <f>VLOOKUP($B199,#REF!,MATCH(G$2,#REF!,0),0)</f>
        <v>#REF!</v>
      </c>
      <c r="H199" s="48">
        <v>35.5</v>
      </c>
      <c r="I199" s="48">
        <v>35.5</v>
      </c>
      <c r="J199" s="48">
        <v>21.8</v>
      </c>
      <c r="K199" s="48">
        <v>21.8</v>
      </c>
      <c r="L199" s="48">
        <v>19</v>
      </c>
      <c r="M199" s="48"/>
      <c r="N199" s="48"/>
      <c r="O199" s="48"/>
      <c r="P199" s="48">
        <v>3665.19</v>
      </c>
      <c r="Q199" s="48">
        <v>10325.03</v>
      </c>
      <c r="R199" s="371" t="e">
        <f t="shared" si="185"/>
        <v>#REF!</v>
      </c>
      <c r="S199" s="371" t="e">
        <f t="shared" si="186"/>
        <v>#REF!</v>
      </c>
      <c r="T199" s="371" t="e">
        <f t="shared" si="187"/>
        <v>#REF!</v>
      </c>
      <c r="U199" s="371" t="e">
        <f t="shared" si="188"/>
        <v>#REF!</v>
      </c>
      <c r="V199" s="371" t="e">
        <f t="shared" si="189"/>
        <v>#REF!</v>
      </c>
      <c r="W199" s="371" t="e">
        <f t="shared" si="190"/>
        <v>#REF!</v>
      </c>
      <c r="X199" s="371" t="e">
        <f t="shared" si="191"/>
        <v>#REF!</v>
      </c>
      <c r="Y199" s="371" t="e">
        <f t="shared" si="192"/>
        <v>#REF!</v>
      </c>
      <c r="Z199" s="371" t="e">
        <f t="shared" si="193"/>
        <v>#REF!</v>
      </c>
      <c r="AA199" s="371" t="e">
        <f t="shared" si="194"/>
        <v>#REF!</v>
      </c>
      <c r="AB199" s="50"/>
    </row>
    <row r="200" outlineLevel="2" spans="1:28">
      <c r="A200" s="52">
        <f>MAX($A$6:A199)+1</f>
        <v>166</v>
      </c>
      <c r="B200" s="51" t="s">
        <v>393</v>
      </c>
      <c r="C200" s="51" t="e">
        <f>VLOOKUP($B200,#REF!,MATCH(C$2,#REF!,0),0)</f>
        <v>#REF!</v>
      </c>
      <c r="D200" s="136"/>
      <c r="E200" s="136"/>
      <c r="F200" s="136" t="e">
        <f>VLOOKUP($B200,#REF!,MATCH(F$2,#REF!,0),0)</f>
        <v>#REF!</v>
      </c>
      <c r="G200" s="137" t="e">
        <f>VLOOKUP($B200,#REF!,MATCH(G$2,#REF!,0),0)</f>
        <v>#REF!</v>
      </c>
      <c r="H200" s="48">
        <v>218.732727272727</v>
      </c>
      <c r="I200" s="48">
        <v>218.732727272727</v>
      </c>
      <c r="J200" s="48">
        <v>133.67</v>
      </c>
      <c r="K200" s="48">
        <v>133.67</v>
      </c>
      <c r="L200" s="48">
        <v>71</v>
      </c>
      <c r="M200" s="48"/>
      <c r="N200" s="48"/>
      <c r="O200" s="48"/>
      <c r="P200" s="48">
        <v>387.8</v>
      </c>
      <c r="Q200" s="48">
        <v>862.96</v>
      </c>
      <c r="R200" s="371" t="e">
        <f t="shared" si="185"/>
        <v>#REF!</v>
      </c>
      <c r="S200" s="371" t="e">
        <f t="shared" si="186"/>
        <v>#REF!</v>
      </c>
      <c r="T200" s="371" t="e">
        <f t="shared" si="187"/>
        <v>#REF!</v>
      </c>
      <c r="U200" s="371" t="e">
        <f t="shared" si="188"/>
        <v>#REF!</v>
      </c>
      <c r="V200" s="371" t="e">
        <f t="shared" si="189"/>
        <v>#REF!</v>
      </c>
      <c r="W200" s="371" t="e">
        <f t="shared" si="190"/>
        <v>#REF!</v>
      </c>
      <c r="X200" s="371" t="e">
        <f t="shared" si="191"/>
        <v>#REF!</v>
      </c>
      <c r="Y200" s="371" t="e">
        <f t="shared" si="192"/>
        <v>#REF!</v>
      </c>
      <c r="Z200" s="371" t="e">
        <f t="shared" si="193"/>
        <v>#REF!</v>
      </c>
      <c r="AA200" s="371" t="e">
        <f t="shared" si="194"/>
        <v>#REF!</v>
      </c>
      <c r="AB200" s="50"/>
    </row>
    <row r="201" outlineLevel="2" spans="1:28">
      <c r="A201" s="52">
        <f>MAX($A$6:A200)+1</f>
        <v>167</v>
      </c>
      <c r="B201" s="51" t="s">
        <v>394</v>
      </c>
      <c r="C201" s="51" t="e">
        <f>VLOOKUP($B201,#REF!,MATCH(C$2,#REF!,0),0)</f>
        <v>#REF!</v>
      </c>
      <c r="D201" s="136"/>
      <c r="E201" s="136"/>
      <c r="F201" s="136" t="e">
        <f>VLOOKUP($B201,#REF!,MATCH(F$2,#REF!,0),0)</f>
        <v>#REF!</v>
      </c>
      <c r="G201" s="137" t="e">
        <f>VLOOKUP($B201,#REF!,MATCH(G$2,#REF!,0),0)</f>
        <v>#REF!</v>
      </c>
      <c r="H201" s="48"/>
      <c r="I201" s="48"/>
      <c r="J201" s="48"/>
      <c r="K201" s="48"/>
      <c r="L201" s="48"/>
      <c r="M201" s="48"/>
      <c r="N201" s="48"/>
      <c r="O201" s="48"/>
      <c r="P201" s="48">
        <v>849.54</v>
      </c>
      <c r="Q201" s="48"/>
      <c r="R201" s="371" t="e">
        <f t="shared" si="185"/>
        <v>#REF!</v>
      </c>
      <c r="S201" s="371" t="e">
        <f t="shared" si="186"/>
        <v>#REF!</v>
      </c>
      <c r="T201" s="371" t="e">
        <f t="shared" si="187"/>
        <v>#REF!</v>
      </c>
      <c r="U201" s="371" t="e">
        <f t="shared" si="188"/>
        <v>#REF!</v>
      </c>
      <c r="V201" s="371" t="e">
        <f t="shared" si="189"/>
        <v>#REF!</v>
      </c>
      <c r="W201" s="371" t="e">
        <f t="shared" si="190"/>
        <v>#REF!</v>
      </c>
      <c r="X201" s="371" t="e">
        <f t="shared" si="191"/>
        <v>#REF!</v>
      </c>
      <c r="Y201" s="371" t="e">
        <f t="shared" si="192"/>
        <v>#REF!</v>
      </c>
      <c r="Z201" s="371" t="e">
        <f t="shared" si="193"/>
        <v>#REF!</v>
      </c>
      <c r="AA201" s="371" t="e">
        <f t="shared" si="194"/>
        <v>#REF!</v>
      </c>
      <c r="AB201" s="50"/>
    </row>
    <row r="202" s="122" customFormat="1" outlineLevel="2" spans="1:28">
      <c r="A202" s="130"/>
      <c r="B202" s="154" t="s">
        <v>395</v>
      </c>
      <c r="C202" s="154"/>
      <c r="D202" s="154"/>
      <c r="E202" s="154"/>
      <c r="F202" s="130"/>
      <c r="G202" s="134"/>
      <c r="H202" s="134"/>
      <c r="I202" s="134"/>
      <c r="J202" s="134"/>
      <c r="K202" s="134"/>
      <c r="L202" s="134"/>
      <c r="M202" s="134"/>
      <c r="N202" s="134"/>
      <c r="O202" s="134"/>
      <c r="P202" s="134"/>
      <c r="Q202" s="134"/>
      <c r="R202" s="367"/>
      <c r="S202" s="367"/>
      <c r="T202" s="367"/>
      <c r="U202" s="367"/>
      <c r="V202" s="371"/>
      <c r="W202" s="367"/>
      <c r="X202" s="367"/>
      <c r="Y202" s="367"/>
      <c r="Z202" s="367"/>
      <c r="AA202" s="367"/>
      <c r="AB202" s="130"/>
    </row>
    <row r="203" ht="28.8" outlineLevel="2" spans="1:28">
      <c r="A203" s="52">
        <f>MAX($A$6:A202)+1</f>
        <v>168</v>
      </c>
      <c r="B203" s="51" t="s">
        <v>396</v>
      </c>
      <c r="C203" s="51" t="e">
        <f>VLOOKUP($B203,#REF!,MATCH(C$2,#REF!,0),0)</f>
        <v>#REF!</v>
      </c>
      <c r="D203" s="136"/>
      <c r="E203" s="136"/>
      <c r="F203" s="136" t="e">
        <f>VLOOKUP($B203,#REF!,MATCH(F$2,#REF!,0),0)</f>
        <v>#REF!</v>
      </c>
      <c r="G203" s="137" t="e">
        <f>VLOOKUP($B203,#REF!,MATCH(G$2,#REF!,0),0)</f>
        <v>#REF!</v>
      </c>
      <c r="H203" s="48"/>
      <c r="I203" s="48"/>
      <c r="J203" s="48"/>
      <c r="K203" s="48"/>
      <c r="L203" s="48"/>
      <c r="M203" s="48"/>
      <c r="N203" s="48"/>
      <c r="O203" s="48"/>
      <c r="P203" s="48">
        <v>345.84</v>
      </c>
      <c r="Q203" s="48">
        <v>572.64</v>
      </c>
      <c r="R203" s="371" t="e">
        <f>$G203*H203</f>
        <v>#REF!</v>
      </c>
      <c r="S203" s="371" t="e">
        <f t="shared" ref="S203:AA203" si="195">$G203*I203</f>
        <v>#REF!</v>
      </c>
      <c r="T203" s="371" t="e">
        <f t="shared" si="195"/>
        <v>#REF!</v>
      </c>
      <c r="U203" s="371" t="e">
        <f t="shared" si="195"/>
        <v>#REF!</v>
      </c>
      <c r="V203" s="371" t="e">
        <f t="shared" si="195"/>
        <v>#REF!</v>
      </c>
      <c r="W203" s="371" t="e">
        <f t="shared" si="195"/>
        <v>#REF!</v>
      </c>
      <c r="X203" s="371" t="e">
        <f t="shared" si="195"/>
        <v>#REF!</v>
      </c>
      <c r="Y203" s="371" t="e">
        <f t="shared" si="195"/>
        <v>#REF!</v>
      </c>
      <c r="Z203" s="371" t="e">
        <f t="shared" si="195"/>
        <v>#REF!</v>
      </c>
      <c r="AA203" s="371" t="e">
        <f t="shared" si="195"/>
        <v>#REF!</v>
      </c>
      <c r="AB203" s="50"/>
    </row>
    <row r="204" outlineLevel="2" spans="1:28">
      <c r="A204" s="52">
        <f>MAX($A$6:A203)+1</f>
        <v>169</v>
      </c>
      <c r="B204" s="51" t="s">
        <v>397</v>
      </c>
      <c r="C204" s="51" t="e">
        <f>VLOOKUP($B204,#REF!,MATCH(C$2,#REF!,0),0)</f>
        <v>#REF!</v>
      </c>
      <c r="D204" s="136"/>
      <c r="E204" s="136"/>
      <c r="F204" s="136" t="e">
        <f>VLOOKUP($B204,#REF!,MATCH(F$2,#REF!,0),0)</f>
        <v>#REF!</v>
      </c>
      <c r="G204" s="137" t="e">
        <f>VLOOKUP($B204,#REF!,MATCH(G$2,#REF!,0),0)</f>
        <v>#REF!</v>
      </c>
      <c r="H204" s="48"/>
      <c r="I204" s="48"/>
      <c r="J204" s="48"/>
      <c r="K204" s="48"/>
      <c r="L204" s="48"/>
      <c r="M204" s="48"/>
      <c r="N204" s="48"/>
      <c r="O204" s="48"/>
      <c r="P204" s="48">
        <v>345.84</v>
      </c>
      <c r="Q204" s="48">
        <v>572.64</v>
      </c>
      <c r="R204" s="371" t="e">
        <f t="shared" ref="R204:AA204" si="196">$G204*H204</f>
        <v>#REF!</v>
      </c>
      <c r="S204" s="371" t="e">
        <f t="shared" si="196"/>
        <v>#REF!</v>
      </c>
      <c r="T204" s="371" t="e">
        <f t="shared" si="196"/>
        <v>#REF!</v>
      </c>
      <c r="U204" s="371" t="e">
        <f t="shared" si="196"/>
        <v>#REF!</v>
      </c>
      <c r="V204" s="371" t="e">
        <f t="shared" si="196"/>
        <v>#REF!</v>
      </c>
      <c r="W204" s="371" t="e">
        <f t="shared" si="196"/>
        <v>#REF!</v>
      </c>
      <c r="X204" s="371" t="e">
        <f t="shared" si="196"/>
        <v>#REF!</v>
      </c>
      <c r="Y204" s="371" t="e">
        <f t="shared" si="196"/>
        <v>#REF!</v>
      </c>
      <c r="Z204" s="371" t="e">
        <f t="shared" si="196"/>
        <v>#REF!</v>
      </c>
      <c r="AA204" s="371" t="e">
        <f t="shared" si="196"/>
        <v>#REF!</v>
      </c>
      <c r="AB204" s="50"/>
    </row>
    <row r="205" outlineLevel="2" spans="1:28">
      <c r="A205" s="52">
        <f>MAX($A$6:A204)+1</f>
        <v>170</v>
      </c>
      <c r="B205" s="51" t="s">
        <v>398</v>
      </c>
      <c r="C205" s="51" t="e">
        <f>VLOOKUP($B205,#REF!,MATCH(C$2,#REF!,0),0)</f>
        <v>#REF!</v>
      </c>
      <c r="D205" s="136"/>
      <c r="E205" s="136"/>
      <c r="F205" s="136" t="e">
        <f>VLOOKUP($B205,#REF!,MATCH(F$2,#REF!,0),0)</f>
        <v>#REF!</v>
      </c>
      <c r="G205" s="137" t="e">
        <f>VLOOKUP($B205,#REF!,MATCH(G$2,#REF!,0),0)</f>
        <v>#REF!</v>
      </c>
      <c r="H205" s="48"/>
      <c r="I205" s="48"/>
      <c r="J205" s="48"/>
      <c r="K205" s="48"/>
      <c r="L205" s="48"/>
      <c r="M205" s="48"/>
      <c r="N205" s="48"/>
      <c r="O205" s="48"/>
      <c r="P205" s="48">
        <v>345.84</v>
      </c>
      <c r="Q205" s="48">
        <v>572.64</v>
      </c>
      <c r="R205" s="371" t="e">
        <f t="shared" ref="R205:AA205" si="197">$G205*H205</f>
        <v>#REF!</v>
      </c>
      <c r="S205" s="371" t="e">
        <f t="shared" si="197"/>
        <v>#REF!</v>
      </c>
      <c r="T205" s="371" t="e">
        <f t="shared" si="197"/>
        <v>#REF!</v>
      </c>
      <c r="U205" s="371" t="e">
        <f t="shared" si="197"/>
        <v>#REF!</v>
      </c>
      <c r="V205" s="371" t="e">
        <f t="shared" si="197"/>
        <v>#REF!</v>
      </c>
      <c r="W205" s="371" t="e">
        <f t="shared" si="197"/>
        <v>#REF!</v>
      </c>
      <c r="X205" s="371" t="e">
        <f t="shared" si="197"/>
        <v>#REF!</v>
      </c>
      <c r="Y205" s="371" t="e">
        <f t="shared" si="197"/>
        <v>#REF!</v>
      </c>
      <c r="Z205" s="371" t="e">
        <f t="shared" si="197"/>
        <v>#REF!</v>
      </c>
      <c r="AA205" s="371" t="e">
        <f t="shared" si="197"/>
        <v>#REF!</v>
      </c>
      <c r="AB205" s="50"/>
    </row>
    <row r="206" outlineLevel="2" spans="1:28">
      <c r="A206" s="52">
        <f>MAX($A$6:A205)+1</f>
        <v>171</v>
      </c>
      <c r="B206" s="51" t="s">
        <v>399</v>
      </c>
      <c r="C206" s="51" t="e">
        <f>VLOOKUP($B206,#REF!,MATCH(C$2,#REF!,0),0)</f>
        <v>#REF!</v>
      </c>
      <c r="D206" s="136"/>
      <c r="E206" s="136"/>
      <c r="F206" s="136" t="e">
        <f>VLOOKUP($B206,#REF!,MATCH(F$2,#REF!,0),0)</f>
        <v>#REF!</v>
      </c>
      <c r="G206" s="137" t="e">
        <f>VLOOKUP($B206,#REF!,MATCH(G$2,#REF!,0),0)</f>
        <v>#REF!</v>
      </c>
      <c r="H206" s="48"/>
      <c r="I206" s="48"/>
      <c r="J206" s="48"/>
      <c r="K206" s="48"/>
      <c r="L206" s="48"/>
      <c r="M206" s="48"/>
      <c r="N206" s="48"/>
      <c r="O206" s="48"/>
      <c r="P206" s="48">
        <v>345.84</v>
      </c>
      <c r="Q206" s="48">
        <v>572.64</v>
      </c>
      <c r="R206" s="371" t="e">
        <f t="shared" ref="R206:AA206" si="198">$G206*H206</f>
        <v>#REF!</v>
      </c>
      <c r="S206" s="371" t="e">
        <f t="shared" si="198"/>
        <v>#REF!</v>
      </c>
      <c r="T206" s="371" t="e">
        <f t="shared" si="198"/>
        <v>#REF!</v>
      </c>
      <c r="U206" s="371" t="e">
        <f t="shared" si="198"/>
        <v>#REF!</v>
      </c>
      <c r="V206" s="371" t="e">
        <f t="shared" si="198"/>
        <v>#REF!</v>
      </c>
      <c r="W206" s="371" t="e">
        <f t="shared" si="198"/>
        <v>#REF!</v>
      </c>
      <c r="X206" s="371" t="e">
        <f t="shared" si="198"/>
        <v>#REF!</v>
      </c>
      <c r="Y206" s="371" t="e">
        <f t="shared" si="198"/>
        <v>#REF!</v>
      </c>
      <c r="Z206" s="371" t="e">
        <f t="shared" si="198"/>
        <v>#REF!</v>
      </c>
      <c r="AA206" s="371" t="e">
        <f t="shared" si="198"/>
        <v>#REF!</v>
      </c>
      <c r="AB206" s="50"/>
    </row>
    <row r="207" ht="28.8" outlineLevel="2" spans="1:28">
      <c r="A207" s="52">
        <f>MAX($A$6:A206)+1</f>
        <v>172</v>
      </c>
      <c r="B207" s="51" t="s">
        <v>400</v>
      </c>
      <c r="C207" s="51" t="e">
        <f>VLOOKUP($B207,#REF!,MATCH(C$2,#REF!,0),0)</f>
        <v>#REF!</v>
      </c>
      <c r="D207" s="136"/>
      <c r="E207" s="136"/>
      <c r="F207" s="136" t="e">
        <f>VLOOKUP($B207,#REF!,MATCH(F$2,#REF!,0),0)</f>
        <v>#REF!</v>
      </c>
      <c r="G207" s="137" t="e">
        <f>VLOOKUP($B207,#REF!,MATCH(G$2,#REF!,0),0)</f>
        <v>#REF!</v>
      </c>
      <c r="H207" s="48"/>
      <c r="I207" s="48"/>
      <c r="J207" s="48"/>
      <c r="K207" s="48"/>
      <c r="L207" s="48"/>
      <c r="M207" s="48"/>
      <c r="N207" s="48"/>
      <c r="O207" s="48"/>
      <c r="P207" s="48">
        <v>345.84</v>
      </c>
      <c r="Q207" s="48">
        <v>572.64</v>
      </c>
      <c r="R207" s="371" t="e">
        <f t="shared" ref="R207:AA207" si="199">$G207*H207</f>
        <v>#REF!</v>
      </c>
      <c r="S207" s="371" t="e">
        <f t="shared" si="199"/>
        <v>#REF!</v>
      </c>
      <c r="T207" s="371" t="e">
        <f t="shared" si="199"/>
        <v>#REF!</v>
      </c>
      <c r="U207" s="371" t="e">
        <f t="shared" si="199"/>
        <v>#REF!</v>
      </c>
      <c r="V207" s="371" t="e">
        <f t="shared" si="199"/>
        <v>#REF!</v>
      </c>
      <c r="W207" s="371" t="e">
        <f t="shared" si="199"/>
        <v>#REF!</v>
      </c>
      <c r="X207" s="371" t="e">
        <f t="shared" si="199"/>
        <v>#REF!</v>
      </c>
      <c r="Y207" s="371" t="e">
        <f t="shared" si="199"/>
        <v>#REF!</v>
      </c>
      <c r="Z207" s="371" t="e">
        <f t="shared" si="199"/>
        <v>#REF!</v>
      </c>
      <c r="AA207" s="371" t="e">
        <f t="shared" si="199"/>
        <v>#REF!</v>
      </c>
      <c r="AB207" s="50"/>
    </row>
    <row r="208" outlineLevel="2" spans="1:28">
      <c r="A208" s="52">
        <f>MAX($A$6:A207)+1</f>
        <v>173</v>
      </c>
      <c r="B208" s="51" t="s">
        <v>401</v>
      </c>
      <c r="C208" s="51" t="e">
        <f>VLOOKUP($B208,#REF!,MATCH(C$2,#REF!,0),0)</f>
        <v>#REF!</v>
      </c>
      <c r="D208" s="136"/>
      <c r="E208" s="136"/>
      <c r="F208" s="136" t="e">
        <f>VLOOKUP($B208,#REF!,MATCH(F$2,#REF!,0),0)</f>
        <v>#REF!</v>
      </c>
      <c r="G208" s="137" t="e">
        <f>VLOOKUP($B208,#REF!,MATCH(G$2,#REF!,0),0)</f>
        <v>#REF!</v>
      </c>
      <c r="H208" s="48"/>
      <c r="I208" s="48"/>
      <c r="J208" s="48"/>
      <c r="K208" s="48"/>
      <c r="L208" s="48"/>
      <c r="M208" s="48"/>
      <c r="N208" s="48"/>
      <c r="O208" s="48"/>
      <c r="P208" s="48">
        <v>345.84</v>
      </c>
      <c r="Q208" s="48">
        <v>572.64</v>
      </c>
      <c r="R208" s="371" t="e">
        <f t="shared" ref="R208:AA208" si="200">$G208*H208</f>
        <v>#REF!</v>
      </c>
      <c r="S208" s="371" t="e">
        <f t="shared" si="200"/>
        <v>#REF!</v>
      </c>
      <c r="T208" s="371" t="e">
        <f t="shared" si="200"/>
        <v>#REF!</v>
      </c>
      <c r="U208" s="371" t="e">
        <f t="shared" si="200"/>
        <v>#REF!</v>
      </c>
      <c r="V208" s="371" t="e">
        <f t="shared" si="200"/>
        <v>#REF!</v>
      </c>
      <c r="W208" s="371" t="e">
        <f t="shared" si="200"/>
        <v>#REF!</v>
      </c>
      <c r="X208" s="371" t="e">
        <f t="shared" si="200"/>
        <v>#REF!</v>
      </c>
      <c r="Y208" s="371" t="e">
        <f t="shared" si="200"/>
        <v>#REF!</v>
      </c>
      <c r="Z208" s="371" t="e">
        <f t="shared" si="200"/>
        <v>#REF!</v>
      </c>
      <c r="AA208" s="371" t="e">
        <f t="shared" si="200"/>
        <v>#REF!</v>
      </c>
      <c r="AB208" s="50"/>
    </row>
    <row r="209" s="122" customFormat="1" outlineLevel="2" spans="1:28">
      <c r="A209" s="130"/>
      <c r="B209" s="154" t="s">
        <v>402</v>
      </c>
      <c r="C209" s="154"/>
      <c r="D209" s="154"/>
      <c r="E209" s="154"/>
      <c r="F209" s="130"/>
      <c r="G209" s="134"/>
      <c r="H209" s="134"/>
      <c r="I209" s="134"/>
      <c r="J209" s="134"/>
      <c r="K209" s="134"/>
      <c r="L209" s="134"/>
      <c r="M209" s="134"/>
      <c r="N209" s="134"/>
      <c r="O209" s="134"/>
      <c r="P209" s="134"/>
      <c r="Q209" s="134"/>
      <c r="R209" s="367"/>
      <c r="S209" s="367"/>
      <c r="T209" s="367"/>
      <c r="U209" s="367"/>
      <c r="V209" s="371"/>
      <c r="W209" s="367"/>
      <c r="X209" s="367"/>
      <c r="Y209" s="367"/>
      <c r="Z209" s="367"/>
      <c r="AA209" s="367"/>
      <c r="AB209" s="130"/>
    </row>
    <row r="210" ht="28.8" outlineLevel="2" spans="1:28">
      <c r="A210" s="52">
        <f>MAX($A$6:A209)+1</f>
        <v>174</v>
      </c>
      <c r="B210" s="51" t="s">
        <v>396</v>
      </c>
      <c r="C210" s="51" t="e">
        <f>VLOOKUP($B210,#REF!,MATCH(C$2,#REF!,0),0)</f>
        <v>#REF!</v>
      </c>
      <c r="D210" s="136"/>
      <c r="E210" s="136"/>
      <c r="F210" s="136" t="e">
        <f>VLOOKUP($B210,#REF!,MATCH(F$2,#REF!,0),0)</f>
        <v>#REF!</v>
      </c>
      <c r="G210" s="137" t="e">
        <f>VLOOKUP($B210,#REF!,MATCH(G$2,#REF!,0),0)</f>
        <v>#REF!</v>
      </c>
      <c r="H210" s="48"/>
      <c r="I210" s="48"/>
      <c r="J210" s="48"/>
      <c r="K210" s="48"/>
      <c r="L210" s="48"/>
      <c r="M210" s="48"/>
      <c r="N210" s="48"/>
      <c r="O210" s="48"/>
      <c r="P210" s="48">
        <v>1</v>
      </c>
      <c r="Q210" s="48">
        <v>1</v>
      </c>
      <c r="R210" s="371" t="e">
        <f>$G210*H210</f>
        <v>#REF!</v>
      </c>
      <c r="S210" s="371" t="e">
        <f t="shared" ref="S210:AA210" si="201">$G210*I210</f>
        <v>#REF!</v>
      </c>
      <c r="T210" s="371" t="e">
        <f t="shared" si="201"/>
        <v>#REF!</v>
      </c>
      <c r="U210" s="371" t="e">
        <f t="shared" si="201"/>
        <v>#REF!</v>
      </c>
      <c r="V210" s="371" t="e">
        <f t="shared" si="201"/>
        <v>#REF!</v>
      </c>
      <c r="W210" s="371" t="e">
        <f t="shared" si="201"/>
        <v>#REF!</v>
      </c>
      <c r="X210" s="371" t="e">
        <f t="shared" si="201"/>
        <v>#REF!</v>
      </c>
      <c r="Y210" s="371" t="e">
        <f t="shared" si="201"/>
        <v>#REF!</v>
      </c>
      <c r="Z210" s="371" t="e">
        <f t="shared" si="201"/>
        <v>#REF!</v>
      </c>
      <c r="AA210" s="371" t="e">
        <f t="shared" si="201"/>
        <v>#REF!</v>
      </c>
      <c r="AB210" s="50"/>
    </row>
    <row r="211" outlineLevel="2" spans="1:28">
      <c r="A211" s="52">
        <f>MAX($A$6:A210)+1</f>
        <v>175</v>
      </c>
      <c r="B211" s="51" t="s">
        <v>397</v>
      </c>
      <c r="C211" s="51" t="e">
        <f>VLOOKUP($B211,#REF!,MATCH(C$2,#REF!,0),0)</f>
        <v>#REF!</v>
      </c>
      <c r="D211" s="136"/>
      <c r="E211" s="136"/>
      <c r="F211" s="136" t="e">
        <f>VLOOKUP($B211,#REF!,MATCH(F$2,#REF!,0),0)</f>
        <v>#REF!</v>
      </c>
      <c r="G211" s="137" t="e">
        <f>VLOOKUP($B211,#REF!,MATCH(G$2,#REF!,0),0)</f>
        <v>#REF!</v>
      </c>
      <c r="H211" s="48"/>
      <c r="I211" s="48"/>
      <c r="J211" s="48"/>
      <c r="K211" s="48"/>
      <c r="L211" s="48"/>
      <c r="M211" s="48"/>
      <c r="N211" s="48"/>
      <c r="O211" s="48"/>
      <c r="P211" s="48">
        <v>1</v>
      </c>
      <c r="Q211" s="48">
        <v>1</v>
      </c>
      <c r="R211" s="371" t="e">
        <f t="shared" ref="R211:AA211" si="202">$G211*H211</f>
        <v>#REF!</v>
      </c>
      <c r="S211" s="371" t="e">
        <f t="shared" si="202"/>
        <v>#REF!</v>
      </c>
      <c r="T211" s="371" t="e">
        <f t="shared" si="202"/>
        <v>#REF!</v>
      </c>
      <c r="U211" s="371" t="e">
        <f t="shared" si="202"/>
        <v>#REF!</v>
      </c>
      <c r="V211" s="371" t="e">
        <f t="shared" si="202"/>
        <v>#REF!</v>
      </c>
      <c r="W211" s="371" t="e">
        <f t="shared" si="202"/>
        <v>#REF!</v>
      </c>
      <c r="X211" s="371" t="e">
        <f t="shared" si="202"/>
        <v>#REF!</v>
      </c>
      <c r="Y211" s="371" t="e">
        <f t="shared" si="202"/>
        <v>#REF!</v>
      </c>
      <c r="Z211" s="371" t="e">
        <f t="shared" si="202"/>
        <v>#REF!</v>
      </c>
      <c r="AA211" s="371" t="e">
        <f t="shared" si="202"/>
        <v>#REF!</v>
      </c>
      <c r="AB211" s="50"/>
    </row>
    <row r="212" outlineLevel="2" spans="1:28">
      <c r="A212" s="52">
        <f>MAX($A$6:A211)+1</f>
        <v>176</v>
      </c>
      <c r="B212" s="51" t="s">
        <v>403</v>
      </c>
      <c r="C212" s="51" t="e">
        <f>VLOOKUP($B212,#REF!,MATCH(C$2,#REF!,0),0)</f>
        <v>#REF!</v>
      </c>
      <c r="D212" s="136"/>
      <c r="E212" s="136"/>
      <c r="F212" s="136" t="e">
        <f>VLOOKUP($B212,#REF!,MATCH(F$2,#REF!,0),0)</f>
        <v>#REF!</v>
      </c>
      <c r="G212" s="137" t="e">
        <f>VLOOKUP($B212,#REF!,MATCH(G$2,#REF!,0),0)</f>
        <v>#REF!</v>
      </c>
      <c r="H212" s="48"/>
      <c r="I212" s="48"/>
      <c r="J212" s="48"/>
      <c r="K212" s="48"/>
      <c r="L212" s="48"/>
      <c r="M212" s="48"/>
      <c r="N212" s="48"/>
      <c r="O212" s="48"/>
      <c r="P212" s="48">
        <v>1</v>
      </c>
      <c r="Q212" s="48">
        <v>1</v>
      </c>
      <c r="R212" s="371" t="e">
        <f t="shared" ref="R212:AA212" si="203">$G212*H212</f>
        <v>#REF!</v>
      </c>
      <c r="S212" s="371" t="e">
        <f t="shared" si="203"/>
        <v>#REF!</v>
      </c>
      <c r="T212" s="371" t="e">
        <f t="shared" si="203"/>
        <v>#REF!</v>
      </c>
      <c r="U212" s="371" t="e">
        <f t="shared" si="203"/>
        <v>#REF!</v>
      </c>
      <c r="V212" s="371" t="e">
        <f t="shared" si="203"/>
        <v>#REF!</v>
      </c>
      <c r="W212" s="371" t="e">
        <f t="shared" si="203"/>
        <v>#REF!</v>
      </c>
      <c r="X212" s="371" t="e">
        <f t="shared" si="203"/>
        <v>#REF!</v>
      </c>
      <c r="Y212" s="371" t="e">
        <f t="shared" si="203"/>
        <v>#REF!</v>
      </c>
      <c r="Z212" s="371" t="e">
        <f t="shared" si="203"/>
        <v>#REF!</v>
      </c>
      <c r="AA212" s="371" t="e">
        <f t="shared" si="203"/>
        <v>#REF!</v>
      </c>
      <c r="AB212" s="50"/>
    </row>
    <row r="213" outlineLevel="2" spans="1:28">
      <c r="A213" s="52">
        <f>MAX($A$6:A212)+1</f>
        <v>177</v>
      </c>
      <c r="B213" s="51" t="s">
        <v>399</v>
      </c>
      <c r="C213" s="51" t="e">
        <f>VLOOKUP($B213,#REF!,MATCH(C$2,#REF!,0),0)</f>
        <v>#REF!</v>
      </c>
      <c r="D213" s="136"/>
      <c r="E213" s="136"/>
      <c r="F213" s="136" t="e">
        <f>VLOOKUP($B213,#REF!,MATCH(F$2,#REF!,0),0)</f>
        <v>#REF!</v>
      </c>
      <c r="G213" s="137" t="e">
        <f>VLOOKUP($B213,#REF!,MATCH(G$2,#REF!,0),0)</f>
        <v>#REF!</v>
      </c>
      <c r="H213" s="48"/>
      <c r="I213" s="48"/>
      <c r="J213" s="48"/>
      <c r="K213" s="48"/>
      <c r="L213" s="48"/>
      <c r="M213" s="48"/>
      <c r="N213" s="48"/>
      <c r="O213" s="48"/>
      <c r="P213" s="48">
        <v>1</v>
      </c>
      <c r="Q213" s="48">
        <v>1</v>
      </c>
      <c r="R213" s="371" t="e">
        <f t="shared" ref="R213:AA213" si="204">$G213*H213</f>
        <v>#REF!</v>
      </c>
      <c r="S213" s="371" t="e">
        <f t="shared" si="204"/>
        <v>#REF!</v>
      </c>
      <c r="T213" s="371" t="e">
        <f t="shared" si="204"/>
        <v>#REF!</v>
      </c>
      <c r="U213" s="371" t="e">
        <f t="shared" si="204"/>
        <v>#REF!</v>
      </c>
      <c r="V213" s="371" t="e">
        <f t="shared" si="204"/>
        <v>#REF!</v>
      </c>
      <c r="W213" s="371" t="e">
        <f t="shared" si="204"/>
        <v>#REF!</v>
      </c>
      <c r="X213" s="371" t="e">
        <f t="shared" si="204"/>
        <v>#REF!</v>
      </c>
      <c r="Y213" s="371" t="e">
        <f t="shared" si="204"/>
        <v>#REF!</v>
      </c>
      <c r="Z213" s="371" t="e">
        <f t="shared" si="204"/>
        <v>#REF!</v>
      </c>
      <c r="AA213" s="371" t="e">
        <f t="shared" si="204"/>
        <v>#REF!</v>
      </c>
      <c r="AB213" s="50"/>
    </row>
    <row r="214" ht="28.8" outlineLevel="2" spans="1:28">
      <c r="A214" s="52">
        <f>MAX($A$6:A213)+1</f>
        <v>178</v>
      </c>
      <c r="B214" s="51" t="s">
        <v>400</v>
      </c>
      <c r="C214" s="51" t="e">
        <f>VLOOKUP($B214,#REF!,MATCH(C$2,#REF!,0),0)</f>
        <v>#REF!</v>
      </c>
      <c r="D214" s="136"/>
      <c r="E214" s="136"/>
      <c r="F214" s="136" t="e">
        <f>VLOOKUP($B214,#REF!,MATCH(F$2,#REF!,0),0)</f>
        <v>#REF!</v>
      </c>
      <c r="G214" s="137" t="e">
        <f>VLOOKUP($B214,#REF!,MATCH(G$2,#REF!,0),0)</f>
        <v>#REF!</v>
      </c>
      <c r="H214" s="48"/>
      <c r="I214" s="48"/>
      <c r="J214" s="48"/>
      <c r="K214" s="48"/>
      <c r="L214" s="48"/>
      <c r="M214" s="48"/>
      <c r="N214" s="48"/>
      <c r="O214" s="48"/>
      <c r="P214" s="48">
        <v>1</v>
      </c>
      <c r="Q214" s="48">
        <v>1</v>
      </c>
      <c r="R214" s="371" t="e">
        <f t="shared" ref="R214:AA214" si="205">$G214*H214</f>
        <v>#REF!</v>
      </c>
      <c r="S214" s="371" t="e">
        <f t="shared" si="205"/>
        <v>#REF!</v>
      </c>
      <c r="T214" s="371" t="e">
        <f t="shared" si="205"/>
        <v>#REF!</v>
      </c>
      <c r="U214" s="371" t="e">
        <f t="shared" si="205"/>
        <v>#REF!</v>
      </c>
      <c r="V214" s="371" t="e">
        <f t="shared" si="205"/>
        <v>#REF!</v>
      </c>
      <c r="W214" s="371" t="e">
        <f t="shared" si="205"/>
        <v>#REF!</v>
      </c>
      <c r="X214" s="371" t="e">
        <f t="shared" si="205"/>
        <v>#REF!</v>
      </c>
      <c r="Y214" s="371" t="e">
        <f t="shared" si="205"/>
        <v>#REF!</v>
      </c>
      <c r="Z214" s="371" t="e">
        <f t="shared" si="205"/>
        <v>#REF!</v>
      </c>
      <c r="AA214" s="371" t="e">
        <f t="shared" si="205"/>
        <v>#REF!</v>
      </c>
      <c r="AB214" s="50"/>
    </row>
    <row r="215" outlineLevel="2" spans="1:28">
      <c r="A215" s="52">
        <f>MAX($A$6:A214)+1</f>
        <v>179</v>
      </c>
      <c r="B215" s="51" t="s">
        <v>404</v>
      </c>
      <c r="C215" s="51" t="e">
        <f>VLOOKUP($B215,#REF!,MATCH(C$2,#REF!,0),0)</f>
        <v>#REF!</v>
      </c>
      <c r="D215" s="136"/>
      <c r="E215" s="136"/>
      <c r="F215" s="136" t="e">
        <f>VLOOKUP($B215,#REF!,MATCH(F$2,#REF!,0),0)</f>
        <v>#REF!</v>
      </c>
      <c r="G215" s="137" t="e">
        <f>VLOOKUP($B215,#REF!,MATCH(G$2,#REF!,0),0)</f>
        <v>#REF!</v>
      </c>
      <c r="H215" s="48"/>
      <c r="I215" s="48"/>
      <c r="J215" s="48"/>
      <c r="K215" s="48"/>
      <c r="L215" s="48"/>
      <c r="M215" s="48"/>
      <c r="N215" s="48"/>
      <c r="O215" s="48"/>
      <c r="P215" s="48">
        <v>1</v>
      </c>
      <c r="Q215" s="48">
        <v>1</v>
      </c>
      <c r="R215" s="371" t="e">
        <f t="shared" ref="R215:AA215" si="206">$G215*H215</f>
        <v>#REF!</v>
      </c>
      <c r="S215" s="371" t="e">
        <f t="shared" si="206"/>
        <v>#REF!</v>
      </c>
      <c r="T215" s="371" t="e">
        <f t="shared" si="206"/>
        <v>#REF!</v>
      </c>
      <c r="U215" s="371" t="e">
        <f t="shared" si="206"/>
        <v>#REF!</v>
      </c>
      <c r="V215" s="371" t="e">
        <f t="shared" si="206"/>
        <v>#REF!</v>
      </c>
      <c r="W215" s="371" t="e">
        <f t="shared" si="206"/>
        <v>#REF!</v>
      </c>
      <c r="X215" s="371" t="e">
        <f t="shared" si="206"/>
        <v>#REF!</v>
      </c>
      <c r="Y215" s="371" t="e">
        <f t="shared" si="206"/>
        <v>#REF!</v>
      </c>
      <c r="Z215" s="371" t="e">
        <f t="shared" si="206"/>
        <v>#REF!</v>
      </c>
      <c r="AA215" s="371" t="e">
        <f t="shared" si="206"/>
        <v>#REF!</v>
      </c>
      <c r="AB215" s="50"/>
    </row>
    <row r="216" s="122" customFormat="1" outlineLevel="2" spans="1:28">
      <c r="A216" s="130"/>
      <c r="B216" s="154" t="s">
        <v>405</v>
      </c>
      <c r="C216" s="154"/>
      <c r="D216" s="154"/>
      <c r="E216" s="154"/>
      <c r="F216" s="130"/>
      <c r="G216" s="134"/>
      <c r="H216" s="134"/>
      <c r="I216" s="134"/>
      <c r="J216" s="134"/>
      <c r="K216" s="134"/>
      <c r="L216" s="134"/>
      <c r="M216" s="134"/>
      <c r="N216" s="134"/>
      <c r="O216" s="134"/>
      <c r="P216" s="134"/>
      <c r="Q216" s="134"/>
      <c r="R216" s="367"/>
      <c r="S216" s="367"/>
      <c r="T216" s="367"/>
      <c r="U216" s="367"/>
      <c r="V216" s="371"/>
      <c r="W216" s="367"/>
      <c r="X216" s="367"/>
      <c r="Y216" s="367"/>
      <c r="Z216" s="367"/>
      <c r="AA216" s="367"/>
      <c r="AB216" s="130"/>
    </row>
    <row r="217" s="122" customFormat="1" ht="28.8" outlineLevel="2" spans="1:28">
      <c r="A217" s="52">
        <f>MAX($A$6:A216)+1</f>
        <v>180</v>
      </c>
      <c r="B217" s="51" t="s">
        <v>396</v>
      </c>
      <c r="C217" s="51" t="e">
        <f>VLOOKUP($B217,#REF!,MATCH(C$2,#REF!,0),0)</f>
        <v>#REF!</v>
      </c>
      <c r="D217" s="136"/>
      <c r="E217" s="136"/>
      <c r="F217" s="136" t="e">
        <f>VLOOKUP($B217,#REF!,MATCH(F$2,#REF!,0),0)</f>
        <v>#REF!</v>
      </c>
      <c r="G217" s="137" t="e">
        <f>VLOOKUP($B217,#REF!,MATCH(G$2,#REF!,0),0)</f>
        <v>#REF!</v>
      </c>
      <c r="H217" s="48"/>
      <c r="I217" s="48"/>
      <c r="J217" s="48"/>
      <c r="K217" s="48"/>
      <c r="L217" s="48"/>
      <c r="M217" s="48"/>
      <c r="N217" s="48"/>
      <c r="O217" s="48"/>
      <c r="P217" s="48">
        <v>1</v>
      </c>
      <c r="Q217" s="48">
        <v>1</v>
      </c>
      <c r="R217" s="371" t="e">
        <f>$G217*H217</f>
        <v>#REF!</v>
      </c>
      <c r="S217" s="371" t="e">
        <f t="shared" ref="S217:AA217" si="207">$G217*I217</f>
        <v>#REF!</v>
      </c>
      <c r="T217" s="371" t="e">
        <f t="shared" si="207"/>
        <v>#REF!</v>
      </c>
      <c r="U217" s="371" t="e">
        <f t="shared" si="207"/>
        <v>#REF!</v>
      </c>
      <c r="V217" s="371" t="e">
        <f t="shared" si="207"/>
        <v>#REF!</v>
      </c>
      <c r="W217" s="371" t="e">
        <f t="shared" si="207"/>
        <v>#REF!</v>
      </c>
      <c r="X217" s="371" t="e">
        <f t="shared" si="207"/>
        <v>#REF!</v>
      </c>
      <c r="Y217" s="371" t="e">
        <f t="shared" si="207"/>
        <v>#REF!</v>
      </c>
      <c r="Z217" s="371" t="e">
        <f t="shared" si="207"/>
        <v>#REF!</v>
      </c>
      <c r="AA217" s="371" t="e">
        <f t="shared" si="207"/>
        <v>#REF!</v>
      </c>
      <c r="AB217" s="50"/>
    </row>
    <row r="218" s="122" customFormat="1" outlineLevel="2" spans="1:28">
      <c r="A218" s="52">
        <f>MAX($A$6:A217)+1</f>
        <v>181</v>
      </c>
      <c r="B218" s="51" t="s">
        <v>397</v>
      </c>
      <c r="C218" s="51" t="e">
        <f>VLOOKUP($B218,#REF!,MATCH(C$2,#REF!,0),0)</f>
        <v>#REF!</v>
      </c>
      <c r="D218" s="136"/>
      <c r="E218" s="136"/>
      <c r="F218" s="136" t="e">
        <f>VLOOKUP($B218,#REF!,MATCH(F$2,#REF!,0),0)</f>
        <v>#REF!</v>
      </c>
      <c r="G218" s="137" t="e">
        <f>VLOOKUP($B218,#REF!,MATCH(G$2,#REF!,0),0)</f>
        <v>#REF!</v>
      </c>
      <c r="H218" s="48"/>
      <c r="I218" s="48"/>
      <c r="J218" s="48"/>
      <c r="K218" s="48"/>
      <c r="L218" s="48"/>
      <c r="M218" s="48"/>
      <c r="N218" s="48"/>
      <c r="O218" s="48"/>
      <c r="P218" s="48">
        <v>1</v>
      </c>
      <c r="Q218" s="48">
        <v>1</v>
      </c>
      <c r="R218" s="371" t="e">
        <f t="shared" ref="R218:AA218" si="208">$G218*H218</f>
        <v>#REF!</v>
      </c>
      <c r="S218" s="371" t="e">
        <f t="shared" si="208"/>
        <v>#REF!</v>
      </c>
      <c r="T218" s="371" t="e">
        <f t="shared" si="208"/>
        <v>#REF!</v>
      </c>
      <c r="U218" s="371" t="e">
        <f t="shared" si="208"/>
        <v>#REF!</v>
      </c>
      <c r="V218" s="371" t="e">
        <f t="shared" si="208"/>
        <v>#REF!</v>
      </c>
      <c r="W218" s="371" t="e">
        <f t="shared" si="208"/>
        <v>#REF!</v>
      </c>
      <c r="X218" s="371" t="e">
        <f t="shared" si="208"/>
        <v>#REF!</v>
      </c>
      <c r="Y218" s="371" t="e">
        <f t="shared" si="208"/>
        <v>#REF!</v>
      </c>
      <c r="Z218" s="371" t="e">
        <f t="shared" si="208"/>
        <v>#REF!</v>
      </c>
      <c r="AA218" s="371" t="e">
        <f t="shared" si="208"/>
        <v>#REF!</v>
      </c>
      <c r="AB218" s="50"/>
    </row>
    <row r="219" s="122" customFormat="1" outlineLevel="2" spans="1:28">
      <c r="A219" s="52">
        <f>MAX($A$6:A218)+1</f>
        <v>182</v>
      </c>
      <c r="B219" s="51" t="s">
        <v>403</v>
      </c>
      <c r="C219" s="51" t="e">
        <f>VLOOKUP($B219,#REF!,MATCH(C$2,#REF!,0),0)</f>
        <v>#REF!</v>
      </c>
      <c r="D219" s="136"/>
      <c r="E219" s="136"/>
      <c r="F219" s="136" t="e">
        <f>VLOOKUP($B219,#REF!,MATCH(F$2,#REF!,0),0)</f>
        <v>#REF!</v>
      </c>
      <c r="G219" s="137" t="e">
        <f>VLOOKUP($B219,#REF!,MATCH(G$2,#REF!,0),0)</f>
        <v>#REF!</v>
      </c>
      <c r="H219" s="48"/>
      <c r="I219" s="48"/>
      <c r="J219" s="48"/>
      <c r="K219" s="48"/>
      <c r="L219" s="48"/>
      <c r="M219" s="48"/>
      <c r="N219" s="48"/>
      <c r="O219" s="48"/>
      <c r="P219" s="48">
        <v>1</v>
      </c>
      <c r="Q219" s="48">
        <v>1</v>
      </c>
      <c r="R219" s="371" t="e">
        <f t="shared" ref="R219:AA219" si="209">$G219*H219</f>
        <v>#REF!</v>
      </c>
      <c r="S219" s="371" t="e">
        <f t="shared" si="209"/>
        <v>#REF!</v>
      </c>
      <c r="T219" s="371" t="e">
        <f t="shared" si="209"/>
        <v>#REF!</v>
      </c>
      <c r="U219" s="371" t="e">
        <f t="shared" si="209"/>
        <v>#REF!</v>
      </c>
      <c r="V219" s="371" t="e">
        <f t="shared" si="209"/>
        <v>#REF!</v>
      </c>
      <c r="W219" s="371" t="e">
        <f t="shared" si="209"/>
        <v>#REF!</v>
      </c>
      <c r="X219" s="371" t="e">
        <f t="shared" si="209"/>
        <v>#REF!</v>
      </c>
      <c r="Y219" s="371" t="e">
        <f t="shared" si="209"/>
        <v>#REF!</v>
      </c>
      <c r="Z219" s="371" t="e">
        <f t="shared" si="209"/>
        <v>#REF!</v>
      </c>
      <c r="AA219" s="371" t="e">
        <f t="shared" si="209"/>
        <v>#REF!</v>
      </c>
      <c r="AB219" s="50"/>
    </row>
    <row r="220" s="122" customFormat="1" outlineLevel="2" spans="1:28">
      <c r="A220" s="52">
        <f>MAX($A$6:A219)+1</f>
        <v>183</v>
      </c>
      <c r="B220" s="51" t="s">
        <v>399</v>
      </c>
      <c r="C220" s="51" t="e">
        <f>VLOOKUP($B220,#REF!,MATCH(C$2,#REF!,0),0)</f>
        <v>#REF!</v>
      </c>
      <c r="D220" s="136"/>
      <c r="E220" s="136"/>
      <c r="F220" s="136" t="e">
        <f>VLOOKUP($B220,#REF!,MATCH(F$2,#REF!,0),0)</f>
        <v>#REF!</v>
      </c>
      <c r="G220" s="137" t="e">
        <f>VLOOKUP($B220,#REF!,MATCH(G$2,#REF!,0),0)</f>
        <v>#REF!</v>
      </c>
      <c r="H220" s="48"/>
      <c r="I220" s="48"/>
      <c r="J220" s="48"/>
      <c r="K220" s="48"/>
      <c r="L220" s="48"/>
      <c r="M220" s="48"/>
      <c r="N220" s="48"/>
      <c r="O220" s="48"/>
      <c r="P220" s="48">
        <v>1</v>
      </c>
      <c r="Q220" s="48">
        <v>1</v>
      </c>
      <c r="R220" s="371" t="e">
        <f t="shared" ref="R220:AA220" si="210">$G220*H220</f>
        <v>#REF!</v>
      </c>
      <c r="S220" s="371" t="e">
        <f t="shared" si="210"/>
        <v>#REF!</v>
      </c>
      <c r="T220" s="371" t="e">
        <f t="shared" si="210"/>
        <v>#REF!</v>
      </c>
      <c r="U220" s="371" t="e">
        <f t="shared" si="210"/>
        <v>#REF!</v>
      </c>
      <c r="V220" s="371" t="e">
        <f t="shared" si="210"/>
        <v>#REF!</v>
      </c>
      <c r="W220" s="371" t="e">
        <f t="shared" si="210"/>
        <v>#REF!</v>
      </c>
      <c r="X220" s="371" t="e">
        <f t="shared" si="210"/>
        <v>#REF!</v>
      </c>
      <c r="Y220" s="371" t="e">
        <f t="shared" si="210"/>
        <v>#REF!</v>
      </c>
      <c r="Z220" s="371" t="e">
        <f t="shared" si="210"/>
        <v>#REF!</v>
      </c>
      <c r="AA220" s="371" t="e">
        <f t="shared" si="210"/>
        <v>#REF!</v>
      </c>
      <c r="AB220" s="50"/>
    </row>
    <row r="221" s="122" customFormat="1" ht="28.8" outlineLevel="2" spans="1:28">
      <c r="A221" s="52">
        <f>MAX($A$6:A220)+1</f>
        <v>184</v>
      </c>
      <c r="B221" s="51" t="s">
        <v>400</v>
      </c>
      <c r="C221" s="51" t="e">
        <f>VLOOKUP($B221,#REF!,MATCH(C$2,#REF!,0),0)</f>
        <v>#REF!</v>
      </c>
      <c r="D221" s="136"/>
      <c r="E221" s="136"/>
      <c r="F221" s="136" t="e">
        <f>VLOOKUP($B221,#REF!,MATCH(F$2,#REF!,0),0)</f>
        <v>#REF!</v>
      </c>
      <c r="G221" s="137" t="e">
        <f>VLOOKUP($B221,#REF!,MATCH(G$2,#REF!,0),0)</f>
        <v>#REF!</v>
      </c>
      <c r="H221" s="48"/>
      <c r="I221" s="48"/>
      <c r="J221" s="48"/>
      <c r="K221" s="48"/>
      <c r="L221" s="48"/>
      <c r="M221" s="48"/>
      <c r="N221" s="48"/>
      <c r="O221" s="48"/>
      <c r="P221" s="48">
        <v>1</v>
      </c>
      <c r="Q221" s="48">
        <v>1</v>
      </c>
      <c r="R221" s="371" t="e">
        <f t="shared" ref="R221:AA221" si="211">$G221*H221</f>
        <v>#REF!</v>
      </c>
      <c r="S221" s="371" t="e">
        <f t="shared" si="211"/>
        <v>#REF!</v>
      </c>
      <c r="T221" s="371" t="e">
        <f t="shared" si="211"/>
        <v>#REF!</v>
      </c>
      <c r="U221" s="371" t="e">
        <f t="shared" si="211"/>
        <v>#REF!</v>
      </c>
      <c r="V221" s="371" t="e">
        <f t="shared" si="211"/>
        <v>#REF!</v>
      </c>
      <c r="W221" s="371" t="e">
        <f t="shared" si="211"/>
        <v>#REF!</v>
      </c>
      <c r="X221" s="371" t="e">
        <f t="shared" si="211"/>
        <v>#REF!</v>
      </c>
      <c r="Y221" s="371" t="e">
        <f t="shared" si="211"/>
        <v>#REF!</v>
      </c>
      <c r="Z221" s="371" t="e">
        <f t="shared" si="211"/>
        <v>#REF!</v>
      </c>
      <c r="AA221" s="371" t="e">
        <f t="shared" si="211"/>
        <v>#REF!</v>
      </c>
      <c r="AB221" s="50"/>
    </row>
    <row r="222" outlineLevel="2" spans="1:28">
      <c r="A222" s="52">
        <f>MAX($A$6:A221)+1</f>
        <v>185</v>
      </c>
      <c r="B222" s="51" t="s">
        <v>406</v>
      </c>
      <c r="C222" s="51" t="e">
        <f>VLOOKUP($B222,#REF!,MATCH(C$2,#REF!,0),0)</f>
        <v>#REF!</v>
      </c>
      <c r="D222" s="136"/>
      <c r="E222" s="136"/>
      <c r="F222" s="136" t="e">
        <f>VLOOKUP($B222,#REF!,MATCH(F$2,#REF!,0),0)</f>
        <v>#REF!</v>
      </c>
      <c r="G222" s="137" t="e">
        <f>VLOOKUP($B222,#REF!,MATCH(G$2,#REF!,0),0)</f>
        <v>#REF!</v>
      </c>
      <c r="H222" s="48"/>
      <c r="I222" s="48"/>
      <c r="J222" s="48"/>
      <c r="K222" s="48"/>
      <c r="L222" s="48"/>
      <c r="M222" s="48"/>
      <c r="N222" s="48"/>
      <c r="O222" s="48"/>
      <c r="P222" s="48">
        <v>37.51</v>
      </c>
      <c r="Q222" s="48">
        <v>103.88</v>
      </c>
      <c r="R222" s="371" t="e">
        <f t="shared" ref="R222:AA222" si="212">$G222*H222</f>
        <v>#REF!</v>
      </c>
      <c r="S222" s="371" t="e">
        <f t="shared" si="212"/>
        <v>#REF!</v>
      </c>
      <c r="T222" s="371" t="e">
        <f t="shared" si="212"/>
        <v>#REF!</v>
      </c>
      <c r="U222" s="371" t="e">
        <f t="shared" si="212"/>
        <v>#REF!</v>
      </c>
      <c r="V222" s="371" t="e">
        <f t="shared" si="212"/>
        <v>#REF!</v>
      </c>
      <c r="W222" s="371" t="e">
        <f t="shared" si="212"/>
        <v>#REF!</v>
      </c>
      <c r="X222" s="371" t="e">
        <f t="shared" si="212"/>
        <v>#REF!</v>
      </c>
      <c r="Y222" s="371" t="e">
        <f t="shared" si="212"/>
        <v>#REF!</v>
      </c>
      <c r="Z222" s="371" t="e">
        <f t="shared" si="212"/>
        <v>#REF!</v>
      </c>
      <c r="AA222" s="371" t="e">
        <f t="shared" si="212"/>
        <v>#REF!</v>
      </c>
      <c r="AB222" s="50"/>
    </row>
    <row r="223" ht="28.8" outlineLevel="2" spans="1:28">
      <c r="A223" s="52">
        <f>MAX($A$6:A222)+1</f>
        <v>186</v>
      </c>
      <c r="B223" s="51" t="s">
        <v>407</v>
      </c>
      <c r="C223" s="51" t="e">
        <f>VLOOKUP($B223,#REF!,MATCH(C$2,#REF!,0),0)</f>
        <v>#REF!</v>
      </c>
      <c r="D223" s="136"/>
      <c r="E223" s="136"/>
      <c r="F223" s="136" t="e">
        <f>VLOOKUP($B223,#REF!,MATCH(F$2,#REF!,0),0)</f>
        <v>#REF!</v>
      </c>
      <c r="G223" s="137" t="e">
        <f>VLOOKUP($B223,#REF!,MATCH(G$2,#REF!,0),0)</f>
        <v>#REF!</v>
      </c>
      <c r="H223" s="48"/>
      <c r="I223" s="48"/>
      <c r="J223" s="48"/>
      <c r="K223" s="48"/>
      <c r="L223" s="48"/>
      <c r="M223" s="48"/>
      <c r="N223" s="48"/>
      <c r="O223" s="48"/>
      <c r="P223" s="48">
        <v>3200.828</v>
      </c>
      <c r="Q223" s="48">
        <v>7486.613</v>
      </c>
      <c r="R223" s="371" t="e">
        <f t="shared" ref="R223:AA223" si="213">$G223*H223</f>
        <v>#REF!</v>
      </c>
      <c r="S223" s="371" t="e">
        <f t="shared" si="213"/>
        <v>#REF!</v>
      </c>
      <c r="T223" s="371" t="e">
        <f t="shared" si="213"/>
        <v>#REF!</v>
      </c>
      <c r="U223" s="371" t="e">
        <f t="shared" si="213"/>
        <v>#REF!</v>
      </c>
      <c r="V223" s="371" t="e">
        <f t="shared" si="213"/>
        <v>#REF!</v>
      </c>
      <c r="W223" s="371" t="e">
        <f t="shared" si="213"/>
        <v>#REF!</v>
      </c>
      <c r="X223" s="371" t="e">
        <f t="shared" si="213"/>
        <v>#REF!</v>
      </c>
      <c r="Y223" s="371" t="e">
        <f t="shared" si="213"/>
        <v>#REF!</v>
      </c>
      <c r="Z223" s="371" t="e">
        <f t="shared" si="213"/>
        <v>#REF!</v>
      </c>
      <c r="AA223" s="371" t="e">
        <f t="shared" si="213"/>
        <v>#REF!</v>
      </c>
      <c r="AB223" s="50"/>
    </row>
    <row r="224" outlineLevel="2" spans="1:28">
      <c r="A224" s="52">
        <f>MAX($A$6:A223)+1</f>
        <v>187</v>
      </c>
      <c r="B224" s="51" t="s">
        <v>408</v>
      </c>
      <c r="C224" s="51" t="e">
        <f>VLOOKUP($B224,#REF!,MATCH(C$2,#REF!,0),0)</f>
        <v>#REF!</v>
      </c>
      <c r="D224" s="136"/>
      <c r="E224" s="136"/>
      <c r="F224" s="136" t="e">
        <f>VLOOKUP($B224,#REF!,MATCH(F$2,#REF!,0),0)</f>
        <v>#REF!</v>
      </c>
      <c r="G224" s="137" t="e">
        <f>VLOOKUP($B224,#REF!,MATCH(G$2,#REF!,0),0)</f>
        <v>#REF!</v>
      </c>
      <c r="H224" s="48"/>
      <c r="I224" s="48"/>
      <c r="J224" s="48"/>
      <c r="K224" s="48"/>
      <c r="L224" s="48"/>
      <c r="M224" s="48"/>
      <c r="N224" s="48"/>
      <c r="O224" s="48"/>
      <c r="P224" s="48">
        <v>0.15</v>
      </c>
      <c r="Q224" s="48">
        <v>0.21</v>
      </c>
      <c r="R224" s="371" t="e">
        <f t="shared" ref="R224:AA224" si="214">$G224*H224</f>
        <v>#REF!</v>
      </c>
      <c r="S224" s="371" t="e">
        <f t="shared" si="214"/>
        <v>#REF!</v>
      </c>
      <c r="T224" s="371" t="e">
        <f t="shared" si="214"/>
        <v>#REF!</v>
      </c>
      <c r="U224" s="371" t="e">
        <f t="shared" si="214"/>
        <v>#REF!</v>
      </c>
      <c r="V224" s="371" t="e">
        <f t="shared" si="214"/>
        <v>#REF!</v>
      </c>
      <c r="W224" s="371" t="e">
        <f t="shared" si="214"/>
        <v>#REF!</v>
      </c>
      <c r="X224" s="371" t="e">
        <f t="shared" si="214"/>
        <v>#REF!</v>
      </c>
      <c r="Y224" s="371" t="e">
        <f t="shared" si="214"/>
        <v>#REF!</v>
      </c>
      <c r="Z224" s="371" t="e">
        <f t="shared" si="214"/>
        <v>#REF!</v>
      </c>
      <c r="AA224" s="371" t="e">
        <f t="shared" si="214"/>
        <v>#REF!</v>
      </c>
      <c r="AB224" s="50"/>
    </row>
    <row r="225" ht="28.8" outlineLevel="2" spans="1:28">
      <c r="A225" s="52">
        <f>MAX($A$6:A224)+1</f>
        <v>188</v>
      </c>
      <c r="B225" s="51" t="s">
        <v>409</v>
      </c>
      <c r="C225" s="51" t="e">
        <f>VLOOKUP($B225,#REF!,MATCH(C$2,#REF!,0),0)</f>
        <v>#REF!</v>
      </c>
      <c r="D225" s="136"/>
      <c r="E225" s="136"/>
      <c r="F225" s="136" t="e">
        <f>VLOOKUP($B225,#REF!,MATCH(F$2,#REF!,0),0)</f>
        <v>#REF!</v>
      </c>
      <c r="G225" s="137" t="e">
        <f>VLOOKUP($B225,#REF!,MATCH(G$2,#REF!,0),0)</f>
        <v>#REF!</v>
      </c>
      <c r="H225" s="48"/>
      <c r="I225" s="48"/>
      <c r="J225" s="48"/>
      <c r="K225" s="48"/>
      <c r="L225" s="48"/>
      <c r="M225" s="48"/>
      <c r="N225" s="48"/>
      <c r="O225" s="48"/>
      <c r="P225" s="48">
        <v>32.31</v>
      </c>
      <c r="Q225" s="48">
        <v>51.39</v>
      </c>
      <c r="R225" s="371" t="e">
        <f t="shared" ref="R225:AA225" si="215">$G225*H225</f>
        <v>#REF!</v>
      </c>
      <c r="S225" s="371" t="e">
        <f t="shared" si="215"/>
        <v>#REF!</v>
      </c>
      <c r="T225" s="371" t="e">
        <f t="shared" si="215"/>
        <v>#REF!</v>
      </c>
      <c r="U225" s="371" t="e">
        <f t="shared" si="215"/>
        <v>#REF!</v>
      </c>
      <c r="V225" s="371" t="e">
        <f t="shared" si="215"/>
        <v>#REF!</v>
      </c>
      <c r="W225" s="371" t="e">
        <f t="shared" si="215"/>
        <v>#REF!</v>
      </c>
      <c r="X225" s="371" t="e">
        <f t="shared" si="215"/>
        <v>#REF!</v>
      </c>
      <c r="Y225" s="371" t="e">
        <f t="shared" si="215"/>
        <v>#REF!</v>
      </c>
      <c r="Z225" s="371" t="e">
        <f t="shared" si="215"/>
        <v>#REF!</v>
      </c>
      <c r="AA225" s="371" t="e">
        <f t="shared" si="215"/>
        <v>#REF!</v>
      </c>
      <c r="AB225" s="50"/>
    </row>
    <row r="226" s="355" customFormat="1" spans="1:28">
      <c r="A226" s="130"/>
      <c r="B226" s="131" t="str">
        <f>目录!G14</f>
        <v>A.05简易装修工程</v>
      </c>
      <c r="C226" s="131"/>
      <c r="D226" s="154"/>
      <c r="E226" s="154"/>
      <c r="F226" s="154"/>
      <c r="G226" s="359"/>
      <c r="H226" s="134"/>
      <c r="I226" s="134"/>
      <c r="J226" s="134"/>
      <c r="K226" s="134"/>
      <c r="L226" s="134"/>
      <c r="M226" s="134"/>
      <c r="N226" s="134"/>
      <c r="O226" s="134"/>
      <c r="P226" s="134"/>
      <c r="Q226" s="134"/>
      <c r="R226" s="367" t="e">
        <f t="shared" ref="R226:AA226" si="216">SUM(R227,R259,R286)</f>
        <v>#REF!</v>
      </c>
      <c r="S226" s="367" t="e">
        <f t="shared" si="216"/>
        <v>#REF!</v>
      </c>
      <c r="T226" s="367" t="e">
        <f t="shared" si="216"/>
        <v>#REF!</v>
      </c>
      <c r="U226" s="367" t="e">
        <f t="shared" si="216"/>
        <v>#REF!</v>
      </c>
      <c r="V226" s="367" t="e">
        <f t="shared" si="216"/>
        <v>#REF!</v>
      </c>
      <c r="W226" s="367" t="e">
        <f t="shared" si="216"/>
        <v>#REF!</v>
      </c>
      <c r="X226" s="367" t="e">
        <f t="shared" si="216"/>
        <v>#REF!</v>
      </c>
      <c r="Y226" s="367" t="e">
        <f t="shared" si="216"/>
        <v>#REF!</v>
      </c>
      <c r="Z226" s="367" t="e">
        <f t="shared" si="216"/>
        <v>#REF!</v>
      </c>
      <c r="AA226" s="367" t="e">
        <f t="shared" si="216"/>
        <v>#REF!</v>
      </c>
      <c r="AB226" s="130"/>
    </row>
    <row r="227" s="29" customFormat="1" ht="28.8" outlineLevel="1" spans="1:28">
      <c r="A227" s="40"/>
      <c r="B227" s="41" t="str">
        <f>目录!H14</f>
        <v>A.05.01地面装饰工程</v>
      </c>
      <c r="C227" s="41"/>
      <c r="D227" s="141"/>
      <c r="E227" s="141"/>
      <c r="F227" s="40"/>
      <c r="G227" s="43"/>
      <c r="H227" s="43"/>
      <c r="I227" s="43"/>
      <c r="J227" s="43"/>
      <c r="K227" s="43"/>
      <c r="L227" s="43"/>
      <c r="M227" s="43"/>
      <c r="N227" s="43"/>
      <c r="O227" s="43"/>
      <c r="P227" s="43"/>
      <c r="Q227" s="43"/>
      <c r="R227" s="369" t="e">
        <f t="shared" ref="R227:AA227" si="217">SUM(R228:R258)</f>
        <v>#REF!</v>
      </c>
      <c r="S227" s="369" t="e">
        <f t="shared" si="217"/>
        <v>#REF!</v>
      </c>
      <c r="T227" s="369" t="e">
        <f t="shared" si="217"/>
        <v>#REF!</v>
      </c>
      <c r="U227" s="369" t="e">
        <f t="shared" si="217"/>
        <v>#REF!</v>
      </c>
      <c r="V227" s="369" t="e">
        <f t="shared" si="217"/>
        <v>#REF!</v>
      </c>
      <c r="W227" s="369" t="e">
        <f t="shared" si="217"/>
        <v>#REF!</v>
      </c>
      <c r="X227" s="369" t="e">
        <f t="shared" si="217"/>
        <v>#REF!</v>
      </c>
      <c r="Y227" s="369" t="e">
        <f t="shared" si="217"/>
        <v>#REF!</v>
      </c>
      <c r="Z227" s="369" t="e">
        <f t="shared" si="217"/>
        <v>#REF!</v>
      </c>
      <c r="AA227" s="369" t="e">
        <f t="shared" si="217"/>
        <v>#REF!</v>
      </c>
      <c r="AB227" s="40"/>
    </row>
    <row r="228" outlineLevel="2" spans="1:28">
      <c r="A228" s="52">
        <f>MAX($A$6:A227)+1</f>
        <v>189</v>
      </c>
      <c r="B228" s="51" t="s">
        <v>410</v>
      </c>
      <c r="C228" s="51" t="e">
        <f>VLOOKUP($B228,#REF!,MATCH(C$2,#REF!,0),0)</f>
        <v>#REF!</v>
      </c>
      <c r="D228" s="136"/>
      <c r="E228" s="136"/>
      <c r="F228" s="136" t="e">
        <f>VLOOKUP($B228,#REF!,MATCH(F$2,#REF!,0),0)</f>
        <v>#REF!</v>
      </c>
      <c r="G228" s="137" t="e">
        <f>VLOOKUP($B228,#REF!,MATCH(G$2,#REF!,0),0)</f>
        <v>#REF!</v>
      </c>
      <c r="H228" s="48">
        <v>21.53</v>
      </c>
      <c r="I228" s="48">
        <v>21.53</v>
      </c>
      <c r="J228" s="48">
        <v>14.17</v>
      </c>
      <c r="K228" s="48">
        <v>14.17</v>
      </c>
      <c r="L228" s="48">
        <v>9.74</v>
      </c>
      <c r="M228" s="48"/>
      <c r="N228" s="48"/>
      <c r="O228" s="48"/>
      <c r="P228" s="48"/>
      <c r="Q228" s="48"/>
      <c r="R228" s="371" t="e">
        <f>$G228*H228</f>
        <v>#REF!</v>
      </c>
      <c r="S228" s="371" t="e">
        <f t="shared" ref="S228:AA228" si="218">$G228*I228</f>
        <v>#REF!</v>
      </c>
      <c r="T228" s="371" t="e">
        <f t="shared" si="218"/>
        <v>#REF!</v>
      </c>
      <c r="U228" s="371" t="e">
        <f t="shared" si="218"/>
        <v>#REF!</v>
      </c>
      <c r="V228" s="371" t="e">
        <f t="shared" si="218"/>
        <v>#REF!</v>
      </c>
      <c r="W228" s="371" t="e">
        <f t="shared" si="218"/>
        <v>#REF!</v>
      </c>
      <c r="X228" s="371" t="e">
        <f t="shared" si="218"/>
        <v>#REF!</v>
      </c>
      <c r="Y228" s="371" t="e">
        <f t="shared" si="218"/>
        <v>#REF!</v>
      </c>
      <c r="Z228" s="371" t="e">
        <f t="shared" si="218"/>
        <v>#REF!</v>
      </c>
      <c r="AA228" s="371" t="e">
        <f t="shared" si="218"/>
        <v>#REF!</v>
      </c>
      <c r="AB228" s="50"/>
    </row>
    <row r="229" ht="28.8" outlineLevel="2" spans="1:28">
      <c r="A229" s="52">
        <f>MAX($A$6:A228)+1</f>
        <v>190</v>
      </c>
      <c r="B229" s="51" t="s">
        <v>411</v>
      </c>
      <c r="C229" s="51" t="e">
        <f>VLOOKUP($B229,#REF!,MATCH(C$2,#REF!,0),0)</f>
        <v>#REF!</v>
      </c>
      <c r="D229" s="136"/>
      <c r="E229" s="136"/>
      <c r="F229" s="136" t="e">
        <f>VLOOKUP($B229,#REF!,MATCH(F$2,#REF!,0),0)</f>
        <v>#REF!</v>
      </c>
      <c r="G229" s="137" t="e">
        <f>VLOOKUP($B229,#REF!,MATCH(G$2,#REF!,0),0)</f>
        <v>#REF!</v>
      </c>
      <c r="H229" s="48">
        <v>281.72</v>
      </c>
      <c r="I229" s="48">
        <v>281.72</v>
      </c>
      <c r="J229" s="48">
        <v>62.61</v>
      </c>
      <c r="K229" s="48">
        <v>62.61</v>
      </c>
      <c r="L229" s="48">
        <v>76</v>
      </c>
      <c r="M229" s="48"/>
      <c r="N229" s="48"/>
      <c r="O229" s="48"/>
      <c r="P229" s="48"/>
      <c r="Q229" s="48"/>
      <c r="R229" s="371" t="e">
        <f t="shared" ref="R229:AA229" si="219">$G229*H229</f>
        <v>#REF!</v>
      </c>
      <c r="S229" s="371" t="e">
        <f t="shared" si="219"/>
        <v>#REF!</v>
      </c>
      <c r="T229" s="371" t="e">
        <f t="shared" si="219"/>
        <v>#REF!</v>
      </c>
      <c r="U229" s="371" t="e">
        <f t="shared" si="219"/>
        <v>#REF!</v>
      </c>
      <c r="V229" s="371" t="e">
        <f t="shared" si="219"/>
        <v>#REF!</v>
      </c>
      <c r="W229" s="371" t="e">
        <f t="shared" si="219"/>
        <v>#REF!</v>
      </c>
      <c r="X229" s="371" t="e">
        <f t="shared" si="219"/>
        <v>#REF!</v>
      </c>
      <c r="Y229" s="371" t="e">
        <f t="shared" si="219"/>
        <v>#REF!</v>
      </c>
      <c r="Z229" s="371" t="e">
        <f t="shared" si="219"/>
        <v>#REF!</v>
      </c>
      <c r="AA229" s="371" t="e">
        <f t="shared" si="219"/>
        <v>#REF!</v>
      </c>
      <c r="AB229" s="50"/>
    </row>
    <row r="230" outlineLevel="2" spans="1:28">
      <c r="A230" s="52">
        <f>MAX($A$6:A229)+1</f>
        <v>191</v>
      </c>
      <c r="B230" s="51" t="s">
        <v>412</v>
      </c>
      <c r="C230" s="51" t="e">
        <f>VLOOKUP($B230,#REF!,MATCH(C$2,#REF!,0),0)</f>
        <v>#REF!</v>
      </c>
      <c r="D230" s="136"/>
      <c r="E230" s="136"/>
      <c r="F230" s="136" t="e">
        <f>VLOOKUP($B230,#REF!,MATCH(F$2,#REF!,0),0)</f>
        <v>#REF!</v>
      </c>
      <c r="G230" s="137" t="e">
        <f>VLOOKUP($B230,#REF!,MATCH(G$2,#REF!,0),0)</f>
        <v>#REF!</v>
      </c>
      <c r="H230" s="48">
        <v>1</v>
      </c>
      <c r="I230" s="48">
        <v>1</v>
      </c>
      <c r="J230" s="48">
        <v>1</v>
      </c>
      <c r="K230" s="48">
        <v>1</v>
      </c>
      <c r="L230" s="48"/>
      <c r="M230" s="48"/>
      <c r="N230" s="48"/>
      <c r="O230" s="48"/>
      <c r="P230" s="48"/>
      <c r="Q230" s="48"/>
      <c r="R230" s="371" t="e">
        <f t="shared" ref="R230:AA230" si="220">$G230*H230</f>
        <v>#REF!</v>
      </c>
      <c r="S230" s="371" t="e">
        <f t="shared" si="220"/>
        <v>#REF!</v>
      </c>
      <c r="T230" s="371" t="e">
        <f t="shared" si="220"/>
        <v>#REF!</v>
      </c>
      <c r="U230" s="371" t="e">
        <f t="shared" si="220"/>
        <v>#REF!</v>
      </c>
      <c r="V230" s="371" t="e">
        <f t="shared" si="220"/>
        <v>#REF!</v>
      </c>
      <c r="W230" s="371" t="e">
        <f t="shared" si="220"/>
        <v>#REF!</v>
      </c>
      <c r="X230" s="371" t="e">
        <f t="shared" si="220"/>
        <v>#REF!</v>
      </c>
      <c r="Y230" s="371" t="e">
        <f t="shared" si="220"/>
        <v>#REF!</v>
      </c>
      <c r="Z230" s="371" t="e">
        <f t="shared" si="220"/>
        <v>#REF!</v>
      </c>
      <c r="AA230" s="371" t="e">
        <f t="shared" si="220"/>
        <v>#REF!</v>
      </c>
      <c r="AB230" s="50"/>
    </row>
    <row r="231" ht="28.8" outlineLevel="2" spans="1:28">
      <c r="A231" s="52">
        <f>MAX($A$6:A230)+1</f>
        <v>192</v>
      </c>
      <c r="B231" s="51" t="s">
        <v>413</v>
      </c>
      <c r="C231" s="51" t="e">
        <f>VLOOKUP($B231,#REF!,MATCH(C$2,#REF!,0),0)</f>
        <v>#REF!</v>
      </c>
      <c r="D231" s="136"/>
      <c r="E231" s="136"/>
      <c r="F231" s="136" t="e">
        <f>VLOOKUP($B231,#REF!,MATCH(F$2,#REF!,0),0)</f>
        <v>#REF!</v>
      </c>
      <c r="G231" s="137" t="e">
        <f>VLOOKUP($B231,#REF!,MATCH(G$2,#REF!,0),0)</f>
        <v>#REF!</v>
      </c>
      <c r="H231" s="48"/>
      <c r="I231" s="48"/>
      <c r="J231" s="48"/>
      <c r="K231" s="48"/>
      <c r="L231" s="48"/>
      <c r="M231" s="48"/>
      <c r="N231" s="48"/>
      <c r="O231" s="48"/>
      <c r="P231" s="48"/>
      <c r="Q231" s="48"/>
      <c r="R231" s="371" t="e">
        <f t="shared" ref="R231:AA231" si="221">$G231*H231</f>
        <v>#REF!</v>
      </c>
      <c r="S231" s="371" t="e">
        <f t="shared" si="221"/>
        <v>#REF!</v>
      </c>
      <c r="T231" s="371" t="e">
        <f t="shared" si="221"/>
        <v>#REF!</v>
      </c>
      <c r="U231" s="371" t="e">
        <f t="shared" si="221"/>
        <v>#REF!</v>
      </c>
      <c r="V231" s="371" t="e">
        <f t="shared" si="221"/>
        <v>#REF!</v>
      </c>
      <c r="W231" s="371" t="e">
        <f t="shared" si="221"/>
        <v>#REF!</v>
      </c>
      <c r="X231" s="371" t="e">
        <f t="shared" si="221"/>
        <v>#REF!</v>
      </c>
      <c r="Y231" s="371" t="e">
        <f t="shared" si="221"/>
        <v>#REF!</v>
      </c>
      <c r="Z231" s="371" t="e">
        <f t="shared" si="221"/>
        <v>#REF!</v>
      </c>
      <c r="AA231" s="371" t="e">
        <f t="shared" si="221"/>
        <v>#REF!</v>
      </c>
      <c r="AB231" s="50"/>
    </row>
    <row r="232" outlineLevel="2" spans="1:28">
      <c r="A232" s="52">
        <f>MAX($A$6:A231)+1</f>
        <v>193</v>
      </c>
      <c r="B232" s="51" t="s">
        <v>414</v>
      </c>
      <c r="C232" s="51" t="e">
        <f>VLOOKUP($B232,#REF!,MATCH(C$2,#REF!,0),0)</f>
        <v>#REF!</v>
      </c>
      <c r="D232" s="136"/>
      <c r="E232" s="136"/>
      <c r="F232" s="136" t="e">
        <f>VLOOKUP($B232,#REF!,MATCH(F$2,#REF!,0),0)</f>
        <v>#REF!</v>
      </c>
      <c r="G232" s="137" t="e">
        <f>VLOOKUP($B232,#REF!,MATCH(G$2,#REF!,0),0)</f>
        <v>#REF!</v>
      </c>
      <c r="H232" s="48">
        <v>15.33</v>
      </c>
      <c r="I232" s="48">
        <v>15.33</v>
      </c>
      <c r="J232" s="48">
        <v>6.68</v>
      </c>
      <c r="K232" s="48">
        <v>6.68</v>
      </c>
      <c r="L232" s="48"/>
      <c r="M232" s="48"/>
      <c r="N232" s="48"/>
      <c r="O232" s="48"/>
      <c r="P232" s="48"/>
      <c r="Q232" s="48"/>
      <c r="R232" s="371" t="e">
        <f t="shared" ref="R232:AA232" si="222">$G232*H232</f>
        <v>#REF!</v>
      </c>
      <c r="S232" s="371" t="e">
        <f t="shared" si="222"/>
        <v>#REF!</v>
      </c>
      <c r="T232" s="371" t="e">
        <f t="shared" si="222"/>
        <v>#REF!</v>
      </c>
      <c r="U232" s="371" t="e">
        <f t="shared" si="222"/>
        <v>#REF!</v>
      </c>
      <c r="V232" s="371" t="e">
        <f t="shared" si="222"/>
        <v>#REF!</v>
      </c>
      <c r="W232" s="371" t="e">
        <f t="shared" si="222"/>
        <v>#REF!</v>
      </c>
      <c r="X232" s="371" t="e">
        <f t="shared" si="222"/>
        <v>#REF!</v>
      </c>
      <c r="Y232" s="371" t="e">
        <f t="shared" si="222"/>
        <v>#REF!</v>
      </c>
      <c r="Z232" s="371" t="e">
        <f t="shared" si="222"/>
        <v>#REF!</v>
      </c>
      <c r="AA232" s="371" t="e">
        <f t="shared" si="222"/>
        <v>#REF!</v>
      </c>
      <c r="AB232" s="50"/>
    </row>
    <row r="233" outlineLevel="2" spans="1:28">
      <c r="A233" s="52">
        <f>MAX($A$6:A232)+1</f>
        <v>194</v>
      </c>
      <c r="B233" s="51" t="s">
        <v>415</v>
      </c>
      <c r="C233" s="51" t="e">
        <f>VLOOKUP($B233,#REF!,MATCH(C$2,#REF!,0),0)</f>
        <v>#REF!</v>
      </c>
      <c r="D233" s="136"/>
      <c r="E233" s="136"/>
      <c r="F233" s="136" t="e">
        <f>VLOOKUP($B233,#REF!,MATCH(F$2,#REF!,0),0)</f>
        <v>#REF!</v>
      </c>
      <c r="G233" s="137" t="e">
        <f>VLOOKUP($B233,#REF!,MATCH(G$2,#REF!,0),0)</f>
        <v>#REF!</v>
      </c>
      <c r="H233" s="48">
        <v>6.08</v>
      </c>
      <c r="I233" s="48">
        <v>6.08</v>
      </c>
      <c r="J233" s="48">
        <v>1</v>
      </c>
      <c r="K233" s="48">
        <v>1</v>
      </c>
      <c r="L233" s="48"/>
      <c r="M233" s="48"/>
      <c r="N233" s="48"/>
      <c r="O233" s="48"/>
      <c r="P233" s="48"/>
      <c r="Q233" s="48"/>
      <c r="R233" s="371" t="e">
        <f t="shared" ref="R233:AA233" si="223">$G233*H233</f>
        <v>#REF!</v>
      </c>
      <c r="S233" s="371" t="e">
        <f t="shared" si="223"/>
        <v>#REF!</v>
      </c>
      <c r="T233" s="371" t="e">
        <f t="shared" si="223"/>
        <v>#REF!</v>
      </c>
      <c r="U233" s="371" t="e">
        <f t="shared" si="223"/>
        <v>#REF!</v>
      </c>
      <c r="V233" s="371" t="e">
        <f t="shared" si="223"/>
        <v>#REF!</v>
      </c>
      <c r="W233" s="371" t="e">
        <f t="shared" si="223"/>
        <v>#REF!</v>
      </c>
      <c r="X233" s="371" t="e">
        <f t="shared" si="223"/>
        <v>#REF!</v>
      </c>
      <c r="Y233" s="371" t="e">
        <f t="shared" si="223"/>
        <v>#REF!</v>
      </c>
      <c r="Z233" s="371" t="e">
        <f t="shared" si="223"/>
        <v>#REF!</v>
      </c>
      <c r="AA233" s="371" t="e">
        <f t="shared" si="223"/>
        <v>#REF!</v>
      </c>
      <c r="AB233" s="50"/>
    </row>
    <row r="234" outlineLevel="2" spans="1:28">
      <c r="A234" s="52">
        <f>MAX($A$6:A233)+1</f>
        <v>195</v>
      </c>
      <c r="B234" s="51" t="s">
        <v>416</v>
      </c>
      <c r="C234" s="51" t="e">
        <f>VLOOKUP($B234,#REF!,MATCH(C$2,#REF!,0),0)</f>
        <v>#REF!</v>
      </c>
      <c r="D234" s="136"/>
      <c r="E234" s="136"/>
      <c r="F234" s="136" t="e">
        <f>VLOOKUP($B234,#REF!,MATCH(F$2,#REF!,0),0)</f>
        <v>#REF!</v>
      </c>
      <c r="G234" s="137" t="e">
        <f>VLOOKUP($B234,#REF!,MATCH(G$2,#REF!,0),0)</f>
        <v>#REF!</v>
      </c>
      <c r="H234" s="48">
        <v>295.23</v>
      </c>
      <c r="I234" s="48">
        <v>1</v>
      </c>
      <c r="J234" s="48">
        <v>474.56</v>
      </c>
      <c r="K234" s="48">
        <v>474.56</v>
      </c>
      <c r="L234" s="48"/>
      <c r="M234" s="48"/>
      <c r="N234" s="48"/>
      <c r="O234" s="48"/>
      <c r="P234" s="48"/>
      <c r="Q234" s="48"/>
      <c r="R234" s="371" t="e">
        <f t="shared" ref="R234:AA234" si="224">$G234*H234</f>
        <v>#REF!</v>
      </c>
      <c r="S234" s="371" t="e">
        <f t="shared" si="224"/>
        <v>#REF!</v>
      </c>
      <c r="T234" s="371" t="e">
        <f t="shared" si="224"/>
        <v>#REF!</v>
      </c>
      <c r="U234" s="371" t="e">
        <f t="shared" si="224"/>
        <v>#REF!</v>
      </c>
      <c r="V234" s="371" t="e">
        <f t="shared" si="224"/>
        <v>#REF!</v>
      </c>
      <c r="W234" s="371" t="e">
        <f t="shared" si="224"/>
        <v>#REF!</v>
      </c>
      <c r="X234" s="371" t="e">
        <f t="shared" si="224"/>
        <v>#REF!</v>
      </c>
      <c r="Y234" s="371" t="e">
        <f t="shared" si="224"/>
        <v>#REF!</v>
      </c>
      <c r="Z234" s="371" t="e">
        <f t="shared" si="224"/>
        <v>#REF!</v>
      </c>
      <c r="AA234" s="371" t="e">
        <f t="shared" si="224"/>
        <v>#REF!</v>
      </c>
      <c r="AB234" s="50"/>
    </row>
    <row r="235" ht="28.8" outlineLevel="2" spans="1:28">
      <c r="A235" s="52">
        <f>MAX($A$6:A234)+1</f>
        <v>196</v>
      </c>
      <c r="B235" s="51" t="s">
        <v>417</v>
      </c>
      <c r="C235" s="51" t="e">
        <f>VLOOKUP($B235,#REF!,MATCH(C$2,#REF!,0),0)</f>
        <v>#REF!</v>
      </c>
      <c r="D235" s="136"/>
      <c r="E235" s="136"/>
      <c r="F235" s="136" t="e">
        <f>VLOOKUP($B235,#REF!,MATCH(F$2,#REF!,0),0)</f>
        <v>#REF!</v>
      </c>
      <c r="G235" s="137" t="e">
        <f>VLOOKUP($B235,#REF!,MATCH(G$2,#REF!,0),0)</f>
        <v>#REF!</v>
      </c>
      <c r="H235" s="48">
        <v>30.98</v>
      </c>
      <c r="I235" s="48">
        <v>30.98</v>
      </c>
      <c r="J235" s="48">
        <v>30.98</v>
      </c>
      <c r="K235" s="48">
        <v>30.98</v>
      </c>
      <c r="L235" s="48">
        <v>67</v>
      </c>
      <c r="M235" s="48"/>
      <c r="N235" s="48"/>
      <c r="O235" s="48"/>
      <c r="P235" s="48"/>
      <c r="Q235" s="48"/>
      <c r="R235" s="371" t="e">
        <f t="shared" ref="R235:AA235" si="225">$G235*H235</f>
        <v>#REF!</v>
      </c>
      <c r="S235" s="371" t="e">
        <f t="shared" si="225"/>
        <v>#REF!</v>
      </c>
      <c r="T235" s="371" t="e">
        <f t="shared" si="225"/>
        <v>#REF!</v>
      </c>
      <c r="U235" s="371" t="e">
        <f t="shared" si="225"/>
        <v>#REF!</v>
      </c>
      <c r="V235" s="371" t="e">
        <f t="shared" si="225"/>
        <v>#REF!</v>
      </c>
      <c r="W235" s="371" t="e">
        <f t="shared" si="225"/>
        <v>#REF!</v>
      </c>
      <c r="X235" s="371" t="e">
        <f t="shared" si="225"/>
        <v>#REF!</v>
      </c>
      <c r="Y235" s="371" t="e">
        <f t="shared" si="225"/>
        <v>#REF!</v>
      </c>
      <c r="Z235" s="371" t="e">
        <f t="shared" si="225"/>
        <v>#REF!</v>
      </c>
      <c r="AA235" s="371" t="e">
        <f t="shared" si="225"/>
        <v>#REF!</v>
      </c>
      <c r="AB235" s="50"/>
    </row>
    <row r="236" ht="28.8" outlineLevel="2" spans="1:28">
      <c r="A236" s="52">
        <f>MAX($A$6:A235)+1</f>
        <v>197</v>
      </c>
      <c r="B236" s="51" t="s">
        <v>418</v>
      </c>
      <c r="C236" s="51" t="e">
        <f>VLOOKUP($B236,#REF!,MATCH(C$2,#REF!,0),0)</f>
        <v>#REF!</v>
      </c>
      <c r="D236" s="136"/>
      <c r="E236" s="136"/>
      <c r="F236" s="136" t="e">
        <f>VLOOKUP($B236,#REF!,MATCH(F$2,#REF!,0),0)</f>
        <v>#REF!</v>
      </c>
      <c r="G236" s="137" t="e">
        <f>VLOOKUP($B236,#REF!,MATCH(G$2,#REF!,0),0)</f>
        <v>#REF!</v>
      </c>
      <c r="H236" s="48"/>
      <c r="I236" s="48"/>
      <c r="J236" s="48"/>
      <c r="K236" s="48"/>
      <c r="L236" s="48"/>
      <c r="M236" s="48"/>
      <c r="N236" s="48"/>
      <c r="O236" s="48"/>
      <c r="P236" s="48"/>
      <c r="Q236" s="48"/>
      <c r="R236" s="371" t="e">
        <f t="shared" ref="R236:AA236" si="226">$G236*H236</f>
        <v>#REF!</v>
      </c>
      <c r="S236" s="371" t="e">
        <f t="shared" si="226"/>
        <v>#REF!</v>
      </c>
      <c r="T236" s="371" t="e">
        <f t="shared" si="226"/>
        <v>#REF!</v>
      </c>
      <c r="U236" s="371" t="e">
        <f t="shared" si="226"/>
        <v>#REF!</v>
      </c>
      <c r="V236" s="371" t="e">
        <f t="shared" si="226"/>
        <v>#REF!</v>
      </c>
      <c r="W236" s="371" t="e">
        <f t="shared" si="226"/>
        <v>#REF!</v>
      </c>
      <c r="X236" s="371" t="e">
        <f t="shared" si="226"/>
        <v>#REF!</v>
      </c>
      <c r="Y236" s="371" t="e">
        <f t="shared" si="226"/>
        <v>#REF!</v>
      </c>
      <c r="Z236" s="371" t="e">
        <f t="shared" si="226"/>
        <v>#REF!</v>
      </c>
      <c r="AA236" s="371" t="e">
        <f t="shared" si="226"/>
        <v>#REF!</v>
      </c>
      <c r="AB236" s="50"/>
    </row>
    <row r="237" ht="28.8" outlineLevel="2" spans="1:28">
      <c r="A237" s="52">
        <f>MAX($A$6:A236)+1</f>
        <v>198</v>
      </c>
      <c r="B237" s="51" t="s">
        <v>419</v>
      </c>
      <c r="C237" s="51" t="e">
        <f>VLOOKUP($B237,#REF!,MATCH(C$2,#REF!,0),0)</f>
        <v>#REF!</v>
      </c>
      <c r="D237" s="136"/>
      <c r="E237" s="136"/>
      <c r="F237" s="136" t="e">
        <f>VLOOKUP($B237,#REF!,MATCH(F$2,#REF!,0),0)</f>
        <v>#REF!</v>
      </c>
      <c r="G237" s="137" t="e">
        <f>VLOOKUP($B237,#REF!,MATCH(G$2,#REF!,0),0)</f>
        <v>#REF!</v>
      </c>
      <c r="H237" s="48"/>
      <c r="I237" s="48"/>
      <c r="J237" s="48"/>
      <c r="K237" s="48"/>
      <c r="L237" s="48"/>
      <c r="M237" s="48"/>
      <c r="N237" s="48"/>
      <c r="O237" s="48"/>
      <c r="P237" s="48"/>
      <c r="Q237" s="48"/>
      <c r="R237" s="371" t="e">
        <f t="shared" ref="R237:AA237" si="227">$G237*H237</f>
        <v>#REF!</v>
      </c>
      <c r="S237" s="371" t="e">
        <f t="shared" si="227"/>
        <v>#REF!</v>
      </c>
      <c r="T237" s="371" t="e">
        <f t="shared" si="227"/>
        <v>#REF!</v>
      </c>
      <c r="U237" s="371" t="e">
        <f t="shared" si="227"/>
        <v>#REF!</v>
      </c>
      <c r="V237" s="371" t="e">
        <f t="shared" si="227"/>
        <v>#REF!</v>
      </c>
      <c r="W237" s="371" t="e">
        <f t="shared" si="227"/>
        <v>#REF!</v>
      </c>
      <c r="X237" s="371" t="e">
        <f t="shared" si="227"/>
        <v>#REF!</v>
      </c>
      <c r="Y237" s="371" t="e">
        <f t="shared" si="227"/>
        <v>#REF!</v>
      </c>
      <c r="Z237" s="371" t="e">
        <f t="shared" si="227"/>
        <v>#REF!</v>
      </c>
      <c r="AA237" s="371" t="e">
        <f t="shared" si="227"/>
        <v>#REF!</v>
      </c>
      <c r="AB237" s="50"/>
    </row>
    <row r="238" ht="28.8" outlineLevel="2" spans="1:28">
      <c r="A238" s="52">
        <f>MAX($A$6:A237)+1</f>
        <v>199</v>
      </c>
      <c r="B238" s="51" t="s">
        <v>420</v>
      </c>
      <c r="C238" s="51" t="e">
        <f>VLOOKUP($B238,#REF!,MATCH(C$2,#REF!,0),0)</f>
        <v>#REF!</v>
      </c>
      <c r="D238" s="136"/>
      <c r="E238" s="136"/>
      <c r="F238" s="136" t="e">
        <f>VLOOKUP($B238,#REF!,MATCH(F$2,#REF!,0),0)</f>
        <v>#REF!</v>
      </c>
      <c r="G238" s="137" t="e">
        <f>VLOOKUP($B238,#REF!,MATCH(G$2,#REF!,0),0)</f>
        <v>#REF!</v>
      </c>
      <c r="H238" s="48">
        <v>120.04</v>
      </c>
      <c r="I238" s="48">
        <v>120.04</v>
      </c>
      <c r="J238" s="48">
        <v>22.24</v>
      </c>
      <c r="K238" s="48">
        <v>22.24</v>
      </c>
      <c r="L238" s="48">
        <v>46</v>
      </c>
      <c r="M238" s="48"/>
      <c r="N238" s="48"/>
      <c r="O238" s="48"/>
      <c r="P238" s="48"/>
      <c r="Q238" s="48"/>
      <c r="R238" s="371" t="e">
        <f t="shared" ref="R238:AA238" si="228">$G238*H238</f>
        <v>#REF!</v>
      </c>
      <c r="S238" s="371" t="e">
        <f t="shared" si="228"/>
        <v>#REF!</v>
      </c>
      <c r="T238" s="371" t="e">
        <f t="shared" si="228"/>
        <v>#REF!</v>
      </c>
      <c r="U238" s="371" t="e">
        <f t="shared" si="228"/>
        <v>#REF!</v>
      </c>
      <c r="V238" s="371" t="e">
        <f t="shared" si="228"/>
        <v>#REF!</v>
      </c>
      <c r="W238" s="371" t="e">
        <f t="shared" si="228"/>
        <v>#REF!</v>
      </c>
      <c r="X238" s="371" t="e">
        <f t="shared" si="228"/>
        <v>#REF!</v>
      </c>
      <c r="Y238" s="371" t="e">
        <f t="shared" si="228"/>
        <v>#REF!</v>
      </c>
      <c r="Z238" s="371" t="e">
        <f t="shared" si="228"/>
        <v>#REF!</v>
      </c>
      <c r="AA238" s="371" t="e">
        <f t="shared" si="228"/>
        <v>#REF!</v>
      </c>
      <c r="AB238" s="50"/>
    </row>
    <row r="239" ht="28.8" outlineLevel="2" spans="1:28">
      <c r="A239" s="52">
        <f>MAX($A$6:A238)+1</f>
        <v>200</v>
      </c>
      <c r="B239" s="51" t="s">
        <v>421</v>
      </c>
      <c r="C239" s="51" t="e">
        <f>VLOOKUP($B239,#REF!,MATCH(C$2,#REF!,0),0)</f>
        <v>#REF!</v>
      </c>
      <c r="D239" s="136"/>
      <c r="E239" s="136"/>
      <c r="F239" s="136" t="e">
        <f>VLOOKUP($B239,#REF!,MATCH(F$2,#REF!,0),0)</f>
        <v>#REF!</v>
      </c>
      <c r="G239" s="137" t="e">
        <f>VLOOKUP($B239,#REF!,MATCH(G$2,#REF!,0),0)</f>
        <v>#REF!</v>
      </c>
      <c r="H239" s="48"/>
      <c r="I239" s="48"/>
      <c r="J239" s="48"/>
      <c r="K239" s="48"/>
      <c r="L239" s="48"/>
      <c r="M239" s="48"/>
      <c r="N239" s="48"/>
      <c r="O239" s="48"/>
      <c r="P239" s="48">
        <v>9680.14</v>
      </c>
      <c r="Q239" s="48">
        <v>27312</v>
      </c>
      <c r="R239" s="371" t="e">
        <f t="shared" ref="R239:AA239" si="229">$G239*H239</f>
        <v>#REF!</v>
      </c>
      <c r="S239" s="371" t="e">
        <f t="shared" si="229"/>
        <v>#REF!</v>
      </c>
      <c r="T239" s="371" t="e">
        <f t="shared" si="229"/>
        <v>#REF!</v>
      </c>
      <c r="U239" s="371" t="e">
        <f t="shared" si="229"/>
        <v>#REF!</v>
      </c>
      <c r="V239" s="371" t="e">
        <f t="shared" si="229"/>
        <v>#REF!</v>
      </c>
      <c r="W239" s="371" t="e">
        <f t="shared" si="229"/>
        <v>#REF!</v>
      </c>
      <c r="X239" s="371" t="e">
        <f t="shared" si="229"/>
        <v>#REF!</v>
      </c>
      <c r="Y239" s="371" t="e">
        <f t="shared" si="229"/>
        <v>#REF!</v>
      </c>
      <c r="Z239" s="371" t="e">
        <f t="shared" si="229"/>
        <v>#REF!</v>
      </c>
      <c r="AA239" s="371" t="e">
        <f t="shared" si="229"/>
        <v>#REF!</v>
      </c>
      <c r="AB239" s="50"/>
    </row>
    <row r="240" s="122" customFormat="1" outlineLevel="2" spans="1:28">
      <c r="A240" s="130"/>
      <c r="B240" s="154" t="s">
        <v>422</v>
      </c>
      <c r="C240" s="154"/>
      <c r="D240" s="154"/>
      <c r="E240" s="154"/>
      <c r="F240" s="130"/>
      <c r="G240" s="134"/>
      <c r="H240" s="134"/>
      <c r="I240" s="134"/>
      <c r="J240" s="134"/>
      <c r="K240" s="134"/>
      <c r="L240" s="134"/>
      <c r="M240" s="134"/>
      <c r="N240" s="134"/>
      <c r="O240" s="134"/>
      <c r="P240" s="134"/>
      <c r="Q240" s="134"/>
      <c r="R240" s="367"/>
      <c r="S240" s="367"/>
      <c r="T240" s="367"/>
      <c r="U240" s="367"/>
      <c r="V240" s="371"/>
      <c r="W240" s="367"/>
      <c r="X240" s="367"/>
      <c r="Y240" s="367"/>
      <c r="Z240" s="367"/>
      <c r="AA240" s="367"/>
      <c r="AB240" s="130"/>
    </row>
    <row r="241" ht="28.8" outlineLevel="2" spans="1:28">
      <c r="A241" s="52">
        <f>MAX($A$6:A240)+1</f>
        <v>201</v>
      </c>
      <c r="B241" s="51" t="s">
        <v>423</v>
      </c>
      <c r="C241" s="51" t="e">
        <f>VLOOKUP($B241,#REF!,MATCH(C$2,#REF!,0),0)</f>
        <v>#REF!</v>
      </c>
      <c r="D241" s="136"/>
      <c r="E241" s="136"/>
      <c r="F241" s="136" t="e">
        <f>VLOOKUP($B241,#REF!,MATCH(F$2,#REF!,0),0)</f>
        <v>#REF!</v>
      </c>
      <c r="G241" s="137" t="e">
        <f>VLOOKUP($B241,#REF!,MATCH(G$2,#REF!,0),0)</f>
        <v>#REF!</v>
      </c>
      <c r="H241" s="48"/>
      <c r="I241" s="48"/>
      <c r="J241" s="48"/>
      <c r="K241" s="48"/>
      <c r="L241" s="48"/>
      <c r="M241" s="48"/>
      <c r="N241" s="48"/>
      <c r="O241" s="48"/>
      <c r="P241" s="48">
        <v>1</v>
      </c>
      <c r="Q241" s="48">
        <v>254.79</v>
      </c>
      <c r="R241" s="371" t="e">
        <f>$G241*H241</f>
        <v>#REF!</v>
      </c>
      <c r="S241" s="371" t="e">
        <f t="shared" ref="S241:AA241" si="230">$G241*I241</f>
        <v>#REF!</v>
      </c>
      <c r="T241" s="371" t="e">
        <f t="shared" si="230"/>
        <v>#REF!</v>
      </c>
      <c r="U241" s="371" t="e">
        <f t="shared" si="230"/>
        <v>#REF!</v>
      </c>
      <c r="V241" s="371" t="e">
        <f t="shared" si="230"/>
        <v>#REF!</v>
      </c>
      <c r="W241" s="371" t="e">
        <f t="shared" si="230"/>
        <v>#REF!</v>
      </c>
      <c r="X241" s="371" t="e">
        <f t="shared" si="230"/>
        <v>#REF!</v>
      </c>
      <c r="Y241" s="371" t="e">
        <f t="shared" si="230"/>
        <v>#REF!</v>
      </c>
      <c r="Z241" s="371" t="e">
        <f t="shared" si="230"/>
        <v>#REF!</v>
      </c>
      <c r="AA241" s="371" t="e">
        <f t="shared" si="230"/>
        <v>#REF!</v>
      </c>
      <c r="AB241" s="50"/>
    </row>
    <row r="242" outlineLevel="2" spans="1:28">
      <c r="A242" s="52">
        <f>MAX($A$6:A241)+1</f>
        <v>202</v>
      </c>
      <c r="B242" s="51" t="s">
        <v>424</v>
      </c>
      <c r="C242" s="51" t="e">
        <f>VLOOKUP($B242,#REF!,MATCH(C$2,#REF!,0),0)</f>
        <v>#REF!</v>
      </c>
      <c r="D242" s="136"/>
      <c r="E242" s="136"/>
      <c r="F242" s="136" t="e">
        <f>VLOOKUP($B242,#REF!,MATCH(F$2,#REF!,0),0)</f>
        <v>#REF!</v>
      </c>
      <c r="G242" s="137" t="e">
        <f>VLOOKUP($B242,#REF!,MATCH(G$2,#REF!,0),0)</f>
        <v>#REF!</v>
      </c>
      <c r="H242" s="48"/>
      <c r="I242" s="48"/>
      <c r="J242" s="48"/>
      <c r="K242" s="48"/>
      <c r="L242" s="48"/>
      <c r="M242" s="48"/>
      <c r="N242" s="48"/>
      <c r="O242" s="48"/>
      <c r="P242" s="48">
        <v>1</v>
      </c>
      <c r="Q242" s="48">
        <v>254.79</v>
      </c>
      <c r="R242" s="371" t="e">
        <f t="shared" ref="R242:AA242" si="231">$G242*H242</f>
        <v>#REF!</v>
      </c>
      <c r="S242" s="371" t="e">
        <f t="shared" si="231"/>
        <v>#REF!</v>
      </c>
      <c r="T242" s="371" t="e">
        <f t="shared" si="231"/>
        <v>#REF!</v>
      </c>
      <c r="U242" s="371" t="e">
        <f t="shared" si="231"/>
        <v>#REF!</v>
      </c>
      <c r="V242" s="371" t="e">
        <f t="shared" si="231"/>
        <v>#REF!</v>
      </c>
      <c r="W242" s="371" t="e">
        <f t="shared" si="231"/>
        <v>#REF!</v>
      </c>
      <c r="X242" s="371" t="e">
        <f t="shared" si="231"/>
        <v>#REF!</v>
      </c>
      <c r="Y242" s="371" t="e">
        <f t="shared" si="231"/>
        <v>#REF!</v>
      </c>
      <c r="Z242" s="371" t="e">
        <f t="shared" si="231"/>
        <v>#REF!</v>
      </c>
      <c r="AA242" s="371" t="e">
        <f t="shared" si="231"/>
        <v>#REF!</v>
      </c>
      <c r="AB242" s="50"/>
    </row>
    <row r="243" outlineLevel="2" spans="1:28">
      <c r="A243" s="52">
        <f>MAX($A$6:A242)+1</f>
        <v>203</v>
      </c>
      <c r="B243" s="51" t="s">
        <v>425</v>
      </c>
      <c r="C243" s="51" t="e">
        <f>VLOOKUP($B243,#REF!,MATCH(C$2,#REF!,0),0)</f>
        <v>#REF!</v>
      </c>
      <c r="D243" s="136"/>
      <c r="E243" s="136"/>
      <c r="F243" s="136" t="e">
        <f>VLOOKUP($B243,#REF!,MATCH(F$2,#REF!,0),0)</f>
        <v>#REF!</v>
      </c>
      <c r="G243" s="137" t="e">
        <f>VLOOKUP($B243,#REF!,MATCH(G$2,#REF!,0),0)</f>
        <v>#REF!</v>
      </c>
      <c r="H243" s="48"/>
      <c r="I243" s="48"/>
      <c r="J243" s="48"/>
      <c r="K243" s="48"/>
      <c r="L243" s="48"/>
      <c r="M243" s="48"/>
      <c r="N243" s="48"/>
      <c r="O243" s="48"/>
      <c r="P243" s="48">
        <v>1</v>
      </c>
      <c r="Q243" s="48">
        <v>254.79</v>
      </c>
      <c r="R243" s="371" t="e">
        <f t="shared" ref="R243:AA243" si="232">$G243*H243</f>
        <v>#REF!</v>
      </c>
      <c r="S243" s="371" t="e">
        <f t="shared" si="232"/>
        <v>#REF!</v>
      </c>
      <c r="T243" s="371" t="e">
        <f t="shared" si="232"/>
        <v>#REF!</v>
      </c>
      <c r="U243" s="371" t="e">
        <f t="shared" si="232"/>
        <v>#REF!</v>
      </c>
      <c r="V243" s="371" t="e">
        <f t="shared" si="232"/>
        <v>#REF!</v>
      </c>
      <c r="W243" s="371" t="e">
        <f t="shared" si="232"/>
        <v>#REF!</v>
      </c>
      <c r="X243" s="371" t="e">
        <f t="shared" si="232"/>
        <v>#REF!</v>
      </c>
      <c r="Y243" s="371" t="e">
        <f t="shared" si="232"/>
        <v>#REF!</v>
      </c>
      <c r="Z243" s="371" t="e">
        <f t="shared" si="232"/>
        <v>#REF!</v>
      </c>
      <c r="AA243" s="371" t="e">
        <f t="shared" si="232"/>
        <v>#REF!</v>
      </c>
      <c r="AB243" s="50"/>
    </row>
    <row r="244" ht="28.8" outlineLevel="2" spans="1:28">
      <c r="A244" s="52">
        <f>MAX($A$6:A243)+1</f>
        <v>204</v>
      </c>
      <c r="B244" s="51" t="s">
        <v>426</v>
      </c>
      <c r="C244" s="51" t="e">
        <f>VLOOKUP($B244,#REF!,MATCH(C$2,#REF!,0),0)</f>
        <v>#REF!</v>
      </c>
      <c r="D244" s="136"/>
      <c r="E244" s="136"/>
      <c r="F244" s="136" t="e">
        <f>VLOOKUP($B244,#REF!,MATCH(F$2,#REF!,0),0)</f>
        <v>#REF!</v>
      </c>
      <c r="G244" s="137" t="e">
        <f>VLOOKUP($B244,#REF!,MATCH(G$2,#REF!,0),0)</f>
        <v>#REF!</v>
      </c>
      <c r="H244" s="48"/>
      <c r="I244" s="48"/>
      <c r="J244" s="48"/>
      <c r="K244" s="48"/>
      <c r="L244" s="48"/>
      <c r="M244" s="48"/>
      <c r="N244" s="48"/>
      <c r="O244" s="48"/>
      <c r="P244" s="48">
        <v>1</v>
      </c>
      <c r="Q244" s="48">
        <v>254.79</v>
      </c>
      <c r="R244" s="371" t="e">
        <f t="shared" ref="R244:AA244" si="233">$G244*H244</f>
        <v>#REF!</v>
      </c>
      <c r="S244" s="371" t="e">
        <f t="shared" si="233"/>
        <v>#REF!</v>
      </c>
      <c r="T244" s="371" t="e">
        <f t="shared" si="233"/>
        <v>#REF!</v>
      </c>
      <c r="U244" s="371" t="e">
        <f t="shared" si="233"/>
        <v>#REF!</v>
      </c>
      <c r="V244" s="371" t="e">
        <f t="shared" si="233"/>
        <v>#REF!</v>
      </c>
      <c r="W244" s="371" t="e">
        <f t="shared" si="233"/>
        <v>#REF!</v>
      </c>
      <c r="X244" s="371" t="e">
        <f t="shared" si="233"/>
        <v>#REF!</v>
      </c>
      <c r="Y244" s="371" t="e">
        <f t="shared" si="233"/>
        <v>#REF!</v>
      </c>
      <c r="Z244" s="371" t="e">
        <f t="shared" si="233"/>
        <v>#REF!</v>
      </c>
      <c r="AA244" s="371" t="e">
        <f t="shared" si="233"/>
        <v>#REF!</v>
      </c>
      <c r="AB244" s="50"/>
    </row>
    <row r="245" outlineLevel="2" spans="1:28">
      <c r="A245" s="52">
        <f>MAX($A$6:A244)+1</f>
        <v>205</v>
      </c>
      <c r="B245" s="51" t="s">
        <v>427</v>
      </c>
      <c r="C245" s="51" t="e">
        <f>VLOOKUP($B245,#REF!,MATCH(C$2,#REF!,0),0)</f>
        <v>#REF!</v>
      </c>
      <c r="D245" s="136"/>
      <c r="E245" s="136"/>
      <c r="F245" s="136" t="e">
        <f>VLOOKUP($B245,#REF!,MATCH(F$2,#REF!,0),0)</f>
        <v>#REF!</v>
      </c>
      <c r="G245" s="137" t="e">
        <f>VLOOKUP($B245,#REF!,MATCH(G$2,#REF!,0),0)</f>
        <v>#REF!</v>
      </c>
      <c r="H245" s="48"/>
      <c r="I245" s="48"/>
      <c r="J245" s="48"/>
      <c r="K245" s="48"/>
      <c r="L245" s="48"/>
      <c r="M245" s="48"/>
      <c r="N245" s="48"/>
      <c r="O245" s="48"/>
      <c r="P245" s="48">
        <v>60.26</v>
      </c>
      <c r="Q245" s="48">
        <v>113.96</v>
      </c>
      <c r="R245" s="371" t="e">
        <f t="shared" ref="R245:AA245" si="234">$G245*H245</f>
        <v>#REF!</v>
      </c>
      <c r="S245" s="371" t="e">
        <f t="shared" si="234"/>
        <v>#REF!</v>
      </c>
      <c r="T245" s="371" t="e">
        <f t="shared" si="234"/>
        <v>#REF!</v>
      </c>
      <c r="U245" s="371" t="e">
        <f t="shared" si="234"/>
        <v>#REF!</v>
      </c>
      <c r="V245" s="371" t="e">
        <f t="shared" si="234"/>
        <v>#REF!</v>
      </c>
      <c r="W245" s="371" t="e">
        <f t="shared" si="234"/>
        <v>#REF!</v>
      </c>
      <c r="X245" s="371" t="e">
        <f t="shared" si="234"/>
        <v>#REF!</v>
      </c>
      <c r="Y245" s="371" t="e">
        <f t="shared" si="234"/>
        <v>#REF!</v>
      </c>
      <c r="Z245" s="371" t="e">
        <f t="shared" si="234"/>
        <v>#REF!</v>
      </c>
      <c r="AA245" s="371" t="e">
        <f t="shared" si="234"/>
        <v>#REF!</v>
      </c>
      <c r="AB245" s="50"/>
    </row>
    <row r="246" s="122" customFormat="1" outlineLevel="2" spans="1:28">
      <c r="A246" s="130"/>
      <c r="B246" s="154" t="s">
        <v>428</v>
      </c>
      <c r="C246" s="154"/>
      <c r="D246" s="154"/>
      <c r="E246" s="154"/>
      <c r="F246" s="130"/>
      <c r="G246" s="134"/>
      <c r="H246" s="134"/>
      <c r="I246" s="134"/>
      <c r="J246" s="134"/>
      <c r="K246" s="134"/>
      <c r="L246" s="134"/>
      <c r="M246" s="134"/>
      <c r="N246" s="134"/>
      <c r="O246" s="134"/>
      <c r="P246" s="134"/>
      <c r="Q246" s="134"/>
      <c r="R246" s="367"/>
      <c r="S246" s="367"/>
      <c r="T246" s="367"/>
      <c r="U246" s="367"/>
      <c r="V246" s="371"/>
      <c r="W246" s="367"/>
      <c r="X246" s="367"/>
      <c r="Y246" s="367"/>
      <c r="Z246" s="367"/>
      <c r="AA246" s="367"/>
      <c r="AB246" s="130"/>
    </row>
    <row r="247" ht="28.8" outlineLevel="2" spans="1:28">
      <c r="A247" s="52">
        <f>MAX($A$6:A246)+1</f>
        <v>206</v>
      </c>
      <c r="B247" s="51" t="s">
        <v>429</v>
      </c>
      <c r="C247" s="51" t="e">
        <f>VLOOKUP($B247,#REF!,MATCH(C$2,#REF!,0),0)</f>
        <v>#REF!</v>
      </c>
      <c r="D247" s="136"/>
      <c r="E247" s="136"/>
      <c r="F247" s="136" t="e">
        <f>VLOOKUP($B247,#REF!,MATCH(F$2,#REF!,0),0)</f>
        <v>#REF!</v>
      </c>
      <c r="G247" s="137" t="e">
        <f>VLOOKUP($B247,#REF!,MATCH(G$2,#REF!,0),0)</f>
        <v>#REF!</v>
      </c>
      <c r="H247" s="48"/>
      <c r="I247" s="48"/>
      <c r="J247" s="48"/>
      <c r="K247" s="48"/>
      <c r="L247" s="48"/>
      <c r="M247" s="48"/>
      <c r="N247" s="48"/>
      <c r="O247" s="48"/>
      <c r="P247" s="48">
        <v>1</v>
      </c>
      <c r="Q247" s="48">
        <v>178.67</v>
      </c>
      <c r="R247" s="371" t="e">
        <f>$G247*H247</f>
        <v>#REF!</v>
      </c>
      <c r="S247" s="371" t="e">
        <f t="shared" ref="S247:AA247" si="235">$G247*I247</f>
        <v>#REF!</v>
      </c>
      <c r="T247" s="371" t="e">
        <f t="shared" si="235"/>
        <v>#REF!</v>
      </c>
      <c r="U247" s="371" t="e">
        <f t="shared" si="235"/>
        <v>#REF!</v>
      </c>
      <c r="V247" s="371" t="e">
        <f t="shared" si="235"/>
        <v>#REF!</v>
      </c>
      <c r="W247" s="371" t="e">
        <f t="shared" si="235"/>
        <v>#REF!</v>
      </c>
      <c r="X247" s="371" t="e">
        <f t="shared" si="235"/>
        <v>#REF!</v>
      </c>
      <c r="Y247" s="371" t="e">
        <f t="shared" si="235"/>
        <v>#REF!</v>
      </c>
      <c r="Z247" s="371" t="e">
        <f t="shared" si="235"/>
        <v>#REF!</v>
      </c>
      <c r="AA247" s="371" t="e">
        <f t="shared" si="235"/>
        <v>#REF!</v>
      </c>
      <c r="AB247" s="50"/>
    </row>
    <row r="248" ht="28.8" outlineLevel="2" spans="1:28">
      <c r="A248" s="52">
        <f>MAX($A$6:A247)+1</f>
        <v>207</v>
      </c>
      <c r="B248" s="51" t="s">
        <v>430</v>
      </c>
      <c r="C248" s="51" t="e">
        <f>VLOOKUP($B248,#REF!,MATCH(C$2,#REF!,0),0)</f>
        <v>#REF!</v>
      </c>
      <c r="D248" s="136"/>
      <c r="E248" s="136"/>
      <c r="F248" s="136" t="e">
        <f>VLOOKUP($B248,#REF!,MATCH(F$2,#REF!,0),0)</f>
        <v>#REF!</v>
      </c>
      <c r="G248" s="137" t="e">
        <f>VLOOKUP($B248,#REF!,MATCH(G$2,#REF!,0),0)</f>
        <v>#REF!</v>
      </c>
      <c r="H248" s="48"/>
      <c r="I248" s="48"/>
      <c r="J248" s="48"/>
      <c r="K248" s="48"/>
      <c r="L248" s="48"/>
      <c r="M248" s="48"/>
      <c r="N248" s="48"/>
      <c r="O248" s="48"/>
      <c r="P248" s="48">
        <v>1</v>
      </c>
      <c r="Q248" s="48">
        <v>132.43</v>
      </c>
      <c r="R248" s="371" t="e">
        <f t="shared" ref="R248:AA248" si="236">$G248*H248</f>
        <v>#REF!</v>
      </c>
      <c r="S248" s="371" t="e">
        <f t="shared" si="236"/>
        <v>#REF!</v>
      </c>
      <c r="T248" s="371" t="e">
        <f t="shared" si="236"/>
        <v>#REF!</v>
      </c>
      <c r="U248" s="371" t="e">
        <f t="shared" si="236"/>
        <v>#REF!</v>
      </c>
      <c r="V248" s="371" t="e">
        <f t="shared" si="236"/>
        <v>#REF!</v>
      </c>
      <c r="W248" s="371" t="e">
        <f t="shared" si="236"/>
        <v>#REF!</v>
      </c>
      <c r="X248" s="371" t="e">
        <f t="shared" si="236"/>
        <v>#REF!</v>
      </c>
      <c r="Y248" s="371" t="e">
        <f t="shared" si="236"/>
        <v>#REF!</v>
      </c>
      <c r="Z248" s="371" t="e">
        <f t="shared" si="236"/>
        <v>#REF!</v>
      </c>
      <c r="AA248" s="371" t="e">
        <f t="shared" si="236"/>
        <v>#REF!</v>
      </c>
      <c r="AB248" s="50"/>
    </row>
    <row r="249" ht="28.8" outlineLevel="2" spans="1:28">
      <c r="A249" s="52">
        <f>MAX($A$6:A248)+1</f>
        <v>208</v>
      </c>
      <c r="B249" s="51" t="s">
        <v>431</v>
      </c>
      <c r="C249" s="51" t="e">
        <f>VLOOKUP($B249,#REF!,MATCH(C$2,#REF!,0),0)</f>
        <v>#REF!</v>
      </c>
      <c r="D249" s="136"/>
      <c r="E249" s="136"/>
      <c r="F249" s="136" t="e">
        <f>VLOOKUP($B249,#REF!,MATCH(F$2,#REF!,0),0)</f>
        <v>#REF!</v>
      </c>
      <c r="G249" s="137" t="e">
        <f>VLOOKUP($B249,#REF!,MATCH(G$2,#REF!,0),0)</f>
        <v>#REF!</v>
      </c>
      <c r="H249" s="48"/>
      <c r="I249" s="48"/>
      <c r="J249" s="48"/>
      <c r="K249" s="48"/>
      <c r="L249" s="48"/>
      <c r="M249" s="48"/>
      <c r="N249" s="48"/>
      <c r="O249" s="48"/>
      <c r="P249" s="48">
        <v>1</v>
      </c>
      <c r="Q249" s="48">
        <v>1</v>
      </c>
      <c r="R249" s="371" t="e">
        <f t="shared" ref="R249:AA249" si="237">$G249*H249</f>
        <v>#REF!</v>
      </c>
      <c r="S249" s="371" t="e">
        <f t="shared" si="237"/>
        <v>#REF!</v>
      </c>
      <c r="T249" s="371" t="e">
        <f t="shared" si="237"/>
        <v>#REF!</v>
      </c>
      <c r="U249" s="371" t="e">
        <f t="shared" si="237"/>
        <v>#REF!</v>
      </c>
      <c r="V249" s="371" t="e">
        <f t="shared" si="237"/>
        <v>#REF!</v>
      </c>
      <c r="W249" s="371" t="e">
        <f t="shared" si="237"/>
        <v>#REF!</v>
      </c>
      <c r="X249" s="371" t="e">
        <f t="shared" si="237"/>
        <v>#REF!</v>
      </c>
      <c r="Y249" s="371" t="e">
        <f t="shared" si="237"/>
        <v>#REF!</v>
      </c>
      <c r="Z249" s="371" t="e">
        <f t="shared" si="237"/>
        <v>#REF!</v>
      </c>
      <c r="AA249" s="371" t="e">
        <f t="shared" si="237"/>
        <v>#REF!</v>
      </c>
      <c r="AB249" s="50"/>
    </row>
    <row r="250" outlineLevel="2" spans="1:28">
      <c r="A250" s="52">
        <f>MAX($A$6:A249)+1</f>
        <v>209</v>
      </c>
      <c r="B250" s="51" t="s">
        <v>432</v>
      </c>
      <c r="C250" s="51" t="e">
        <f>VLOOKUP($B250,#REF!,MATCH(C$2,#REF!,0),0)</f>
        <v>#REF!</v>
      </c>
      <c r="D250" s="136"/>
      <c r="E250" s="136"/>
      <c r="F250" s="136" t="e">
        <f>VLOOKUP($B250,#REF!,MATCH(F$2,#REF!,0),0)</f>
        <v>#REF!</v>
      </c>
      <c r="G250" s="137" t="e">
        <f>VLOOKUP($B250,#REF!,MATCH(G$2,#REF!,0),0)</f>
        <v>#REF!</v>
      </c>
      <c r="H250" s="48"/>
      <c r="I250" s="48"/>
      <c r="J250" s="48"/>
      <c r="K250" s="48"/>
      <c r="L250" s="48"/>
      <c r="M250" s="48"/>
      <c r="N250" s="48"/>
      <c r="O250" s="48"/>
      <c r="P250" s="48">
        <v>1</v>
      </c>
      <c r="Q250" s="48">
        <v>1</v>
      </c>
      <c r="R250" s="371" t="e">
        <f t="shared" ref="R250:AA250" si="238">$G250*H250</f>
        <v>#REF!</v>
      </c>
      <c r="S250" s="371" t="e">
        <f t="shared" si="238"/>
        <v>#REF!</v>
      </c>
      <c r="T250" s="371" t="e">
        <f t="shared" si="238"/>
        <v>#REF!</v>
      </c>
      <c r="U250" s="371" t="e">
        <f t="shared" si="238"/>
        <v>#REF!</v>
      </c>
      <c r="V250" s="371" t="e">
        <f t="shared" si="238"/>
        <v>#REF!</v>
      </c>
      <c r="W250" s="371" t="e">
        <f t="shared" si="238"/>
        <v>#REF!</v>
      </c>
      <c r="X250" s="371" t="e">
        <f t="shared" si="238"/>
        <v>#REF!</v>
      </c>
      <c r="Y250" s="371" t="e">
        <f t="shared" si="238"/>
        <v>#REF!</v>
      </c>
      <c r="Z250" s="371" t="e">
        <f t="shared" si="238"/>
        <v>#REF!</v>
      </c>
      <c r="AA250" s="371" t="e">
        <f t="shared" si="238"/>
        <v>#REF!</v>
      </c>
      <c r="AB250" s="50"/>
    </row>
    <row r="251" s="122" customFormat="1" outlineLevel="2" spans="1:28">
      <c r="A251" s="130"/>
      <c r="B251" s="154" t="s">
        <v>433</v>
      </c>
      <c r="C251" s="154"/>
      <c r="D251" s="154"/>
      <c r="E251" s="154"/>
      <c r="F251" s="130"/>
      <c r="G251" s="134"/>
      <c r="H251" s="134"/>
      <c r="I251" s="134"/>
      <c r="J251" s="134"/>
      <c r="K251" s="134"/>
      <c r="L251" s="134"/>
      <c r="M251" s="134"/>
      <c r="N251" s="134"/>
      <c r="O251" s="134"/>
      <c r="P251" s="134"/>
      <c r="Q251" s="134"/>
      <c r="R251" s="367"/>
      <c r="S251" s="367"/>
      <c r="T251" s="367"/>
      <c r="U251" s="367"/>
      <c r="V251" s="371"/>
      <c r="W251" s="367"/>
      <c r="X251" s="367"/>
      <c r="Y251" s="367"/>
      <c r="Z251" s="367"/>
      <c r="AA251" s="367"/>
      <c r="AB251" s="130"/>
    </row>
    <row r="252" ht="28.8" outlineLevel="2" spans="1:28">
      <c r="A252" s="52">
        <f>MAX($A$6:A251)+1</f>
        <v>210</v>
      </c>
      <c r="B252" s="51" t="s">
        <v>434</v>
      </c>
      <c r="C252" s="51" t="e">
        <f>VLOOKUP($B252,#REF!,MATCH(C$2,#REF!,0),0)</f>
        <v>#REF!</v>
      </c>
      <c r="D252" s="136"/>
      <c r="E252" s="136"/>
      <c r="F252" s="136" t="e">
        <f>VLOOKUP($B252,#REF!,MATCH(F$2,#REF!,0),0)</f>
        <v>#REF!</v>
      </c>
      <c r="G252" s="137" t="e">
        <f>VLOOKUP($B252,#REF!,MATCH(G$2,#REF!,0),0)</f>
        <v>#REF!</v>
      </c>
      <c r="H252" s="48"/>
      <c r="I252" s="48"/>
      <c r="J252" s="48"/>
      <c r="K252" s="48"/>
      <c r="L252" s="48"/>
      <c r="M252" s="48"/>
      <c r="N252" s="48"/>
      <c r="O252" s="48"/>
      <c r="P252" s="48">
        <v>1</v>
      </c>
      <c r="Q252" s="48">
        <v>658.24</v>
      </c>
      <c r="R252" s="371" t="e">
        <f>$G252*H252</f>
        <v>#REF!</v>
      </c>
      <c r="S252" s="371" t="e">
        <f t="shared" ref="S252:AA252" si="239">$G252*I252</f>
        <v>#REF!</v>
      </c>
      <c r="T252" s="371" t="e">
        <f t="shared" si="239"/>
        <v>#REF!</v>
      </c>
      <c r="U252" s="371" t="e">
        <f t="shared" si="239"/>
        <v>#REF!</v>
      </c>
      <c r="V252" s="371" t="e">
        <f t="shared" si="239"/>
        <v>#REF!</v>
      </c>
      <c r="W252" s="371" t="e">
        <f t="shared" si="239"/>
        <v>#REF!</v>
      </c>
      <c r="X252" s="371" t="e">
        <f t="shared" si="239"/>
        <v>#REF!</v>
      </c>
      <c r="Y252" s="371" t="e">
        <f t="shared" si="239"/>
        <v>#REF!</v>
      </c>
      <c r="Z252" s="371" t="e">
        <f t="shared" si="239"/>
        <v>#REF!</v>
      </c>
      <c r="AA252" s="371" t="e">
        <f t="shared" si="239"/>
        <v>#REF!</v>
      </c>
      <c r="AB252" s="50"/>
    </row>
    <row r="253" outlineLevel="2" spans="1:28">
      <c r="A253" s="52">
        <f>MAX($A$6:A252)+1</f>
        <v>211</v>
      </c>
      <c r="B253" s="51" t="s">
        <v>425</v>
      </c>
      <c r="C253" s="51" t="e">
        <f>VLOOKUP($B253,#REF!,MATCH(C$2,#REF!,0),0)</f>
        <v>#REF!</v>
      </c>
      <c r="D253" s="136"/>
      <c r="E253" s="136"/>
      <c r="F253" s="136" t="e">
        <f>VLOOKUP($B253,#REF!,MATCH(F$2,#REF!,0),0)</f>
        <v>#REF!</v>
      </c>
      <c r="G253" s="137" t="e">
        <f>VLOOKUP($B253,#REF!,MATCH(G$2,#REF!,0),0)</f>
        <v>#REF!</v>
      </c>
      <c r="H253" s="48"/>
      <c r="I253" s="48"/>
      <c r="J253" s="48"/>
      <c r="K253" s="48"/>
      <c r="L253" s="48"/>
      <c r="M253" s="48"/>
      <c r="N253" s="48"/>
      <c r="O253" s="48"/>
      <c r="P253" s="48">
        <v>1</v>
      </c>
      <c r="Q253" s="48">
        <v>658.24</v>
      </c>
      <c r="R253" s="371" t="e">
        <f t="shared" ref="R253:AA253" si="240">$G253*H253</f>
        <v>#REF!</v>
      </c>
      <c r="S253" s="371" t="e">
        <f t="shared" si="240"/>
        <v>#REF!</v>
      </c>
      <c r="T253" s="371" t="e">
        <f t="shared" si="240"/>
        <v>#REF!</v>
      </c>
      <c r="U253" s="371" t="e">
        <f t="shared" si="240"/>
        <v>#REF!</v>
      </c>
      <c r="V253" s="371" t="e">
        <f t="shared" si="240"/>
        <v>#REF!</v>
      </c>
      <c r="W253" s="371" t="e">
        <f t="shared" si="240"/>
        <v>#REF!</v>
      </c>
      <c r="X253" s="371" t="e">
        <f t="shared" si="240"/>
        <v>#REF!</v>
      </c>
      <c r="Y253" s="371" t="e">
        <f t="shared" si="240"/>
        <v>#REF!</v>
      </c>
      <c r="Z253" s="371" t="e">
        <f t="shared" si="240"/>
        <v>#REF!</v>
      </c>
      <c r="AA253" s="371" t="e">
        <f t="shared" si="240"/>
        <v>#REF!</v>
      </c>
      <c r="AB253" s="50"/>
    </row>
    <row r="254" outlineLevel="2" spans="1:28">
      <c r="A254" s="52">
        <f>MAX($A$6:A253)+1</f>
        <v>212</v>
      </c>
      <c r="B254" s="51" t="s">
        <v>435</v>
      </c>
      <c r="C254" s="51" t="e">
        <f>VLOOKUP($B254,#REF!,MATCH(C$2,#REF!,0),0)</f>
        <v>#REF!</v>
      </c>
      <c r="D254" s="136"/>
      <c r="E254" s="136"/>
      <c r="F254" s="136" t="e">
        <f>VLOOKUP($B254,#REF!,MATCH(F$2,#REF!,0),0)</f>
        <v>#REF!</v>
      </c>
      <c r="G254" s="137" t="e">
        <f>VLOOKUP($B254,#REF!,MATCH(G$2,#REF!,0),0)</f>
        <v>#REF!</v>
      </c>
      <c r="H254" s="48"/>
      <c r="I254" s="48"/>
      <c r="J254" s="48"/>
      <c r="K254" s="48"/>
      <c r="L254" s="48"/>
      <c r="M254" s="48"/>
      <c r="N254" s="48"/>
      <c r="O254" s="48"/>
      <c r="P254" s="48">
        <v>29.92</v>
      </c>
      <c r="Q254" s="48">
        <v>164.92</v>
      </c>
      <c r="R254" s="371" t="e">
        <f t="shared" ref="R254:AA254" si="241">$G254*H254</f>
        <v>#REF!</v>
      </c>
      <c r="S254" s="371" t="e">
        <f t="shared" si="241"/>
        <v>#REF!</v>
      </c>
      <c r="T254" s="371" t="e">
        <f t="shared" si="241"/>
        <v>#REF!</v>
      </c>
      <c r="U254" s="371" t="e">
        <f t="shared" si="241"/>
        <v>#REF!</v>
      </c>
      <c r="V254" s="371" t="e">
        <f t="shared" si="241"/>
        <v>#REF!</v>
      </c>
      <c r="W254" s="371" t="e">
        <f t="shared" si="241"/>
        <v>#REF!</v>
      </c>
      <c r="X254" s="371" t="e">
        <f t="shared" si="241"/>
        <v>#REF!</v>
      </c>
      <c r="Y254" s="371" t="e">
        <f t="shared" si="241"/>
        <v>#REF!</v>
      </c>
      <c r="Z254" s="371" t="e">
        <f t="shared" si="241"/>
        <v>#REF!</v>
      </c>
      <c r="AA254" s="371" t="e">
        <f t="shared" si="241"/>
        <v>#REF!</v>
      </c>
      <c r="AB254" s="50"/>
    </row>
    <row r="255" ht="28.8" outlineLevel="2" spans="1:28">
      <c r="A255" s="52">
        <f>MAX($A$6:A254)+1</f>
        <v>213</v>
      </c>
      <c r="B255" s="51" t="s">
        <v>420</v>
      </c>
      <c r="C255" s="51" t="e">
        <f>VLOOKUP($B255,#REF!,MATCH(C$2,#REF!,0),0)</f>
        <v>#REF!</v>
      </c>
      <c r="D255" s="136"/>
      <c r="E255" s="136"/>
      <c r="F255" s="136" t="e">
        <f>VLOOKUP($B255,#REF!,MATCH(F$2,#REF!,0),0)</f>
        <v>#REF!</v>
      </c>
      <c r="G255" s="137" t="e">
        <f>VLOOKUP($B255,#REF!,MATCH(G$2,#REF!,0),0)</f>
        <v>#REF!</v>
      </c>
      <c r="H255" s="48"/>
      <c r="I255" s="48"/>
      <c r="J255" s="48"/>
      <c r="K255" s="48"/>
      <c r="L255" s="48"/>
      <c r="M255" s="48"/>
      <c r="N255" s="48"/>
      <c r="O255" s="48"/>
      <c r="P255" s="48">
        <v>201.3</v>
      </c>
      <c r="Q255" s="48">
        <v>348.02</v>
      </c>
      <c r="R255" s="371" t="e">
        <f t="shared" ref="R255:AA255" si="242">$G255*H255</f>
        <v>#REF!</v>
      </c>
      <c r="S255" s="371" t="e">
        <f t="shared" si="242"/>
        <v>#REF!</v>
      </c>
      <c r="T255" s="371" t="e">
        <f t="shared" si="242"/>
        <v>#REF!</v>
      </c>
      <c r="U255" s="371" t="e">
        <f t="shared" si="242"/>
        <v>#REF!</v>
      </c>
      <c r="V255" s="371" t="e">
        <f t="shared" si="242"/>
        <v>#REF!</v>
      </c>
      <c r="W255" s="371" t="e">
        <f t="shared" si="242"/>
        <v>#REF!</v>
      </c>
      <c r="X255" s="371" t="e">
        <f t="shared" si="242"/>
        <v>#REF!</v>
      </c>
      <c r="Y255" s="371" t="e">
        <f t="shared" si="242"/>
        <v>#REF!</v>
      </c>
      <c r="Z255" s="371" t="e">
        <f t="shared" si="242"/>
        <v>#REF!</v>
      </c>
      <c r="AA255" s="371" t="e">
        <f t="shared" si="242"/>
        <v>#REF!</v>
      </c>
      <c r="AB255" s="50"/>
    </row>
    <row r="256" outlineLevel="2" spans="1:28">
      <c r="A256" s="52">
        <f>MAX($A$6:A255)+1</f>
        <v>214</v>
      </c>
      <c r="B256" s="51" t="s">
        <v>436</v>
      </c>
      <c r="C256" s="51" t="e">
        <f>VLOOKUP($B256,#REF!,MATCH(C$2,#REF!,0),0)</f>
        <v>#REF!</v>
      </c>
      <c r="D256" s="136"/>
      <c r="E256" s="136"/>
      <c r="F256" s="136" t="e">
        <f>VLOOKUP($B256,#REF!,MATCH(F$2,#REF!,0),0)</f>
        <v>#REF!</v>
      </c>
      <c r="G256" s="137" t="e">
        <f>VLOOKUP($B256,#REF!,MATCH(G$2,#REF!,0),0)</f>
        <v>#REF!</v>
      </c>
      <c r="H256" s="48"/>
      <c r="I256" s="48"/>
      <c r="J256" s="48"/>
      <c r="K256" s="48"/>
      <c r="L256" s="48"/>
      <c r="M256" s="48"/>
      <c r="N256" s="48"/>
      <c r="O256" s="48"/>
      <c r="P256" s="48">
        <v>22.26</v>
      </c>
      <c r="Q256" s="48">
        <v>30.1</v>
      </c>
      <c r="R256" s="371" t="e">
        <f t="shared" ref="R256:AA256" si="243">$G256*H256</f>
        <v>#REF!</v>
      </c>
      <c r="S256" s="371" t="e">
        <f t="shared" si="243"/>
        <v>#REF!</v>
      </c>
      <c r="T256" s="371" t="e">
        <f t="shared" si="243"/>
        <v>#REF!</v>
      </c>
      <c r="U256" s="371" t="e">
        <f t="shared" si="243"/>
        <v>#REF!</v>
      </c>
      <c r="V256" s="371" t="e">
        <f t="shared" si="243"/>
        <v>#REF!</v>
      </c>
      <c r="W256" s="371" t="e">
        <f t="shared" si="243"/>
        <v>#REF!</v>
      </c>
      <c r="X256" s="371" t="e">
        <f t="shared" si="243"/>
        <v>#REF!</v>
      </c>
      <c r="Y256" s="371" t="e">
        <f t="shared" si="243"/>
        <v>#REF!</v>
      </c>
      <c r="Z256" s="371" t="e">
        <f t="shared" si="243"/>
        <v>#REF!</v>
      </c>
      <c r="AA256" s="371" t="e">
        <f t="shared" si="243"/>
        <v>#REF!</v>
      </c>
      <c r="AB256" s="50"/>
    </row>
    <row r="257" ht="28.8" outlineLevel="2" spans="1:28">
      <c r="A257" s="52">
        <f>MAX($A$6:A256)+1</f>
        <v>215</v>
      </c>
      <c r="B257" s="51" t="s">
        <v>437</v>
      </c>
      <c r="C257" s="51" t="e">
        <f>VLOOKUP($B257,#REF!,MATCH(C$2,#REF!,0),0)</f>
        <v>#REF!</v>
      </c>
      <c r="D257" s="136"/>
      <c r="E257" s="136"/>
      <c r="F257" s="136" t="e">
        <f>VLOOKUP($B257,#REF!,MATCH(F$2,#REF!,0),0)</f>
        <v>#REF!</v>
      </c>
      <c r="G257" s="137" t="e">
        <f>VLOOKUP($B257,#REF!,MATCH(G$2,#REF!,0),0)</f>
        <v>#REF!</v>
      </c>
      <c r="H257" s="48"/>
      <c r="I257" s="48"/>
      <c r="J257" s="48"/>
      <c r="K257" s="48"/>
      <c r="L257" s="48"/>
      <c r="M257" s="48"/>
      <c r="N257" s="48"/>
      <c r="O257" s="48"/>
      <c r="P257" s="48">
        <v>1</v>
      </c>
      <c r="Q257" s="48">
        <v>1</v>
      </c>
      <c r="R257" s="371" t="e">
        <f t="shared" ref="R257:AA257" si="244">$G257*H257</f>
        <v>#REF!</v>
      </c>
      <c r="S257" s="371" t="e">
        <f t="shared" si="244"/>
        <v>#REF!</v>
      </c>
      <c r="T257" s="371" t="e">
        <f t="shared" si="244"/>
        <v>#REF!</v>
      </c>
      <c r="U257" s="371" t="e">
        <f t="shared" si="244"/>
        <v>#REF!</v>
      </c>
      <c r="V257" s="371" t="e">
        <f t="shared" si="244"/>
        <v>#REF!</v>
      </c>
      <c r="W257" s="371" t="e">
        <f t="shared" si="244"/>
        <v>#REF!</v>
      </c>
      <c r="X257" s="371" t="e">
        <f t="shared" si="244"/>
        <v>#REF!</v>
      </c>
      <c r="Y257" s="371" t="e">
        <f t="shared" si="244"/>
        <v>#REF!</v>
      </c>
      <c r="Z257" s="371" t="e">
        <f t="shared" si="244"/>
        <v>#REF!</v>
      </c>
      <c r="AA257" s="371" t="e">
        <f t="shared" si="244"/>
        <v>#REF!</v>
      </c>
      <c r="AB257" s="50"/>
    </row>
    <row r="258" ht="28.8" outlineLevel="2" spans="1:28">
      <c r="A258" s="52">
        <f>MAX($A$6:A257)+1</f>
        <v>216</v>
      </c>
      <c r="B258" s="51" t="s">
        <v>417</v>
      </c>
      <c r="C258" s="51" t="e">
        <f>VLOOKUP($B258,#REF!,MATCH(C$2,#REF!,0),0)</f>
        <v>#REF!</v>
      </c>
      <c r="D258" s="136"/>
      <c r="E258" s="136"/>
      <c r="F258" s="136" t="e">
        <f>VLOOKUP($B258,#REF!,MATCH(F$2,#REF!,0),0)</f>
        <v>#REF!</v>
      </c>
      <c r="G258" s="137" t="e">
        <f>VLOOKUP($B258,#REF!,MATCH(G$2,#REF!,0),0)</f>
        <v>#REF!</v>
      </c>
      <c r="H258" s="48"/>
      <c r="I258" s="48"/>
      <c r="J258" s="48"/>
      <c r="K258" s="48"/>
      <c r="L258" s="48"/>
      <c r="M258" s="48"/>
      <c r="N258" s="48"/>
      <c r="O258" s="48"/>
      <c r="P258" s="48">
        <v>3374.2</v>
      </c>
      <c r="Q258" s="48">
        <v>6453.33</v>
      </c>
      <c r="R258" s="371" t="e">
        <f t="shared" ref="R258:AA258" si="245">$G258*H258</f>
        <v>#REF!</v>
      </c>
      <c r="S258" s="371" t="e">
        <f t="shared" si="245"/>
        <v>#REF!</v>
      </c>
      <c r="T258" s="371" t="e">
        <f t="shared" si="245"/>
        <v>#REF!</v>
      </c>
      <c r="U258" s="371" t="e">
        <f t="shared" si="245"/>
        <v>#REF!</v>
      </c>
      <c r="V258" s="371" t="e">
        <f t="shared" si="245"/>
        <v>#REF!</v>
      </c>
      <c r="W258" s="371" t="e">
        <f t="shared" si="245"/>
        <v>#REF!</v>
      </c>
      <c r="X258" s="371" t="e">
        <f t="shared" si="245"/>
        <v>#REF!</v>
      </c>
      <c r="Y258" s="371" t="e">
        <f t="shared" si="245"/>
        <v>#REF!</v>
      </c>
      <c r="Z258" s="371" t="e">
        <f t="shared" si="245"/>
        <v>#REF!</v>
      </c>
      <c r="AA258" s="371" t="e">
        <f t="shared" si="245"/>
        <v>#REF!</v>
      </c>
      <c r="AB258" s="50"/>
    </row>
    <row r="259" s="29" customFormat="1" ht="28.8" outlineLevel="1" spans="1:28">
      <c r="A259" s="40"/>
      <c r="B259" s="41" t="str">
        <f>目录!H15</f>
        <v>A.05.02墙柱装饰工程</v>
      </c>
      <c r="C259" s="41"/>
      <c r="D259" s="141"/>
      <c r="E259" s="141"/>
      <c r="F259" s="40"/>
      <c r="G259" s="43"/>
      <c r="H259" s="43"/>
      <c r="I259" s="43"/>
      <c r="J259" s="43"/>
      <c r="K259" s="43"/>
      <c r="L259" s="43"/>
      <c r="M259" s="43"/>
      <c r="N259" s="43"/>
      <c r="O259" s="43"/>
      <c r="P259" s="43"/>
      <c r="Q259" s="43"/>
      <c r="R259" s="369" t="e">
        <f t="shared" ref="R259:AA259" si="246">SUM(R260:R285)</f>
        <v>#REF!</v>
      </c>
      <c r="S259" s="369" t="e">
        <f t="shared" si="246"/>
        <v>#REF!</v>
      </c>
      <c r="T259" s="369" t="e">
        <f t="shared" si="246"/>
        <v>#REF!</v>
      </c>
      <c r="U259" s="369" t="e">
        <f t="shared" si="246"/>
        <v>#REF!</v>
      </c>
      <c r="V259" s="369" t="e">
        <f t="shared" si="246"/>
        <v>#REF!</v>
      </c>
      <c r="W259" s="369" t="e">
        <f t="shared" si="246"/>
        <v>#REF!</v>
      </c>
      <c r="X259" s="369" t="e">
        <f t="shared" si="246"/>
        <v>#REF!</v>
      </c>
      <c r="Y259" s="369" t="e">
        <f t="shared" si="246"/>
        <v>#REF!</v>
      </c>
      <c r="Z259" s="369" t="e">
        <f t="shared" si="246"/>
        <v>#REF!</v>
      </c>
      <c r="AA259" s="369" t="e">
        <f t="shared" si="246"/>
        <v>#REF!</v>
      </c>
      <c r="AB259" s="40"/>
    </row>
    <row r="260" s="122" customFormat="1" outlineLevel="2" spans="1:28">
      <c r="A260" s="130"/>
      <c r="B260" s="154" t="s">
        <v>438</v>
      </c>
      <c r="C260" s="154"/>
      <c r="D260" s="154"/>
      <c r="E260" s="154"/>
      <c r="F260" s="130"/>
      <c r="G260" s="134"/>
      <c r="H260" s="134"/>
      <c r="I260" s="134"/>
      <c r="J260" s="134"/>
      <c r="K260" s="134"/>
      <c r="L260" s="134"/>
      <c r="M260" s="134"/>
      <c r="N260" s="134"/>
      <c r="O260" s="134"/>
      <c r="P260" s="134"/>
      <c r="Q260" s="134"/>
      <c r="R260" s="367"/>
      <c r="S260" s="367"/>
      <c r="T260" s="367"/>
      <c r="U260" s="367"/>
      <c r="V260" s="371"/>
      <c r="W260" s="367"/>
      <c r="X260" s="367"/>
      <c r="Y260" s="367"/>
      <c r="Z260" s="367"/>
      <c r="AA260" s="367"/>
      <c r="AB260" s="130"/>
    </row>
    <row r="261" outlineLevel="2" spans="1:28">
      <c r="A261" s="52">
        <f>MAX($A$6:A260)+1</f>
        <v>217</v>
      </c>
      <c r="B261" s="51" t="s">
        <v>354</v>
      </c>
      <c r="C261" s="51" t="e">
        <f>VLOOKUP($B261,#REF!,MATCH(C$2,#REF!,0),0)</f>
        <v>#REF!</v>
      </c>
      <c r="D261" s="136"/>
      <c r="E261" s="136"/>
      <c r="F261" s="136" t="e">
        <f>VLOOKUP($B261,#REF!,MATCH(F$2,#REF!,0),0)</f>
        <v>#REF!</v>
      </c>
      <c r="G261" s="137" t="e">
        <f>VLOOKUP($B261,#REF!,MATCH(G$2,#REF!,0),0)</f>
        <v>#REF!</v>
      </c>
      <c r="H261" s="48">
        <v>1</v>
      </c>
      <c r="I261" s="48">
        <v>1</v>
      </c>
      <c r="J261" s="48">
        <v>1</v>
      </c>
      <c r="K261" s="48">
        <v>1</v>
      </c>
      <c r="L261" s="48"/>
      <c r="M261" s="48"/>
      <c r="N261" s="48"/>
      <c r="O261" s="48"/>
      <c r="P261" s="48">
        <v>1</v>
      </c>
      <c r="Q261" s="48">
        <v>1</v>
      </c>
      <c r="R261" s="371" t="e">
        <f t="shared" ref="R261:R263" si="247">$G261*H261</f>
        <v>#REF!</v>
      </c>
      <c r="S261" s="371" t="e">
        <f t="shared" ref="S261:AA261" si="248">$G261*I261</f>
        <v>#REF!</v>
      </c>
      <c r="T261" s="371" t="e">
        <f t="shared" si="248"/>
        <v>#REF!</v>
      </c>
      <c r="U261" s="371" t="e">
        <f t="shared" si="248"/>
        <v>#REF!</v>
      </c>
      <c r="V261" s="371" t="e">
        <f t="shared" si="248"/>
        <v>#REF!</v>
      </c>
      <c r="W261" s="371" t="e">
        <f t="shared" si="248"/>
        <v>#REF!</v>
      </c>
      <c r="X261" s="371" t="e">
        <f t="shared" si="248"/>
        <v>#REF!</v>
      </c>
      <c r="Y261" s="371" t="e">
        <f t="shared" si="248"/>
        <v>#REF!</v>
      </c>
      <c r="Z261" s="371" t="e">
        <f t="shared" si="248"/>
        <v>#REF!</v>
      </c>
      <c r="AA261" s="371" t="e">
        <f t="shared" si="248"/>
        <v>#REF!</v>
      </c>
      <c r="AB261" s="50"/>
    </row>
    <row r="262" ht="28.8" outlineLevel="2" spans="1:28">
      <c r="A262" s="52">
        <f>MAX($A$6:A261)+1</f>
        <v>218</v>
      </c>
      <c r="B262" s="51" t="s">
        <v>439</v>
      </c>
      <c r="C262" s="51" t="e">
        <f>VLOOKUP($B262,#REF!,MATCH(C$2,#REF!,0),0)</f>
        <v>#REF!</v>
      </c>
      <c r="D262" s="136"/>
      <c r="E262" s="136"/>
      <c r="F262" s="136" t="e">
        <f>VLOOKUP($B262,#REF!,MATCH(F$2,#REF!,0),0)</f>
        <v>#REF!</v>
      </c>
      <c r="G262" s="137" t="e">
        <f>VLOOKUP($B262,#REF!,MATCH(G$2,#REF!,0),0)</f>
        <v>#REF!</v>
      </c>
      <c r="H262" s="48">
        <v>1</v>
      </c>
      <c r="I262" s="48">
        <v>1</v>
      </c>
      <c r="J262" s="48">
        <v>1</v>
      </c>
      <c r="K262" s="48">
        <v>1</v>
      </c>
      <c r="L262" s="48"/>
      <c r="M262" s="48"/>
      <c r="N262" s="48"/>
      <c r="O262" s="48"/>
      <c r="P262" s="48">
        <v>1</v>
      </c>
      <c r="Q262" s="48">
        <v>1</v>
      </c>
      <c r="R262" s="371" t="e">
        <f t="shared" si="247"/>
        <v>#REF!</v>
      </c>
      <c r="S262" s="371" t="e">
        <f t="shared" ref="S262:AA262" si="249">$G262*I262</f>
        <v>#REF!</v>
      </c>
      <c r="T262" s="371" t="e">
        <f t="shared" si="249"/>
        <v>#REF!</v>
      </c>
      <c r="U262" s="371" t="e">
        <f t="shared" si="249"/>
        <v>#REF!</v>
      </c>
      <c r="V262" s="371" t="e">
        <f t="shared" si="249"/>
        <v>#REF!</v>
      </c>
      <c r="W262" s="371" t="e">
        <f t="shared" si="249"/>
        <v>#REF!</v>
      </c>
      <c r="X262" s="371" t="e">
        <f t="shared" si="249"/>
        <v>#REF!</v>
      </c>
      <c r="Y262" s="371" t="e">
        <f t="shared" si="249"/>
        <v>#REF!</v>
      </c>
      <c r="Z262" s="371" t="e">
        <f t="shared" si="249"/>
        <v>#REF!</v>
      </c>
      <c r="AA262" s="371" t="e">
        <f t="shared" si="249"/>
        <v>#REF!</v>
      </c>
      <c r="AB262" s="50"/>
    </row>
    <row r="263" ht="28.8" outlineLevel="2" spans="1:28">
      <c r="A263" s="52">
        <f>MAX($A$6:A262)+1</f>
        <v>219</v>
      </c>
      <c r="B263" s="51" t="s">
        <v>440</v>
      </c>
      <c r="C263" s="51" t="e">
        <f>VLOOKUP($B263,#REF!,MATCH(C$2,#REF!,0),0)</f>
        <v>#REF!</v>
      </c>
      <c r="D263" s="136"/>
      <c r="E263" s="136"/>
      <c r="F263" s="136" t="e">
        <f>VLOOKUP($B263,#REF!,MATCH(F$2,#REF!,0),0)</f>
        <v>#REF!</v>
      </c>
      <c r="G263" s="137" t="e">
        <f>VLOOKUP($B263,#REF!,MATCH(G$2,#REF!,0),0)</f>
        <v>#REF!</v>
      </c>
      <c r="H263" s="48">
        <v>1</v>
      </c>
      <c r="I263" s="48">
        <v>1</v>
      </c>
      <c r="J263" s="48">
        <v>1</v>
      </c>
      <c r="K263" s="48">
        <v>1</v>
      </c>
      <c r="L263" s="48"/>
      <c r="M263" s="48"/>
      <c r="N263" s="48"/>
      <c r="O263" s="48"/>
      <c r="P263" s="48">
        <v>1</v>
      </c>
      <c r="Q263" s="48">
        <v>1</v>
      </c>
      <c r="R263" s="371" t="e">
        <f t="shared" si="247"/>
        <v>#REF!</v>
      </c>
      <c r="S263" s="371" t="e">
        <f t="shared" ref="S263:AA263" si="250">$G263*I263</f>
        <v>#REF!</v>
      </c>
      <c r="T263" s="371" t="e">
        <f t="shared" si="250"/>
        <v>#REF!</v>
      </c>
      <c r="U263" s="371" t="e">
        <f t="shared" si="250"/>
        <v>#REF!</v>
      </c>
      <c r="V263" s="371" t="e">
        <f t="shared" si="250"/>
        <v>#REF!</v>
      </c>
      <c r="W263" s="371" t="e">
        <f t="shared" si="250"/>
        <v>#REF!</v>
      </c>
      <c r="X263" s="371" t="e">
        <f t="shared" si="250"/>
        <v>#REF!</v>
      </c>
      <c r="Y263" s="371" t="e">
        <f t="shared" si="250"/>
        <v>#REF!</v>
      </c>
      <c r="Z263" s="371" t="e">
        <f t="shared" si="250"/>
        <v>#REF!</v>
      </c>
      <c r="AA263" s="371" t="e">
        <f t="shared" si="250"/>
        <v>#REF!</v>
      </c>
      <c r="AB263" s="50"/>
    </row>
    <row r="264" s="122" customFormat="1" outlineLevel="2" spans="1:28">
      <c r="A264" s="130"/>
      <c r="B264" s="154" t="s">
        <v>441</v>
      </c>
      <c r="C264" s="154"/>
      <c r="D264" s="154"/>
      <c r="E264" s="154"/>
      <c r="F264" s="130"/>
      <c r="G264" s="134"/>
      <c r="H264" s="134"/>
      <c r="I264" s="134"/>
      <c r="J264" s="134"/>
      <c r="K264" s="134"/>
      <c r="L264" s="134"/>
      <c r="M264" s="134"/>
      <c r="N264" s="134"/>
      <c r="O264" s="134"/>
      <c r="P264" s="134"/>
      <c r="Q264" s="134"/>
      <c r="R264" s="367"/>
      <c r="S264" s="367"/>
      <c r="T264" s="367"/>
      <c r="U264" s="367"/>
      <c r="V264" s="371"/>
      <c r="W264" s="367"/>
      <c r="X264" s="367"/>
      <c r="Y264" s="367"/>
      <c r="Z264" s="367"/>
      <c r="AA264" s="367"/>
      <c r="AB264" s="130"/>
    </row>
    <row r="265" outlineLevel="2" spans="1:28">
      <c r="A265" s="52">
        <f>MAX($A$6:A264)+1</f>
        <v>220</v>
      </c>
      <c r="B265" s="51" t="s">
        <v>354</v>
      </c>
      <c r="C265" s="51" t="e">
        <f>VLOOKUP($B265,#REF!,MATCH(C$2,#REF!,0),0)</f>
        <v>#REF!</v>
      </c>
      <c r="D265" s="136"/>
      <c r="E265" s="136"/>
      <c r="F265" s="136" t="e">
        <f>VLOOKUP($B265,#REF!,MATCH(F$2,#REF!,0),0)</f>
        <v>#REF!</v>
      </c>
      <c r="G265" s="137" t="e">
        <f>VLOOKUP($B265,#REF!,MATCH(G$2,#REF!,0),0)</f>
        <v>#REF!</v>
      </c>
      <c r="H265" s="48">
        <v>818.61</v>
      </c>
      <c r="I265" s="48">
        <v>818.61</v>
      </c>
      <c r="J265" s="48">
        <v>968.43</v>
      </c>
      <c r="K265" s="48">
        <v>1049.16</v>
      </c>
      <c r="L265" s="48"/>
      <c r="M265" s="48"/>
      <c r="N265" s="48"/>
      <c r="O265" s="48"/>
      <c r="P265" s="48">
        <v>2112.39</v>
      </c>
      <c r="Q265" s="48">
        <v>12304.34</v>
      </c>
      <c r="R265" s="371" t="e">
        <f>$G265*H265</f>
        <v>#REF!</v>
      </c>
      <c r="S265" s="371" t="e">
        <f t="shared" ref="S265:AA265" si="251">$G265*I265</f>
        <v>#REF!</v>
      </c>
      <c r="T265" s="371" t="e">
        <f t="shared" si="251"/>
        <v>#REF!</v>
      </c>
      <c r="U265" s="371" t="e">
        <f t="shared" si="251"/>
        <v>#REF!</v>
      </c>
      <c r="V265" s="371" t="e">
        <f t="shared" si="251"/>
        <v>#REF!</v>
      </c>
      <c r="W265" s="371" t="e">
        <f t="shared" si="251"/>
        <v>#REF!</v>
      </c>
      <c r="X265" s="371" t="e">
        <f t="shared" si="251"/>
        <v>#REF!</v>
      </c>
      <c r="Y265" s="371" t="e">
        <f t="shared" si="251"/>
        <v>#REF!</v>
      </c>
      <c r="Z265" s="371" t="e">
        <f t="shared" si="251"/>
        <v>#REF!</v>
      </c>
      <c r="AA265" s="371" t="e">
        <f t="shared" si="251"/>
        <v>#REF!</v>
      </c>
      <c r="AB265" s="50"/>
    </row>
    <row r="266" ht="28.8" outlineLevel="2" spans="1:28">
      <c r="A266" s="52">
        <f>MAX($A$6:A265)+1</f>
        <v>221</v>
      </c>
      <c r="B266" s="51" t="s">
        <v>442</v>
      </c>
      <c r="C266" s="51" t="e">
        <f>VLOOKUP($B266,#REF!,MATCH(C$2,#REF!,0),0)</f>
        <v>#REF!</v>
      </c>
      <c r="D266" s="136"/>
      <c r="E266" s="136"/>
      <c r="F266" s="136" t="e">
        <f>VLOOKUP($B266,#REF!,MATCH(F$2,#REF!,0),0)</f>
        <v>#REF!</v>
      </c>
      <c r="G266" s="137" t="e">
        <f>VLOOKUP($B266,#REF!,MATCH(G$2,#REF!,0),0)</f>
        <v>#REF!</v>
      </c>
      <c r="H266" s="48">
        <v>818.61</v>
      </c>
      <c r="I266" s="48">
        <v>818.61</v>
      </c>
      <c r="J266" s="48">
        <v>968.43</v>
      </c>
      <c r="K266" s="48">
        <v>1049.16</v>
      </c>
      <c r="L266" s="48"/>
      <c r="M266" s="48"/>
      <c r="N266" s="48"/>
      <c r="O266" s="48"/>
      <c r="P266" s="48">
        <v>2112.39</v>
      </c>
      <c r="Q266" s="48">
        <v>12304.34</v>
      </c>
      <c r="R266" s="371" t="e">
        <f t="shared" ref="R266:AA266" si="252">$G266*H266</f>
        <v>#REF!</v>
      </c>
      <c r="S266" s="371" t="e">
        <f t="shared" si="252"/>
        <v>#REF!</v>
      </c>
      <c r="T266" s="371" t="e">
        <f t="shared" si="252"/>
        <v>#REF!</v>
      </c>
      <c r="U266" s="371" t="e">
        <f t="shared" si="252"/>
        <v>#REF!</v>
      </c>
      <c r="V266" s="371" t="e">
        <f t="shared" si="252"/>
        <v>#REF!</v>
      </c>
      <c r="W266" s="371" t="e">
        <f t="shared" si="252"/>
        <v>#REF!</v>
      </c>
      <c r="X266" s="371" t="e">
        <f t="shared" si="252"/>
        <v>#REF!</v>
      </c>
      <c r="Y266" s="371" t="e">
        <f t="shared" si="252"/>
        <v>#REF!</v>
      </c>
      <c r="Z266" s="371" t="e">
        <f t="shared" si="252"/>
        <v>#REF!</v>
      </c>
      <c r="AA266" s="371" t="e">
        <f t="shared" si="252"/>
        <v>#REF!</v>
      </c>
      <c r="AB266" s="50"/>
    </row>
    <row r="267" s="122" customFormat="1" outlineLevel="2" spans="1:28">
      <c r="A267" s="130"/>
      <c r="B267" s="154" t="s">
        <v>443</v>
      </c>
      <c r="C267" s="154"/>
      <c r="D267" s="154"/>
      <c r="E267" s="154"/>
      <c r="F267" s="130"/>
      <c r="G267" s="134"/>
      <c r="H267" s="134"/>
      <c r="I267" s="134"/>
      <c r="J267" s="134"/>
      <c r="K267" s="134"/>
      <c r="L267" s="134"/>
      <c r="M267" s="134"/>
      <c r="N267" s="134"/>
      <c r="O267" s="134"/>
      <c r="P267" s="134"/>
      <c r="Q267" s="134"/>
      <c r="R267" s="367"/>
      <c r="S267" s="367"/>
      <c r="T267" s="367"/>
      <c r="U267" s="367"/>
      <c r="V267" s="371"/>
      <c r="W267" s="367"/>
      <c r="X267" s="367"/>
      <c r="Y267" s="367"/>
      <c r="Z267" s="367"/>
      <c r="AA267" s="367"/>
      <c r="AB267" s="130"/>
    </row>
    <row r="268" outlineLevel="2" spans="1:28">
      <c r="A268" s="52">
        <f>MAX($A$6:A267)+1</f>
        <v>222</v>
      </c>
      <c r="B268" s="51" t="s">
        <v>354</v>
      </c>
      <c r="C268" s="51" t="e">
        <f>VLOOKUP($B268,#REF!,MATCH(C$2,#REF!,0),0)</f>
        <v>#REF!</v>
      </c>
      <c r="D268" s="136"/>
      <c r="E268" s="136"/>
      <c r="F268" s="136" t="e">
        <f>VLOOKUP($B268,#REF!,MATCH(F$2,#REF!,0),0)</f>
        <v>#REF!</v>
      </c>
      <c r="G268" s="137" t="e">
        <f>VLOOKUP($B268,#REF!,MATCH(G$2,#REF!,0),0)</f>
        <v>#REF!</v>
      </c>
      <c r="H268" s="48">
        <v>1</v>
      </c>
      <c r="I268" s="48">
        <v>1</v>
      </c>
      <c r="J268" s="48">
        <v>1</v>
      </c>
      <c r="K268" s="48">
        <v>1</v>
      </c>
      <c r="L268" s="48"/>
      <c r="M268" s="48"/>
      <c r="N268" s="48"/>
      <c r="O268" s="48"/>
      <c r="P268" s="48"/>
      <c r="Q268" s="48"/>
      <c r="R268" s="371" t="e">
        <f t="shared" ref="R268:R270" si="253">$G268*H268</f>
        <v>#REF!</v>
      </c>
      <c r="S268" s="371" t="e">
        <f t="shared" ref="S268:AA268" si="254">$G268*I268</f>
        <v>#REF!</v>
      </c>
      <c r="T268" s="371" t="e">
        <f t="shared" si="254"/>
        <v>#REF!</v>
      </c>
      <c r="U268" s="371" t="e">
        <f t="shared" si="254"/>
        <v>#REF!</v>
      </c>
      <c r="V268" s="371" t="e">
        <f t="shared" si="254"/>
        <v>#REF!</v>
      </c>
      <c r="W268" s="371" t="e">
        <f t="shared" si="254"/>
        <v>#REF!</v>
      </c>
      <c r="X268" s="371" t="e">
        <f t="shared" si="254"/>
        <v>#REF!</v>
      </c>
      <c r="Y268" s="371" t="e">
        <f t="shared" si="254"/>
        <v>#REF!</v>
      </c>
      <c r="Z268" s="371" t="e">
        <f t="shared" si="254"/>
        <v>#REF!</v>
      </c>
      <c r="AA268" s="371" t="e">
        <f t="shared" si="254"/>
        <v>#REF!</v>
      </c>
      <c r="AB268" s="50"/>
    </row>
    <row r="269" ht="28.8" outlineLevel="2" spans="1:28">
      <c r="A269" s="52">
        <f>MAX($A$6:A268)+1</f>
        <v>223</v>
      </c>
      <c r="B269" s="51" t="s">
        <v>439</v>
      </c>
      <c r="C269" s="51" t="e">
        <f>VLOOKUP($B269,#REF!,MATCH(C$2,#REF!,0),0)</f>
        <v>#REF!</v>
      </c>
      <c r="D269" s="136"/>
      <c r="E269" s="136"/>
      <c r="F269" s="136" t="e">
        <f>VLOOKUP($B269,#REF!,MATCH(F$2,#REF!,0),0)</f>
        <v>#REF!</v>
      </c>
      <c r="G269" s="137" t="e">
        <f>VLOOKUP($B269,#REF!,MATCH(G$2,#REF!,0),0)</f>
        <v>#REF!</v>
      </c>
      <c r="H269" s="48">
        <v>1</v>
      </c>
      <c r="I269" s="48">
        <v>1</v>
      </c>
      <c r="J269" s="48">
        <v>1</v>
      </c>
      <c r="K269" s="48">
        <v>1</v>
      </c>
      <c r="L269" s="48"/>
      <c r="M269" s="48"/>
      <c r="N269" s="48"/>
      <c r="O269" s="48"/>
      <c r="P269" s="48"/>
      <c r="Q269" s="48"/>
      <c r="R269" s="371" t="e">
        <f t="shared" si="253"/>
        <v>#REF!</v>
      </c>
      <c r="S269" s="371" t="e">
        <f t="shared" ref="S269:AA269" si="255">$G269*I269</f>
        <v>#REF!</v>
      </c>
      <c r="T269" s="371" t="e">
        <f t="shared" si="255"/>
        <v>#REF!</v>
      </c>
      <c r="U269" s="371" t="e">
        <f t="shared" si="255"/>
        <v>#REF!</v>
      </c>
      <c r="V269" s="371" t="e">
        <f t="shared" si="255"/>
        <v>#REF!</v>
      </c>
      <c r="W269" s="371" t="e">
        <f t="shared" si="255"/>
        <v>#REF!</v>
      </c>
      <c r="X269" s="371" t="e">
        <f t="shared" si="255"/>
        <v>#REF!</v>
      </c>
      <c r="Y269" s="371" t="e">
        <f t="shared" si="255"/>
        <v>#REF!</v>
      </c>
      <c r="Z269" s="371" t="e">
        <f t="shared" si="255"/>
        <v>#REF!</v>
      </c>
      <c r="AA269" s="371" t="e">
        <f t="shared" si="255"/>
        <v>#REF!</v>
      </c>
      <c r="AB269" s="50"/>
    </row>
    <row r="270" ht="28.8" outlineLevel="2" spans="1:28">
      <c r="A270" s="52">
        <f>MAX($A$6:A269)+1</f>
        <v>224</v>
      </c>
      <c r="B270" s="51" t="s">
        <v>440</v>
      </c>
      <c r="C270" s="51" t="e">
        <f>VLOOKUP($B270,#REF!,MATCH(C$2,#REF!,0),0)</f>
        <v>#REF!</v>
      </c>
      <c r="D270" s="136"/>
      <c r="E270" s="136"/>
      <c r="F270" s="136" t="e">
        <f>VLOOKUP($B270,#REF!,MATCH(F$2,#REF!,0),0)</f>
        <v>#REF!</v>
      </c>
      <c r="G270" s="137" t="e">
        <f>VLOOKUP($B270,#REF!,MATCH(G$2,#REF!,0),0)</f>
        <v>#REF!</v>
      </c>
      <c r="H270" s="48">
        <v>1</v>
      </c>
      <c r="I270" s="48">
        <v>1</v>
      </c>
      <c r="J270" s="48">
        <v>1</v>
      </c>
      <c r="K270" s="48">
        <v>1</v>
      </c>
      <c r="L270" s="48"/>
      <c r="M270" s="48"/>
      <c r="N270" s="48"/>
      <c r="O270" s="48"/>
      <c r="P270" s="48"/>
      <c r="Q270" s="48"/>
      <c r="R270" s="371" t="e">
        <f t="shared" si="253"/>
        <v>#REF!</v>
      </c>
      <c r="S270" s="371" t="e">
        <f t="shared" ref="S270:AA270" si="256">$G270*I270</f>
        <v>#REF!</v>
      </c>
      <c r="T270" s="371" t="e">
        <f t="shared" si="256"/>
        <v>#REF!</v>
      </c>
      <c r="U270" s="371" t="e">
        <f t="shared" si="256"/>
        <v>#REF!</v>
      </c>
      <c r="V270" s="371" t="e">
        <f t="shared" si="256"/>
        <v>#REF!</v>
      </c>
      <c r="W270" s="371" t="e">
        <f t="shared" si="256"/>
        <v>#REF!</v>
      </c>
      <c r="X270" s="371" t="e">
        <f t="shared" si="256"/>
        <v>#REF!</v>
      </c>
      <c r="Y270" s="371" t="e">
        <f t="shared" si="256"/>
        <v>#REF!</v>
      </c>
      <c r="Z270" s="371" t="e">
        <f t="shared" si="256"/>
        <v>#REF!</v>
      </c>
      <c r="AA270" s="371" t="e">
        <f t="shared" si="256"/>
        <v>#REF!</v>
      </c>
      <c r="AB270" s="50"/>
    </row>
    <row r="271" s="122" customFormat="1" outlineLevel="2" spans="1:28">
      <c r="A271" s="130"/>
      <c r="B271" s="154" t="s">
        <v>444</v>
      </c>
      <c r="C271" s="154"/>
      <c r="D271" s="154"/>
      <c r="E271" s="154"/>
      <c r="F271" s="130"/>
      <c r="G271" s="134"/>
      <c r="H271" s="134"/>
      <c r="I271" s="134"/>
      <c r="J271" s="134"/>
      <c r="K271" s="134"/>
      <c r="L271" s="134"/>
      <c r="M271" s="134"/>
      <c r="N271" s="134"/>
      <c r="O271" s="134"/>
      <c r="P271" s="134"/>
      <c r="Q271" s="134"/>
      <c r="R271" s="367"/>
      <c r="S271" s="367"/>
      <c r="T271" s="367"/>
      <c r="U271" s="367"/>
      <c r="V271" s="371"/>
      <c r="W271" s="367"/>
      <c r="X271" s="367"/>
      <c r="Y271" s="367"/>
      <c r="Z271" s="367"/>
      <c r="AA271" s="367"/>
      <c r="AB271" s="130"/>
    </row>
    <row r="272" outlineLevel="2" spans="1:28">
      <c r="A272" s="52">
        <f>MAX($A$6:A271)+1</f>
        <v>225</v>
      </c>
      <c r="B272" s="51" t="s">
        <v>354</v>
      </c>
      <c r="C272" s="51" t="e">
        <f>VLOOKUP($B272,#REF!,MATCH(C$2,#REF!,0),0)</f>
        <v>#REF!</v>
      </c>
      <c r="D272" s="136"/>
      <c r="E272" s="136"/>
      <c r="F272" s="136" t="e">
        <f>VLOOKUP($B272,#REF!,MATCH(F$2,#REF!,0),0)</f>
        <v>#REF!</v>
      </c>
      <c r="G272" s="137" t="e">
        <f>VLOOKUP($B272,#REF!,MATCH(G$2,#REF!,0),0)</f>
        <v>#REF!</v>
      </c>
      <c r="H272" s="48">
        <v>481.14</v>
      </c>
      <c r="I272" s="48">
        <v>481.14</v>
      </c>
      <c r="J272" s="48">
        <v>80.73</v>
      </c>
      <c r="K272" s="48">
        <v>1</v>
      </c>
      <c r="L272" s="48"/>
      <c r="M272" s="48"/>
      <c r="N272" s="48"/>
      <c r="O272" s="48"/>
      <c r="P272" s="48"/>
      <c r="Q272" s="48"/>
      <c r="R272" s="371" t="e">
        <f>$G272*H272</f>
        <v>#REF!</v>
      </c>
      <c r="S272" s="371" t="e">
        <f t="shared" ref="S272:AA272" si="257">$G272*I272</f>
        <v>#REF!</v>
      </c>
      <c r="T272" s="371" t="e">
        <f t="shared" si="257"/>
        <v>#REF!</v>
      </c>
      <c r="U272" s="371" t="e">
        <f t="shared" si="257"/>
        <v>#REF!</v>
      </c>
      <c r="V272" s="371" t="e">
        <f t="shared" si="257"/>
        <v>#REF!</v>
      </c>
      <c r="W272" s="371" t="e">
        <f t="shared" si="257"/>
        <v>#REF!</v>
      </c>
      <c r="X272" s="371" t="e">
        <f t="shared" si="257"/>
        <v>#REF!</v>
      </c>
      <c r="Y272" s="371" t="e">
        <f t="shared" si="257"/>
        <v>#REF!</v>
      </c>
      <c r="Z272" s="371" t="e">
        <f t="shared" si="257"/>
        <v>#REF!</v>
      </c>
      <c r="AA272" s="371" t="e">
        <f t="shared" si="257"/>
        <v>#REF!</v>
      </c>
      <c r="AB272" s="50"/>
    </row>
    <row r="273" ht="28.8" outlineLevel="2" spans="1:28">
      <c r="A273" s="52">
        <f>MAX($A$6:A272)+1</f>
        <v>226</v>
      </c>
      <c r="B273" s="51" t="s">
        <v>439</v>
      </c>
      <c r="C273" s="51" t="e">
        <f>VLOOKUP($B273,#REF!,MATCH(C$2,#REF!,0),0)</f>
        <v>#REF!</v>
      </c>
      <c r="D273" s="136"/>
      <c r="E273" s="136"/>
      <c r="F273" s="136" t="e">
        <f>VLOOKUP($B273,#REF!,MATCH(F$2,#REF!,0),0)</f>
        <v>#REF!</v>
      </c>
      <c r="G273" s="137" t="e">
        <f>VLOOKUP($B273,#REF!,MATCH(G$2,#REF!,0),0)</f>
        <v>#REF!</v>
      </c>
      <c r="H273" s="48">
        <v>481.14</v>
      </c>
      <c r="I273" s="48">
        <v>481.14</v>
      </c>
      <c r="J273" s="48">
        <v>80.73</v>
      </c>
      <c r="K273" s="48">
        <v>1</v>
      </c>
      <c r="L273" s="48"/>
      <c r="M273" s="48"/>
      <c r="N273" s="48"/>
      <c r="O273" s="48"/>
      <c r="P273" s="48"/>
      <c r="Q273" s="48"/>
      <c r="R273" s="371" t="e">
        <f t="shared" ref="R273:AA273" si="258">$G273*H273</f>
        <v>#REF!</v>
      </c>
      <c r="S273" s="371" t="e">
        <f t="shared" si="258"/>
        <v>#REF!</v>
      </c>
      <c r="T273" s="371" t="e">
        <f t="shared" si="258"/>
        <v>#REF!</v>
      </c>
      <c r="U273" s="371" t="e">
        <f t="shared" si="258"/>
        <v>#REF!</v>
      </c>
      <c r="V273" s="371" t="e">
        <f t="shared" si="258"/>
        <v>#REF!</v>
      </c>
      <c r="W273" s="371" t="e">
        <f t="shared" si="258"/>
        <v>#REF!</v>
      </c>
      <c r="X273" s="371" t="e">
        <f t="shared" si="258"/>
        <v>#REF!</v>
      </c>
      <c r="Y273" s="371" t="e">
        <f t="shared" si="258"/>
        <v>#REF!</v>
      </c>
      <c r="Z273" s="371" t="e">
        <f t="shared" si="258"/>
        <v>#REF!</v>
      </c>
      <c r="AA273" s="371" t="e">
        <f t="shared" si="258"/>
        <v>#REF!</v>
      </c>
      <c r="AB273" s="50"/>
    </row>
    <row r="274" ht="28.8" outlineLevel="2" spans="1:28">
      <c r="A274" s="52">
        <f>MAX($A$6:A273)+1</f>
        <v>227</v>
      </c>
      <c r="B274" s="51" t="s">
        <v>440</v>
      </c>
      <c r="C274" s="51" t="e">
        <f>VLOOKUP($B274,#REF!,MATCH(C$2,#REF!,0),0)</f>
        <v>#REF!</v>
      </c>
      <c r="D274" s="136"/>
      <c r="E274" s="136"/>
      <c r="F274" s="136" t="e">
        <f>VLOOKUP($B274,#REF!,MATCH(F$2,#REF!,0),0)</f>
        <v>#REF!</v>
      </c>
      <c r="G274" s="137" t="e">
        <f>VLOOKUP($B274,#REF!,MATCH(G$2,#REF!,0),0)</f>
        <v>#REF!</v>
      </c>
      <c r="H274" s="48">
        <v>481.14</v>
      </c>
      <c r="I274" s="48">
        <v>481.14</v>
      </c>
      <c r="J274" s="48">
        <v>80.73</v>
      </c>
      <c r="K274" s="48">
        <v>1</v>
      </c>
      <c r="L274" s="48"/>
      <c r="M274" s="48"/>
      <c r="N274" s="48"/>
      <c r="O274" s="48"/>
      <c r="P274" s="48"/>
      <c r="Q274" s="48"/>
      <c r="R274" s="371" t="e">
        <f t="shared" ref="R274:AA274" si="259">$G274*H274</f>
        <v>#REF!</v>
      </c>
      <c r="S274" s="371" t="e">
        <f t="shared" si="259"/>
        <v>#REF!</v>
      </c>
      <c r="T274" s="371" t="e">
        <f t="shared" si="259"/>
        <v>#REF!</v>
      </c>
      <c r="U274" s="371" t="e">
        <f t="shared" si="259"/>
        <v>#REF!</v>
      </c>
      <c r="V274" s="371" t="e">
        <f t="shared" si="259"/>
        <v>#REF!</v>
      </c>
      <c r="W274" s="371" t="e">
        <f t="shared" si="259"/>
        <v>#REF!</v>
      </c>
      <c r="X274" s="371" t="e">
        <f t="shared" si="259"/>
        <v>#REF!</v>
      </c>
      <c r="Y274" s="371" t="e">
        <f t="shared" si="259"/>
        <v>#REF!</v>
      </c>
      <c r="Z274" s="371" t="e">
        <f t="shared" si="259"/>
        <v>#REF!</v>
      </c>
      <c r="AA274" s="371" t="e">
        <f t="shared" si="259"/>
        <v>#REF!</v>
      </c>
      <c r="AB274" s="50"/>
    </row>
    <row r="275" outlineLevel="2" spans="1:28">
      <c r="A275" s="52">
        <f>MAX($A$6:A274)+1</f>
        <v>228</v>
      </c>
      <c r="B275" s="51" t="s">
        <v>331</v>
      </c>
      <c r="C275" s="51" t="e">
        <f>VLOOKUP($B275,#REF!,MATCH(C$2,#REF!,0),0)</f>
        <v>#REF!</v>
      </c>
      <c r="D275" s="136"/>
      <c r="E275" s="136"/>
      <c r="F275" s="136" t="e">
        <f>VLOOKUP($B275,#REF!,MATCH(F$2,#REF!,0),0)</f>
        <v>#REF!</v>
      </c>
      <c r="G275" s="137" t="e">
        <f>VLOOKUP($B275,#REF!,MATCH(G$2,#REF!,0),0)</f>
        <v>#REF!</v>
      </c>
      <c r="H275" s="48">
        <v>1</v>
      </c>
      <c r="I275" s="48">
        <v>1</v>
      </c>
      <c r="J275" s="48">
        <v>1</v>
      </c>
      <c r="K275" s="48">
        <v>1</v>
      </c>
      <c r="L275" s="48"/>
      <c r="M275" s="48"/>
      <c r="N275" s="48"/>
      <c r="O275" s="48"/>
      <c r="P275" s="48"/>
      <c r="Q275" s="48"/>
      <c r="R275" s="371" t="e">
        <f t="shared" ref="R275:AA275" si="260">$G275*H275</f>
        <v>#REF!</v>
      </c>
      <c r="S275" s="371" t="e">
        <f t="shared" si="260"/>
        <v>#REF!</v>
      </c>
      <c r="T275" s="371" t="e">
        <f t="shared" si="260"/>
        <v>#REF!</v>
      </c>
      <c r="U275" s="371" t="e">
        <f t="shared" si="260"/>
        <v>#REF!</v>
      </c>
      <c r="V275" s="371" t="e">
        <f t="shared" si="260"/>
        <v>#REF!</v>
      </c>
      <c r="W275" s="371" t="e">
        <f t="shared" si="260"/>
        <v>#REF!</v>
      </c>
      <c r="X275" s="371" t="e">
        <f t="shared" si="260"/>
        <v>#REF!</v>
      </c>
      <c r="Y275" s="371" t="e">
        <f t="shared" si="260"/>
        <v>#REF!</v>
      </c>
      <c r="Z275" s="371" t="e">
        <f t="shared" si="260"/>
        <v>#REF!</v>
      </c>
      <c r="AA275" s="371" t="e">
        <f t="shared" si="260"/>
        <v>#REF!</v>
      </c>
      <c r="AB275" s="50"/>
    </row>
    <row r="276" s="122" customFormat="1" outlineLevel="2" spans="1:28">
      <c r="A276" s="130"/>
      <c r="B276" s="154" t="s">
        <v>445</v>
      </c>
      <c r="C276" s="154"/>
      <c r="D276" s="154"/>
      <c r="E276" s="154"/>
      <c r="F276" s="130"/>
      <c r="G276" s="134"/>
      <c r="H276" s="134"/>
      <c r="I276" s="134"/>
      <c r="J276" s="134"/>
      <c r="K276" s="134"/>
      <c r="L276" s="134"/>
      <c r="M276" s="134"/>
      <c r="N276" s="134"/>
      <c r="O276" s="134"/>
      <c r="P276" s="134"/>
      <c r="Q276" s="134"/>
      <c r="R276" s="367"/>
      <c r="S276" s="367"/>
      <c r="T276" s="367"/>
      <c r="U276" s="367"/>
      <c r="V276" s="371"/>
      <c r="W276" s="367"/>
      <c r="X276" s="367"/>
      <c r="Y276" s="367"/>
      <c r="Z276" s="367"/>
      <c r="AA276" s="367"/>
      <c r="AB276" s="130"/>
    </row>
    <row r="277" outlineLevel="2" spans="1:28">
      <c r="A277" s="52">
        <f>MAX($A$6:A276)+1</f>
        <v>229</v>
      </c>
      <c r="B277" s="51" t="s">
        <v>354</v>
      </c>
      <c r="C277" s="51" t="e">
        <f>VLOOKUP($B277,#REF!,MATCH(C$2,#REF!,0),0)</f>
        <v>#REF!</v>
      </c>
      <c r="D277" s="136"/>
      <c r="E277" s="136"/>
      <c r="F277" s="136" t="e">
        <f>VLOOKUP($B277,#REF!,MATCH(F$2,#REF!,0),0)</f>
        <v>#REF!</v>
      </c>
      <c r="G277" s="137" t="e">
        <f>VLOOKUP($B277,#REF!,MATCH(G$2,#REF!,0),0)</f>
        <v>#REF!</v>
      </c>
      <c r="H277" s="48">
        <v>61.03</v>
      </c>
      <c r="I277" s="48">
        <v>61.03</v>
      </c>
      <c r="J277" s="48">
        <v>1</v>
      </c>
      <c r="K277" s="48">
        <v>1</v>
      </c>
      <c r="L277" s="48"/>
      <c r="M277" s="48"/>
      <c r="N277" s="48"/>
      <c r="O277" s="48"/>
      <c r="P277" s="48"/>
      <c r="Q277" s="48"/>
      <c r="R277" s="371" t="e">
        <f t="shared" ref="R277:R279" si="261">$G277*H277</f>
        <v>#REF!</v>
      </c>
      <c r="S277" s="371" t="e">
        <f t="shared" ref="S277:AA277" si="262">$G277*I277</f>
        <v>#REF!</v>
      </c>
      <c r="T277" s="371" t="e">
        <f t="shared" si="262"/>
        <v>#REF!</v>
      </c>
      <c r="U277" s="371" t="e">
        <f t="shared" si="262"/>
        <v>#REF!</v>
      </c>
      <c r="V277" s="371" t="e">
        <f t="shared" si="262"/>
        <v>#REF!</v>
      </c>
      <c r="W277" s="371" t="e">
        <f t="shared" si="262"/>
        <v>#REF!</v>
      </c>
      <c r="X277" s="371" t="e">
        <f t="shared" si="262"/>
        <v>#REF!</v>
      </c>
      <c r="Y277" s="371" t="e">
        <f t="shared" si="262"/>
        <v>#REF!</v>
      </c>
      <c r="Z277" s="371" t="e">
        <f t="shared" si="262"/>
        <v>#REF!</v>
      </c>
      <c r="AA277" s="371" t="e">
        <f t="shared" si="262"/>
        <v>#REF!</v>
      </c>
      <c r="AB277" s="50"/>
    </row>
    <row r="278" ht="28.8" outlineLevel="2" spans="1:28">
      <c r="A278" s="52">
        <f>MAX($A$6:A277)+1</f>
        <v>230</v>
      </c>
      <c r="B278" s="51" t="s">
        <v>439</v>
      </c>
      <c r="C278" s="51" t="e">
        <f>VLOOKUP($B278,#REF!,MATCH(C$2,#REF!,0),0)</f>
        <v>#REF!</v>
      </c>
      <c r="D278" s="136"/>
      <c r="E278" s="136"/>
      <c r="F278" s="136" t="e">
        <f>VLOOKUP($B278,#REF!,MATCH(F$2,#REF!,0),0)</f>
        <v>#REF!</v>
      </c>
      <c r="G278" s="137" t="e">
        <f>VLOOKUP($B278,#REF!,MATCH(G$2,#REF!,0),0)</f>
        <v>#REF!</v>
      </c>
      <c r="H278" s="48">
        <v>61.03</v>
      </c>
      <c r="I278" s="48">
        <v>61.03</v>
      </c>
      <c r="J278" s="48">
        <v>1</v>
      </c>
      <c r="K278" s="48">
        <v>1</v>
      </c>
      <c r="L278" s="48"/>
      <c r="M278" s="48"/>
      <c r="N278" s="48"/>
      <c r="O278" s="48"/>
      <c r="P278" s="48"/>
      <c r="Q278" s="48"/>
      <c r="R278" s="371" t="e">
        <f t="shared" si="261"/>
        <v>#REF!</v>
      </c>
      <c r="S278" s="371" t="e">
        <f t="shared" ref="S278:AA278" si="263">$G278*I278</f>
        <v>#REF!</v>
      </c>
      <c r="T278" s="371" t="e">
        <f t="shared" si="263"/>
        <v>#REF!</v>
      </c>
      <c r="U278" s="371" t="e">
        <f t="shared" si="263"/>
        <v>#REF!</v>
      </c>
      <c r="V278" s="371" t="e">
        <f t="shared" si="263"/>
        <v>#REF!</v>
      </c>
      <c r="W278" s="371" t="e">
        <f t="shared" si="263"/>
        <v>#REF!</v>
      </c>
      <c r="X278" s="371" t="e">
        <f t="shared" si="263"/>
        <v>#REF!</v>
      </c>
      <c r="Y278" s="371" t="e">
        <f t="shared" si="263"/>
        <v>#REF!</v>
      </c>
      <c r="Z278" s="371" t="e">
        <f t="shared" si="263"/>
        <v>#REF!</v>
      </c>
      <c r="AA278" s="371" t="e">
        <f t="shared" si="263"/>
        <v>#REF!</v>
      </c>
      <c r="AB278" s="50"/>
    </row>
    <row r="279" ht="28.8" outlineLevel="2" spans="1:28">
      <c r="A279" s="52">
        <f>MAX($A$6:A278)+1</f>
        <v>231</v>
      </c>
      <c r="B279" s="51" t="s">
        <v>440</v>
      </c>
      <c r="C279" s="51" t="e">
        <f>VLOOKUP($B279,#REF!,MATCH(C$2,#REF!,0),0)</f>
        <v>#REF!</v>
      </c>
      <c r="D279" s="136"/>
      <c r="E279" s="136"/>
      <c r="F279" s="136" t="e">
        <f>VLOOKUP($B279,#REF!,MATCH(F$2,#REF!,0),0)</f>
        <v>#REF!</v>
      </c>
      <c r="G279" s="137" t="e">
        <f>VLOOKUP($B279,#REF!,MATCH(G$2,#REF!,0),0)</f>
        <v>#REF!</v>
      </c>
      <c r="H279" s="48">
        <v>61.03</v>
      </c>
      <c r="I279" s="48">
        <v>61.03</v>
      </c>
      <c r="J279" s="48">
        <v>1</v>
      </c>
      <c r="K279" s="48">
        <v>1</v>
      </c>
      <c r="L279" s="48"/>
      <c r="M279" s="48"/>
      <c r="N279" s="48"/>
      <c r="O279" s="48"/>
      <c r="P279" s="48"/>
      <c r="Q279" s="48"/>
      <c r="R279" s="371" t="e">
        <f t="shared" si="261"/>
        <v>#REF!</v>
      </c>
      <c r="S279" s="371" t="e">
        <f t="shared" ref="S279:AA279" si="264">$G279*I279</f>
        <v>#REF!</v>
      </c>
      <c r="T279" s="371" t="e">
        <f t="shared" si="264"/>
        <v>#REF!</v>
      </c>
      <c r="U279" s="371" t="e">
        <f t="shared" si="264"/>
        <v>#REF!</v>
      </c>
      <c r="V279" s="371" t="e">
        <f t="shared" si="264"/>
        <v>#REF!</v>
      </c>
      <c r="W279" s="371" t="e">
        <f t="shared" si="264"/>
        <v>#REF!</v>
      </c>
      <c r="X279" s="371" t="e">
        <f t="shared" si="264"/>
        <v>#REF!</v>
      </c>
      <c r="Y279" s="371" t="e">
        <f t="shared" si="264"/>
        <v>#REF!</v>
      </c>
      <c r="Z279" s="371" t="e">
        <f t="shared" si="264"/>
        <v>#REF!</v>
      </c>
      <c r="AA279" s="371" t="e">
        <f t="shared" si="264"/>
        <v>#REF!</v>
      </c>
      <c r="AB279" s="50"/>
    </row>
    <row r="280" s="122" customFormat="1" outlineLevel="2" spans="1:28">
      <c r="A280" s="130"/>
      <c r="B280" s="154" t="s">
        <v>446</v>
      </c>
      <c r="C280" s="154"/>
      <c r="D280" s="154"/>
      <c r="E280" s="154"/>
      <c r="F280" s="130"/>
      <c r="G280" s="134"/>
      <c r="H280" s="134"/>
      <c r="I280" s="134"/>
      <c r="J280" s="134"/>
      <c r="K280" s="134"/>
      <c r="L280" s="134"/>
      <c r="M280" s="134"/>
      <c r="N280" s="134"/>
      <c r="O280" s="134"/>
      <c r="P280" s="134"/>
      <c r="Q280" s="134"/>
      <c r="R280" s="367"/>
      <c r="S280" s="367"/>
      <c r="T280" s="367"/>
      <c r="U280" s="367"/>
      <c r="V280" s="371"/>
      <c r="W280" s="367"/>
      <c r="X280" s="367"/>
      <c r="Y280" s="367"/>
      <c r="Z280" s="367"/>
      <c r="AA280" s="367"/>
      <c r="AB280" s="130"/>
    </row>
    <row r="281" ht="28.8" outlineLevel="2" spans="1:28">
      <c r="A281" s="52">
        <f>MAX($A$6:A280)+1</f>
        <v>232</v>
      </c>
      <c r="B281" s="51" t="s">
        <v>447</v>
      </c>
      <c r="C281" s="51" t="e">
        <f>VLOOKUP($B281,#REF!,MATCH(C$2,#REF!,0),0)</f>
        <v>#REF!</v>
      </c>
      <c r="D281" s="136"/>
      <c r="E281" s="136"/>
      <c r="F281" s="136" t="e">
        <f>VLOOKUP($B281,#REF!,MATCH(F$2,#REF!,0),0)</f>
        <v>#REF!</v>
      </c>
      <c r="G281" s="137" t="e">
        <f>VLOOKUP($B281,#REF!,MATCH(G$2,#REF!,0),0)</f>
        <v>#REF!</v>
      </c>
      <c r="H281" s="48">
        <v>43.14</v>
      </c>
      <c r="I281" s="48">
        <v>43.14</v>
      </c>
      <c r="J281" s="48">
        <v>118.33</v>
      </c>
      <c r="K281" s="48">
        <v>118.33</v>
      </c>
      <c r="L281" s="48">
        <v>140</v>
      </c>
      <c r="M281" s="48"/>
      <c r="N281" s="48"/>
      <c r="O281" s="48"/>
      <c r="P281" s="48">
        <v>130.58</v>
      </c>
      <c r="Q281" s="48">
        <v>1017.03</v>
      </c>
      <c r="R281" s="371" t="e">
        <f>$G281*H281</f>
        <v>#REF!</v>
      </c>
      <c r="S281" s="371" t="e">
        <f t="shared" ref="S281:AA281" si="265">$G281*I281</f>
        <v>#REF!</v>
      </c>
      <c r="T281" s="371" t="e">
        <f t="shared" si="265"/>
        <v>#REF!</v>
      </c>
      <c r="U281" s="371" t="e">
        <f t="shared" si="265"/>
        <v>#REF!</v>
      </c>
      <c r="V281" s="371" t="e">
        <f t="shared" si="265"/>
        <v>#REF!</v>
      </c>
      <c r="W281" s="371" t="e">
        <f t="shared" si="265"/>
        <v>#REF!</v>
      </c>
      <c r="X281" s="371" t="e">
        <f t="shared" si="265"/>
        <v>#REF!</v>
      </c>
      <c r="Y281" s="371" t="e">
        <f t="shared" si="265"/>
        <v>#REF!</v>
      </c>
      <c r="Z281" s="371" t="e">
        <f t="shared" si="265"/>
        <v>#REF!</v>
      </c>
      <c r="AA281" s="371" t="e">
        <f t="shared" si="265"/>
        <v>#REF!</v>
      </c>
      <c r="AB281" s="50"/>
    </row>
    <row r="282" outlineLevel="2" spans="1:28">
      <c r="A282" s="52">
        <f>MAX($A$6:A281)+1</f>
        <v>233</v>
      </c>
      <c r="B282" s="51" t="s">
        <v>448</v>
      </c>
      <c r="C282" s="51" t="e">
        <f>VLOOKUP($B282,#REF!,MATCH(C$2,#REF!,0),0)</f>
        <v>#REF!</v>
      </c>
      <c r="D282" s="136"/>
      <c r="E282" s="136"/>
      <c r="F282" s="136" t="e">
        <f>VLOOKUP($B282,#REF!,MATCH(F$2,#REF!,0),0)</f>
        <v>#REF!</v>
      </c>
      <c r="G282" s="137" t="e">
        <f>VLOOKUP($B282,#REF!,MATCH(G$2,#REF!,0),0)</f>
        <v>#REF!</v>
      </c>
      <c r="H282" s="48"/>
      <c r="I282" s="48"/>
      <c r="J282" s="48"/>
      <c r="K282" s="48"/>
      <c r="L282" s="48"/>
      <c r="M282" s="48"/>
      <c r="N282" s="48"/>
      <c r="O282" s="48"/>
      <c r="P282" s="48">
        <v>707.14</v>
      </c>
      <c r="Q282" s="48">
        <v>1886.06</v>
      </c>
      <c r="R282" s="371" t="e">
        <f t="shared" ref="R282:AA282" si="266">$G282*H282</f>
        <v>#REF!</v>
      </c>
      <c r="S282" s="371" t="e">
        <f t="shared" si="266"/>
        <v>#REF!</v>
      </c>
      <c r="T282" s="371" t="e">
        <f t="shared" si="266"/>
        <v>#REF!</v>
      </c>
      <c r="U282" s="371" t="e">
        <f t="shared" si="266"/>
        <v>#REF!</v>
      </c>
      <c r="V282" s="371" t="e">
        <f t="shared" si="266"/>
        <v>#REF!</v>
      </c>
      <c r="W282" s="371" t="e">
        <f t="shared" si="266"/>
        <v>#REF!</v>
      </c>
      <c r="X282" s="371" t="e">
        <f t="shared" si="266"/>
        <v>#REF!</v>
      </c>
      <c r="Y282" s="371" t="e">
        <f t="shared" si="266"/>
        <v>#REF!</v>
      </c>
      <c r="Z282" s="371" t="e">
        <f t="shared" si="266"/>
        <v>#REF!</v>
      </c>
      <c r="AA282" s="371" t="e">
        <f t="shared" si="266"/>
        <v>#REF!</v>
      </c>
      <c r="AB282" s="50"/>
    </row>
    <row r="283" s="122" customFormat="1" outlineLevel="2" spans="1:28">
      <c r="A283" s="130"/>
      <c r="B283" s="154" t="s">
        <v>449</v>
      </c>
      <c r="C283" s="154"/>
      <c r="D283" s="154"/>
      <c r="E283" s="154"/>
      <c r="F283" s="130"/>
      <c r="G283" s="134"/>
      <c r="H283" s="134"/>
      <c r="I283" s="134"/>
      <c r="J283" s="134"/>
      <c r="K283" s="134"/>
      <c r="L283" s="134"/>
      <c r="M283" s="134"/>
      <c r="N283" s="134"/>
      <c r="O283" s="134"/>
      <c r="P283" s="134"/>
      <c r="Q283" s="134"/>
      <c r="R283" s="367"/>
      <c r="S283" s="367"/>
      <c r="T283" s="367"/>
      <c r="U283" s="367"/>
      <c r="V283" s="371"/>
      <c r="W283" s="367"/>
      <c r="X283" s="367"/>
      <c r="Y283" s="367"/>
      <c r="Z283" s="367"/>
      <c r="AA283" s="367"/>
      <c r="AB283" s="130"/>
    </row>
    <row r="284" outlineLevel="2" spans="1:28">
      <c r="A284" s="52">
        <f>MAX($A$6:A283)+1</f>
        <v>234</v>
      </c>
      <c r="B284" s="51" t="s">
        <v>450</v>
      </c>
      <c r="C284" s="51" t="e">
        <f>VLOOKUP($B284,#REF!,MATCH(C$2,#REF!,0),0)</f>
        <v>#REF!</v>
      </c>
      <c r="D284" s="136"/>
      <c r="E284" s="136"/>
      <c r="F284" s="136" t="e">
        <f>VLOOKUP($B284,#REF!,MATCH(F$2,#REF!,0),0)</f>
        <v>#REF!</v>
      </c>
      <c r="G284" s="137" t="e">
        <f>VLOOKUP($B284,#REF!,MATCH(G$2,#REF!,0),0)</f>
        <v>#REF!</v>
      </c>
      <c r="H284" s="48"/>
      <c r="I284" s="48"/>
      <c r="J284" s="48"/>
      <c r="K284" s="48"/>
      <c r="L284" s="48"/>
      <c r="M284" s="48"/>
      <c r="N284" s="48"/>
      <c r="O284" s="48"/>
      <c r="P284" s="48">
        <v>1</v>
      </c>
      <c r="Q284" s="48">
        <v>273.65</v>
      </c>
      <c r="R284" s="371" t="e">
        <f>$G284*H284</f>
        <v>#REF!</v>
      </c>
      <c r="S284" s="371" t="e">
        <f t="shared" ref="S284:AA284" si="267">$G284*I284</f>
        <v>#REF!</v>
      </c>
      <c r="T284" s="371" t="e">
        <f t="shared" si="267"/>
        <v>#REF!</v>
      </c>
      <c r="U284" s="371" t="e">
        <f t="shared" si="267"/>
        <v>#REF!</v>
      </c>
      <c r="V284" s="371" t="e">
        <f t="shared" si="267"/>
        <v>#REF!</v>
      </c>
      <c r="W284" s="371" t="e">
        <f t="shared" si="267"/>
        <v>#REF!</v>
      </c>
      <c r="X284" s="371" t="e">
        <f t="shared" si="267"/>
        <v>#REF!</v>
      </c>
      <c r="Y284" s="371" t="e">
        <f t="shared" si="267"/>
        <v>#REF!</v>
      </c>
      <c r="Z284" s="371" t="e">
        <f t="shared" si="267"/>
        <v>#REF!</v>
      </c>
      <c r="AA284" s="371" t="e">
        <f t="shared" si="267"/>
        <v>#REF!</v>
      </c>
      <c r="AB284" s="50"/>
    </row>
    <row r="285" ht="28.8" outlineLevel="2" spans="1:28">
      <c r="A285" s="52">
        <f>MAX($A$6:A284)+1</f>
        <v>235</v>
      </c>
      <c r="B285" s="51" t="s">
        <v>451</v>
      </c>
      <c r="C285" s="51" t="e">
        <f>VLOOKUP($B285,#REF!,MATCH(C$2,#REF!,0),0)</f>
        <v>#REF!</v>
      </c>
      <c r="D285" s="136"/>
      <c r="E285" s="136"/>
      <c r="F285" s="136" t="e">
        <f>VLOOKUP($B285,#REF!,MATCH(F$2,#REF!,0),0)</f>
        <v>#REF!</v>
      </c>
      <c r="G285" s="137" t="e">
        <f>VLOOKUP($B285,#REF!,MATCH(G$2,#REF!,0),0)</f>
        <v>#REF!</v>
      </c>
      <c r="H285" s="48"/>
      <c r="I285" s="48"/>
      <c r="J285" s="48"/>
      <c r="K285" s="48"/>
      <c r="L285" s="48"/>
      <c r="M285" s="48"/>
      <c r="N285" s="48"/>
      <c r="O285" s="48"/>
      <c r="P285" s="48">
        <v>1</v>
      </c>
      <c r="Q285" s="48">
        <v>273.65</v>
      </c>
      <c r="R285" s="371" t="e">
        <f t="shared" ref="R285:AA285" si="268">$G285*H285</f>
        <v>#REF!</v>
      </c>
      <c r="S285" s="371" t="e">
        <f t="shared" si="268"/>
        <v>#REF!</v>
      </c>
      <c r="T285" s="371" t="e">
        <f t="shared" si="268"/>
        <v>#REF!</v>
      </c>
      <c r="U285" s="371" t="e">
        <f t="shared" si="268"/>
        <v>#REF!</v>
      </c>
      <c r="V285" s="371" t="e">
        <f t="shared" si="268"/>
        <v>#REF!</v>
      </c>
      <c r="W285" s="371" t="e">
        <f t="shared" si="268"/>
        <v>#REF!</v>
      </c>
      <c r="X285" s="371" t="e">
        <f t="shared" si="268"/>
        <v>#REF!</v>
      </c>
      <c r="Y285" s="371" t="e">
        <f t="shared" si="268"/>
        <v>#REF!</v>
      </c>
      <c r="Z285" s="371" t="e">
        <f t="shared" si="268"/>
        <v>#REF!</v>
      </c>
      <c r="AA285" s="371" t="e">
        <f t="shared" si="268"/>
        <v>#REF!</v>
      </c>
      <c r="AB285" s="50"/>
    </row>
    <row r="286" s="29" customFormat="1" outlineLevel="1" spans="1:28">
      <c r="A286" s="40"/>
      <c r="B286" s="41" t="str">
        <f>目录!H17</f>
        <v>A.05.04白水泥工程</v>
      </c>
      <c r="C286" s="41"/>
      <c r="D286" s="141"/>
      <c r="E286" s="141"/>
      <c r="F286" s="40"/>
      <c r="G286" s="43"/>
      <c r="H286" s="43"/>
      <c r="I286" s="43"/>
      <c r="J286" s="43"/>
      <c r="K286" s="43"/>
      <c r="L286" s="43"/>
      <c r="M286" s="43"/>
      <c r="N286" s="43"/>
      <c r="O286" s="43"/>
      <c r="P286" s="43"/>
      <c r="Q286" s="43"/>
      <c r="R286" s="369" t="e">
        <f t="shared" ref="R286:AA286" si="269">SUM(R287:R296)</f>
        <v>#REF!</v>
      </c>
      <c r="S286" s="369" t="e">
        <f t="shared" si="269"/>
        <v>#REF!</v>
      </c>
      <c r="T286" s="369" t="e">
        <f t="shared" si="269"/>
        <v>#REF!</v>
      </c>
      <c r="U286" s="369" t="e">
        <f t="shared" si="269"/>
        <v>#REF!</v>
      </c>
      <c r="V286" s="369" t="e">
        <f t="shared" si="269"/>
        <v>#REF!</v>
      </c>
      <c r="W286" s="369" t="e">
        <f t="shared" si="269"/>
        <v>#REF!</v>
      </c>
      <c r="X286" s="369" t="e">
        <f t="shared" si="269"/>
        <v>#REF!</v>
      </c>
      <c r="Y286" s="369" t="e">
        <f t="shared" si="269"/>
        <v>#REF!</v>
      </c>
      <c r="Z286" s="369" t="e">
        <f t="shared" si="269"/>
        <v>#REF!</v>
      </c>
      <c r="AA286" s="369" t="e">
        <f t="shared" si="269"/>
        <v>#REF!</v>
      </c>
      <c r="AB286" s="40"/>
    </row>
    <row r="287" outlineLevel="2" spans="1:28">
      <c r="A287" s="52">
        <f>MAX($A$6:A286)+1</f>
        <v>236</v>
      </c>
      <c r="B287" s="51" t="s">
        <v>452</v>
      </c>
      <c r="C287" s="51" t="e">
        <f>VLOOKUP($B287,#REF!,MATCH(C$2,#REF!,0),0)</f>
        <v>#REF!</v>
      </c>
      <c r="D287" s="136"/>
      <c r="E287" s="136"/>
      <c r="F287" s="136" t="e">
        <f>VLOOKUP($B287,#REF!,MATCH(F$2,#REF!,0),0)</f>
        <v>#REF!</v>
      </c>
      <c r="G287" s="137" t="e">
        <f>VLOOKUP($B287,#REF!,MATCH(G$2,#REF!,0),0)</f>
        <v>#REF!</v>
      </c>
      <c r="H287" s="48">
        <v>835.21</v>
      </c>
      <c r="I287" s="48">
        <v>835.21</v>
      </c>
      <c r="J287" s="48">
        <v>634.22</v>
      </c>
      <c r="K287" s="48">
        <v>634.22</v>
      </c>
      <c r="L287" s="48">
        <v>892.9531</v>
      </c>
      <c r="M287" s="48"/>
      <c r="N287" s="48"/>
      <c r="O287" s="48"/>
      <c r="P287" s="48">
        <v>21124.28</v>
      </c>
      <c r="Q287" s="48">
        <v>20645.29</v>
      </c>
      <c r="R287" s="371" t="e">
        <f>$G287*H287</f>
        <v>#REF!</v>
      </c>
      <c r="S287" s="371" t="e">
        <f t="shared" ref="S287:AA287" si="270">$G287*I287</f>
        <v>#REF!</v>
      </c>
      <c r="T287" s="371" t="e">
        <f t="shared" si="270"/>
        <v>#REF!</v>
      </c>
      <c r="U287" s="371" t="e">
        <f t="shared" si="270"/>
        <v>#REF!</v>
      </c>
      <c r="V287" s="371" t="e">
        <f t="shared" si="270"/>
        <v>#REF!</v>
      </c>
      <c r="W287" s="371" t="e">
        <f t="shared" si="270"/>
        <v>#REF!</v>
      </c>
      <c r="X287" s="371" t="e">
        <f t="shared" si="270"/>
        <v>#REF!</v>
      </c>
      <c r="Y287" s="371" t="e">
        <f t="shared" si="270"/>
        <v>#REF!</v>
      </c>
      <c r="Z287" s="371" t="e">
        <f t="shared" si="270"/>
        <v>#REF!</v>
      </c>
      <c r="AA287" s="371" t="e">
        <f t="shared" si="270"/>
        <v>#REF!</v>
      </c>
      <c r="AB287" s="50"/>
    </row>
    <row r="288" ht="28.8" outlineLevel="2" spans="1:28">
      <c r="A288" s="52">
        <f>MAX($A$6:A287)+1</f>
        <v>237</v>
      </c>
      <c r="B288" s="51" t="s">
        <v>453</v>
      </c>
      <c r="C288" s="51" t="e">
        <f>VLOOKUP($B288,#REF!,MATCH(C$2,#REF!,0),0)</f>
        <v>#REF!</v>
      </c>
      <c r="D288" s="136"/>
      <c r="E288" s="136"/>
      <c r="F288" s="136" t="e">
        <f>VLOOKUP($B288,#REF!,MATCH(F$2,#REF!,0),0)</f>
        <v>#REF!</v>
      </c>
      <c r="G288" s="137" t="e">
        <f>VLOOKUP($B288,#REF!,MATCH(G$2,#REF!,0),0)</f>
        <v>#REF!</v>
      </c>
      <c r="H288" s="48">
        <v>1330.6</v>
      </c>
      <c r="I288" s="48">
        <v>1330.6</v>
      </c>
      <c r="J288" s="48">
        <v>1950.78</v>
      </c>
      <c r="K288" s="48">
        <v>1950.78</v>
      </c>
      <c r="L288" s="48">
        <v>711.6964</v>
      </c>
      <c r="M288" s="48"/>
      <c r="N288" s="48"/>
      <c r="O288" s="48"/>
      <c r="P288" s="48"/>
      <c r="Q288" s="48"/>
      <c r="R288" s="371" t="e">
        <f t="shared" ref="R288:AA288" si="271">$G288*H288</f>
        <v>#REF!</v>
      </c>
      <c r="S288" s="371" t="e">
        <f t="shared" si="271"/>
        <v>#REF!</v>
      </c>
      <c r="T288" s="371" t="e">
        <f t="shared" si="271"/>
        <v>#REF!</v>
      </c>
      <c r="U288" s="371" t="e">
        <f t="shared" si="271"/>
        <v>#REF!</v>
      </c>
      <c r="V288" s="371" t="e">
        <f t="shared" si="271"/>
        <v>#REF!</v>
      </c>
      <c r="W288" s="371" t="e">
        <f t="shared" si="271"/>
        <v>#REF!</v>
      </c>
      <c r="X288" s="371" t="e">
        <f t="shared" si="271"/>
        <v>#REF!</v>
      </c>
      <c r="Y288" s="371" t="e">
        <f t="shared" si="271"/>
        <v>#REF!</v>
      </c>
      <c r="Z288" s="371" t="e">
        <f t="shared" si="271"/>
        <v>#REF!</v>
      </c>
      <c r="AA288" s="371" t="e">
        <f t="shared" si="271"/>
        <v>#REF!</v>
      </c>
      <c r="AB288" s="50"/>
    </row>
    <row r="289" ht="28.8" outlineLevel="2" spans="1:28">
      <c r="A289" s="52">
        <f>MAX($A$6:A288)+1</f>
        <v>238</v>
      </c>
      <c r="B289" s="51" t="s">
        <v>454</v>
      </c>
      <c r="C289" s="51" t="e">
        <f>VLOOKUP($B289,#REF!,MATCH(C$2,#REF!,0),0)</f>
        <v>#REF!</v>
      </c>
      <c r="D289" s="136"/>
      <c r="E289" s="136"/>
      <c r="F289" s="136" t="e">
        <f>VLOOKUP($B289,#REF!,MATCH(F$2,#REF!,0),0)</f>
        <v>#REF!</v>
      </c>
      <c r="G289" s="137" t="e">
        <f>VLOOKUP($B289,#REF!,MATCH(G$2,#REF!,0),0)</f>
        <v>#REF!</v>
      </c>
      <c r="H289" s="48">
        <v>481.14</v>
      </c>
      <c r="I289" s="48">
        <v>481.14</v>
      </c>
      <c r="J289" s="48">
        <v>80.73</v>
      </c>
      <c r="K289" s="48">
        <v>80.73</v>
      </c>
      <c r="L289" s="48">
        <v>147.5713</v>
      </c>
      <c r="M289" s="48"/>
      <c r="N289" s="48"/>
      <c r="O289" s="48"/>
      <c r="P289" s="48"/>
      <c r="Q289" s="48"/>
      <c r="R289" s="371" t="e">
        <f t="shared" ref="R289:AA289" si="272">$G289*H289</f>
        <v>#REF!</v>
      </c>
      <c r="S289" s="371" t="e">
        <f t="shared" si="272"/>
        <v>#REF!</v>
      </c>
      <c r="T289" s="371" t="e">
        <f t="shared" si="272"/>
        <v>#REF!</v>
      </c>
      <c r="U289" s="371" t="e">
        <f t="shared" si="272"/>
        <v>#REF!</v>
      </c>
      <c r="V289" s="371" t="e">
        <f t="shared" si="272"/>
        <v>#REF!</v>
      </c>
      <c r="W289" s="371" t="e">
        <f t="shared" si="272"/>
        <v>#REF!</v>
      </c>
      <c r="X289" s="371" t="e">
        <f t="shared" si="272"/>
        <v>#REF!</v>
      </c>
      <c r="Y289" s="371" t="e">
        <f t="shared" si="272"/>
        <v>#REF!</v>
      </c>
      <c r="Z289" s="371" t="e">
        <f t="shared" si="272"/>
        <v>#REF!</v>
      </c>
      <c r="AA289" s="371" t="e">
        <f t="shared" si="272"/>
        <v>#REF!</v>
      </c>
      <c r="AB289" s="50"/>
    </row>
    <row r="290" outlineLevel="2" spans="1:28">
      <c r="A290" s="52">
        <f>MAX($A$6:A289)+1</f>
        <v>239</v>
      </c>
      <c r="B290" s="51" t="s">
        <v>455</v>
      </c>
      <c r="C290" s="51" t="e">
        <f>VLOOKUP($B290,#REF!,MATCH(C$2,#REF!,0),0)</f>
        <v>#REF!</v>
      </c>
      <c r="D290" s="136"/>
      <c r="E290" s="136"/>
      <c r="F290" s="136" t="e">
        <f>VLOOKUP($B290,#REF!,MATCH(F$2,#REF!,0),0)</f>
        <v>#REF!</v>
      </c>
      <c r="G290" s="137" t="e">
        <f>VLOOKUP($B290,#REF!,MATCH(G$2,#REF!,0),0)</f>
        <v>#REF!</v>
      </c>
      <c r="H290" s="48">
        <v>793.72</v>
      </c>
      <c r="I290" s="48">
        <v>793.72</v>
      </c>
      <c r="J290" s="48">
        <v>678.21</v>
      </c>
      <c r="K290" s="48">
        <v>678.21</v>
      </c>
      <c r="L290" s="48">
        <v>520.5985</v>
      </c>
      <c r="M290" s="48"/>
      <c r="N290" s="48"/>
      <c r="O290" s="48"/>
      <c r="P290" s="48"/>
      <c r="Q290" s="48"/>
      <c r="R290" s="371" t="e">
        <f t="shared" ref="R290:AA290" si="273">$G290*H290</f>
        <v>#REF!</v>
      </c>
      <c r="S290" s="371" t="e">
        <f t="shared" si="273"/>
        <v>#REF!</v>
      </c>
      <c r="T290" s="371" t="e">
        <f t="shared" si="273"/>
        <v>#REF!</v>
      </c>
      <c r="U290" s="371" t="e">
        <f t="shared" si="273"/>
        <v>#REF!</v>
      </c>
      <c r="V290" s="371" t="e">
        <f t="shared" si="273"/>
        <v>#REF!</v>
      </c>
      <c r="W290" s="371" t="e">
        <f t="shared" si="273"/>
        <v>#REF!</v>
      </c>
      <c r="X290" s="371" t="e">
        <f t="shared" si="273"/>
        <v>#REF!</v>
      </c>
      <c r="Y290" s="371" t="e">
        <f t="shared" si="273"/>
        <v>#REF!</v>
      </c>
      <c r="Z290" s="371" t="e">
        <f t="shared" si="273"/>
        <v>#REF!</v>
      </c>
      <c r="AA290" s="371" t="e">
        <f t="shared" si="273"/>
        <v>#REF!</v>
      </c>
      <c r="AB290" s="50"/>
    </row>
    <row r="291" outlineLevel="2" spans="1:28">
      <c r="A291" s="52">
        <f>MAX($A$6:A290)+1</f>
        <v>240</v>
      </c>
      <c r="B291" s="51" t="s">
        <v>456</v>
      </c>
      <c r="C291" s="51" t="e">
        <f>VLOOKUP($B291,#REF!,MATCH(C$2,#REF!,0),0)</f>
        <v>#REF!</v>
      </c>
      <c r="D291" s="136"/>
      <c r="E291" s="136"/>
      <c r="F291" s="136" t="e">
        <f>VLOOKUP($B291,#REF!,MATCH(F$2,#REF!,0),0)</f>
        <v>#REF!</v>
      </c>
      <c r="G291" s="137" t="e">
        <f>VLOOKUP($B291,#REF!,MATCH(G$2,#REF!,0),0)</f>
        <v>#REF!</v>
      </c>
      <c r="H291" s="48">
        <v>141.7</v>
      </c>
      <c r="I291" s="48">
        <v>141.7</v>
      </c>
      <c r="J291" s="48">
        <v>77.23</v>
      </c>
      <c r="K291" s="48">
        <v>77.23</v>
      </c>
      <c r="L291" s="48">
        <v>52.6192</v>
      </c>
      <c r="M291" s="48"/>
      <c r="N291" s="48"/>
      <c r="O291" s="48"/>
      <c r="P291" s="48"/>
      <c r="Q291" s="48"/>
      <c r="R291" s="371" t="e">
        <f t="shared" ref="R291:AA291" si="274">$G291*H291</f>
        <v>#REF!</v>
      </c>
      <c r="S291" s="371" t="e">
        <f t="shared" si="274"/>
        <v>#REF!</v>
      </c>
      <c r="T291" s="371" t="e">
        <f t="shared" si="274"/>
        <v>#REF!</v>
      </c>
      <c r="U291" s="371" t="e">
        <f t="shared" si="274"/>
        <v>#REF!</v>
      </c>
      <c r="V291" s="371" t="e">
        <f t="shared" si="274"/>
        <v>#REF!</v>
      </c>
      <c r="W291" s="371" t="e">
        <f t="shared" si="274"/>
        <v>#REF!</v>
      </c>
      <c r="X291" s="371" t="e">
        <f t="shared" si="274"/>
        <v>#REF!</v>
      </c>
      <c r="Y291" s="371" t="e">
        <f t="shared" si="274"/>
        <v>#REF!</v>
      </c>
      <c r="Z291" s="371" t="e">
        <f t="shared" si="274"/>
        <v>#REF!</v>
      </c>
      <c r="AA291" s="371" t="e">
        <f t="shared" si="274"/>
        <v>#REF!</v>
      </c>
      <c r="AB291" s="50"/>
    </row>
    <row r="292" ht="28.8" outlineLevel="2" spans="1:28">
      <c r="A292" s="52">
        <f>MAX($A$6:A291)+1</f>
        <v>241</v>
      </c>
      <c r="B292" s="51" t="s">
        <v>457</v>
      </c>
      <c r="C292" s="51" t="e">
        <f>VLOOKUP($B292,#REF!,MATCH(C$2,#REF!,0),0)</f>
        <v>#REF!</v>
      </c>
      <c r="D292" s="136"/>
      <c r="E292" s="136"/>
      <c r="F292" s="136" t="e">
        <f>VLOOKUP($B292,#REF!,MATCH(F$2,#REF!,0),0)</f>
        <v>#REF!</v>
      </c>
      <c r="G292" s="137" t="e">
        <f>VLOOKUP($B292,#REF!,MATCH(G$2,#REF!,0),0)</f>
        <v>#REF!</v>
      </c>
      <c r="H292" s="48"/>
      <c r="I292" s="48"/>
      <c r="J292" s="48"/>
      <c r="K292" s="48"/>
      <c r="L292" s="48"/>
      <c r="M292" s="48"/>
      <c r="N292" s="48"/>
      <c r="O292" s="48"/>
      <c r="P292" s="48">
        <v>1</v>
      </c>
      <c r="Q292" s="48">
        <v>1</v>
      </c>
      <c r="R292" s="371" t="e">
        <f t="shared" ref="R292:AA292" si="275">$G292*H292</f>
        <v>#REF!</v>
      </c>
      <c r="S292" s="371" t="e">
        <f t="shared" si="275"/>
        <v>#REF!</v>
      </c>
      <c r="T292" s="371" t="e">
        <f t="shared" si="275"/>
        <v>#REF!</v>
      </c>
      <c r="U292" s="371" t="e">
        <f t="shared" si="275"/>
        <v>#REF!</v>
      </c>
      <c r="V292" s="371" t="e">
        <f t="shared" si="275"/>
        <v>#REF!</v>
      </c>
      <c r="W292" s="371" t="e">
        <f t="shared" si="275"/>
        <v>#REF!</v>
      </c>
      <c r="X292" s="371" t="e">
        <f t="shared" si="275"/>
        <v>#REF!</v>
      </c>
      <c r="Y292" s="371" t="e">
        <f t="shared" si="275"/>
        <v>#REF!</v>
      </c>
      <c r="Z292" s="371" t="e">
        <f t="shared" si="275"/>
        <v>#REF!</v>
      </c>
      <c r="AA292" s="371" t="e">
        <f t="shared" si="275"/>
        <v>#REF!</v>
      </c>
      <c r="AB292" s="50"/>
    </row>
    <row r="293" ht="28.8" outlineLevel="2" spans="1:28">
      <c r="A293" s="52">
        <f>MAX($A$6:A292)+1</f>
        <v>242</v>
      </c>
      <c r="B293" s="51" t="s">
        <v>458</v>
      </c>
      <c r="C293" s="51" t="e">
        <f>VLOOKUP($B293,#REF!,MATCH(C$2,#REF!,0),0)</f>
        <v>#REF!</v>
      </c>
      <c r="D293" s="136"/>
      <c r="E293" s="136"/>
      <c r="F293" s="136" t="e">
        <f>VLOOKUP($B293,#REF!,MATCH(F$2,#REF!,0),0)</f>
        <v>#REF!</v>
      </c>
      <c r="G293" s="137" t="e">
        <f>VLOOKUP($B293,#REF!,MATCH(G$2,#REF!,0),0)</f>
        <v>#REF!</v>
      </c>
      <c r="H293" s="48"/>
      <c r="I293" s="48"/>
      <c r="J293" s="48"/>
      <c r="K293" s="48"/>
      <c r="L293" s="48"/>
      <c r="M293" s="48"/>
      <c r="N293" s="48"/>
      <c r="O293" s="48"/>
      <c r="P293" s="48">
        <v>1</v>
      </c>
      <c r="Q293" s="48">
        <v>1</v>
      </c>
      <c r="R293" s="371" t="e">
        <f t="shared" ref="R293:AA293" si="276">$G293*H293</f>
        <v>#REF!</v>
      </c>
      <c r="S293" s="371" t="e">
        <f t="shared" si="276"/>
        <v>#REF!</v>
      </c>
      <c r="T293" s="371" t="e">
        <f t="shared" si="276"/>
        <v>#REF!</v>
      </c>
      <c r="U293" s="371" t="e">
        <f t="shared" si="276"/>
        <v>#REF!</v>
      </c>
      <c r="V293" s="371" t="e">
        <f t="shared" si="276"/>
        <v>#REF!</v>
      </c>
      <c r="W293" s="371" t="e">
        <f t="shared" si="276"/>
        <v>#REF!</v>
      </c>
      <c r="X293" s="371" t="e">
        <f t="shared" si="276"/>
        <v>#REF!</v>
      </c>
      <c r="Y293" s="371" t="e">
        <f t="shared" si="276"/>
        <v>#REF!</v>
      </c>
      <c r="Z293" s="371" t="e">
        <f t="shared" si="276"/>
        <v>#REF!</v>
      </c>
      <c r="AA293" s="371" t="e">
        <f t="shared" si="276"/>
        <v>#REF!</v>
      </c>
      <c r="AB293" s="50"/>
    </row>
    <row r="294" ht="28.8" outlineLevel="2" spans="1:28">
      <c r="A294" s="52">
        <f>MAX($A$6:A293)+1</f>
        <v>243</v>
      </c>
      <c r="B294" s="51" t="s">
        <v>459</v>
      </c>
      <c r="C294" s="51" t="e">
        <f>VLOOKUP($B294,#REF!,MATCH(C$2,#REF!,0),0)</f>
        <v>#REF!</v>
      </c>
      <c r="D294" s="136"/>
      <c r="E294" s="136"/>
      <c r="F294" s="136" t="e">
        <f>VLOOKUP($B294,#REF!,MATCH(F$2,#REF!,0),0)</f>
        <v>#REF!</v>
      </c>
      <c r="G294" s="137" t="e">
        <f>VLOOKUP($B294,#REF!,MATCH(G$2,#REF!,0),0)</f>
        <v>#REF!</v>
      </c>
      <c r="H294" s="48"/>
      <c r="I294" s="48"/>
      <c r="J294" s="48"/>
      <c r="K294" s="48"/>
      <c r="L294" s="48"/>
      <c r="M294" s="48"/>
      <c r="N294" s="48"/>
      <c r="O294" s="48"/>
      <c r="P294" s="48">
        <v>1</v>
      </c>
      <c r="Q294" s="48">
        <v>1</v>
      </c>
      <c r="R294" s="371" t="e">
        <f t="shared" ref="R294:AA294" si="277">$G294*H294</f>
        <v>#REF!</v>
      </c>
      <c r="S294" s="371" t="e">
        <f t="shared" si="277"/>
        <v>#REF!</v>
      </c>
      <c r="T294" s="371" t="e">
        <f t="shared" si="277"/>
        <v>#REF!</v>
      </c>
      <c r="U294" s="371" t="e">
        <f t="shared" si="277"/>
        <v>#REF!</v>
      </c>
      <c r="V294" s="371" t="e">
        <f t="shared" si="277"/>
        <v>#REF!</v>
      </c>
      <c r="W294" s="371" t="e">
        <f t="shared" si="277"/>
        <v>#REF!</v>
      </c>
      <c r="X294" s="371" t="e">
        <f t="shared" si="277"/>
        <v>#REF!</v>
      </c>
      <c r="Y294" s="371" t="e">
        <f t="shared" si="277"/>
        <v>#REF!</v>
      </c>
      <c r="Z294" s="371" t="e">
        <f t="shared" si="277"/>
        <v>#REF!</v>
      </c>
      <c r="AA294" s="371" t="e">
        <f t="shared" si="277"/>
        <v>#REF!</v>
      </c>
      <c r="AB294" s="50"/>
    </row>
    <row r="295" outlineLevel="2" spans="1:28">
      <c r="A295" s="52">
        <f>MAX($A$6:A294)+1</f>
        <v>244</v>
      </c>
      <c r="B295" s="51" t="s">
        <v>460</v>
      </c>
      <c r="C295" s="51" t="e">
        <f>VLOOKUP($B295,#REF!,MATCH(C$2,#REF!,0),0)</f>
        <v>#REF!</v>
      </c>
      <c r="D295" s="136"/>
      <c r="E295" s="136"/>
      <c r="F295" s="136" t="e">
        <f>VLOOKUP($B295,#REF!,MATCH(F$2,#REF!,0),0)</f>
        <v>#REF!</v>
      </c>
      <c r="G295" s="137" t="e">
        <f>VLOOKUP($B295,#REF!,MATCH(G$2,#REF!,0),0)</f>
        <v>#REF!</v>
      </c>
      <c r="H295" s="48"/>
      <c r="I295" s="48"/>
      <c r="J295" s="48"/>
      <c r="K295" s="48"/>
      <c r="L295" s="48"/>
      <c r="M295" s="48"/>
      <c r="N295" s="48"/>
      <c r="O295" s="48"/>
      <c r="P295" s="48">
        <v>10948.36</v>
      </c>
      <c r="Q295" s="48">
        <v>31572.68</v>
      </c>
      <c r="R295" s="371" t="e">
        <f t="shared" ref="R295:AA295" si="278">$G295*H295</f>
        <v>#REF!</v>
      </c>
      <c r="S295" s="371" t="e">
        <f t="shared" si="278"/>
        <v>#REF!</v>
      </c>
      <c r="T295" s="371" t="e">
        <f t="shared" si="278"/>
        <v>#REF!</v>
      </c>
      <c r="U295" s="371" t="e">
        <f t="shared" si="278"/>
        <v>#REF!</v>
      </c>
      <c r="V295" s="371" t="e">
        <f t="shared" si="278"/>
        <v>#REF!</v>
      </c>
      <c r="W295" s="371" t="e">
        <f t="shared" si="278"/>
        <v>#REF!</v>
      </c>
      <c r="X295" s="371" t="e">
        <f t="shared" si="278"/>
        <v>#REF!</v>
      </c>
      <c r="Y295" s="371" t="e">
        <f t="shared" si="278"/>
        <v>#REF!</v>
      </c>
      <c r="Z295" s="371" t="e">
        <f t="shared" si="278"/>
        <v>#REF!</v>
      </c>
      <c r="AA295" s="371" t="e">
        <f t="shared" si="278"/>
        <v>#REF!</v>
      </c>
      <c r="AB295" s="50"/>
    </row>
    <row r="296" outlineLevel="2" spans="1:28">
      <c r="A296" s="52">
        <f>MAX($A$6:A295)+1</f>
        <v>245</v>
      </c>
      <c r="B296" s="51" t="s">
        <v>461</v>
      </c>
      <c r="C296" s="51" t="e">
        <f>VLOOKUP($B296,#REF!,MATCH(C$2,#REF!,0),0)</f>
        <v>#REF!</v>
      </c>
      <c r="D296" s="136"/>
      <c r="E296" s="136"/>
      <c r="F296" s="136" t="e">
        <f>VLOOKUP($B296,#REF!,MATCH(F$2,#REF!,0),0)</f>
        <v>#REF!</v>
      </c>
      <c r="G296" s="137" t="e">
        <f>VLOOKUP($B296,#REF!,MATCH(G$2,#REF!,0),0)</f>
        <v>#REF!</v>
      </c>
      <c r="H296" s="48"/>
      <c r="I296" s="48"/>
      <c r="J296" s="48"/>
      <c r="K296" s="48"/>
      <c r="L296" s="48"/>
      <c r="M296" s="48"/>
      <c r="N296" s="48"/>
      <c r="O296" s="48"/>
      <c r="P296" s="48">
        <v>1</v>
      </c>
      <c r="Q296" s="48">
        <v>352.24</v>
      </c>
      <c r="R296" s="371" t="e">
        <f t="shared" ref="R296:AA296" si="279">$G296*H296</f>
        <v>#REF!</v>
      </c>
      <c r="S296" s="371" t="e">
        <f t="shared" si="279"/>
        <v>#REF!</v>
      </c>
      <c r="T296" s="371" t="e">
        <f t="shared" si="279"/>
        <v>#REF!</v>
      </c>
      <c r="U296" s="371" t="e">
        <f t="shared" si="279"/>
        <v>#REF!</v>
      </c>
      <c r="V296" s="371" t="e">
        <f t="shared" si="279"/>
        <v>#REF!</v>
      </c>
      <c r="W296" s="371" t="e">
        <f t="shared" si="279"/>
        <v>#REF!</v>
      </c>
      <c r="X296" s="371" t="e">
        <f t="shared" si="279"/>
        <v>#REF!</v>
      </c>
      <c r="Y296" s="371" t="e">
        <f t="shared" si="279"/>
        <v>#REF!</v>
      </c>
      <c r="Z296" s="371" t="e">
        <f t="shared" si="279"/>
        <v>#REF!</v>
      </c>
      <c r="AA296" s="371" t="e">
        <f t="shared" si="279"/>
        <v>#REF!</v>
      </c>
      <c r="AB296" s="50"/>
    </row>
    <row r="297" s="123" customFormat="1" spans="1:28">
      <c r="A297" s="125"/>
      <c r="B297" s="126" t="s">
        <v>462</v>
      </c>
      <c r="C297" s="126"/>
      <c r="D297" s="156"/>
      <c r="E297" s="156"/>
      <c r="F297" s="125"/>
      <c r="G297" s="129"/>
      <c r="H297" s="129"/>
      <c r="I297" s="129"/>
      <c r="J297" s="129"/>
      <c r="K297" s="129"/>
      <c r="L297" s="129"/>
      <c r="M297" s="129"/>
      <c r="N297" s="129"/>
      <c r="O297" s="129"/>
      <c r="P297" s="129"/>
      <c r="Q297" s="129"/>
      <c r="R297" s="365" t="e">
        <f t="shared" ref="R297:AA297" si="280">SUM(R298,R337,R393,R490)</f>
        <v>#REF!</v>
      </c>
      <c r="S297" s="365" t="e">
        <f t="shared" si="280"/>
        <v>#REF!</v>
      </c>
      <c r="T297" s="365" t="e">
        <f t="shared" si="280"/>
        <v>#REF!</v>
      </c>
      <c r="U297" s="365" t="e">
        <f t="shared" si="280"/>
        <v>#REF!</v>
      </c>
      <c r="V297" s="365" t="e">
        <f t="shared" si="280"/>
        <v>#REF!</v>
      </c>
      <c r="W297" s="365" t="e">
        <f t="shared" si="280"/>
        <v>#REF!</v>
      </c>
      <c r="X297" s="365" t="e">
        <f t="shared" si="280"/>
        <v>#REF!</v>
      </c>
      <c r="Y297" s="365" t="e">
        <f t="shared" si="280"/>
        <v>#REF!</v>
      </c>
      <c r="Z297" s="365" t="e">
        <f t="shared" si="280"/>
        <v>#REF!</v>
      </c>
      <c r="AA297" s="365" t="e">
        <f t="shared" si="280"/>
        <v>#REF!</v>
      </c>
      <c r="AB297" s="125"/>
    </row>
    <row r="298" s="355" customFormat="1" spans="1:28">
      <c r="A298" s="130"/>
      <c r="B298" s="131" t="str">
        <f>B21</f>
        <v>A.02主体结构工程</v>
      </c>
      <c r="C298" s="131"/>
      <c r="D298" s="154"/>
      <c r="E298" s="154"/>
      <c r="F298" s="154"/>
      <c r="G298" s="359"/>
      <c r="H298" s="134"/>
      <c r="I298" s="134"/>
      <c r="J298" s="134"/>
      <c r="K298" s="134"/>
      <c r="L298" s="134"/>
      <c r="M298" s="134"/>
      <c r="N298" s="134"/>
      <c r="O298" s="134"/>
      <c r="P298" s="134"/>
      <c r="Q298" s="134"/>
      <c r="R298" s="367" t="e">
        <f t="shared" ref="R298:AA298" si="281">SUM(R299,R321)</f>
        <v>#REF!</v>
      </c>
      <c r="S298" s="367" t="e">
        <f t="shared" si="281"/>
        <v>#REF!</v>
      </c>
      <c r="T298" s="367" t="e">
        <f t="shared" si="281"/>
        <v>#REF!</v>
      </c>
      <c r="U298" s="367" t="e">
        <f t="shared" si="281"/>
        <v>#REF!</v>
      </c>
      <c r="V298" s="367" t="e">
        <f t="shared" si="281"/>
        <v>#REF!</v>
      </c>
      <c r="W298" s="367" t="e">
        <f t="shared" si="281"/>
        <v>#REF!</v>
      </c>
      <c r="X298" s="367" t="e">
        <f t="shared" si="281"/>
        <v>#REF!</v>
      </c>
      <c r="Y298" s="367" t="e">
        <f t="shared" si="281"/>
        <v>#REF!</v>
      </c>
      <c r="Z298" s="367" t="e">
        <f t="shared" si="281"/>
        <v>#REF!</v>
      </c>
      <c r="AA298" s="367" t="e">
        <f t="shared" si="281"/>
        <v>#REF!</v>
      </c>
      <c r="AB298" s="130"/>
    </row>
    <row r="299" s="29" customFormat="1" outlineLevel="1" spans="1:28">
      <c r="A299" s="40"/>
      <c r="B299" s="41" t="str">
        <f>B22</f>
        <v>A.02.01混凝土工程</v>
      </c>
      <c r="C299" s="41"/>
      <c r="D299" s="141"/>
      <c r="E299" s="141"/>
      <c r="F299" s="40"/>
      <c r="G299" s="43"/>
      <c r="H299" s="43"/>
      <c r="I299" s="43"/>
      <c r="J299" s="43"/>
      <c r="K299" s="43"/>
      <c r="L299" s="43"/>
      <c r="M299" s="43"/>
      <c r="N299" s="43"/>
      <c r="O299" s="43"/>
      <c r="P299" s="43"/>
      <c r="Q299" s="43"/>
      <c r="R299" s="369" t="e">
        <f t="shared" ref="R299:AA299" si="282">SUM(R300:R320)</f>
        <v>#REF!</v>
      </c>
      <c r="S299" s="369" t="e">
        <f t="shared" si="282"/>
        <v>#REF!</v>
      </c>
      <c r="T299" s="369" t="e">
        <f t="shared" si="282"/>
        <v>#REF!</v>
      </c>
      <c r="U299" s="369" t="e">
        <f t="shared" si="282"/>
        <v>#REF!</v>
      </c>
      <c r="V299" s="369" t="e">
        <f t="shared" si="282"/>
        <v>#REF!</v>
      </c>
      <c r="W299" s="369" t="e">
        <f t="shared" si="282"/>
        <v>#REF!</v>
      </c>
      <c r="X299" s="369" t="e">
        <f t="shared" si="282"/>
        <v>#REF!</v>
      </c>
      <c r="Y299" s="369" t="e">
        <f t="shared" si="282"/>
        <v>#REF!</v>
      </c>
      <c r="Z299" s="369" t="e">
        <f t="shared" si="282"/>
        <v>#REF!</v>
      </c>
      <c r="AA299" s="369" t="e">
        <f t="shared" si="282"/>
        <v>#REF!</v>
      </c>
      <c r="AB299" s="40"/>
    </row>
    <row r="300" outlineLevel="2" spans="1:28">
      <c r="A300" s="52">
        <f>MAX($A$6:A299)+1</f>
        <v>246</v>
      </c>
      <c r="B300" s="51" t="s">
        <v>463</v>
      </c>
      <c r="C300" s="51" t="e">
        <f>VLOOKUP($B300,#REF!,MATCH(C$2,#REF!,0),0)</f>
        <v>#REF!</v>
      </c>
      <c r="D300" s="136"/>
      <c r="E300" s="136"/>
      <c r="F300" s="136" t="e">
        <f>VLOOKUP($B300,#REF!,MATCH(F$2,#REF!,0),0)</f>
        <v>#REF!</v>
      </c>
      <c r="G300" s="137" t="e">
        <f>VLOOKUP($B300,#REF!,MATCH(G$2,#REF!,0),0)</f>
        <v>#REF!</v>
      </c>
      <c r="H300" s="48">
        <v>17.18</v>
      </c>
      <c r="I300" s="48">
        <v>17.18</v>
      </c>
      <c r="J300" s="48">
        <v>13.12</v>
      </c>
      <c r="K300" s="48">
        <v>13.12</v>
      </c>
      <c r="L300" s="48">
        <v>7.2878</v>
      </c>
      <c r="M300" s="48">
        <v>54.21</v>
      </c>
      <c r="N300" s="48">
        <v>54.21</v>
      </c>
      <c r="O300" s="48">
        <v>54.21</v>
      </c>
      <c r="P300" s="48"/>
      <c r="Q300" s="48"/>
      <c r="R300" s="371" t="e">
        <f>$G300*H300</f>
        <v>#REF!</v>
      </c>
      <c r="S300" s="371" t="e">
        <f t="shared" ref="S300:AA300" si="283">$G300*I300</f>
        <v>#REF!</v>
      </c>
      <c r="T300" s="371" t="e">
        <f t="shared" si="283"/>
        <v>#REF!</v>
      </c>
      <c r="U300" s="371" t="e">
        <f t="shared" si="283"/>
        <v>#REF!</v>
      </c>
      <c r="V300" s="371" t="e">
        <f t="shared" si="283"/>
        <v>#REF!</v>
      </c>
      <c r="W300" s="371" t="e">
        <f t="shared" si="283"/>
        <v>#REF!</v>
      </c>
      <c r="X300" s="371" t="e">
        <f t="shared" si="283"/>
        <v>#REF!</v>
      </c>
      <c r="Y300" s="371" t="e">
        <f t="shared" si="283"/>
        <v>#REF!</v>
      </c>
      <c r="Z300" s="371" t="e">
        <f t="shared" si="283"/>
        <v>#REF!</v>
      </c>
      <c r="AA300" s="371" t="e">
        <f t="shared" si="283"/>
        <v>#REF!</v>
      </c>
      <c r="AB300" s="50"/>
    </row>
    <row r="301" outlineLevel="2" spans="1:28">
      <c r="A301" s="52">
        <f>MAX($A$6:A300)+1</f>
        <v>247</v>
      </c>
      <c r="B301" s="51" t="s">
        <v>464</v>
      </c>
      <c r="C301" s="51" t="e">
        <f>VLOOKUP($B301,#REF!,MATCH(C$2,#REF!,0),0)</f>
        <v>#REF!</v>
      </c>
      <c r="D301" s="136"/>
      <c r="E301" s="136"/>
      <c r="F301" s="136" t="e">
        <f>VLOOKUP($B301,#REF!,MATCH(F$2,#REF!,0),0)</f>
        <v>#REF!</v>
      </c>
      <c r="G301" s="137" t="e">
        <f>VLOOKUP($B301,#REF!,MATCH(G$2,#REF!,0),0)</f>
        <v>#REF!</v>
      </c>
      <c r="H301" s="48">
        <v>392.61</v>
      </c>
      <c r="I301" s="48">
        <v>390.21</v>
      </c>
      <c r="J301" s="48">
        <v>261.521503018262</v>
      </c>
      <c r="K301" s="48">
        <v>261.521503018262</v>
      </c>
      <c r="L301" s="48">
        <v>133.7403</v>
      </c>
      <c r="M301" s="48">
        <v>30.04</v>
      </c>
      <c r="N301" s="48">
        <v>30.04</v>
      </c>
      <c r="O301" s="48">
        <v>30.04</v>
      </c>
      <c r="P301" s="48"/>
      <c r="Q301" s="48"/>
      <c r="R301" s="371" t="e">
        <f t="shared" ref="R301:AA301" si="284">$G301*H301</f>
        <v>#REF!</v>
      </c>
      <c r="S301" s="371" t="e">
        <f t="shared" si="284"/>
        <v>#REF!</v>
      </c>
      <c r="T301" s="371" t="e">
        <f t="shared" si="284"/>
        <v>#REF!</v>
      </c>
      <c r="U301" s="371" t="e">
        <f t="shared" si="284"/>
        <v>#REF!</v>
      </c>
      <c r="V301" s="371" t="e">
        <f t="shared" si="284"/>
        <v>#REF!</v>
      </c>
      <c r="W301" s="371" t="e">
        <f t="shared" si="284"/>
        <v>#REF!</v>
      </c>
      <c r="X301" s="371" t="e">
        <f t="shared" si="284"/>
        <v>#REF!</v>
      </c>
      <c r="Y301" s="371" t="e">
        <f t="shared" si="284"/>
        <v>#REF!</v>
      </c>
      <c r="Z301" s="371" t="e">
        <f t="shared" si="284"/>
        <v>#REF!</v>
      </c>
      <c r="AA301" s="371" t="e">
        <f t="shared" si="284"/>
        <v>#REF!</v>
      </c>
      <c r="AB301" s="50"/>
    </row>
    <row r="302" outlineLevel="2" spans="1:28">
      <c r="A302" s="52">
        <f>MAX($A$6:A301)+1</f>
        <v>248</v>
      </c>
      <c r="B302" s="51" t="s">
        <v>465</v>
      </c>
      <c r="C302" s="51" t="e">
        <f>VLOOKUP($B302,#REF!,MATCH(C$2,#REF!,0),0)</f>
        <v>#REF!</v>
      </c>
      <c r="D302" s="136"/>
      <c r="E302" s="136"/>
      <c r="F302" s="136" t="e">
        <f>VLOOKUP($B302,#REF!,MATCH(F$2,#REF!,0),0)</f>
        <v>#REF!</v>
      </c>
      <c r="G302" s="137" t="e">
        <f>VLOOKUP($B302,#REF!,MATCH(G$2,#REF!,0),0)</f>
        <v>#REF!</v>
      </c>
      <c r="H302" s="48">
        <v>2.94</v>
      </c>
      <c r="I302" s="48">
        <v>2.94</v>
      </c>
      <c r="J302" s="48">
        <v>4.6</v>
      </c>
      <c r="K302" s="48">
        <v>4.6</v>
      </c>
      <c r="L302" s="48">
        <v>0</v>
      </c>
      <c r="M302" s="48">
        <v>115.67</v>
      </c>
      <c r="N302" s="48">
        <v>115.67</v>
      </c>
      <c r="O302" s="48">
        <v>115.67</v>
      </c>
      <c r="P302" s="48"/>
      <c r="Q302" s="48"/>
      <c r="R302" s="371" t="e">
        <f t="shared" ref="R302:AA302" si="285">$G302*H302</f>
        <v>#REF!</v>
      </c>
      <c r="S302" s="371" t="e">
        <f t="shared" si="285"/>
        <v>#REF!</v>
      </c>
      <c r="T302" s="371" t="e">
        <f t="shared" si="285"/>
        <v>#REF!</v>
      </c>
      <c r="U302" s="371" t="e">
        <f t="shared" si="285"/>
        <v>#REF!</v>
      </c>
      <c r="V302" s="371" t="e">
        <f t="shared" si="285"/>
        <v>#REF!</v>
      </c>
      <c r="W302" s="371" t="e">
        <f t="shared" si="285"/>
        <v>#REF!</v>
      </c>
      <c r="X302" s="371" t="e">
        <f t="shared" si="285"/>
        <v>#REF!</v>
      </c>
      <c r="Y302" s="371" t="e">
        <f t="shared" si="285"/>
        <v>#REF!</v>
      </c>
      <c r="Z302" s="371" t="e">
        <f t="shared" si="285"/>
        <v>#REF!</v>
      </c>
      <c r="AA302" s="371" t="e">
        <f t="shared" si="285"/>
        <v>#REF!</v>
      </c>
      <c r="AB302" s="50"/>
    </row>
    <row r="303" outlineLevel="2" spans="1:28">
      <c r="A303" s="52">
        <f>MAX($A$6:A302)+1</f>
        <v>249</v>
      </c>
      <c r="B303" s="51" t="s">
        <v>466</v>
      </c>
      <c r="C303" s="51" t="e">
        <f>VLOOKUP($B303,#REF!,MATCH(C$2,#REF!,0),0)</f>
        <v>#REF!</v>
      </c>
      <c r="D303" s="136"/>
      <c r="E303" s="136"/>
      <c r="F303" s="136" t="e">
        <f>VLOOKUP($B303,#REF!,MATCH(F$2,#REF!,0),0)</f>
        <v>#REF!</v>
      </c>
      <c r="G303" s="137" t="e">
        <f>VLOOKUP($B303,#REF!,MATCH(G$2,#REF!,0),0)</f>
        <v>#REF!</v>
      </c>
      <c r="H303" s="48">
        <v>2122.18</v>
      </c>
      <c r="I303" s="48">
        <v>2134.22</v>
      </c>
      <c r="J303" s="48">
        <v>1254.34903559127</v>
      </c>
      <c r="K303" s="48">
        <v>1254.34903559127</v>
      </c>
      <c r="L303" s="48">
        <v>644.3097</v>
      </c>
      <c r="M303" s="48"/>
      <c r="N303" s="48"/>
      <c r="O303" s="48"/>
      <c r="P303" s="48"/>
      <c r="Q303" s="48"/>
      <c r="R303" s="371" t="e">
        <f t="shared" ref="R303:AA303" si="286">$G303*H303</f>
        <v>#REF!</v>
      </c>
      <c r="S303" s="371" t="e">
        <f t="shared" si="286"/>
        <v>#REF!</v>
      </c>
      <c r="T303" s="371" t="e">
        <f t="shared" si="286"/>
        <v>#REF!</v>
      </c>
      <c r="U303" s="371" t="e">
        <f t="shared" si="286"/>
        <v>#REF!</v>
      </c>
      <c r="V303" s="371" t="e">
        <f t="shared" si="286"/>
        <v>#REF!</v>
      </c>
      <c r="W303" s="371" t="e">
        <f t="shared" si="286"/>
        <v>#REF!</v>
      </c>
      <c r="X303" s="371" t="e">
        <f t="shared" si="286"/>
        <v>#REF!</v>
      </c>
      <c r="Y303" s="371" t="e">
        <f t="shared" si="286"/>
        <v>#REF!</v>
      </c>
      <c r="Z303" s="371" t="e">
        <f t="shared" si="286"/>
        <v>#REF!</v>
      </c>
      <c r="AA303" s="371" t="e">
        <f t="shared" si="286"/>
        <v>#REF!</v>
      </c>
      <c r="AB303" s="50"/>
    </row>
    <row r="304" outlineLevel="2" spans="1:28">
      <c r="A304" s="52">
        <f>MAX($A$6:A303)+1</f>
        <v>250</v>
      </c>
      <c r="B304" s="51" t="s">
        <v>467</v>
      </c>
      <c r="C304" s="51" t="e">
        <f>VLOOKUP($B304,#REF!,MATCH(C$2,#REF!,0),0)</f>
        <v>#REF!</v>
      </c>
      <c r="D304" s="136"/>
      <c r="E304" s="136"/>
      <c r="F304" s="136" t="e">
        <f>VLOOKUP($B304,#REF!,MATCH(F$2,#REF!,0),0)</f>
        <v>#REF!</v>
      </c>
      <c r="G304" s="137" t="e">
        <f>VLOOKUP($B304,#REF!,MATCH(G$2,#REF!,0),0)</f>
        <v>#REF!</v>
      </c>
      <c r="H304" s="48">
        <v>1</v>
      </c>
      <c r="I304" s="48">
        <v>1</v>
      </c>
      <c r="J304" s="48">
        <v>1</v>
      </c>
      <c r="K304" s="48">
        <v>1</v>
      </c>
      <c r="L304" s="48"/>
      <c r="M304" s="48"/>
      <c r="N304" s="48"/>
      <c r="O304" s="48"/>
      <c r="P304" s="48"/>
      <c r="Q304" s="48"/>
      <c r="R304" s="371" t="e">
        <f t="shared" ref="R304:AA304" si="287">$G304*H304</f>
        <v>#REF!</v>
      </c>
      <c r="S304" s="371" t="e">
        <f t="shared" si="287"/>
        <v>#REF!</v>
      </c>
      <c r="T304" s="371" t="e">
        <f t="shared" si="287"/>
        <v>#REF!</v>
      </c>
      <c r="U304" s="371" t="e">
        <f t="shared" si="287"/>
        <v>#REF!</v>
      </c>
      <c r="V304" s="371" t="e">
        <f t="shared" si="287"/>
        <v>#REF!</v>
      </c>
      <c r="W304" s="371" t="e">
        <f t="shared" si="287"/>
        <v>#REF!</v>
      </c>
      <c r="X304" s="371" t="e">
        <f t="shared" si="287"/>
        <v>#REF!</v>
      </c>
      <c r="Y304" s="371" t="e">
        <f t="shared" si="287"/>
        <v>#REF!</v>
      </c>
      <c r="Z304" s="371" t="e">
        <f t="shared" si="287"/>
        <v>#REF!</v>
      </c>
      <c r="AA304" s="371" t="e">
        <f t="shared" si="287"/>
        <v>#REF!</v>
      </c>
      <c r="AB304" s="50"/>
    </row>
    <row r="305" outlineLevel="2" spans="1:28">
      <c r="A305" s="52">
        <f>MAX($A$6:A304)+1</f>
        <v>251</v>
      </c>
      <c r="B305" s="51" t="s">
        <v>468</v>
      </c>
      <c r="C305" s="51" t="e">
        <f>VLOOKUP($B305,#REF!,MATCH(C$2,#REF!,0),0)</f>
        <v>#REF!</v>
      </c>
      <c r="D305" s="136"/>
      <c r="E305" s="136"/>
      <c r="F305" s="136" t="e">
        <f>VLOOKUP($B305,#REF!,MATCH(F$2,#REF!,0),0)</f>
        <v>#REF!</v>
      </c>
      <c r="G305" s="137" t="e">
        <f>VLOOKUP($B305,#REF!,MATCH(G$2,#REF!,0),0)</f>
        <v>#REF!</v>
      </c>
      <c r="H305" s="48">
        <v>276.47</v>
      </c>
      <c r="I305" s="48">
        <v>281.43</v>
      </c>
      <c r="J305" s="48">
        <v>74.4928831337939</v>
      </c>
      <c r="K305" s="48">
        <v>74.4928831337939</v>
      </c>
      <c r="L305" s="48">
        <v>40.3422</v>
      </c>
      <c r="M305" s="48"/>
      <c r="N305" s="48"/>
      <c r="O305" s="48"/>
      <c r="P305" s="48"/>
      <c r="Q305" s="48"/>
      <c r="R305" s="371" t="e">
        <f t="shared" ref="R305:AA305" si="288">$G305*H305</f>
        <v>#REF!</v>
      </c>
      <c r="S305" s="371" t="e">
        <f t="shared" si="288"/>
        <v>#REF!</v>
      </c>
      <c r="T305" s="371" t="e">
        <f t="shared" si="288"/>
        <v>#REF!</v>
      </c>
      <c r="U305" s="371" t="e">
        <f t="shared" si="288"/>
        <v>#REF!</v>
      </c>
      <c r="V305" s="371" t="e">
        <f t="shared" si="288"/>
        <v>#REF!</v>
      </c>
      <c r="W305" s="371" t="e">
        <f t="shared" si="288"/>
        <v>#REF!</v>
      </c>
      <c r="X305" s="371" t="e">
        <f t="shared" si="288"/>
        <v>#REF!</v>
      </c>
      <c r="Y305" s="371" t="e">
        <f t="shared" si="288"/>
        <v>#REF!</v>
      </c>
      <c r="Z305" s="371" t="e">
        <f t="shared" si="288"/>
        <v>#REF!</v>
      </c>
      <c r="AA305" s="371" t="e">
        <f t="shared" si="288"/>
        <v>#REF!</v>
      </c>
      <c r="AB305" s="50"/>
    </row>
    <row r="306" outlineLevel="2" spans="1:28">
      <c r="A306" s="52">
        <f>MAX($A$6:A305)+1</f>
        <v>252</v>
      </c>
      <c r="B306" s="51" t="s">
        <v>469</v>
      </c>
      <c r="C306" s="51" t="e">
        <f>VLOOKUP($B306,#REF!,MATCH(C$2,#REF!,0),0)</f>
        <v>#REF!</v>
      </c>
      <c r="D306" s="136"/>
      <c r="E306" s="136"/>
      <c r="F306" s="136" t="e">
        <f>VLOOKUP($B306,#REF!,MATCH(F$2,#REF!,0),0)</f>
        <v>#REF!</v>
      </c>
      <c r="G306" s="137" t="e">
        <f>VLOOKUP($B306,#REF!,MATCH(G$2,#REF!,0),0)</f>
        <v>#REF!</v>
      </c>
      <c r="H306" s="48">
        <v>1</v>
      </c>
      <c r="I306" s="48">
        <v>1</v>
      </c>
      <c r="J306" s="48">
        <v>1</v>
      </c>
      <c r="K306" s="48">
        <v>1</v>
      </c>
      <c r="L306" s="48">
        <v>0</v>
      </c>
      <c r="M306" s="48"/>
      <c r="N306" s="48"/>
      <c r="O306" s="48"/>
      <c r="P306" s="48"/>
      <c r="Q306" s="48"/>
      <c r="R306" s="371" t="e">
        <f t="shared" ref="R306:AA306" si="289">$G306*H306</f>
        <v>#REF!</v>
      </c>
      <c r="S306" s="371" t="e">
        <f t="shared" si="289"/>
        <v>#REF!</v>
      </c>
      <c r="T306" s="371" t="e">
        <f t="shared" si="289"/>
        <v>#REF!</v>
      </c>
      <c r="U306" s="371" t="e">
        <f t="shared" si="289"/>
        <v>#REF!</v>
      </c>
      <c r="V306" s="371" t="e">
        <f t="shared" si="289"/>
        <v>#REF!</v>
      </c>
      <c r="W306" s="371" t="e">
        <f t="shared" si="289"/>
        <v>#REF!</v>
      </c>
      <c r="X306" s="371" t="e">
        <f t="shared" si="289"/>
        <v>#REF!</v>
      </c>
      <c r="Y306" s="371" t="e">
        <f t="shared" si="289"/>
        <v>#REF!</v>
      </c>
      <c r="Z306" s="371" t="e">
        <f t="shared" si="289"/>
        <v>#REF!</v>
      </c>
      <c r="AA306" s="371" t="e">
        <f t="shared" si="289"/>
        <v>#REF!</v>
      </c>
      <c r="AB306" s="50"/>
    </row>
    <row r="307" outlineLevel="2" spans="1:28">
      <c r="A307" s="52">
        <f>MAX($A$6:A306)+1</f>
        <v>253</v>
      </c>
      <c r="B307" s="51" t="s">
        <v>275</v>
      </c>
      <c r="C307" s="51" t="e">
        <f>VLOOKUP($B307,#REF!,MATCH(C$2,#REF!,0),0)</f>
        <v>#REF!</v>
      </c>
      <c r="D307" s="136"/>
      <c r="E307" s="136"/>
      <c r="F307" s="136" t="e">
        <f>VLOOKUP($B307,#REF!,MATCH(F$2,#REF!,0),0)</f>
        <v>#REF!</v>
      </c>
      <c r="G307" s="137" t="e">
        <f>VLOOKUP($B307,#REF!,MATCH(G$2,#REF!,0),0)</f>
        <v>#REF!</v>
      </c>
      <c r="H307" s="48">
        <v>95.47</v>
      </c>
      <c r="I307" s="48">
        <v>1135.87</v>
      </c>
      <c r="J307" s="48">
        <v>727.780118361789</v>
      </c>
      <c r="K307" s="48">
        <v>727.780118361789</v>
      </c>
      <c r="L307" s="48">
        <v>47.4378</v>
      </c>
      <c r="M307" s="48">
        <v>82.86</v>
      </c>
      <c r="N307" s="48">
        <v>82.86</v>
      </c>
      <c r="O307" s="48">
        <v>6.9</v>
      </c>
      <c r="P307" s="48"/>
      <c r="Q307" s="48"/>
      <c r="R307" s="371" t="e">
        <f t="shared" ref="R307:AA307" si="290">$G307*H307</f>
        <v>#REF!</v>
      </c>
      <c r="S307" s="371" t="e">
        <f t="shared" si="290"/>
        <v>#REF!</v>
      </c>
      <c r="T307" s="371" t="e">
        <f t="shared" si="290"/>
        <v>#REF!</v>
      </c>
      <c r="U307" s="371" t="e">
        <f t="shared" si="290"/>
        <v>#REF!</v>
      </c>
      <c r="V307" s="371" t="e">
        <f t="shared" si="290"/>
        <v>#REF!</v>
      </c>
      <c r="W307" s="371" t="e">
        <f t="shared" si="290"/>
        <v>#REF!</v>
      </c>
      <c r="X307" s="371" t="e">
        <f t="shared" si="290"/>
        <v>#REF!</v>
      </c>
      <c r="Y307" s="371" t="e">
        <f t="shared" si="290"/>
        <v>#REF!</v>
      </c>
      <c r="Z307" s="371" t="e">
        <f t="shared" si="290"/>
        <v>#REF!</v>
      </c>
      <c r="AA307" s="371" t="e">
        <f t="shared" si="290"/>
        <v>#REF!</v>
      </c>
      <c r="AB307" s="50"/>
    </row>
    <row r="308" outlineLevel="2" spans="1:28">
      <c r="A308" s="52">
        <f>MAX($A$6:A307)+1</f>
        <v>254</v>
      </c>
      <c r="B308" s="51" t="s">
        <v>470</v>
      </c>
      <c r="C308" s="51" t="e">
        <f>VLOOKUP($B308,#REF!,MATCH(C$2,#REF!,0),0)</f>
        <v>#REF!</v>
      </c>
      <c r="D308" s="136"/>
      <c r="E308" s="136"/>
      <c r="F308" s="136" t="e">
        <f>VLOOKUP($B308,#REF!,MATCH(F$2,#REF!,0),0)</f>
        <v>#REF!</v>
      </c>
      <c r="G308" s="137" t="e">
        <f>VLOOKUP($B308,#REF!,MATCH(G$2,#REF!,0),0)</f>
        <v>#REF!</v>
      </c>
      <c r="H308" s="48">
        <v>39.24</v>
      </c>
      <c r="I308" s="48">
        <v>39.5</v>
      </c>
      <c r="J308" s="48">
        <v>28.0445973496432</v>
      </c>
      <c r="K308" s="48">
        <v>28.0445973496432</v>
      </c>
      <c r="L308" s="48"/>
      <c r="M308" s="48"/>
      <c r="N308" s="48"/>
      <c r="O308" s="48"/>
      <c r="P308" s="48"/>
      <c r="Q308" s="48"/>
      <c r="R308" s="371" t="e">
        <f t="shared" ref="R308:AA308" si="291">$G308*H308</f>
        <v>#REF!</v>
      </c>
      <c r="S308" s="371" t="e">
        <f t="shared" si="291"/>
        <v>#REF!</v>
      </c>
      <c r="T308" s="371" t="e">
        <f t="shared" si="291"/>
        <v>#REF!</v>
      </c>
      <c r="U308" s="371" t="e">
        <f t="shared" si="291"/>
        <v>#REF!</v>
      </c>
      <c r="V308" s="371" t="e">
        <f t="shared" si="291"/>
        <v>#REF!</v>
      </c>
      <c r="W308" s="371" t="e">
        <f t="shared" si="291"/>
        <v>#REF!</v>
      </c>
      <c r="X308" s="371" t="e">
        <f t="shared" si="291"/>
        <v>#REF!</v>
      </c>
      <c r="Y308" s="371" t="e">
        <f t="shared" si="291"/>
        <v>#REF!</v>
      </c>
      <c r="Z308" s="371" t="e">
        <f t="shared" si="291"/>
        <v>#REF!</v>
      </c>
      <c r="AA308" s="371" t="e">
        <f t="shared" si="291"/>
        <v>#REF!</v>
      </c>
      <c r="AB308" s="50"/>
    </row>
    <row r="309" outlineLevel="2" spans="1:28">
      <c r="A309" s="52">
        <f>MAX($A$6:A308)+1</f>
        <v>255</v>
      </c>
      <c r="B309" s="51" t="s">
        <v>471</v>
      </c>
      <c r="C309" s="51" t="e">
        <f>VLOOKUP($B309,#REF!,MATCH(C$2,#REF!,0),0)</f>
        <v>#REF!</v>
      </c>
      <c r="D309" s="136"/>
      <c r="E309" s="136"/>
      <c r="F309" s="136" t="e">
        <f>VLOOKUP($B309,#REF!,MATCH(F$2,#REF!,0),0)</f>
        <v>#REF!</v>
      </c>
      <c r="G309" s="137" t="e">
        <f>VLOOKUP($B309,#REF!,MATCH(G$2,#REF!,0),0)</f>
        <v>#REF!</v>
      </c>
      <c r="H309" s="48">
        <v>4.34</v>
      </c>
      <c r="I309" s="48">
        <v>4.34</v>
      </c>
      <c r="J309" s="48">
        <v>5.49</v>
      </c>
      <c r="K309" s="48">
        <v>5.49</v>
      </c>
      <c r="L309" s="48"/>
      <c r="M309" s="48"/>
      <c r="N309" s="48"/>
      <c r="O309" s="48"/>
      <c r="P309" s="48"/>
      <c r="Q309" s="48"/>
      <c r="R309" s="371" t="e">
        <f t="shared" ref="R309:AA309" si="292">$G309*H309</f>
        <v>#REF!</v>
      </c>
      <c r="S309" s="371" t="e">
        <f t="shared" si="292"/>
        <v>#REF!</v>
      </c>
      <c r="T309" s="371" t="e">
        <f t="shared" si="292"/>
        <v>#REF!</v>
      </c>
      <c r="U309" s="371" t="e">
        <f t="shared" si="292"/>
        <v>#REF!</v>
      </c>
      <c r="V309" s="371" t="e">
        <f t="shared" si="292"/>
        <v>#REF!</v>
      </c>
      <c r="W309" s="371" t="e">
        <f t="shared" si="292"/>
        <v>#REF!</v>
      </c>
      <c r="X309" s="371" t="e">
        <f t="shared" si="292"/>
        <v>#REF!</v>
      </c>
      <c r="Y309" s="371" t="e">
        <f t="shared" si="292"/>
        <v>#REF!</v>
      </c>
      <c r="Z309" s="371" t="e">
        <f t="shared" si="292"/>
        <v>#REF!</v>
      </c>
      <c r="AA309" s="371" t="e">
        <f t="shared" si="292"/>
        <v>#REF!</v>
      </c>
      <c r="AB309" s="50"/>
    </row>
    <row r="310" outlineLevel="2" spans="1:28">
      <c r="A310" s="52">
        <f>MAX($A$6:A309)+1</f>
        <v>256</v>
      </c>
      <c r="B310" s="51" t="s">
        <v>472</v>
      </c>
      <c r="C310" s="51" t="e">
        <f>VLOOKUP($B310,#REF!,MATCH(C$2,#REF!,0),0)</f>
        <v>#REF!</v>
      </c>
      <c r="D310" s="136"/>
      <c r="E310" s="136"/>
      <c r="F310" s="136" t="e">
        <f>VLOOKUP($B310,#REF!,MATCH(F$2,#REF!,0),0)</f>
        <v>#REF!</v>
      </c>
      <c r="G310" s="137" t="e">
        <f>VLOOKUP($B310,#REF!,MATCH(G$2,#REF!,0),0)</f>
        <v>#REF!</v>
      </c>
      <c r="H310" s="48">
        <v>597.94</v>
      </c>
      <c r="I310" s="48"/>
      <c r="J310" s="48"/>
      <c r="K310" s="48"/>
      <c r="L310" s="48">
        <v>283.3482</v>
      </c>
      <c r="M310" s="48"/>
      <c r="N310" s="48"/>
      <c r="O310" s="48">
        <v>43.1</v>
      </c>
      <c r="P310" s="48"/>
      <c r="Q310" s="48"/>
      <c r="R310" s="371" t="e">
        <f t="shared" ref="R310:AA310" si="293">$G310*H310</f>
        <v>#REF!</v>
      </c>
      <c r="S310" s="371" t="e">
        <f t="shared" si="293"/>
        <v>#REF!</v>
      </c>
      <c r="T310" s="371" t="e">
        <f t="shared" si="293"/>
        <v>#REF!</v>
      </c>
      <c r="U310" s="371" t="e">
        <f t="shared" si="293"/>
        <v>#REF!</v>
      </c>
      <c r="V310" s="371" t="e">
        <f t="shared" si="293"/>
        <v>#REF!</v>
      </c>
      <c r="W310" s="371" t="e">
        <f t="shared" si="293"/>
        <v>#REF!</v>
      </c>
      <c r="X310" s="371" t="e">
        <f t="shared" si="293"/>
        <v>#REF!</v>
      </c>
      <c r="Y310" s="371" t="e">
        <f t="shared" si="293"/>
        <v>#REF!</v>
      </c>
      <c r="Z310" s="371" t="e">
        <f t="shared" si="293"/>
        <v>#REF!</v>
      </c>
      <c r="AA310" s="371" t="e">
        <f t="shared" si="293"/>
        <v>#REF!</v>
      </c>
      <c r="AB310" s="50"/>
    </row>
    <row r="311" outlineLevel="2" spans="1:28">
      <c r="A311" s="52">
        <f>MAX($A$6:A310)+1</f>
        <v>257</v>
      </c>
      <c r="B311" s="51" t="s">
        <v>473</v>
      </c>
      <c r="C311" s="51" t="e">
        <f>VLOOKUP($B311,#REF!,MATCH(C$2,#REF!,0),0)</f>
        <v>#REF!</v>
      </c>
      <c r="D311" s="136"/>
      <c r="E311" s="136"/>
      <c r="F311" s="136" t="e">
        <f>VLOOKUP($B311,#REF!,MATCH(F$2,#REF!,0),0)</f>
        <v>#REF!</v>
      </c>
      <c r="G311" s="137" t="e">
        <f>VLOOKUP($B311,#REF!,MATCH(G$2,#REF!,0),0)</f>
        <v>#REF!</v>
      </c>
      <c r="H311" s="48">
        <v>145.15</v>
      </c>
      <c r="I311" s="48"/>
      <c r="J311" s="48"/>
      <c r="K311" s="48"/>
      <c r="L311" s="48">
        <v>29.17</v>
      </c>
      <c r="M311" s="48"/>
      <c r="N311" s="48"/>
      <c r="O311" s="48"/>
      <c r="P311" s="48"/>
      <c r="Q311" s="48"/>
      <c r="R311" s="371" t="e">
        <f t="shared" ref="R311:AA311" si="294">$G311*H311</f>
        <v>#REF!</v>
      </c>
      <c r="S311" s="371" t="e">
        <f t="shared" si="294"/>
        <v>#REF!</v>
      </c>
      <c r="T311" s="371" t="e">
        <f t="shared" si="294"/>
        <v>#REF!</v>
      </c>
      <c r="U311" s="371" t="e">
        <f t="shared" si="294"/>
        <v>#REF!</v>
      </c>
      <c r="V311" s="371" t="e">
        <f t="shared" si="294"/>
        <v>#REF!</v>
      </c>
      <c r="W311" s="371" t="e">
        <f t="shared" si="294"/>
        <v>#REF!</v>
      </c>
      <c r="X311" s="371" t="e">
        <f t="shared" si="294"/>
        <v>#REF!</v>
      </c>
      <c r="Y311" s="371" t="e">
        <f t="shared" si="294"/>
        <v>#REF!</v>
      </c>
      <c r="Z311" s="371" t="e">
        <f t="shared" si="294"/>
        <v>#REF!</v>
      </c>
      <c r="AA311" s="371" t="e">
        <f t="shared" si="294"/>
        <v>#REF!</v>
      </c>
      <c r="AB311" s="50"/>
    </row>
    <row r="312" outlineLevel="2" spans="1:28">
      <c r="A312" s="52">
        <f>MAX($A$6:A311)+1</f>
        <v>258</v>
      </c>
      <c r="B312" s="51" t="s">
        <v>474</v>
      </c>
      <c r="C312" s="51" t="e">
        <f>VLOOKUP($B312,#REF!,MATCH(C$2,#REF!,0),0)</f>
        <v>#REF!</v>
      </c>
      <c r="D312" s="136"/>
      <c r="E312" s="136"/>
      <c r="F312" s="136" t="e">
        <f>VLOOKUP($B312,#REF!,MATCH(F$2,#REF!,0),0)</f>
        <v>#REF!</v>
      </c>
      <c r="G312" s="137" t="e">
        <f>VLOOKUP($B312,#REF!,MATCH(G$2,#REF!,0),0)</f>
        <v>#REF!</v>
      </c>
      <c r="H312" s="48">
        <v>1</v>
      </c>
      <c r="I312" s="48">
        <v>1</v>
      </c>
      <c r="J312" s="48">
        <v>0.33</v>
      </c>
      <c r="K312" s="48">
        <v>0.33</v>
      </c>
      <c r="L312" s="48">
        <v>1.3332</v>
      </c>
      <c r="M312" s="48"/>
      <c r="N312" s="48"/>
      <c r="O312" s="48"/>
      <c r="P312" s="48"/>
      <c r="Q312" s="48"/>
      <c r="R312" s="371" t="e">
        <f>$G312*H312</f>
        <v>#REF!</v>
      </c>
      <c r="S312" s="371" t="e">
        <f t="shared" ref="S312:AA312" si="295">$G312*I312</f>
        <v>#REF!</v>
      </c>
      <c r="T312" s="371" t="e">
        <f t="shared" si="295"/>
        <v>#REF!</v>
      </c>
      <c r="U312" s="371" t="e">
        <f t="shared" si="295"/>
        <v>#REF!</v>
      </c>
      <c r="V312" s="371" t="e">
        <f t="shared" si="295"/>
        <v>#REF!</v>
      </c>
      <c r="W312" s="371" t="e">
        <f t="shared" si="295"/>
        <v>#REF!</v>
      </c>
      <c r="X312" s="371" t="e">
        <f t="shared" si="295"/>
        <v>#REF!</v>
      </c>
      <c r="Y312" s="371" t="e">
        <f t="shared" si="295"/>
        <v>#REF!</v>
      </c>
      <c r="Z312" s="371" t="e">
        <f t="shared" si="295"/>
        <v>#REF!</v>
      </c>
      <c r="AA312" s="371" t="e">
        <f t="shared" si="295"/>
        <v>#REF!</v>
      </c>
      <c r="AB312" s="50"/>
    </row>
    <row r="313" ht="28.8" outlineLevel="2" spans="1:28">
      <c r="A313" s="52">
        <f>MAX($A$6:A312)+1</f>
        <v>259</v>
      </c>
      <c r="B313" s="51" t="s">
        <v>276</v>
      </c>
      <c r="C313" s="51" t="e">
        <f>VLOOKUP($B313,#REF!,MATCH(C$2,#REF!,0),0)</f>
        <v>#REF!</v>
      </c>
      <c r="D313" s="136"/>
      <c r="E313" s="136"/>
      <c r="F313" s="136" t="e">
        <f>VLOOKUP($B313,#REF!,MATCH(F$2,#REF!,0),0)</f>
        <v>#REF!</v>
      </c>
      <c r="G313" s="137" t="e">
        <f>VLOOKUP($B313,#REF!,MATCH(G$2,#REF!,0),0)</f>
        <v>#REF!</v>
      </c>
      <c r="H313" s="48">
        <v>96.67</v>
      </c>
      <c r="I313" s="48">
        <v>106.22</v>
      </c>
      <c r="J313" s="48">
        <v>80.6072121650978</v>
      </c>
      <c r="K313" s="48">
        <v>80.6072121650978</v>
      </c>
      <c r="L313" s="48">
        <v>73.7595</v>
      </c>
      <c r="M313" s="48">
        <v>10.11</v>
      </c>
      <c r="N313" s="48">
        <v>10.11</v>
      </c>
      <c r="O313" s="48">
        <v>10.11</v>
      </c>
      <c r="P313" s="48"/>
      <c r="Q313" s="48"/>
      <c r="R313" s="371" t="e">
        <f t="shared" ref="R313:AA313" si="296">$G313*H313</f>
        <v>#REF!</v>
      </c>
      <c r="S313" s="371" t="e">
        <f t="shared" si="296"/>
        <v>#REF!</v>
      </c>
      <c r="T313" s="371" t="e">
        <f t="shared" si="296"/>
        <v>#REF!</v>
      </c>
      <c r="U313" s="371" t="e">
        <f t="shared" si="296"/>
        <v>#REF!</v>
      </c>
      <c r="V313" s="371" t="e">
        <f t="shared" si="296"/>
        <v>#REF!</v>
      </c>
      <c r="W313" s="371" t="e">
        <f t="shared" si="296"/>
        <v>#REF!</v>
      </c>
      <c r="X313" s="371" t="e">
        <f t="shared" si="296"/>
        <v>#REF!</v>
      </c>
      <c r="Y313" s="371" t="e">
        <f t="shared" si="296"/>
        <v>#REF!</v>
      </c>
      <c r="Z313" s="371" t="e">
        <f t="shared" si="296"/>
        <v>#REF!</v>
      </c>
      <c r="AA313" s="371" t="e">
        <f t="shared" si="296"/>
        <v>#REF!</v>
      </c>
      <c r="AB313" s="50"/>
    </row>
    <row r="314" outlineLevel="2" spans="1:28">
      <c r="A314" s="52">
        <f>MAX($A$6:A313)+1</f>
        <v>260</v>
      </c>
      <c r="B314" s="51" t="s">
        <v>475</v>
      </c>
      <c r="C314" s="51" t="e">
        <f>VLOOKUP($B314,#REF!,MATCH(C$2,#REF!,0),0)</f>
        <v>#REF!</v>
      </c>
      <c r="D314" s="136"/>
      <c r="E314" s="136"/>
      <c r="F314" s="136" t="e">
        <f>VLOOKUP($B314,#REF!,MATCH(F$2,#REF!,0),0)</f>
        <v>#REF!</v>
      </c>
      <c r="G314" s="137" t="e">
        <f>VLOOKUP($B314,#REF!,MATCH(G$2,#REF!,0),0)</f>
        <v>#REF!</v>
      </c>
      <c r="H314" s="48">
        <v>6.01</v>
      </c>
      <c r="I314" s="48">
        <v>5.95</v>
      </c>
      <c r="J314" s="48">
        <v>1.44542429284526</v>
      </c>
      <c r="K314" s="48">
        <v>1.44542429284526</v>
      </c>
      <c r="L314" s="48">
        <v>5.1594</v>
      </c>
      <c r="M314" s="48">
        <v>17.26</v>
      </c>
      <c r="N314" s="48">
        <v>17.26</v>
      </c>
      <c r="O314" s="48">
        <v>17.26</v>
      </c>
      <c r="P314" s="48"/>
      <c r="Q314" s="48"/>
      <c r="R314" s="371" t="e">
        <f t="shared" ref="R314:AA314" si="297">$G314*H314</f>
        <v>#REF!</v>
      </c>
      <c r="S314" s="371" t="e">
        <f t="shared" si="297"/>
        <v>#REF!</v>
      </c>
      <c r="T314" s="371" t="e">
        <f t="shared" si="297"/>
        <v>#REF!</v>
      </c>
      <c r="U314" s="371" t="e">
        <f t="shared" si="297"/>
        <v>#REF!</v>
      </c>
      <c r="V314" s="371" t="e">
        <f t="shared" si="297"/>
        <v>#REF!</v>
      </c>
      <c r="W314" s="371" t="e">
        <f t="shared" si="297"/>
        <v>#REF!</v>
      </c>
      <c r="X314" s="371" t="e">
        <f t="shared" si="297"/>
        <v>#REF!</v>
      </c>
      <c r="Y314" s="371" t="e">
        <f t="shared" si="297"/>
        <v>#REF!</v>
      </c>
      <c r="Z314" s="371" t="e">
        <f t="shared" si="297"/>
        <v>#REF!</v>
      </c>
      <c r="AA314" s="371" t="e">
        <f t="shared" si="297"/>
        <v>#REF!</v>
      </c>
      <c r="AB314" s="50"/>
    </row>
    <row r="315" outlineLevel="2" spans="1:28">
      <c r="A315" s="52">
        <f>MAX($A$6:A314)+1</f>
        <v>261</v>
      </c>
      <c r="B315" s="51" t="s">
        <v>280</v>
      </c>
      <c r="C315" s="51" t="e">
        <f>VLOOKUP($B315,#REF!,MATCH(C$2,#REF!,0),0)</f>
        <v>#REF!</v>
      </c>
      <c r="D315" s="136"/>
      <c r="E315" s="136"/>
      <c r="F315" s="136" t="e">
        <f>VLOOKUP($B315,#REF!,MATCH(F$2,#REF!,0),0)</f>
        <v>#REF!</v>
      </c>
      <c r="G315" s="137" t="e">
        <f>VLOOKUP($B315,#REF!,MATCH(G$2,#REF!,0),0)</f>
        <v>#REF!</v>
      </c>
      <c r="H315" s="48">
        <v>23.13</v>
      </c>
      <c r="I315" s="48">
        <v>87.06</v>
      </c>
      <c r="J315" s="48">
        <v>98.2389105058366</v>
      </c>
      <c r="K315" s="48">
        <v>98.2389105058366</v>
      </c>
      <c r="L315" s="48">
        <v>12.1431</v>
      </c>
      <c r="M315" s="48">
        <v>6.14</v>
      </c>
      <c r="N315" s="48">
        <v>6.14</v>
      </c>
      <c r="O315" s="48">
        <v>6.14</v>
      </c>
      <c r="P315" s="48"/>
      <c r="Q315" s="48"/>
      <c r="R315" s="371" t="e">
        <f t="shared" ref="R315:AA315" si="298">$G315*H315</f>
        <v>#REF!</v>
      </c>
      <c r="S315" s="371" t="e">
        <f t="shared" si="298"/>
        <v>#REF!</v>
      </c>
      <c r="T315" s="371" t="e">
        <f t="shared" si="298"/>
        <v>#REF!</v>
      </c>
      <c r="U315" s="371" t="e">
        <f t="shared" si="298"/>
        <v>#REF!</v>
      </c>
      <c r="V315" s="371" t="e">
        <f t="shared" si="298"/>
        <v>#REF!</v>
      </c>
      <c r="W315" s="371" t="e">
        <f t="shared" si="298"/>
        <v>#REF!</v>
      </c>
      <c r="X315" s="371" t="e">
        <f t="shared" si="298"/>
        <v>#REF!</v>
      </c>
      <c r="Y315" s="371" t="e">
        <f t="shared" si="298"/>
        <v>#REF!</v>
      </c>
      <c r="Z315" s="371" t="e">
        <f t="shared" si="298"/>
        <v>#REF!</v>
      </c>
      <c r="AA315" s="371" t="e">
        <f t="shared" si="298"/>
        <v>#REF!</v>
      </c>
      <c r="AB315" s="50"/>
    </row>
    <row r="316" outlineLevel="2" spans="1:28">
      <c r="A316" s="52">
        <f>MAX($A$6:A315)+1</f>
        <v>262</v>
      </c>
      <c r="B316" s="51" t="s">
        <v>297</v>
      </c>
      <c r="C316" s="51" t="e">
        <f>VLOOKUP($B316,#REF!,MATCH(C$2,#REF!,0),0)</f>
        <v>#REF!</v>
      </c>
      <c r="D316" s="136"/>
      <c r="E316" s="136"/>
      <c r="F316" s="136" t="e">
        <f>VLOOKUP($B316,#REF!,MATCH(F$2,#REF!,0),0)</f>
        <v>#REF!</v>
      </c>
      <c r="G316" s="137" t="e">
        <f>VLOOKUP($B316,#REF!,MATCH(G$2,#REF!,0),0)</f>
        <v>#REF!</v>
      </c>
      <c r="H316" s="48">
        <v>2.51</v>
      </c>
      <c r="I316" s="48">
        <v>2.51</v>
      </c>
      <c r="J316" s="48">
        <v>1</v>
      </c>
      <c r="K316" s="48">
        <v>1</v>
      </c>
      <c r="L316" s="48"/>
      <c r="M316" s="48"/>
      <c r="N316" s="48"/>
      <c r="O316" s="48"/>
      <c r="P316" s="48"/>
      <c r="Q316" s="48"/>
      <c r="R316" s="371" t="e">
        <f t="shared" ref="R316:AA316" si="299">$G316*H316</f>
        <v>#REF!</v>
      </c>
      <c r="S316" s="371" t="e">
        <f t="shared" si="299"/>
        <v>#REF!</v>
      </c>
      <c r="T316" s="371" t="e">
        <f t="shared" si="299"/>
        <v>#REF!</v>
      </c>
      <c r="U316" s="371" t="e">
        <f t="shared" si="299"/>
        <v>#REF!</v>
      </c>
      <c r="V316" s="371" t="e">
        <f t="shared" si="299"/>
        <v>#REF!</v>
      </c>
      <c r="W316" s="371" t="e">
        <f t="shared" si="299"/>
        <v>#REF!</v>
      </c>
      <c r="X316" s="371" t="e">
        <f t="shared" si="299"/>
        <v>#REF!</v>
      </c>
      <c r="Y316" s="371" t="e">
        <f t="shared" si="299"/>
        <v>#REF!</v>
      </c>
      <c r="Z316" s="371" t="e">
        <f t="shared" si="299"/>
        <v>#REF!</v>
      </c>
      <c r="AA316" s="371" t="e">
        <f t="shared" si="299"/>
        <v>#REF!</v>
      </c>
      <c r="AB316" s="50"/>
    </row>
    <row r="317" ht="28.8" outlineLevel="2" spans="1:28">
      <c r="A317" s="52">
        <f>MAX($A$6:A316)+1</f>
        <v>263</v>
      </c>
      <c r="B317" s="51" t="s">
        <v>476</v>
      </c>
      <c r="C317" s="51" t="e">
        <f>VLOOKUP($B317,#REF!,MATCH(C$2,#REF!,0),0)</f>
        <v>#REF!</v>
      </c>
      <c r="D317" s="136"/>
      <c r="E317" s="136"/>
      <c r="F317" s="136" t="e">
        <f>VLOOKUP($B317,#REF!,MATCH(F$2,#REF!,0),0)</f>
        <v>#REF!</v>
      </c>
      <c r="G317" s="137" t="e">
        <f>VLOOKUP($B317,#REF!,MATCH(G$2,#REF!,0),0)</f>
        <v>#REF!</v>
      </c>
      <c r="H317" s="48"/>
      <c r="I317" s="48"/>
      <c r="J317" s="48">
        <v>231.425064</v>
      </c>
      <c r="K317" s="48">
        <v>1</v>
      </c>
      <c r="L317" s="48"/>
      <c r="M317" s="48"/>
      <c r="N317" s="48"/>
      <c r="O317" s="48"/>
      <c r="P317" s="48"/>
      <c r="Q317" s="48"/>
      <c r="R317" s="371" t="e">
        <f t="shared" ref="R317:AA317" si="300">$G317*H317</f>
        <v>#REF!</v>
      </c>
      <c r="S317" s="371" t="e">
        <f t="shared" si="300"/>
        <v>#REF!</v>
      </c>
      <c r="T317" s="371" t="e">
        <f t="shared" si="300"/>
        <v>#REF!</v>
      </c>
      <c r="U317" s="371" t="e">
        <f t="shared" si="300"/>
        <v>#REF!</v>
      </c>
      <c r="V317" s="371" t="e">
        <f t="shared" si="300"/>
        <v>#REF!</v>
      </c>
      <c r="W317" s="371" t="e">
        <f t="shared" si="300"/>
        <v>#REF!</v>
      </c>
      <c r="X317" s="371" t="e">
        <f t="shared" si="300"/>
        <v>#REF!</v>
      </c>
      <c r="Y317" s="371" t="e">
        <f t="shared" si="300"/>
        <v>#REF!</v>
      </c>
      <c r="Z317" s="371" t="e">
        <f t="shared" si="300"/>
        <v>#REF!</v>
      </c>
      <c r="AA317" s="371" t="e">
        <f t="shared" si="300"/>
        <v>#REF!</v>
      </c>
      <c r="AB317" s="50"/>
    </row>
    <row r="318" ht="28.8" outlineLevel="2" spans="1:28">
      <c r="A318" s="52">
        <f>MAX($A$6:A317)+1</f>
        <v>264</v>
      </c>
      <c r="B318" s="51" t="s">
        <v>477</v>
      </c>
      <c r="C318" s="51" t="e">
        <f>VLOOKUP($B318,#REF!,MATCH(C$2,#REF!,0),0)</f>
        <v>#REF!</v>
      </c>
      <c r="D318" s="136"/>
      <c r="E318" s="136"/>
      <c r="F318" s="136" t="e">
        <f>VLOOKUP($B318,#REF!,MATCH(F$2,#REF!,0),0)</f>
        <v>#REF!</v>
      </c>
      <c r="G318" s="137" t="e">
        <f>VLOOKUP($B318,#REF!,MATCH(G$2,#REF!,0),0)</f>
        <v>#REF!</v>
      </c>
      <c r="H318" s="48">
        <v>506.75</v>
      </c>
      <c r="I318" s="48"/>
      <c r="J318" s="48"/>
      <c r="K318" s="48"/>
      <c r="L318" s="48">
        <v>216.6428</v>
      </c>
      <c r="M318" s="48"/>
      <c r="N318" s="48"/>
      <c r="O318" s="48">
        <v>36.9</v>
      </c>
      <c r="P318" s="48"/>
      <c r="Q318" s="48"/>
      <c r="R318" s="371" t="e">
        <f t="shared" ref="R318:AA318" si="301">$G318*H318</f>
        <v>#REF!</v>
      </c>
      <c r="S318" s="371" t="e">
        <f t="shared" si="301"/>
        <v>#REF!</v>
      </c>
      <c r="T318" s="371" t="e">
        <f t="shared" si="301"/>
        <v>#REF!</v>
      </c>
      <c r="U318" s="371" t="e">
        <f t="shared" si="301"/>
        <v>#REF!</v>
      </c>
      <c r="V318" s="371" t="e">
        <f t="shared" si="301"/>
        <v>#REF!</v>
      </c>
      <c r="W318" s="371" t="e">
        <f t="shared" si="301"/>
        <v>#REF!</v>
      </c>
      <c r="X318" s="371" t="e">
        <f t="shared" si="301"/>
        <v>#REF!</v>
      </c>
      <c r="Y318" s="371" t="e">
        <f t="shared" si="301"/>
        <v>#REF!</v>
      </c>
      <c r="Z318" s="371" t="e">
        <f t="shared" si="301"/>
        <v>#REF!</v>
      </c>
      <c r="AA318" s="371" t="e">
        <f t="shared" si="301"/>
        <v>#REF!</v>
      </c>
      <c r="AB318" s="50"/>
    </row>
    <row r="319" ht="28.8" outlineLevel="2" spans="1:28">
      <c r="A319" s="52">
        <f>MAX($A$6:A318)+1</f>
        <v>265</v>
      </c>
      <c r="B319" s="51" t="s">
        <v>478</v>
      </c>
      <c r="C319" s="51" t="e">
        <f>VLOOKUP($B319,#REF!,MATCH(C$2,#REF!,0),0)</f>
        <v>#REF!</v>
      </c>
      <c r="D319" s="136"/>
      <c r="E319" s="136"/>
      <c r="F319" s="136" t="e">
        <f>VLOOKUP($B319,#REF!,MATCH(F$2,#REF!,0),0)</f>
        <v>#REF!</v>
      </c>
      <c r="G319" s="137" t="e">
        <f>VLOOKUP($B319,#REF!,MATCH(G$2,#REF!,0),0)</f>
        <v>#REF!</v>
      </c>
      <c r="H319" s="48">
        <v>9.09</v>
      </c>
      <c r="I319" s="48"/>
      <c r="J319" s="48"/>
      <c r="K319" s="48"/>
      <c r="L319" s="48"/>
      <c r="M319" s="48"/>
      <c r="N319" s="48"/>
      <c r="O319" s="48"/>
      <c r="P319" s="48"/>
      <c r="Q319" s="48"/>
      <c r="R319" s="371" t="e">
        <f t="shared" ref="R319:AA319" si="302">$G319*H319</f>
        <v>#REF!</v>
      </c>
      <c r="S319" s="371" t="e">
        <f t="shared" si="302"/>
        <v>#REF!</v>
      </c>
      <c r="T319" s="371" t="e">
        <f t="shared" si="302"/>
        <v>#REF!</v>
      </c>
      <c r="U319" s="371" t="e">
        <f t="shared" si="302"/>
        <v>#REF!</v>
      </c>
      <c r="V319" s="371" t="e">
        <f t="shared" si="302"/>
        <v>#REF!</v>
      </c>
      <c r="W319" s="371" t="e">
        <f t="shared" si="302"/>
        <v>#REF!</v>
      </c>
      <c r="X319" s="371" t="e">
        <f t="shared" si="302"/>
        <v>#REF!</v>
      </c>
      <c r="Y319" s="371" t="e">
        <f t="shared" si="302"/>
        <v>#REF!</v>
      </c>
      <c r="Z319" s="371" t="e">
        <f t="shared" si="302"/>
        <v>#REF!</v>
      </c>
      <c r="AA319" s="371" t="e">
        <f t="shared" si="302"/>
        <v>#REF!</v>
      </c>
      <c r="AB319" s="50"/>
    </row>
    <row r="320" outlineLevel="2" spans="1:28">
      <c r="A320" s="52">
        <f>MAX($A$6:A319)+1</f>
        <v>266</v>
      </c>
      <c r="B320" s="51" t="s">
        <v>479</v>
      </c>
      <c r="C320" s="51" t="e">
        <f>VLOOKUP($B320,#REF!,MATCH(C$2,#REF!,0),0)</f>
        <v>#REF!</v>
      </c>
      <c r="D320" s="136"/>
      <c r="E320" s="136"/>
      <c r="F320" s="136" t="e">
        <f>VLOOKUP($B320,#REF!,MATCH(F$2,#REF!,0),0)</f>
        <v>#REF!</v>
      </c>
      <c r="G320" s="137" t="e">
        <f>VLOOKUP($B320,#REF!,MATCH(G$2,#REF!,0),0)</f>
        <v>#REF!</v>
      </c>
      <c r="H320" s="48">
        <v>78.42</v>
      </c>
      <c r="I320" s="48"/>
      <c r="J320" s="48"/>
      <c r="K320" s="48"/>
      <c r="L320" s="48">
        <v>10.913</v>
      </c>
      <c r="M320" s="48"/>
      <c r="N320" s="48"/>
      <c r="O320" s="48"/>
      <c r="P320" s="48"/>
      <c r="Q320" s="48"/>
      <c r="R320" s="371" t="e">
        <f t="shared" ref="R320:AA320" si="303">$G320*H320</f>
        <v>#REF!</v>
      </c>
      <c r="S320" s="371" t="e">
        <f t="shared" si="303"/>
        <v>#REF!</v>
      </c>
      <c r="T320" s="371" t="e">
        <f t="shared" si="303"/>
        <v>#REF!</v>
      </c>
      <c r="U320" s="371" t="e">
        <f t="shared" si="303"/>
        <v>#REF!</v>
      </c>
      <c r="V320" s="371" t="e">
        <f t="shared" si="303"/>
        <v>#REF!</v>
      </c>
      <c r="W320" s="371" t="e">
        <f t="shared" si="303"/>
        <v>#REF!</v>
      </c>
      <c r="X320" s="371" t="e">
        <f t="shared" si="303"/>
        <v>#REF!</v>
      </c>
      <c r="Y320" s="371" t="e">
        <f t="shared" si="303"/>
        <v>#REF!</v>
      </c>
      <c r="Z320" s="371" t="e">
        <f t="shared" si="303"/>
        <v>#REF!</v>
      </c>
      <c r="AA320" s="371" t="e">
        <f t="shared" si="303"/>
        <v>#REF!</v>
      </c>
      <c r="AB320" s="50"/>
    </row>
    <row r="321" s="29" customFormat="1" outlineLevel="1" spans="1:28">
      <c r="A321" s="40"/>
      <c r="B321" s="41" t="str">
        <f>B71</f>
        <v>A.02.02钢筋工程</v>
      </c>
      <c r="C321" s="41"/>
      <c r="D321" s="141"/>
      <c r="E321" s="141"/>
      <c r="F321" s="40"/>
      <c r="G321" s="43"/>
      <c r="H321" s="43"/>
      <c r="I321" s="43"/>
      <c r="J321" s="43"/>
      <c r="K321" s="43"/>
      <c r="L321" s="43"/>
      <c r="M321" s="43"/>
      <c r="N321" s="43"/>
      <c r="O321" s="43"/>
      <c r="P321" s="43"/>
      <c r="Q321" s="43"/>
      <c r="R321" s="369" t="e">
        <f t="shared" ref="R321:AA321" si="304">SUM(R322:R336)</f>
        <v>#REF!</v>
      </c>
      <c r="S321" s="369" t="e">
        <f t="shared" si="304"/>
        <v>#REF!</v>
      </c>
      <c r="T321" s="369" t="e">
        <f t="shared" si="304"/>
        <v>#REF!</v>
      </c>
      <c r="U321" s="369" t="e">
        <f t="shared" si="304"/>
        <v>#REF!</v>
      </c>
      <c r="V321" s="369" t="e">
        <f t="shared" si="304"/>
        <v>#REF!</v>
      </c>
      <c r="W321" s="369" t="e">
        <f t="shared" si="304"/>
        <v>#REF!</v>
      </c>
      <c r="X321" s="369" t="e">
        <f t="shared" si="304"/>
        <v>#REF!</v>
      </c>
      <c r="Y321" s="369" t="e">
        <f t="shared" si="304"/>
        <v>#REF!</v>
      </c>
      <c r="Z321" s="369" t="e">
        <f t="shared" si="304"/>
        <v>#REF!</v>
      </c>
      <c r="AA321" s="369" t="e">
        <f t="shared" si="304"/>
        <v>#REF!</v>
      </c>
      <c r="AB321" s="40"/>
    </row>
    <row r="322" ht="28.8" outlineLevel="2" spans="1:28">
      <c r="A322" s="52">
        <f>MAX($A$6:A321)+1</f>
        <v>267</v>
      </c>
      <c r="B322" s="51" t="s">
        <v>480</v>
      </c>
      <c r="C322" s="51" t="e">
        <f>VLOOKUP($B322,#REF!,MATCH(C$2,#REF!,0),0)</f>
        <v>#REF!</v>
      </c>
      <c r="D322" s="136"/>
      <c r="E322" s="136"/>
      <c r="F322" s="136" t="e">
        <f>VLOOKUP($B322,#REF!,MATCH(F$2,#REF!,0),0)</f>
        <v>#REF!</v>
      </c>
      <c r="G322" s="137" t="e">
        <f>VLOOKUP($B322,#REF!,MATCH(G$2,#REF!,0),0)</f>
        <v>#REF!</v>
      </c>
      <c r="H322" s="48">
        <v>1.744</v>
      </c>
      <c r="I322" s="48">
        <v>1.7</v>
      </c>
      <c r="J322" s="48">
        <v>0.662844036697248</v>
      </c>
      <c r="K322" s="48">
        <v>0.662844036697248</v>
      </c>
      <c r="L322" s="48">
        <v>0.3769</v>
      </c>
      <c r="M322" s="48">
        <v>0.001</v>
      </c>
      <c r="N322" s="48">
        <v>0.001</v>
      </c>
      <c r="O322" s="48">
        <v>0.001</v>
      </c>
      <c r="P322" s="48"/>
      <c r="Q322" s="48"/>
      <c r="R322" s="371" t="e">
        <f>$G322*H322</f>
        <v>#REF!</v>
      </c>
      <c r="S322" s="371" t="e">
        <f t="shared" ref="S322:AA322" si="305">$G322*I322</f>
        <v>#REF!</v>
      </c>
      <c r="T322" s="371" t="e">
        <f t="shared" si="305"/>
        <v>#REF!</v>
      </c>
      <c r="U322" s="371" t="e">
        <f t="shared" si="305"/>
        <v>#REF!</v>
      </c>
      <c r="V322" s="371" t="e">
        <f t="shared" si="305"/>
        <v>#REF!</v>
      </c>
      <c r="W322" s="371" t="e">
        <f t="shared" si="305"/>
        <v>#REF!</v>
      </c>
      <c r="X322" s="371" t="e">
        <f t="shared" si="305"/>
        <v>#REF!</v>
      </c>
      <c r="Y322" s="371" t="e">
        <f t="shared" si="305"/>
        <v>#REF!</v>
      </c>
      <c r="Z322" s="371" t="e">
        <f t="shared" si="305"/>
        <v>#REF!</v>
      </c>
      <c r="AA322" s="371" t="e">
        <f t="shared" si="305"/>
        <v>#REF!</v>
      </c>
      <c r="AB322" s="50"/>
    </row>
    <row r="323" ht="28.8" outlineLevel="2" spans="1:28">
      <c r="A323" s="52">
        <f>MAX($A$6:A322)+1</f>
        <v>268</v>
      </c>
      <c r="B323" s="51" t="s">
        <v>481</v>
      </c>
      <c r="C323" s="51" t="e">
        <f>VLOOKUP($B323,#REF!,MATCH(C$2,#REF!,0),0)</f>
        <v>#REF!</v>
      </c>
      <c r="D323" s="136"/>
      <c r="E323" s="136"/>
      <c r="F323" s="136" t="e">
        <f>VLOOKUP($B323,#REF!,MATCH(F$2,#REF!,0),0)</f>
        <v>#REF!</v>
      </c>
      <c r="G323" s="137" t="e">
        <f>VLOOKUP($B323,#REF!,MATCH(G$2,#REF!,0),0)</f>
        <v>#REF!</v>
      </c>
      <c r="H323" s="48">
        <v>15.529</v>
      </c>
      <c r="I323" s="48">
        <v>25.516</v>
      </c>
      <c r="J323" s="48">
        <v>15.3648088093245</v>
      </c>
      <c r="K323" s="48">
        <v>15.3648088093245</v>
      </c>
      <c r="L323" s="48">
        <v>4.513</v>
      </c>
      <c r="M323" s="48">
        <v>0.919</v>
      </c>
      <c r="N323" s="48">
        <v>0.919</v>
      </c>
      <c r="O323" s="48">
        <v>0.919</v>
      </c>
      <c r="P323" s="48"/>
      <c r="Q323" s="48"/>
      <c r="R323" s="371" t="e">
        <f t="shared" ref="R323:R336" si="306">$G323*H323</f>
        <v>#REF!</v>
      </c>
      <c r="S323" s="371" t="e">
        <f t="shared" ref="S323:S336" si="307">$G323*I323</f>
        <v>#REF!</v>
      </c>
      <c r="T323" s="371" t="e">
        <f t="shared" ref="T323:T336" si="308">$G323*J323</f>
        <v>#REF!</v>
      </c>
      <c r="U323" s="371" t="e">
        <f t="shared" ref="U323:U336" si="309">$G323*K323</f>
        <v>#REF!</v>
      </c>
      <c r="V323" s="371" t="e">
        <f t="shared" ref="V323:V336" si="310">$G323*L323</f>
        <v>#REF!</v>
      </c>
      <c r="W323" s="371" t="e">
        <f t="shared" ref="W323:W336" si="311">$G323*M323</f>
        <v>#REF!</v>
      </c>
      <c r="X323" s="371" t="e">
        <f t="shared" ref="X323:X336" si="312">$G323*N323</f>
        <v>#REF!</v>
      </c>
      <c r="Y323" s="371" t="e">
        <f t="shared" ref="Y323:Y336" si="313">$G323*O323</f>
        <v>#REF!</v>
      </c>
      <c r="Z323" s="371" t="e">
        <f t="shared" ref="Z323:Z336" si="314">$G323*P323</f>
        <v>#REF!</v>
      </c>
      <c r="AA323" s="371" t="e">
        <f t="shared" ref="AA323:AA336" si="315">$G323*Q323</f>
        <v>#REF!</v>
      </c>
      <c r="AB323" s="50"/>
    </row>
    <row r="324" ht="28.8" outlineLevel="2" spans="1:28">
      <c r="A324" s="52">
        <f>MAX($A$6:A323)+1</f>
        <v>269</v>
      </c>
      <c r="B324" s="51" t="s">
        <v>482</v>
      </c>
      <c r="C324" s="51" t="e">
        <f>VLOOKUP($B324,#REF!,MATCH(C$2,#REF!,0),0)</f>
        <v>#REF!</v>
      </c>
      <c r="D324" s="136"/>
      <c r="E324" s="136"/>
      <c r="F324" s="136" t="e">
        <f>VLOOKUP($B324,#REF!,MATCH(F$2,#REF!,0),0)</f>
        <v>#REF!</v>
      </c>
      <c r="G324" s="137" t="e">
        <f>VLOOKUP($B324,#REF!,MATCH(G$2,#REF!,0),0)</f>
        <v>#REF!</v>
      </c>
      <c r="H324" s="48">
        <v>185.993</v>
      </c>
      <c r="I324" s="48">
        <v>227.915</v>
      </c>
      <c r="J324" s="48">
        <v>100.123376669469</v>
      </c>
      <c r="K324" s="48">
        <v>100.123376669469</v>
      </c>
      <c r="L324" s="48">
        <v>54.265</v>
      </c>
      <c r="M324" s="48">
        <v>17.74</v>
      </c>
      <c r="N324" s="48">
        <v>17.74</v>
      </c>
      <c r="O324" s="48">
        <v>17.74</v>
      </c>
      <c r="P324" s="48"/>
      <c r="Q324" s="48"/>
      <c r="R324" s="371" t="e">
        <f t="shared" si="306"/>
        <v>#REF!</v>
      </c>
      <c r="S324" s="371" t="e">
        <f t="shared" si="307"/>
        <v>#REF!</v>
      </c>
      <c r="T324" s="371" t="e">
        <f t="shared" si="308"/>
        <v>#REF!</v>
      </c>
      <c r="U324" s="371" t="e">
        <f t="shared" si="309"/>
        <v>#REF!</v>
      </c>
      <c r="V324" s="371" t="e">
        <f t="shared" si="310"/>
        <v>#REF!</v>
      </c>
      <c r="W324" s="371" t="e">
        <f t="shared" si="311"/>
        <v>#REF!</v>
      </c>
      <c r="X324" s="371" t="e">
        <f t="shared" si="312"/>
        <v>#REF!</v>
      </c>
      <c r="Y324" s="371" t="e">
        <f t="shared" si="313"/>
        <v>#REF!</v>
      </c>
      <c r="Z324" s="371" t="e">
        <f t="shared" si="314"/>
        <v>#REF!</v>
      </c>
      <c r="AA324" s="371" t="e">
        <f t="shared" si="315"/>
        <v>#REF!</v>
      </c>
      <c r="AB324" s="50"/>
    </row>
    <row r="325" ht="28.8" outlineLevel="2" spans="1:28">
      <c r="A325" s="52">
        <f>MAX($A$6:A324)+1</f>
        <v>270</v>
      </c>
      <c r="B325" s="51" t="s">
        <v>483</v>
      </c>
      <c r="C325" s="51" t="e">
        <f>VLOOKUP($B325,#REF!,MATCH(C$2,#REF!,0),0)</f>
        <v>#REF!</v>
      </c>
      <c r="D325" s="136"/>
      <c r="E325" s="136"/>
      <c r="F325" s="136" t="e">
        <f>VLOOKUP($B325,#REF!,MATCH(F$2,#REF!,0),0)</f>
        <v>#REF!</v>
      </c>
      <c r="G325" s="137" t="e">
        <f>VLOOKUP($B325,#REF!,MATCH(G$2,#REF!,0),0)</f>
        <v>#REF!</v>
      </c>
      <c r="H325" s="48">
        <v>12.827</v>
      </c>
      <c r="I325" s="48">
        <v>24.405</v>
      </c>
      <c r="J325" s="48">
        <v>50.512851407188</v>
      </c>
      <c r="K325" s="48">
        <v>80.512851407188</v>
      </c>
      <c r="L325" s="48">
        <v>14.469</v>
      </c>
      <c r="M325" s="48">
        <v>4.82</v>
      </c>
      <c r="N325" s="48">
        <v>4.82</v>
      </c>
      <c r="O325" s="48">
        <v>4.82</v>
      </c>
      <c r="P325" s="48"/>
      <c r="Q325" s="48"/>
      <c r="R325" s="371" t="e">
        <f t="shared" si="306"/>
        <v>#REF!</v>
      </c>
      <c r="S325" s="371" t="e">
        <f t="shared" si="307"/>
        <v>#REF!</v>
      </c>
      <c r="T325" s="371" t="e">
        <f t="shared" si="308"/>
        <v>#REF!</v>
      </c>
      <c r="U325" s="371" t="e">
        <f t="shared" si="309"/>
        <v>#REF!</v>
      </c>
      <c r="V325" s="371" t="e">
        <f t="shared" si="310"/>
        <v>#REF!</v>
      </c>
      <c r="W325" s="371" t="e">
        <f t="shared" si="311"/>
        <v>#REF!</v>
      </c>
      <c r="X325" s="371" t="e">
        <f t="shared" si="312"/>
        <v>#REF!</v>
      </c>
      <c r="Y325" s="371" t="e">
        <f t="shared" si="313"/>
        <v>#REF!</v>
      </c>
      <c r="Z325" s="371" t="e">
        <f t="shared" si="314"/>
        <v>#REF!</v>
      </c>
      <c r="AA325" s="371" t="e">
        <f t="shared" si="315"/>
        <v>#REF!</v>
      </c>
      <c r="AB325" s="50"/>
    </row>
    <row r="326" ht="28.8" outlineLevel="2" spans="1:28">
      <c r="A326" s="52">
        <f>MAX($A$6:A325)+1</f>
        <v>271</v>
      </c>
      <c r="B326" s="51" t="s">
        <v>484</v>
      </c>
      <c r="C326" s="51" t="e">
        <f>VLOOKUP($B326,#REF!,MATCH(C$2,#REF!,0),0)</f>
        <v>#REF!</v>
      </c>
      <c r="D326" s="136"/>
      <c r="E326" s="136"/>
      <c r="F326" s="136" t="e">
        <f>VLOOKUP($B326,#REF!,MATCH(F$2,#REF!,0),0)</f>
        <v>#REF!</v>
      </c>
      <c r="G326" s="137" t="e">
        <f>VLOOKUP($B326,#REF!,MATCH(G$2,#REF!,0),0)</f>
        <v>#REF!</v>
      </c>
      <c r="H326" s="48">
        <v>67.637</v>
      </c>
      <c r="I326" s="48">
        <v>68.054</v>
      </c>
      <c r="J326" s="48">
        <v>32.149998698937</v>
      </c>
      <c r="K326" s="48">
        <v>32.149998698937</v>
      </c>
      <c r="L326" s="48">
        <v>33.224</v>
      </c>
      <c r="M326" s="48">
        <v>5.08</v>
      </c>
      <c r="N326" s="48">
        <v>5.08</v>
      </c>
      <c r="O326" s="48">
        <v>5.08</v>
      </c>
      <c r="P326" s="48"/>
      <c r="Q326" s="48"/>
      <c r="R326" s="371" t="e">
        <f t="shared" si="306"/>
        <v>#REF!</v>
      </c>
      <c r="S326" s="371" t="e">
        <f t="shared" si="307"/>
        <v>#REF!</v>
      </c>
      <c r="T326" s="371" t="e">
        <f t="shared" si="308"/>
        <v>#REF!</v>
      </c>
      <c r="U326" s="371" t="e">
        <f t="shared" si="309"/>
        <v>#REF!</v>
      </c>
      <c r="V326" s="371" t="e">
        <f t="shared" si="310"/>
        <v>#REF!</v>
      </c>
      <c r="W326" s="371" t="e">
        <f t="shared" si="311"/>
        <v>#REF!</v>
      </c>
      <c r="X326" s="371" t="e">
        <f t="shared" si="312"/>
        <v>#REF!</v>
      </c>
      <c r="Y326" s="371" t="e">
        <f t="shared" si="313"/>
        <v>#REF!</v>
      </c>
      <c r="Z326" s="371" t="e">
        <f t="shared" si="314"/>
        <v>#REF!</v>
      </c>
      <c r="AA326" s="371" t="e">
        <f t="shared" si="315"/>
        <v>#REF!</v>
      </c>
      <c r="AB326" s="50"/>
    </row>
    <row r="327" ht="28.8" outlineLevel="2" spans="1:28">
      <c r="A327" s="52">
        <f>MAX($A$6:A326)+1</f>
        <v>272</v>
      </c>
      <c r="B327" s="51" t="s">
        <v>485</v>
      </c>
      <c r="C327" s="51" t="e">
        <f>VLOOKUP($B327,#REF!,MATCH(C$2,#REF!,0),0)</f>
        <v>#REF!</v>
      </c>
      <c r="D327" s="136"/>
      <c r="E327" s="136"/>
      <c r="F327" s="136" t="e">
        <f>VLOOKUP($B327,#REF!,MATCH(F$2,#REF!,0),0)</f>
        <v>#REF!</v>
      </c>
      <c r="G327" s="137" t="e">
        <f>VLOOKUP($B327,#REF!,MATCH(G$2,#REF!,0),0)</f>
        <v>#REF!</v>
      </c>
      <c r="H327" s="48">
        <v>24.896</v>
      </c>
      <c r="I327" s="48">
        <v>24.982</v>
      </c>
      <c r="J327" s="48">
        <v>15.1421264460154</v>
      </c>
      <c r="K327" s="48">
        <v>15.1421264460154</v>
      </c>
      <c r="L327" s="48">
        <v>9.507</v>
      </c>
      <c r="M327" s="48">
        <v>1.86</v>
      </c>
      <c r="N327" s="48">
        <v>1.86</v>
      </c>
      <c r="O327" s="48">
        <v>1.86</v>
      </c>
      <c r="P327" s="48"/>
      <c r="Q327" s="48"/>
      <c r="R327" s="371" t="e">
        <f t="shared" si="306"/>
        <v>#REF!</v>
      </c>
      <c r="S327" s="371" t="e">
        <f t="shared" si="307"/>
        <v>#REF!</v>
      </c>
      <c r="T327" s="371" t="e">
        <f t="shared" si="308"/>
        <v>#REF!</v>
      </c>
      <c r="U327" s="371" t="e">
        <f t="shared" si="309"/>
        <v>#REF!</v>
      </c>
      <c r="V327" s="371" t="e">
        <f t="shared" si="310"/>
        <v>#REF!</v>
      </c>
      <c r="W327" s="371" t="e">
        <f t="shared" si="311"/>
        <v>#REF!</v>
      </c>
      <c r="X327" s="371" t="e">
        <f t="shared" si="312"/>
        <v>#REF!</v>
      </c>
      <c r="Y327" s="371" t="e">
        <f t="shared" si="313"/>
        <v>#REF!</v>
      </c>
      <c r="Z327" s="371" t="e">
        <f t="shared" si="314"/>
        <v>#REF!</v>
      </c>
      <c r="AA327" s="371" t="e">
        <f t="shared" si="315"/>
        <v>#REF!</v>
      </c>
      <c r="AB327" s="50"/>
    </row>
    <row r="328" ht="28.8" outlineLevel="2" spans="1:28">
      <c r="A328" s="52">
        <f>MAX($A$6:A327)+1</f>
        <v>273</v>
      </c>
      <c r="B328" s="51" t="s">
        <v>486</v>
      </c>
      <c r="C328" s="51" t="e">
        <f>VLOOKUP($B328,#REF!,MATCH(C$2,#REF!,0),0)</f>
        <v>#REF!</v>
      </c>
      <c r="D328" s="136"/>
      <c r="E328" s="136"/>
      <c r="F328" s="136" t="e">
        <f>VLOOKUP($B328,#REF!,MATCH(F$2,#REF!,0),0)</f>
        <v>#REF!</v>
      </c>
      <c r="G328" s="137" t="e">
        <f>VLOOKUP($B328,#REF!,MATCH(G$2,#REF!,0),0)</f>
        <v>#REF!</v>
      </c>
      <c r="H328" s="48">
        <v>56.957</v>
      </c>
      <c r="I328" s="48">
        <v>57.238</v>
      </c>
      <c r="J328" s="48">
        <v>20.6011377003705</v>
      </c>
      <c r="K328" s="48">
        <v>20.6011377003705</v>
      </c>
      <c r="L328" s="48">
        <v>13.675</v>
      </c>
      <c r="M328" s="48">
        <v>3.24</v>
      </c>
      <c r="N328" s="48">
        <v>3.24</v>
      </c>
      <c r="O328" s="48">
        <v>3.24</v>
      </c>
      <c r="P328" s="48"/>
      <c r="Q328" s="48"/>
      <c r="R328" s="371" t="e">
        <f t="shared" si="306"/>
        <v>#REF!</v>
      </c>
      <c r="S328" s="371" t="e">
        <f t="shared" si="307"/>
        <v>#REF!</v>
      </c>
      <c r="T328" s="371" t="e">
        <f t="shared" si="308"/>
        <v>#REF!</v>
      </c>
      <c r="U328" s="371" t="e">
        <f t="shared" si="309"/>
        <v>#REF!</v>
      </c>
      <c r="V328" s="371" t="e">
        <f t="shared" si="310"/>
        <v>#REF!</v>
      </c>
      <c r="W328" s="371" t="e">
        <f t="shared" si="311"/>
        <v>#REF!</v>
      </c>
      <c r="X328" s="371" t="e">
        <f t="shared" si="312"/>
        <v>#REF!</v>
      </c>
      <c r="Y328" s="371" t="e">
        <f t="shared" si="313"/>
        <v>#REF!</v>
      </c>
      <c r="Z328" s="371" t="e">
        <f t="shared" si="314"/>
        <v>#REF!</v>
      </c>
      <c r="AA328" s="371" t="e">
        <f t="shared" si="315"/>
        <v>#REF!</v>
      </c>
      <c r="AB328" s="50"/>
    </row>
    <row r="329" ht="28.8" outlineLevel="2" spans="1:28">
      <c r="A329" s="52">
        <f>MAX($A$6:A328)+1</f>
        <v>274</v>
      </c>
      <c r="B329" s="51" t="s">
        <v>487</v>
      </c>
      <c r="C329" s="51" t="e">
        <f>VLOOKUP($B329,#REF!,MATCH(C$2,#REF!,0),0)</f>
        <v>#REF!</v>
      </c>
      <c r="D329" s="136"/>
      <c r="E329" s="136"/>
      <c r="F329" s="136" t="e">
        <f>VLOOKUP($B329,#REF!,MATCH(F$2,#REF!,0),0)</f>
        <v>#REF!</v>
      </c>
      <c r="G329" s="137" t="e">
        <f>VLOOKUP($B329,#REF!,MATCH(G$2,#REF!,0),0)</f>
        <v>#REF!</v>
      </c>
      <c r="H329" s="48">
        <v>21.492</v>
      </c>
      <c r="I329" s="48">
        <v>20.858</v>
      </c>
      <c r="J329" s="48">
        <v>8.39483063465476</v>
      </c>
      <c r="K329" s="48">
        <v>8.39483063465476</v>
      </c>
      <c r="L329" s="48">
        <v>9.998</v>
      </c>
      <c r="M329" s="48">
        <v>5.33</v>
      </c>
      <c r="N329" s="48">
        <v>5.33</v>
      </c>
      <c r="O329" s="48">
        <v>5.33</v>
      </c>
      <c r="P329" s="48"/>
      <c r="Q329" s="48"/>
      <c r="R329" s="371" t="e">
        <f t="shared" si="306"/>
        <v>#REF!</v>
      </c>
      <c r="S329" s="371" t="e">
        <f t="shared" si="307"/>
        <v>#REF!</v>
      </c>
      <c r="T329" s="371" t="e">
        <f t="shared" si="308"/>
        <v>#REF!</v>
      </c>
      <c r="U329" s="371" t="e">
        <f t="shared" si="309"/>
        <v>#REF!</v>
      </c>
      <c r="V329" s="371" t="e">
        <f t="shared" si="310"/>
        <v>#REF!</v>
      </c>
      <c r="W329" s="371" t="e">
        <f t="shared" si="311"/>
        <v>#REF!</v>
      </c>
      <c r="X329" s="371" t="e">
        <f t="shared" si="312"/>
        <v>#REF!</v>
      </c>
      <c r="Y329" s="371" t="e">
        <f t="shared" si="313"/>
        <v>#REF!</v>
      </c>
      <c r="Z329" s="371" t="e">
        <f t="shared" si="314"/>
        <v>#REF!</v>
      </c>
      <c r="AA329" s="371" t="e">
        <f t="shared" si="315"/>
        <v>#REF!</v>
      </c>
      <c r="AB329" s="50"/>
    </row>
    <row r="330" ht="28.8" outlineLevel="2" spans="1:28">
      <c r="A330" s="52">
        <f>MAX($A$6:A329)+1</f>
        <v>275</v>
      </c>
      <c r="B330" s="51" t="s">
        <v>488</v>
      </c>
      <c r="C330" s="51" t="e">
        <f>VLOOKUP($B330,#REF!,MATCH(C$2,#REF!,0),0)</f>
        <v>#REF!</v>
      </c>
      <c r="D330" s="136"/>
      <c r="E330" s="136"/>
      <c r="F330" s="136" t="e">
        <f>VLOOKUP($B330,#REF!,MATCH(F$2,#REF!,0),0)</f>
        <v>#REF!</v>
      </c>
      <c r="G330" s="137" t="e">
        <f>VLOOKUP($B330,#REF!,MATCH(G$2,#REF!,0),0)</f>
        <v>#REF!</v>
      </c>
      <c r="H330" s="48">
        <v>22.019</v>
      </c>
      <c r="I330" s="48">
        <v>23.137</v>
      </c>
      <c r="J330" s="48">
        <v>10.7284059221581</v>
      </c>
      <c r="K330" s="48">
        <v>10.7284059221581</v>
      </c>
      <c r="L330" s="48">
        <v>11.189</v>
      </c>
      <c r="M330" s="48">
        <v>7.32</v>
      </c>
      <c r="N330" s="48">
        <v>7.32</v>
      </c>
      <c r="O330" s="48">
        <v>7.32</v>
      </c>
      <c r="P330" s="48"/>
      <c r="Q330" s="48"/>
      <c r="R330" s="371" t="e">
        <f t="shared" si="306"/>
        <v>#REF!</v>
      </c>
      <c r="S330" s="371" t="e">
        <f t="shared" si="307"/>
        <v>#REF!</v>
      </c>
      <c r="T330" s="371" t="e">
        <f t="shared" si="308"/>
        <v>#REF!</v>
      </c>
      <c r="U330" s="371" t="e">
        <f t="shared" si="309"/>
        <v>#REF!</v>
      </c>
      <c r="V330" s="371" t="e">
        <f t="shared" si="310"/>
        <v>#REF!</v>
      </c>
      <c r="W330" s="371" t="e">
        <f t="shared" si="311"/>
        <v>#REF!</v>
      </c>
      <c r="X330" s="371" t="e">
        <f t="shared" si="312"/>
        <v>#REF!</v>
      </c>
      <c r="Y330" s="371" t="e">
        <f t="shared" si="313"/>
        <v>#REF!</v>
      </c>
      <c r="Z330" s="371" t="e">
        <f t="shared" si="314"/>
        <v>#REF!</v>
      </c>
      <c r="AA330" s="371" t="e">
        <f t="shared" si="315"/>
        <v>#REF!</v>
      </c>
      <c r="AB330" s="50"/>
    </row>
    <row r="331" ht="28.8" outlineLevel="2" spans="1:28">
      <c r="A331" s="52">
        <f>MAX($A$6:A330)+1</f>
        <v>276</v>
      </c>
      <c r="B331" s="51" t="s">
        <v>489</v>
      </c>
      <c r="C331" s="51" t="e">
        <f>VLOOKUP($B331,#REF!,MATCH(C$2,#REF!,0),0)</f>
        <v>#REF!</v>
      </c>
      <c r="D331" s="136"/>
      <c r="E331" s="136"/>
      <c r="F331" s="136" t="e">
        <f>VLOOKUP($B331,#REF!,MATCH(F$2,#REF!,0),0)</f>
        <v>#REF!</v>
      </c>
      <c r="G331" s="137" t="e">
        <f>VLOOKUP($B331,#REF!,MATCH(G$2,#REF!,0),0)</f>
        <v>#REF!</v>
      </c>
      <c r="H331" s="48">
        <v>3.799</v>
      </c>
      <c r="I331" s="48">
        <v>4.562</v>
      </c>
      <c r="J331" s="48">
        <v>11.4320189523559</v>
      </c>
      <c r="K331" s="48">
        <v>11.4320189523559</v>
      </c>
      <c r="L331" s="48">
        <v>5.202</v>
      </c>
      <c r="M331" s="48">
        <v>7.79</v>
      </c>
      <c r="N331" s="48">
        <v>7.79</v>
      </c>
      <c r="O331" s="48">
        <v>7.79</v>
      </c>
      <c r="P331" s="48"/>
      <c r="Q331" s="48"/>
      <c r="R331" s="371" t="e">
        <f t="shared" si="306"/>
        <v>#REF!</v>
      </c>
      <c r="S331" s="371" t="e">
        <f t="shared" si="307"/>
        <v>#REF!</v>
      </c>
      <c r="T331" s="371" t="e">
        <f t="shared" si="308"/>
        <v>#REF!</v>
      </c>
      <c r="U331" s="371" t="e">
        <f t="shared" si="309"/>
        <v>#REF!</v>
      </c>
      <c r="V331" s="371" t="e">
        <f t="shared" si="310"/>
        <v>#REF!</v>
      </c>
      <c r="W331" s="371" t="e">
        <f t="shared" si="311"/>
        <v>#REF!</v>
      </c>
      <c r="X331" s="371" t="e">
        <f t="shared" si="312"/>
        <v>#REF!</v>
      </c>
      <c r="Y331" s="371" t="e">
        <f t="shared" si="313"/>
        <v>#REF!</v>
      </c>
      <c r="Z331" s="371" t="e">
        <f t="shared" si="314"/>
        <v>#REF!</v>
      </c>
      <c r="AA331" s="371" t="e">
        <f t="shared" si="315"/>
        <v>#REF!</v>
      </c>
      <c r="AB331" s="50"/>
    </row>
    <row r="332" ht="28.8" outlineLevel="2" spans="1:28">
      <c r="A332" s="52">
        <f>MAX($A$6:A331)+1</f>
        <v>277</v>
      </c>
      <c r="B332" s="51" t="s">
        <v>490</v>
      </c>
      <c r="C332" s="51" t="e">
        <f>VLOOKUP($B332,#REF!,MATCH(C$2,#REF!,0),0)</f>
        <v>#REF!</v>
      </c>
      <c r="D332" s="136"/>
      <c r="E332" s="136"/>
      <c r="F332" s="136" t="e">
        <f>VLOOKUP($B332,#REF!,MATCH(F$2,#REF!,0),0)</f>
        <v>#REF!</v>
      </c>
      <c r="G332" s="137" t="e">
        <f>VLOOKUP($B332,#REF!,MATCH(G$2,#REF!,0),0)</f>
        <v>#REF!</v>
      </c>
      <c r="H332" s="48">
        <v>1.549</v>
      </c>
      <c r="I332" s="48">
        <v>1.547</v>
      </c>
      <c r="J332" s="48">
        <v>0.755023886378309</v>
      </c>
      <c r="K332" s="48">
        <v>0.755023886378309</v>
      </c>
      <c r="L332" s="48">
        <v>0.736</v>
      </c>
      <c r="M332" s="48">
        <v>13.02</v>
      </c>
      <c r="N332" s="48">
        <v>13.02</v>
      </c>
      <c r="O332" s="48">
        <v>13.02</v>
      </c>
      <c r="P332" s="48"/>
      <c r="Q332" s="48"/>
      <c r="R332" s="371" t="e">
        <f t="shared" si="306"/>
        <v>#REF!</v>
      </c>
      <c r="S332" s="371" t="e">
        <f t="shared" si="307"/>
        <v>#REF!</v>
      </c>
      <c r="T332" s="371" t="e">
        <f t="shared" si="308"/>
        <v>#REF!</v>
      </c>
      <c r="U332" s="371" t="e">
        <f t="shared" si="309"/>
        <v>#REF!</v>
      </c>
      <c r="V332" s="371" t="e">
        <f t="shared" si="310"/>
        <v>#REF!</v>
      </c>
      <c r="W332" s="371" t="e">
        <f t="shared" si="311"/>
        <v>#REF!</v>
      </c>
      <c r="X332" s="371" t="e">
        <f t="shared" si="312"/>
        <v>#REF!</v>
      </c>
      <c r="Y332" s="371" t="e">
        <f t="shared" si="313"/>
        <v>#REF!</v>
      </c>
      <c r="Z332" s="371" t="e">
        <f t="shared" si="314"/>
        <v>#REF!</v>
      </c>
      <c r="AA332" s="371" t="e">
        <f t="shared" si="315"/>
        <v>#REF!</v>
      </c>
      <c r="AB332" s="50"/>
    </row>
    <row r="333" ht="28.8" outlineLevel="2" spans="1:28">
      <c r="A333" s="52">
        <f>MAX($A$6:A332)+1</f>
        <v>278</v>
      </c>
      <c r="B333" s="51" t="s">
        <v>491</v>
      </c>
      <c r="C333" s="51" t="e">
        <f>VLOOKUP($B333,#REF!,MATCH(C$2,#REF!,0),0)</f>
        <v>#REF!</v>
      </c>
      <c r="D333" s="136"/>
      <c r="E333" s="136"/>
      <c r="F333" s="136" t="e">
        <f>VLOOKUP($B333,#REF!,MATCH(F$2,#REF!,0),0)</f>
        <v>#REF!</v>
      </c>
      <c r="G333" s="137" t="e">
        <f>VLOOKUP($B333,#REF!,MATCH(G$2,#REF!,0),0)</f>
        <v>#REF!</v>
      </c>
      <c r="H333" s="48">
        <v>0.08</v>
      </c>
      <c r="I333" s="48">
        <v>0.214</v>
      </c>
      <c r="J333" s="48">
        <v>1.136875</v>
      </c>
      <c r="K333" s="48">
        <v>1.136875</v>
      </c>
      <c r="L333" s="48">
        <v>0.064</v>
      </c>
      <c r="M333" s="48">
        <v>0.18</v>
      </c>
      <c r="N333" s="48">
        <v>0.18</v>
      </c>
      <c r="O333" s="48">
        <v>0.18</v>
      </c>
      <c r="P333" s="48"/>
      <c r="Q333" s="48"/>
      <c r="R333" s="371" t="e">
        <f t="shared" si="306"/>
        <v>#REF!</v>
      </c>
      <c r="S333" s="371" t="e">
        <f t="shared" si="307"/>
        <v>#REF!</v>
      </c>
      <c r="T333" s="371" t="e">
        <f t="shared" si="308"/>
        <v>#REF!</v>
      </c>
      <c r="U333" s="371" t="e">
        <f t="shared" si="309"/>
        <v>#REF!</v>
      </c>
      <c r="V333" s="371" t="e">
        <f t="shared" si="310"/>
        <v>#REF!</v>
      </c>
      <c r="W333" s="371" t="e">
        <f t="shared" si="311"/>
        <v>#REF!</v>
      </c>
      <c r="X333" s="371" t="e">
        <f t="shared" si="312"/>
        <v>#REF!</v>
      </c>
      <c r="Y333" s="371" t="e">
        <f t="shared" si="313"/>
        <v>#REF!</v>
      </c>
      <c r="Z333" s="371" t="e">
        <f t="shared" si="314"/>
        <v>#REF!</v>
      </c>
      <c r="AA333" s="371" t="e">
        <f t="shared" si="315"/>
        <v>#REF!</v>
      </c>
      <c r="AB333" s="50"/>
    </row>
    <row r="334" ht="28.8" outlineLevel="2" spans="1:28">
      <c r="A334" s="52">
        <f>MAX($A$6:A333)+1</f>
        <v>279</v>
      </c>
      <c r="B334" s="51" t="s">
        <v>311</v>
      </c>
      <c r="C334" s="51" t="e">
        <f>VLOOKUP($B334,#REF!,MATCH(C$2,#REF!,0),0)</f>
        <v>#REF!</v>
      </c>
      <c r="D334" s="136"/>
      <c r="E334" s="136"/>
      <c r="F334" s="136" t="e">
        <f>VLOOKUP($B334,#REF!,MATCH(F$2,#REF!,0),0)</f>
        <v>#REF!</v>
      </c>
      <c r="G334" s="137" t="e">
        <f>VLOOKUP($B334,#REF!,MATCH(G$2,#REF!,0),0)</f>
        <v>#REF!</v>
      </c>
      <c r="H334" s="48">
        <v>222</v>
      </c>
      <c r="I334" s="48">
        <v>252</v>
      </c>
      <c r="J334" s="48">
        <v>13.6216216216216</v>
      </c>
      <c r="K334" s="48">
        <v>13.6216216216216</v>
      </c>
      <c r="L334" s="48">
        <v>8</v>
      </c>
      <c r="M334" s="48">
        <v>347</v>
      </c>
      <c r="N334" s="48">
        <v>347</v>
      </c>
      <c r="O334" s="48">
        <v>347</v>
      </c>
      <c r="P334" s="48"/>
      <c r="Q334" s="48"/>
      <c r="R334" s="371" t="e">
        <f t="shared" si="306"/>
        <v>#REF!</v>
      </c>
      <c r="S334" s="371" t="e">
        <f t="shared" si="307"/>
        <v>#REF!</v>
      </c>
      <c r="T334" s="371" t="e">
        <f t="shared" si="308"/>
        <v>#REF!</v>
      </c>
      <c r="U334" s="371" t="e">
        <f t="shared" si="309"/>
        <v>#REF!</v>
      </c>
      <c r="V334" s="371" t="e">
        <f t="shared" si="310"/>
        <v>#REF!</v>
      </c>
      <c r="W334" s="371" t="e">
        <f t="shared" si="311"/>
        <v>#REF!</v>
      </c>
      <c r="X334" s="371" t="e">
        <f t="shared" si="312"/>
        <v>#REF!</v>
      </c>
      <c r="Y334" s="371" t="e">
        <f t="shared" si="313"/>
        <v>#REF!</v>
      </c>
      <c r="Z334" s="371" t="e">
        <f t="shared" si="314"/>
        <v>#REF!</v>
      </c>
      <c r="AA334" s="371" t="e">
        <f t="shared" si="315"/>
        <v>#REF!</v>
      </c>
      <c r="AB334" s="50"/>
    </row>
    <row r="335" ht="28.8" outlineLevel="2" spans="1:28">
      <c r="A335" s="52">
        <f>MAX($A$6:A334)+1</f>
        <v>280</v>
      </c>
      <c r="B335" s="51" t="s">
        <v>312</v>
      </c>
      <c r="C335" s="51" t="e">
        <f>VLOOKUP($B335,#REF!,MATCH(C$2,#REF!,0),0)</f>
        <v>#REF!</v>
      </c>
      <c r="D335" s="136"/>
      <c r="E335" s="136"/>
      <c r="F335" s="136" t="e">
        <f>VLOOKUP($B335,#REF!,MATCH(F$2,#REF!,0),0)</f>
        <v>#REF!</v>
      </c>
      <c r="G335" s="137" t="e">
        <f>VLOOKUP($B335,#REF!,MATCH(G$2,#REF!,0),0)</f>
        <v>#REF!</v>
      </c>
      <c r="H335" s="48">
        <v>30</v>
      </c>
      <c r="I335" s="48"/>
      <c r="J335" s="48"/>
      <c r="K335" s="48"/>
      <c r="L335" s="48">
        <v>0</v>
      </c>
      <c r="M335" s="48"/>
      <c r="N335" s="48"/>
      <c r="O335" s="48"/>
      <c r="P335" s="48"/>
      <c r="Q335" s="48"/>
      <c r="R335" s="371" t="e">
        <f t="shared" si="306"/>
        <v>#REF!</v>
      </c>
      <c r="S335" s="371" t="e">
        <f t="shared" si="307"/>
        <v>#REF!</v>
      </c>
      <c r="T335" s="371" t="e">
        <f t="shared" si="308"/>
        <v>#REF!</v>
      </c>
      <c r="U335" s="371" t="e">
        <f t="shared" si="309"/>
        <v>#REF!</v>
      </c>
      <c r="V335" s="371" t="e">
        <f t="shared" si="310"/>
        <v>#REF!</v>
      </c>
      <c r="W335" s="371" t="e">
        <f t="shared" si="311"/>
        <v>#REF!</v>
      </c>
      <c r="X335" s="371" t="e">
        <f t="shared" si="312"/>
        <v>#REF!</v>
      </c>
      <c r="Y335" s="371" t="e">
        <f t="shared" si="313"/>
        <v>#REF!</v>
      </c>
      <c r="Z335" s="371" t="e">
        <f t="shared" si="314"/>
        <v>#REF!</v>
      </c>
      <c r="AA335" s="371" t="e">
        <f t="shared" si="315"/>
        <v>#REF!</v>
      </c>
      <c r="AB335" s="50"/>
    </row>
    <row r="336" ht="28.8" outlineLevel="2" spans="1:28">
      <c r="A336" s="52">
        <f>MAX($A$6:A335)+1</f>
        <v>281</v>
      </c>
      <c r="B336" s="51" t="s">
        <v>313</v>
      </c>
      <c r="C336" s="51" t="e">
        <f>VLOOKUP($B336,#REF!,MATCH(C$2,#REF!,0),0)</f>
        <v>#REF!</v>
      </c>
      <c r="D336" s="136"/>
      <c r="E336" s="136"/>
      <c r="F336" s="136" t="e">
        <f>VLOOKUP($B336,#REF!,MATCH(F$2,#REF!,0),0)</f>
        <v>#REF!</v>
      </c>
      <c r="G336" s="137" t="e">
        <f>VLOOKUP($B336,#REF!,MATCH(G$2,#REF!,0),0)</f>
        <v>#REF!</v>
      </c>
      <c r="H336" s="48">
        <v>30943</v>
      </c>
      <c r="I336" s="48">
        <v>34838</v>
      </c>
      <c r="J336" s="48">
        <v>14210.8145945771</v>
      </c>
      <c r="K336" s="48">
        <v>14210.8145945771</v>
      </c>
      <c r="L336" s="48">
        <v>7590</v>
      </c>
      <c r="M336" s="48">
        <v>876</v>
      </c>
      <c r="N336" s="48">
        <v>876</v>
      </c>
      <c r="O336" s="48">
        <v>876</v>
      </c>
      <c r="P336" s="48"/>
      <c r="Q336" s="48"/>
      <c r="R336" s="371" t="e">
        <f t="shared" si="306"/>
        <v>#REF!</v>
      </c>
      <c r="S336" s="371" t="e">
        <f t="shared" si="307"/>
        <v>#REF!</v>
      </c>
      <c r="T336" s="371" t="e">
        <f t="shared" si="308"/>
        <v>#REF!</v>
      </c>
      <c r="U336" s="371" t="e">
        <f t="shared" si="309"/>
        <v>#REF!</v>
      </c>
      <c r="V336" s="371" t="e">
        <f t="shared" si="310"/>
        <v>#REF!</v>
      </c>
      <c r="W336" s="371" t="e">
        <f t="shared" si="311"/>
        <v>#REF!</v>
      </c>
      <c r="X336" s="371" t="e">
        <f t="shared" si="312"/>
        <v>#REF!</v>
      </c>
      <c r="Y336" s="371" t="e">
        <f t="shared" si="313"/>
        <v>#REF!</v>
      </c>
      <c r="Z336" s="371" t="e">
        <f t="shared" si="314"/>
        <v>#REF!</v>
      </c>
      <c r="AA336" s="371" t="e">
        <f t="shared" si="315"/>
        <v>#REF!</v>
      </c>
      <c r="AB336" s="50"/>
    </row>
    <row r="337" s="355" customFormat="1" spans="1:28">
      <c r="A337" s="130"/>
      <c r="B337" s="131" t="str">
        <f>B88</f>
        <v>A.03二次结构工程</v>
      </c>
      <c r="C337" s="131"/>
      <c r="D337" s="154"/>
      <c r="E337" s="154"/>
      <c r="F337" s="154"/>
      <c r="G337" s="359"/>
      <c r="H337" s="134"/>
      <c r="I337" s="134"/>
      <c r="J337" s="134"/>
      <c r="K337" s="134"/>
      <c r="L337" s="134"/>
      <c r="M337" s="134"/>
      <c r="N337" s="134"/>
      <c r="O337" s="134"/>
      <c r="P337" s="134"/>
      <c r="Q337" s="134"/>
      <c r="R337" s="367" t="e">
        <f t="shared" ref="R337:AA337" si="316">SUM(R338,R349,R379,R387)</f>
        <v>#REF!</v>
      </c>
      <c r="S337" s="367" t="e">
        <f t="shared" si="316"/>
        <v>#REF!</v>
      </c>
      <c r="T337" s="367" t="e">
        <f t="shared" si="316"/>
        <v>#REF!</v>
      </c>
      <c r="U337" s="367" t="e">
        <f t="shared" si="316"/>
        <v>#REF!</v>
      </c>
      <c r="V337" s="367" t="e">
        <f t="shared" si="316"/>
        <v>#REF!</v>
      </c>
      <c r="W337" s="367" t="e">
        <f t="shared" si="316"/>
        <v>#REF!</v>
      </c>
      <c r="X337" s="367" t="e">
        <f t="shared" si="316"/>
        <v>#REF!</v>
      </c>
      <c r="Y337" s="367" t="e">
        <f t="shared" si="316"/>
        <v>#REF!</v>
      </c>
      <c r="Z337" s="367" t="e">
        <f t="shared" si="316"/>
        <v>#REF!</v>
      </c>
      <c r="AA337" s="367" t="e">
        <f t="shared" si="316"/>
        <v>#REF!</v>
      </c>
      <c r="AB337" s="130"/>
    </row>
    <row r="338" s="29" customFormat="1" outlineLevel="1" spans="1:28">
      <c r="A338" s="40"/>
      <c r="B338" s="41" t="str">
        <f>B89</f>
        <v>A.03.01砌筑工程</v>
      </c>
      <c r="C338" s="41"/>
      <c r="D338" s="141"/>
      <c r="E338" s="141"/>
      <c r="F338" s="40"/>
      <c r="G338" s="43"/>
      <c r="H338" s="43"/>
      <c r="I338" s="43"/>
      <c r="J338" s="43"/>
      <c r="K338" s="43"/>
      <c r="L338" s="43"/>
      <c r="M338" s="43"/>
      <c r="N338" s="43"/>
      <c r="O338" s="43"/>
      <c r="P338" s="43"/>
      <c r="Q338" s="43"/>
      <c r="R338" s="369" t="e">
        <f t="shared" ref="R338:AA338" si="317">SUM(R339:R348)</f>
        <v>#REF!</v>
      </c>
      <c r="S338" s="369" t="e">
        <f t="shared" si="317"/>
        <v>#REF!</v>
      </c>
      <c r="T338" s="369" t="e">
        <f t="shared" si="317"/>
        <v>#REF!</v>
      </c>
      <c r="U338" s="369" t="e">
        <f t="shared" si="317"/>
        <v>#REF!</v>
      </c>
      <c r="V338" s="369" t="e">
        <f t="shared" si="317"/>
        <v>#REF!</v>
      </c>
      <c r="W338" s="369" t="e">
        <f t="shared" si="317"/>
        <v>#REF!</v>
      </c>
      <c r="X338" s="369" t="e">
        <f t="shared" si="317"/>
        <v>#REF!</v>
      </c>
      <c r="Y338" s="369" t="e">
        <f t="shared" si="317"/>
        <v>#REF!</v>
      </c>
      <c r="Z338" s="369" t="e">
        <f t="shared" si="317"/>
        <v>#REF!</v>
      </c>
      <c r="AA338" s="369" t="e">
        <f t="shared" si="317"/>
        <v>#REF!</v>
      </c>
      <c r="AB338" s="40"/>
    </row>
    <row r="339" outlineLevel="2" spans="1:28">
      <c r="A339" s="52">
        <f>MAX($A$6:A338)+1</f>
        <v>282</v>
      </c>
      <c r="B339" s="51" t="s">
        <v>492</v>
      </c>
      <c r="C339" s="51" t="e">
        <f>VLOOKUP($B339,#REF!,MATCH(C$2,#REF!,0),0)</f>
        <v>#REF!</v>
      </c>
      <c r="D339" s="136"/>
      <c r="E339" s="136"/>
      <c r="F339" s="136" t="e">
        <f>VLOOKUP($B339,#REF!,MATCH(F$2,#REF!,0),0)</f>
        <v>#REF!</v>
      </c>
      <c r="G339" s="137" t="e">
        <f>VLOOKUP($B339,#REF!,MATCH(G$2,#REF!,0),0)</f>
        <v>#REF!</v>
      </c>
      <c r="H339" s="48">
        <v>7.87</v>
      </c>
      <c r="I339" s="48">
        <v>7.87</v>
      </c>
      <c r="J339" s="48">
        <v>5.73</v>
      </c>
      <c r="K339" s="48">
        <v>5.73</v>
      </c>
      <c r="L339" s="48">
        <v>0.865</v>
      </c>
      <c r="M339" s="48"/>
      <c r="N339" s="48"/>
      <c r="O339" s="48"/>
      <c r="P339" s="48"/>
      <c r="Q339" s="48"/>
      <c r="R339" s="371" t="e">
        <f>$G339*H339</f>
        <v>#REF!</v>
      </c>
      <c r="S339" s="371" t="e">
        <f t="shared" ref="S339:AA339" si="318">$G339*I339</f>
        <v>#REF!</v>
      </c>
      <c r="T339" s="371" t="e">
        <f t="shared" si="318"/>
        <v>#REF!</v>
      </c>
      <c r="U339" s="371" t="e">
        <f t="shared" si="318"/>
        <v>#REF!</v>
      </c>
      <c r="V339" s="371" t="e">
        <f t="shared" si="318"/>
        <v>#REF!</v>
      </c>
      <c r="W339" s="371" t="e">
        <f t="shared" si="318"/>
        <v>#REF!</v>
      </c>
      <c r="X339" s="371" t="e">
        <f t="shared" si="318"/>
        <v>#REF!</v>
      </c>
      <c r="Y339" s="371" t="e">
        <f t="shared" si="318"/>
        <v>#REF!</v>
      </c>
      <c r="Z339" s="371" t="e">
        <f t="shared" si="318"/>
        <v>#REF!</v>
      </c>
      <c r="AA339" s="371" t="e">
        <f t="shared" si="318"/>
        <v>#REF!</v>
      </c>
      <c r="AB339" s="50"/>
    </row>
    <row r="340" outlineLevel="2" spans="1:28">
      <c r="A340" s="52">
        <f>MAX($A$6:A339)+1</f>
        <v>283</v>
      </c>
      <c r="B340" s="51" t="s">
        <v>493</v>
      </c>
      <c r="C340" s="51" t="e">
        <f>VLOOKUP($B340,#REF!,MATCH(C$2,#REF!,0),0)</f>
        <v>#REF!</v>
      </c>
      <c r="D340" s="136"/>
      <c r="E340" s="136"/>
      <c r="F340" s="136" t="e">
        <f>VLOOKUP($B340,#REF!,MATCH(F$2,#REF!,0),0)</f>
        <v>#REF!</v>
      </c>
      <c r="G340" s="137" t="e">
        <f>VLOOKUP($B340,#REF!,MATCH(G$2,#REF!,0),0)</f>
        <v>#REF!</v>
      </c>
      <c r="H340" s="48">
        <v>329.3</v>
      </c>
      <c r="I340" s="48">
        <v>1049.21</v>
      </c>
      <c r="J340" s="48">
        <v>597.24</v>
      </c>
      <c r="K340" s="48">
        <v>597.24</v>
      </c>
      <c r="L340" s="48">
        <v>52.4087</v>
      </c>
      <c r="M340" s="48">
        <v>125.71</v>
      </c>
      <c r="N340" s="48">
        <v>125.71</v>
      </c>
      <c r="O340" s="48">
        <v>125.71</v>
      </c>
      <c r="P340" s="48"/>
      <c r="Q340" s="48"/>
      <c r="R340" s="371" t="e">
        <f t="shared" ref="R340:AA340" si="319">$G340*H340</f>
        <v>#REF!</v>
      </c>
      <c r="S340" s="371" t="e">
        <f t="shared" si="319"/>
        <v>#REF!</v>
      </c>
      <c r="T340" s="371" t="e">
        <f t="shared" si="319"/>
        <v>#REF!</v>
      </c>
      <c r="U340" s="371" t="e">
        <f t="shared" si="319"/>
        <v>#REF!</v>
      </c>
      <c r="V340" s="371" t="e">
        <f t="shared" si="319"/>
        <v>#REF!</v>
      </c>
      <c r="W340" s="371" t="e">
        <f t="shared" si="319"/>
        <v>#REF!</v>
      </c>
      <c r="X340" s="371" t="e">
        <f t="shared" si="319"/>
        <v>#REF!</v>
      </c>
      <c r="Y340" s="371" t="e">
        <f t="shared" si="319"/>
        <v>#REF!</v>
      </c>
      <c r="Z340" s="371" t="e">
        <f t="shared" si="319"/>
        <v>#REF!</v>
      </c>
      <c r="AA340" s="371" t="e">
        <f t="shared" si="319"/>
        <v>#REF!</v>
      </c>
      <c r="AB340" s="50"/>
    </row>
    <row r="341" outlineLevel="2" spans="1:28">
      <c r="A341" s="52">
        <f>MAX($A$6:A340)+1</f>
        <v>284</v>
      </c>
      <c r="B341" s="51" t="s">
        <v>494</v>
      </c>
      <c r="C341" s="51" t="e">
        <f>VLOOKUP($B341,#REF!,MATCH(C$2,#REF!,0),0)</f>
        <v>#REF!</v>
      </c>
      <c r="D341" s="136"/>
      <c r="E341" s="136"/>
      <c r="F341" s="136" t="e">
        <f>VLOOKUP($B341,#REF!,MATCH(F$2,#REF!,0),0)</f>
        <v>#REF!</v>
      </c>
      <c r="G341" s="137" t="e">
        <f>VLOOKUP($B341,#REF!,MATCH(G$2,#REF!,0),0)</f>
        <v>#REF!</v>
      </c>
      <c r="H341" s="48"/>
      <c r="I341" s="48"/>
      <c r="J341" s="48"/>
      <c r="K341" s="48"/>
      <c r="L341" s="48"/>
      <c r="M341" s="48"/>
      <c r="N341" s="48"/>
      <c r="O341" s="48"/>
      <c r="P341" s="48"/>
      <c r="Q341" s="48"/>
      <c r="R341" s="371" t="e">
        <f t="shared" ref="R341:AA341" si="320">$G341*H341</f>
        <v>#REF!</v>
      </c>
      <c r="S341" s="371" t="e">
        <f t="shared" si="320"/>
        <v>#REF!</v>
      </c>
      <c r="T341" s="371" t="e">
        <f t="shared" si="320"/>
        <v>#REF!</v>
      </c>
      <c r="U341" s="371" t="e">
        <f t="shared" si="320"/>
        <v>#REF!</v>
      </c>
      <c r="V341" s="371" t="e">
        <f t="shared" si="320"/>
        <v>#REF!</v>
      </c>
      <c r="W341" s="371" t="e">
        <f t="shared" si="320"/>
        <v>#REF!</v>
      </c>
      <c r="X341" s="371" t="e">
        <f t="shared" si="320"/>
        <v>#REF!</v>
      </c>
      <c r="Y341" s="371" t="e">
        <f t="shared" si="320"/>
        <v>#REF!</v>
      </c>
      <c r="Z341" s="371" t="e">
        <f t="shared" si="320"/>
        <v>#REF!</v>
      </c>
      <c r="AA341" s="371" t="e">
        <f t="shared" si="320"/>
        <v>#REF!</v>
      </c>
      <c r="AB341" s="50"/>
    </row>
    <row r="342" ht="28.8" outlineLevel="2" spans="1:28">
      <c r="A342" s="52">
        <f>MAX($A$6:A341)+1</f>
        <v>285</v>
      </c>
      <c r="B342" s="51" t="s">
        <v>495</v>
      </c>
      <c r="C342" s="51" t="e">
        <f>VLOOKUP($B342,#REF!,MATCH(C$2,#REF!,0),0)</f>
        <v>#REF!</v>
      </c>
      <c r="D342" s="136"/>
      <c r="E342" s="136"/>
      <c r="F342" s="136" t="e">
        <f>VLOOKUP($B342,#REF!,MATCH(F$2,#REF!,0),0)</f>
        <v>#REF!</v>
      </c>
      <c r="G342" s="137" t="e">
        <f>VLOOKUP($B342,#REF!,MATCH(G$2,#REF!,0),0)</f>
        <v>#REF!</v>
      </c>
      <c r="H342" s="48">
        <v>2397.3</v>
      </c>
      <c r="I342" s="48"/>
      <c r="J342" s="48"/>
      <c r="K342" s="48"/>
      <c r="L342" s="48">
        <v>1111.124</v>
      </c>
      <c r="M342" s="48"/>
      <c r="N342" s="48"/>
      <c r="O342" s="48"/>
      <c r="P342" s="48"/>
      <c r="Q342" s="48"/>
      <c r="R342" s="371" t="e">
        <f t="shared" ref="R342:AA342" si="321">$G342*H342</f>
        <v>#REF!</v>
      </c>
      <c r="S342" s="371" t="e">
        <f t="shared" si="321"/>
        <v>#REF!</v>
      </c>
      <c r="T342" s="371" t="e">
        <f t="shared" si="321"/>
        <v>#REF!</v>
      </c>
      <c r="U342" s="371" t="e">
        <f t="shared" si="321"/>
        <v>#REF!</v>
      </c>
      <c r="V342" s="371" t="e">
        <f t="shared" si="321"/>
        <v>#REF!</v>
      </c>
      <c r="W342" s="371" t="e">
        <f t="shared" si="321"/>
        <v>#REF!</v>
      </c>
      <c r="X342" s="371" t="e">
        <f t="shared" si="321"/>
        <v>#REF!</v>
      </c>
      <c r="Y342" s="371" t="e">
        <f t="shared" si="321"/>
        <v>#REF!</v>
      </c>
      <c r="Z342" s="371" t="e">
        <f t="shared" si="321"/>
        <v>#REF!</v>
      </c>
      <c r="AA342" s="371" t="e">
        <f t="shared" si="321"/>
        <v>#REF!</v>
      </c>
      <c r="AB342" s="50"/>
    </row>
    <row r="343" ht="28.8" outlineLevel="2" spans="1:28">
      <c r="A343" s="52">
        <f>MAX($A$6:A342)+1</f>
        <v>286</v>
      </c>
      <c r="B343" s="51" t="s">
        <v>496</v>
      </c>
      <c r="C343" s="51" t="e">
        <f>VLOOKUP($B343,#REF!,MATCH(C$2,#REF!,0),0)</f>
        <v>#REF!</v>
      </c>
      <c r="D343" s="136"/>
      <c r="E343" s="136"/>
      <c r="F343" s="136" t="e">
        <f>VLOOKUP($B343,#REF!,MATCH(F$2,#REF!,0),0)</f>
        <v>#REF!</v>
      </c>
      <c r="G343" s="137" t="e">
        <f>VLOOKUP($B343,#REF!,MATCH(G$2,#REF!,0),0)</f>
        <v>#REF!</v>
      </c>
      <c r="H343" s="48">
        <v>1027.89</v>
      </c>
      <c r="I343" s="48"/>
      <c r="J343" s="48"/>
      <c r="K343" s="48"/>
      <c r="L343" s="48">
        <v>1043.3913</v>
      </c>
      <c r="M343" s="48"/>
      <c r="N343" s="48"/>
      <c r="O343" s="48"/>
      <c r="P343" s="48"/>
      <c r="Q343" s="48"/>
      <c r="R343" s="371" t="e">
        <f t="shared" ref="R343:AA343" si="322">$G343*H343</f>
        <v>#REF!</v>
      </c>
      <c r="S343" s="371" t="e">
        <f t="shared" si="322"/>
        <v>#REF!</v>
      </c>
      <c r="T343" s="371" t="e">
        <f t="shared" si="322"/>
        <v>#REF!</v>
      </c>
      <c r="U343" s="371" t="e">
        <f t="shared" si="322"/>
        <v>#REF!</v>
      </c>
      <c r="V343" s="371" t="e">
        <f t="shared" si="322"/>
        <v>#REF!</v>
      </c>
      <c r="W343" s="371" t="e">
        <f t="shared" si="322"/>
        <v>#REF!</v>
      </c>
      <c r="X343" s="371" t="e">
        <f t="shared" si="322"/>
        <v>#REF!</v>
      </c>
      <c r="Y343" s="371" t="e">
        <f t="shared" si="322"/>
        <v>#REF!</v>
      </c>
      <c r="Z343" s="371" t="e">
        <f t="shared" si="322"/>
        <v>#REF!</v>
      </c>
      <c r="AA343" s="371" t="e">
        <f t="shared" si="322"/>
        <v>#REF!</v>
      </c>
      <c r="AB343" s="50"/>
    </row>
    <row r="344" ht="28.8" outlineLevel="2" spans="1:28">
      <c r="A344" s="52">
        <f>MAX($A$6:A343)+1</f>
        <v>287</v>
      </c>
      <c r="B344" s="51" t="s">
        <v>497</v>
      </c>
      <c r="C344" s="51" t="e">
        <f>VLOOKUP($B344,#REF!,MATCH(C$2,#REF!,0),0)</f>
        <v>#REF!</v>
      </c>
      <c r="D344" s="136"/>
      <c r="E344" s="136"/>
      <c r="F344" s="136" t="e">
        <f>VLOOKUP($B344,#REF!,MATCH(F$2,#REF!,0),0)</f>
        <v>#REF!</v>
      </c>
      <c r="G344" s="137" t="e">
        <f>VLOOKUP($B344,#REF!,MATCH(G$2,#REF!,0),0)</f>
        <v>#REF!</v>
      </c>
      <c r="H344" s="48">
        <v>667.38</v>
      </c>
      <c r="I344" s="48"/>
      <c r="J344" s="48"/>
      <c r="K344" s="48"/>
      <c r="L344" s="48">
        <f>369.79222222+97</f>
        <v>466.79222222</v>
      </c>
      <c r="M344" s="48"/>
      <c r="N344" s="48"/>
      <c r="O344" s="48"/>
      <c r="P344" s="48"/>
      <c r="Q344" s="48"/>
      <c r="R344" s="371" t="e">
        <f t="shared" ref="R344:AA344" si="323">$G344*H344</f>
        <v>#REF!</v>
      </c>
      <c r="S344" s="371" t="e">
        <f t="shared" si="323"/>
        <v>#REF!</v>
      </c>
      <c r="T344" s="371" t="e">
        <f t="shared" si="323"/>
        <v>#REF!</v>
      </c>
      <c r="U344" s="371" t="e">
        <f t="shared" si="323"/>
        <v>#REF!</v>
      </c>
      <c r="V344" s="371" t="e">
        <f t="shared" si="323"/>
        <v>#REF!</v>
      </c>
      <c r="W344" s="371" t="e">
        <f t="shared" si="323"/>
        <v>#REF!</v>
      </c>
      <c r="X344" s="371" t="e">
        <f t="shared" si="323"/>
        <v>#REF!</v>
      </c>
      <c r="Y344" s="371" t="e">
        <f t="shared" si="323"/>
        <v>#REF!</v>
      </c>
      <c r="Z344" s="371" t="e">
        <f t="shared" si="323"/>
        <v>#REF!</v>
      </c>
      <c r="AA344" s="371" t="e">
        <f t="shared" si="323"/>
        <v>#REF!</v>
      </c>
      <c r="AB344" s="50"/>
    </row>
    <row r="345" ht="28.8" outlineLevel="2" spans="1:28">
      <c r="A345" s="52">
        <f>MAX($A$6:A344)+1</f>
        <v>288</v>
      </c>
      <c r="B345" s="51" t="s">
        <v>498</v>
      </c>
      <c r="C345" s="51" t="e">
        <f>VLOOKUP($B345,#REF!,MATCH(C$2,#REF!,0),0)</f>
        <v>#REF!</v>
      </c>
      <c r="D345" s="136"/>
      <c r="E345" s="136"/>
      <c r="F345" s="136" t="e">
        <f>VLOOKUP($B345,#REF!,MATCH(F$2,#REF!,0),0)</f>
        <v>#REF!</v>
      </c>
      <c r="G345" s="137" t="e">
        <f>VLOOKUP($B345,#REF!,MATCH(G$2,#REF!,0),0)</f>
        <v>#REF!</v>
      </c>
      <c r="H345" s="48">
        <v>240.1712</v>
      </c>
      <c r="I345" s="48"/>
      <c r="J345" s="48"/>
      <c r="K345" s="48"/>
      <c r="L345" s="48"/>
      <c r="M345" s="48"/>
      <c r="N345" s="48"/>
      <c r="O345" s="48"/>
      <c r="P345" s="48"/>
      <c r="Q345" s="48"/>
      <c r="R345" s="371" t="e">
        <f t="shared" ref="R345:AA345" si="324">$G345*H345</f>
        <v>#REF!</v>
      </c>
      <c r="S345" s="371" t="e">
        <f t="shared" si="324"/>
        <v>#REF!</v>
      </c>
      <c r="T345" s="371" t="e">
        <f t="shared" si="324"/>
        <v>#REF!</v>
      </c>
      <c r="U345" s="371" t="e">
        <f t="shared" si="324"/>
        <v>#REF!</v>
      </c>
      <c r="V345" s="371" t="e">
        <f t="shared" si="324"/>
        <v>#REF!</v>
      </c>
      <c r="W345" s="371" t="e">
        <f t="shared" si="324"/>
        <v>#REF!</v>
      </c>
      <c r="X345" s="371" t="e">
        <f t="shared" si="324"/>
        <v>#REF!</v>
      </c>
      <c r="Y345" s="371" t="e">
        <f t="shared" si="324"/>
        <v>#REF!</v>
      </c>
      <c r="Z345" s="371" t="e">
        <f t="shared" si="324"/>
        <v>#REF!</v>
      </c>
      <c r="AA345" s="371" t="e">
        <f t="shared" si="324"/>
        <v>#REF!</v>
      </c>
      <c r="AB345" s="50"/>
    </row>
    <row r="346" ht="28.8" outlineLevel="2" spans="1:28">
      <c r="A346" s="52">
        <f>MAX($A$6:A345)+1</f>
        <v>289</v>
      </c>
      <c r="B346" s="51" t="s">
        <v>499</v>
      </c>
      <c r="C346" s="51" t="e">
        <f>VLOOKUP($B346,#REF!,MATCH(C$2,#REF!,0),0)</f>
        <v>#REF!</v>
      </c>
      <c r="D346" s="136"/>
      <c r="E346" s="136"/>
      <c r="F346" s="136" t="e">
        <f>VLOOKUP($B346,#REF!,MATCH(F$2,#REF!,0),0)</f>
        <v>#REF!</v>
      </c>
      <c r="G346" s="137" t="e">
        <f>VLOOKUP($B346,#REF!,MATCH(G$2,#REF!,0),0)</f>
        <v>#REF!</v>
      </c>
      <c r="H346" s="48">
        <v>45.0510999999999</v>
      </c>
      <c r="I346" s="48"/>
      <c r="J346" s="48"/>
      <c r="K346" s="48"/>
      <c r="L346" s="48">
        <v>11.37666667</v>
      </c>
      <c r="M346" s="48"/>
      <c r="N346" s="48"/>
      <c r="O346" s="48"/>
      <c r="P346" s="48"/>
      <c r="Q346" s="48"/>
      <c r="R346" s="371" t="e">
        <f t="shared" ref="R346:AA346" si="325">$G346*H346</f>
        <v>#REF!</v>
      </c>
      <c r="S346" s="371" t="e">
        <f t="shared" si="325"/>
        <v>#REF!</v>
      </c>
      <c r="T346" s="371" t="e">
        <f t="shared" si="325"/>
        <v>#REF!</v>
      </c>
      <c r="U346" s="371" t="e">
        <f t="shared" si="325"/>
        <v>#REF!</v>
      </c>
      <c r="V346" s="371" t="e">
        <f t="shared" si="325"/>
        <v>#REF!</v>
      </c>
      <c r="W346" s="371" t="e">
        <f t="shared" si="325"/>
        <v>#REF!</v>
      </c>
      <c r="X346" s="371" t="e">
        <f t="shared" si="325"/>
        <v>#REF!</v>
      </c>
      <c r="Y346" s="371" t="e">
        <f t="shared" si="325"/>
        <v>#REF!</v>
      </c>
      <c r="Z346" s="371" t="e">
        <f t="shared" si="325"/>
        <v>#REF!</v>
      </c>
      <c r="AA346" s="371" t="e">
        <f t="shared" si="325"/>
        <v>#REF!</v>
      </c>
      <c r="AB346" s="50"/>
    </row>
    <row r="347" ht="28.8" outlineLevel="2" spans="1:28">
      <c r="A347" s="52">
        <f>MAX($A$6:A346)+1</f>
        <v>290</v>
      </c>
      <c r="B347" s="51" t="s">
        <v>500</v>
      </c>
      <c r="C347" s="51" t="e">
        <f>VLOOKUP($B347,#REF!,MATCH(C$2,#REF!,0),0)</f>
        <v>#REF!</v>
      </c>
      <c r="D347" s="136"/>
      <c r="E347" s="136"/>
      <c r="F347" s="136" t="e">
        <f>VLOOKUP($B347,#REF!,MATCH(F$2,#REF!,0),0)</f>
        <v>#REF!</v>
      </c>
      <c r="G347" s="137" t="e">
        <f>VLOOKUP($B347,#REF!,MATCH(G$2,#REF!,0),0)</f>
        <v>#REF!</v>
      </c>
      <c r="H347" s="48">
        <v>1215.9477</v>
      </c>
      <c r="I347" s="48"/>
      <c r="J347" s="48"/>
      <c r="K347" s="48"/>
      <c r="L347" s="48">
        <f>494+17.244</f>
        <v>511.244</v>
      </c>
      <c r="M347" s="48"/>
      <c r="N347" s="48"/>
      <c r="O347" s="48"/>
      <c r="P347" s="48"/>
      <c r="Q347" s="48"/>
      <c r="R347" s="371" t="e">
        <f t="shared" ref="R347:AA347" si="326">$G347*H347</f>
        <v>#REF!</v>
      </c>
      <c r="S347" s="371" t="e">
        <f t="shared" si="326"/>
        <v>#REF!</v>
      </c>
      <c r="T347" s="371" t="e">
        <f t="shared" si="326"/>
        <v>#REF!</v>
      </c>
      <c r="U347" s="371" t="e">
        <f t="shared" si="326"/>
        <v>#REF!</v>
      </c>
      <c r="V347" s="371" t="e">
        <f t="shared" si="326"/>
        <v>#REF!</v>
      </c>
      <c r="W347" s="371" t="e">
        <f t="shared" si="326"/>
        <v>#REF!</v>
      </c>
      <c r="X347" s="371" t="e">
        <f t="shared" si="326"/>
        <v>#REF!</v>
      </c>
      <c r="Y347" s="371" t="e">
        <f t="shared" si="326"/>
        <v>#REF!</v>
      </c>
      <c r="Z347" s="371" t="e">
        <f t="shared" si="326"/>
        <v>#REF!</v>
      </c>
      <c r="AA347" s="371" t="e">
        <f t="shared" si="326"/>
        <v>#REF!</v>
      </c>
      <c r="AB347" s="50"/>
    </row>
    <row r="348" outlineLevel="2" spans="1:28">
      <c r="A348" s="52">
        <f>MAX($A$6:A347)+1</f>
        <v>291</v>
      </c>
      <c r="B348" s="51" t="s">
        <v>501</v>
      </c>
      <c r="C348" s="51" t="e">
        <f>VLOOKUP($B348,#REF!,MATCH(C$2,#REF!,0),0)</f>
        <v>#REF!</v>
      </c>
      <c r="D348" s="136"/>
      <c r="E348" s="136"/>
      <c r="F348" s="136" t="e">
        <f>VLOOKUP($B348,#REF!,MATCH(F$2,#REF!,0),0)</f>
        <v>#REF!</v>
      </c>
      <c r="G348" s="137" t="e">
        <f>VLOOKUP($B348,#REF!,MATCH(G$2,#REF!,0),0)</f>
        <v>#REF!</v>
      </c>
      <c r="H348" s="48">
        <v>1</v>
      </c>
      <c r="I348" s="48">
        <v>1</v>
      </c>
      <c r="J348" s="48">
        <v>1</v>
      </c>
      <c r="K348" s="48">
        <v>1</v>
      </c>
      <c r="L348" s="48"/>
      <c r="M348" s="48"/>
      <c r="N348" s="48"/>
      <c r="O348" s="48"/>
      <c r="P348" s="48"/>
      <c r="Q348" s="48"/>
      <c r="R348" s="371" t="e">
        <f t="shared" ref="R348:AA348" si="327">$G348*H348</f>
        <v>#REF!</v>
      </c>
      <c r="S348" s="371" t="e">
        <f t="shared" si="327"/>
        <v>#REF!</v>
      </c>
      <c r="T348" s="371" t="e">
        <f t="shared" si="327"/>
        <v>#REF!</v>
      </c>
      <c r="U348" s="371" t="e">
        <f t="shared" si="327"/>
        <v>#REF!</v>
      </c>
      <c r="V348" s="371" t="e">
        <f t="shared" si="327"/>
        <v>#REF!</v>
      </c>
      <c r="W348" s="371" t="e">
        <f t="shared" si="327"/>
        <v>#REF!</v>
      </c>
      <c r="X348" s="371" t="e">
        <f t="shared" si="327"/>
        <v>#REF!</v>
      </c>
      <c r="Y348" s="371" t="e">
        <f t="shared" si="327"/>
        <v>#REF!</v>
      </c>
      <c r="Z348" s="371" t="e">
        <f t="shared" si="327"/>
        <v>#REF!</v>
      </c>
      <c r="AA348" s="371" t="e">
        <f t="shared" si="327"/>
        <v>#REF!</v>
      </c>
      <c r="AB348" s="50"/>
    </row>
    <row r="349" s="29" customFormat="1" outlineLevel="1" spans="1:28">
      <c r="A349" s="40"/>
      <c r="B349" s="41" t="str">
        <f>目录!H8</f>
        <v>A.03.02混凝土工程</v>
      </c>
      <c r="C349" s="41"/>
      <c r="D349" s="141"/>
      <c r="E349" s="141"/>
      <c r="F349" s="40"/>
      <c r="G349" s="43"/>
      <c r="H349" s="43"/>
      <c r="I349" s="43"/>
      <c r="J349" s="43"/>
      <c r="K349" s="43"/>
      <c r="L349" s="43"/>
      <c r="M349" s="43"/>
      <c r="N349" s="43"/>
      <c r="O349" s="43"/>
      <c r="P349" s="43"/>
      <c r="Q349" s="43"/>
      <c r="R349" s="369" t="e">
        <f t="shared" ref="R349:AA349" si="328">SUM(R350:R378)</f>
        <v>#REF!</v>
      </c>
      <c r="S349" s="369" t="e">
        <f t="shared" si="328"/>
        <v>#REF!</v>
      </c>
      <c r="T349" s="369" t="e">
        <f t="shared" si="328"/>
        <v>#REF!</v>
      </c>
      <c r="U349" s="369" t="e">
        <f t="shared" si="328"/>
        <v>#REF!</v>
      </c>
      <c r="V349" s="369" t="e">
        <f t="shared" si="328"/>
        <v>#REF!</v>
      </c>
      <c r="W349" s="369" t="e">
        <f t="shared" si="328"/>
        <v>#REF!</v>
      </c>
      <c r="X349" s="369" t="e">
        <f t="shared" si="328"/>
        <v>#REF!</v>
      </c>
      <c r="Y349" s="369" t="e">
        <f t="shared" si="328"/>
        <v>#REF!</v>
      </c>
      <c r="Z349" s="369" t="e">
        <f t="shared" si="328"/>
        <v>#REF!</v>
      </c>
      <c r="AA349" s="369" t="e">
        <f t="shared" si="328"/>
        <v>#REF!</v>
      </c>
      <c r="AB349" s="40"/>
    </row>
    <row r="350" outlineLevel="2" spans="1:28">
      <c r="A350" s="52">
        <f>MAX($A$6:A349)+1</f>
        <v>292</v>
      </c>
      <c r="B350" s="51" t="s">
        <v>317</v>
      </c>
      <c r="C350" s="51" t="e">
        <f>VLOOKUP($B350,#REF!,MATCH(C$2,#REF!,0),0)</f>
        <v>#REF!</v>
      </c>
      <c r="D350" s="136"/>
      <c r="E350" s="136"/>
      <c r="F350" s="136" t="e">
        <f>VLOOKUP($B350,#REF!,MATCH(F$2,#REF!,0),0)</f>
        <v>#REF!</v>
      </c>
      <c r="G350" s="137" t="e">
        <f>VLOOKUP($B350,#REF!,MATCH(G$2,#REF!,0),0)</f>
        <v>#REF!</v>
      </c>
      <c r="H350" s="48">
        <v>65.6</v>
      </c>
      <c r="I350" s="48">
        <v>165.35</v>
      </c>
      <c r="J350" s="48">
        <v>43.7068445121951</v>
      </c>
      <c r="K350" s="48">
        <v>43.7068445121951</v>
      </c>
      <c r="L350" s="48">
        <v>10.4004</v>
      </c>
      <c r="M350" s="48">
        <v>9.82</v>
      </c>
      <c r="N350" s="48">
        <v>9.82</v>
      </c>
      <c r="O350" s="48">
        <v>9.82</v>
      </c>
      <c r="P350" s="48"/>
      <c r="Q350" s="48"/>
      <c r="R350" s="371" t="e">
        <f>$G350*H350</f>
        <v>#REF!</v>
      </c>
      <c r="S350" s="371" t="e">
        <f t="shared" ref="S350:AA350" si="329">$G350*I350</f>
        <v>#REF!</v>
      </c>
      <c r="T350" s="371" t="e">
        <f t="shared" si="329"/>
        <v>#REF!</v>
      </c>
      <c r="U350" s="371" t="e">
        <f t="shared" si="329"/>
        <v>#REF!</v>
      </c>
      <c r="V350" s="371" t="e">
        <f t="shared" si="329"/>
        <v>#REF!</v>
      </c>
      <c r="W350" s="371" t="e">
        <f t="shared" si="329"/>
        <v>#REF!</v>
      </c>
      <c r="X350" s="371" t="e">
        <f t="shared" si="329"/>
        <v>#REF!</v>
      </c>
      <c r="Y350" s="371" t="e">
        <f t="shared" si="329"/>
        <v>#REF!</v>
      </c>
      <c r="Z350" s="371" t="e">
        <f t="shared" si="329"/>
        <v>#REF!</v>
      </c>
      <c r="AA350" s="371" t="e">
        <f t="shared" si="329"/>
        <v>#REF!</v>
      </c>
      <c r="AB350" s="50"/>
    </row>
    <row r="351" outlineLevel="2" spans="1:28">
      <c r="A351" s="52">
        <f>MAX($A$6:A350)+1</f>
        <v>293</v>
      </c>
      <c r="B351" s="51" t="s">
        <v>316</v>
      </c>
      <c r="C351" s="51" t="e">
        <f>VLOOKUP($B351,#REF!,MATCH(C$2,#REF!,0),0)</f>
        <v>#REF!</v>
      </c>
      <c r="D351" s="136"/>
      <c r="E351" s="136"/>
      <c r="F351" s="136" t="e">
        <f>VLOOKUP($B351,#REF!,MATCH(F$2,#REF!,0),0)</f>
        <v>#REF!</v>
      </c>
      <c r="G351" s="137" t="e">
        <f>VLOOKUP($B351,#REF!,MATCH(G$2,#REF!,0),0)</f>
        <v>#REF!</v>
      </c>
      <c r="H351" s="48">
        <v>2.86</v>
      </c>
      <c r="I351" s="48">
        <v>2.68</v>
      </c>
      <c r="J351" s="48">
        <v>1.91160839160839</v>
      </c>
      <c r="K351" s="48">
        <v>1.91160839160839</v>
      </c>
      <c r="L351" s="48">
        <v>1.3457</v>
      </c>
      <c r="M351" s="48">
        <v>0.28</v>
      </c>
      <c r="N351" s="48">
        <v>0.28</v>
      </c>
      <c r="O351" s="48">
        <v>0.28</v>
      </c>
      <c r="P351" s="48"/>
      <c r="Q351" s="48"/>
      <c r="R351" s="371" t="e">
        <f t="shared" ref="R351:AA351" si="330">$G351*H351</f>
        <v>#REF!</v>
      </c>
      <c r="S351" s="371" t="e">
        <f t="shared" si="330"/>
        <v>#REF!</v>
      </c>
      <c r="T351" s="371" t="e">
        <f t="shared" si="330"/>
        <v>#REF!</v>
      </c>
      <c r="U351" s="371" t="e">
        <f t="shared" si="330"/>
        <v>#REF!</v>
      </c>
      <c r="V351" s="371" t="e">
        <f t="shared" si="330"/>
        <v>#REF!</v>
      </c>
      <c r="W351" s="371" t="e">
        <f t="shared" si="330"/>
        <v>#REF!</v>
      </c>
      <c r="X351" s="371" t="e">
        <f t="shared" si="330"/>
        <v>#REF!</v>
      </c>
      <c r="Y351" s="371" t="e">
        <f t="shared" si="330"/>
        <v>#REF!</v>
      </c>
      <c r="Z351" s="371" t="e">
        <f t="shared" si="330"/>
        <v>#REF!</v>
      </c>
      <c r="AA351" s="371" t="e">
        <f t="shared" si="330"/>
        <v>#REF!</v>
      </c>
      <c r="AB351" s="50"/>
    </row>
    <row r="352" outlineLevel="2" spans="1:28">
      <c r="A352" s="52">
        <f>MAX($A$6:A351)+1</f>
        <v>294</v>
      </c>
      <c r="B352" s="51" t="s">
        <v>319</v>
      </c>
      <c r="C352" s="51" t="e">
        <f>VLOOKUP($B352,#REF!,MATCH(C$2,#REF!,0),0)</f>
        <v>#REF!</v>
      </c>
      <c r="D352" s="136"/>
      <c r="E352" s="136"/>
      <c r="F352" s="136" t="e">
        <f>VLOOKUP($B352,#REF!,MATCH(F$2,#REF!,0),0)</f>
        <v>#REF!</v>
      </c>
      <c r="G352" s="137" t="e">
        <f>VLOOKUP($B352,#REF!,MATCH(G$2,#REF!,0),0)</f>
        <v>#REF!</v>
      </c>
      <c r="H352" s="48">
        <v>1.23</v>
      </c>
      <c r="I352" s="48">
        <v>1.23</v>
      </c>
      <c r="J352" s="48">
        <v>0.66</v>
      </c>
      <c r="K352" s="48">
        <v>0.66</v>
      </c>
      <c r="L352" s="48">
        <v>0.8196</v>
      </c>
      <c r="M352" s="48">
        <v>1</v>
      </c>
      <c r="N352" s="48">
        <v>1</v>
      </c>
      <c r="O352" s="48">
        <v>1</v>
      </c>
      <c r="P352" s="48"/>
      <c r="Q352" s="48"/>
      <c r="R352" s="371" t="e">
        <f t="shared" ref="R352:AA352" si="331">$G352*H352</f>
        <v>#REF!</v>
      </c>
      <c r="S352" s="371" t="e">
        <f t="shared" si="331"/>
        <v>#REF!</v>
      </c>
      <c r="T352" s="371" t="e">
        <f t="shared" si="331"/>
        <v>#REF!</v>
      </c>
      <c r="U352" s="371" t="e">
        <f t="shared" si="331"/>
        <v>#REF!</v>
      </c>
      <c r="V352" s="371" t="e">
        <f t="shared" si="331"/>
        <v>#REF!</v>
      </c>
      <c r="W352" s="371" t="e">
        <f t="shared" si="331"/>
        <v>#REF!</v>
      </c>
      <c r="X352" s="371" t="e">
        <f t="shared" si="331"/>
        <v>#REF!</v>
      </c>
      <c r="Y352" s="371" t="e">
        <f t="shared" si="331"/>
        <v>#REF!</v>
      </c>
      <c r="Z352" s="371" t="e">
        <f t="shared" si="331"/>
        <v>#REF!</v>
      </c>
      <c r="AA352" s="371" t="e">
        <f t="shared" si="331"/>
        <v>#REF!</v>
      </c>
      <c r="AB352" s="50"/>
    </row>
    <row r="353" outlineLevel="2" spans="1:28">
      <c r="A353" s="52">
        <f>MAX($A$6:A352)+1</f>
        <v>295</v>
      </c>
      <c r="B353" s="51" t="s">
        <v>502</v>
      </c>
      <c r="C353" s="51" t="e">
        <f>VLOOKUP($B353,#REF!,MATCH(C$2,#REF!,0),0)</f>
        <v>#REF!</v>
      </c>
      <c r="D353" s="136"/>
      <c r="E353" s="136"/>
      <c r="F353" s="136" t="e">
        <f>VLOOKUP($B353,#REF!,MATCH(F$2,#REF!,0),0)</f>
        <v>#REF!</v>
      </c>
      <c r="G353" s="137" t="e">
        <f>VLOOKUP($B353,#REF!,MATCH(G$2,#REF!,0),0)</f>
        <v>#REF!</v>
      </c>
      <c r="H353" s="48">
        <v>60.16</v>
      </c>
      <c r="I353" s="48">
        <v>58.22</v>
      </c>
      <c r="J353" s="48">
        <v>18.687303856383</v>
      </c>
      <c r="K353" s="48">
        <v>18.687303856383</v>
      </c>
      <c r="L353" s="48">
        <v>10.3414</v>
      </c>
      <c r="M353" s="48"/>
      <c r="N353" s="48"/>
      <c r="O353" s="48"/>
      <c r="P353" s="48"/>
      <c r="Q353" s="48"/>
      <c r="R353" s="371" t="e">
        <f t="shared" ref="R353:AA353" si="332">$G353*H353</f>
        <v>#REF!</v>
      </c>
      <c r="S353" s="371" t="e">
        <f t="shared" si="332"/>
        <v>#REF!</v>
      </c>
      <c r="T353" s="371" t="e">
        <f t="shared" si="332"/>
        <v>#REF!</v>
      </c>
      <c r="U353" s="371" t="e">
        <f t="shared" si="332"/>
        <v>#REF!</v>
      </c>
      <c r="V353" s="371" t="e">
        <f t="shared" si="332"/>
        <v>#REF!</v>
      </c>
      <c r="W353" s="371" t="e">
        <f t="shared" si="332"/>
        <v>#REF!</v>
      </c>
      <c r="X353" s="371" t="e">
        <f t="shared" si="332"/>
        <v>#REF!</v>
      </c>
      <c r="Y353" s="371" t="e">
        <f t="shared" si="332"/>
        <v>#REF!</v>
      </c>
      <c r="Z353" s="371" t="e">
        <f t="shared" si="332"/>
        <v>#REF!</v>
      </c>
      <c r="AA353" s="371" t="e">
        <f t="shared" si="332"/>
        <v>#REF!</v>
      </c>
      <c r="AB353" s="50"/>
    </row>
    <row r="354" outlineLevel="2" spans="1:28">
      <c r="A354" s="52">
        <f>MAX($A$6:A353)+1</f>
        <v>296</v>
      </c>
      <c r="B354" s="51" t="s">
        <v>318</v>
      </c>
      <c r="C354" s="51" t="e">
        <f>VLOOKUP($B354,#REF!,MATCH(C$2,#REF!,0),0)</f>
        <v>#REF!</v>
      </c>
      <c r="D354" s="136"/>
      <c r="E354" s="136"/>
      <c r="F354" s="136" t="e">
        <f>VLOOKUP($B354,#REF!,MATCH(F$2,#REF!,0),0)</f>
        <v>#REF!</v>
      </c>
      <c r="G354" s="137" t="e">
        <f>VLOOKUP($B354,#REF!,MATCH(G$2,#REF!,0),0)</f>
        <v>#REF!</v>
      </c>
      <c r="H354" s="48">
        <v>2.92</v>
      </c>
      <c r="I354" s="48">
        <v>8.4</v>
      </c>
      <c r="J354" s="48">
        <v>5.35068493150685</v>
      </c>
      <c r="K354" s="48">
        <v>5.35068493150685</v>
      </c>
      <c r="L354" s="48">
        <v>3.9722</v>
      </c>
      <c r="M354" s="48">
        <v>1.54</v>
      </c>
      <c r="N354" s="48">
        <v>1.54</v>
      </c>
      <c r="O354" s="48">
        <v>1.54</v>
      </c>
      <c r="P354" s="48"/>
      <c r="Q354" s="48"/>
      <c r="R354" s="371" t="e">
        <f t="shared" ref="R354:AA354" si="333">$G354*H354</f>
        <v>#REF!</v>
      </c>
      <c r="S354" s="371" t="e">
        <f t="shared" si="333"/>
        <v>#REF!</v>
      </c>
      <c r="T354" s="371" t="e">
        <f t="shared" si="333"/>
        <v>#REF!</v>
      </c>
      <c r="U354" s="371" t="e">
        <f t="shared" si="333"/>
        <v>#REF!</v>
      </c>
      <c r="V354" s="371" t="e">
        <f t="shared" si="333"/>
        <v>#REF!</v>
      </c>
      <c r="W354" s="371" t="e">
        <f t="shared" si="333"/>
        <v>#REF!</v>
      </c>
      <c r="X354" s="371" t="e">
        <f t="shared" si="333"/>
        <v>#REF!</v>
      </c>
      <c r="Y354" s="371" t="e">
        <f t="shared" si="333"/>
        <v>#REF!</v>
      </c>
      <c r="Z354" s="371" t="e">
        <f t="shared" si="333"/>
        <v>#REF!</v>
      </c>
      <c r="AA354" s="371" t="e">
        <f t="shared" si="333"/>
        <v>#REF!</v>
      </c>
      <c r="AB354" s="50"/>
    </row>
    <row r="355" outlineLevel="2" spans="1:28">
      <c r="A355" s="52">
        <f>MAX($A$6:A354)+1</f>
        <v>297</v>
      </c>
      <c r="B355" s="51" t="s">
        <v>320</v>
      </c>
      <c r="C355" s="51" t="e">
        <f>VLOOKUP($B355,#REF!,MATCH(C$2,#REF!,0),0)</f>
        <v>#REF!</v>
      </c>
      <c r="D355" s="136"/>
      <c r="E355" s="136"/>
      <c r="F355" s="136" t="e">
        <f>VLOOKUP($B355,#REF!,MATCH(F$2,#REF!,0),0)</f>
        <v>#REF!</v>
      </c>
      <c r="G355" s="137" t="e">
        <f>VLOOKUP($B355,#REF!,MATCH(G$2,#REF!,0),0)</f>
        <v>#REF!</v>
      </c>
      <c r="H355" s="48">
        <v>54.74</v>
      </c>
      <c r="I355" s="48">
        <v>56.41</v>
      </c>
      <c r="J355" s="48">
        <v>6.28609791742784</v>
      </c>
      <c r="K355" s="48">
        <v>6.28609791742784</v>
      </c>
      <c r="L355" s="48">
        <v>8.7011</v>
      </c>
      <c r="M355" s="48">
        <v>1.2</v>
      </c>
      <c r="N355" s="48">
        <v>1.2</v>
      </c>
      <c r="O355" s="48">
        <v>1.2</v>
      </c>
      <c r="P355" s="48"/>
      <c r="Q355" s="48"/>
      <c r="R355" s="371" t="e">
        <f t="shared" ref="R355:AA355" si="334">$G355*H355</f>
        <v>#REF!</v>
      </c>
      <c r="S355" s="371" t="e">
        <f t="shared" si="334"/>
        <v>#REF!</v>
      </c>
      <c r="T355" s="371" t="e">
        <f t="shared" si="334"/>
        <v>#REF!</v>
      </c>
      <c r="U355" s="371" t="e">
        <f t="shared" si="334"/>
        <v>#REF!</v>
      </c>
      <c r="V355" s="371" t="e">
        <f t="shared" si="334"/>
        <v>#REF!</v>
      </c>
      <c r="W355" s="371" t="e">
        <f t="shared" si="334"/>
        <v>#REF!</v>
      </c>
      <c r="X355" s="371" t="e">
        <f t="shared" si="334"/>
        <v>#REF!</v>
      </c>
      <c r="Y355" s="371" t="e">
        <f t="shared" si="334"/>
        <v>#REF!</v>
      </c>
      <c r="Z355" s="371" t="e">
        <f t="shared" si="334"/>
        <v>#REF!</v>
      </c>
      <c r="AA355" s="371" t="e">
        <f t="shared" si="334"/>
        <v>#REF!</v>
      </c>
      <c r="AB355" s="50"/>
    </row>
    <row r="356" s="122" customFormat="1" outlineLevel="2" spans="1:28">
      <c r="A356" s="130"/>
      <c r="B356" s="154" t="s">
        <v>321</v>
      </c>
      <c r="C356" s="154"/>
      <c r="D356" s="154"/>
      <c r="E356" s="154"/>
      <c r="F356" s="130"/>
      <c r="G356" s="134"/>
      <c r="H356" s="134"/>
      <c r="I356" s="134"/>
      <c r="J356" s="134"/>
      <c r="K356" s="134"/>
      <c r="L356" s="134"/>
      <c r="M356" s="134"/>
      <c r="N356" s="134"/>
      <c r="O356" s="134"/>
      <c r="P356" s="134"/>
      <c r="Q356" s="134"/>
      <c r="R356" s="367"/>
      <c r="S356" s="367"/>
      <c r="T356" s="367"/>
      <c r="U356" s="367"/>
      <c r="V356" s="371"/>
      <c r="W356" s="367"/>
      <c r="X356" s="367"/>
      <c r="Y356" s="367"/>
      <c r="Z356" s="367"/>
      <c r="AA356" s="367"/>
      <c r="AB356" s="130"/>
    </row>
    <row r="357" s="1" customFormat="1" outlineLevel="2" spans="1:28">
      <c r="A357" s="52">
        <f>MAX($A$6:A356)+1</f>
        <v>298</v>
      </c>
      <c r="B357" s="374" t="s">
        <v>322</v>
      </c>
      <c r="C357" s="51" t="e">
        <f>VLOOKUP($B357,#REF!,MATCH(C$2,#REF!,0),0)</f>
        <v>#REF!</v>
      </c>
      <c r="D357" s="136"/>
      <c r="E357" s="136"/>
      <c r="F357" s="136" t="e">
        <f>VLOOKUP($B357,#REF!,MATCH(F$2,#REF!,0),0)</f>
        <v>#REF!</v>
      </c>
      <c r="G357" s="137" t="e">
        <f>VLOOKUP($B357,#REF!,MATCH(G$2,#REF!,0),0)</f>
        <v>#REF!</v>
      </c>
      <c r="H357" s="375">
        <f t="shared" ref="H357:H359" si="335">168.46*0.4</f>
        <v>67.384</v>
      </c>
      <c r="I357" s="375">
        <f t="shared" ref="I357:I359" si="336">104.62*0.4</f>
        <v>41.848</v>
      </c>
      <c r="J357" s="375">
        <f t="shared" ref="J357:J359" si="337">89.4045779413511*0.4</f>
        <v>35.7618311765404</v>
      </c>
      <c r="K357" s="375">
        <f t="shared" ref="K357:K359" si="338">89.4045779413511*0.4</f>
        <v>35.7618311765404</v>
      </c>
      <c r="L357" s="375">
        <f t="shared" ref="L357:L359" si="339">67.8*0.4</f>
        <v>27.12</v>
      </c>
      <c r="M357" s="48">
        <v>60.04</v>
      </c>
      <c r="N357" s="48">
        <v>60.04</v>
      </c>
      <c r="O357" s="48">
        <v>60.04</v>
      </c>
      <c r="P357" s="139"/>
      <c r="Q357" s="139"/>
      <c r="R357" s="371" t="e">
        <f t="shared" ref="R357:R359" si="340">$G357*H357</f>
        <v>#REF!</v>
      </c>
      <c r="S357" s="371" t="e">
        <f t="shared" ref="S357:AA357" si="341">$G357*I357</f>
        <v>#REF!</v>
      </c>
      <c r="T357" s="371" t="e">
        <f t="shared" si="341"/>
        <v>#REF!</v>
      </c>
      <c r="U357" s="371" t="e">
        <f t="shared" si="341"/>
        <v>#REF!</v>
      </c>
      <c r="V357" s="371" t="e">
        <f t="shared" si="341"/>
        <v>#REF!</v>
      </c>
      <c r="W357" s="371" t="e">
        <f t="shared" si="341"/>
        <v>#REF!</v>
      </c>
      <c r="X357" s="371" t="e">
        <f t="shared" si="341"/>
        <v>#REF!</v>
      </c>
      <c r="Y357" s="371" t="e">
        <f t="shared" si="341"/>
        <v>#REF!</v>
      </c>
      <c r="Z357" s="371" t="e">
        <f t="shared" si="341"/>
        <v>#REF!</v>
      </c>
      <c r="AA357" s="371" t="e">
        <f t="shared" si="341"/>
        <v>#REF!</v>
      </c>
      <c r="AB357" s="26"/>
    </row>
    <row r="358" outlineLevel="2" spans="1:28">
      <c r="A358" s="52">
        <f>MAX($A$6:A357)+1</f>
        <v>299</v>
      </c>
      <c r="B358" s="51" t="s">
        <v>503</v>
      </c>
      <c r="C358" s="51" t="e">
        <f>VLOOKUP($B358,#REF!,MATCH(C$2,#REF!,0),0)</f>
        <v>#REF!</v>
      </c>
      <c r="D358" s="136"/>
      <c r="E358" s="136"/>
      <c r="F358" s="136" t="e">
        <f>VLOOKUP($B358,#REF!,MATCH(F$2,#REF!,0),0)</f>
        <v>#REF!</v>
      </c>
      <c r="G358" s="137" t="e">
        <f>VLOOKUP($B358,#REF!,MATCH(G$2,#REF!,0),0)</f>
        <v>#REF!</v>
      </c>
      <c r="H358" s="375">
        <f t="shared" si="335"/>
        <v>67.384</v>
      </c>
      <c r="I358" s="375">
        <f t="shared" si="336"/>
        <v>41.848</v>
      </c>
      <c r="J358" s="375">
        <f t="shared" si="337"/>
        <v>35.7618311765404</v>
      </c>
      <c r="K358" s="375">
        <f t="shared" si="338"/>
        <v>35.7618311765404</v>
      </c>
      <c r="L358" s="375">
        <f t="shared" si="339"/>
        <v>27.12</v>
      </c>
      <c r="M358" s="48">
        <v>60.04</v>
      </c>
      <c r="N358" s="48">
        <v>60.04</v>
      </c>
      <c r="O358" s="48">
        <v>60.04</v>
      </c>
      <c r="P358" s="48"/>
      <c r="Q358" s="48"/>
      <c r="R358" s="371" t="e">
        <f t="shared" si="340"/>
        <v>#REF!</v>
      </c>
      <c r="S358" s="371" t="e">
        <f t="shared" ref="S358:AA358" si="342">$G358*I358</f>
        <v>#REF!</v>
      </c>
      <c r="T358" s="371" t="e">
        <f t="shared" si="342"/>
        <v>#REF!</v>
      </c>
      <c r="U358" s="371" t="e">
        <f t="shared" si="342"/>
        <v>#REF!</v>
      </c>
      <c r="V358" s="371" t="e">
        <f t="shared" si="342"/>
        <v>#REF!</v>
      </c>
      <c r="W358" s="371" t="e">
        <f t="shared" si="342"/>
        <v>#REF!</v>
      </c>
      <c r="X358" s="371" t="e">
        <f t="shared" si="342"/>
        <v>#REF!</v>
      </c>
      <c r="Y358" s="371" t="e">
        <f t="shared" si="342"/>
        <v>#REF!</v>
      </c>
      <c r="Z358" s="371" t="e">
        <f t="shared" si="342"/>
        <v>#REF!</v>
      </c>
      <c r="AA358" s="371" t="e">
        <f t="shared" si="342"/>
        <v>#REF!</v>
      </c>
      <c r="AB358" s="50"/>
    </row>
    <row r="359" outlineLevel="2" spans="1:28">
      <c r="A359" s="52">
        <f>MAX($A$6:A358)+1</f>
        <v>300</v>
      </c>
      <c r="B359" s="51" t="s">
        <v>324</v>
      </c>
      <c r="C359" s="51" t="e">
        <f>VLOOKUP($B359,#REF!,MATCH(C$2,#REF!,0),0)</f>
        <v>#REF!</v>
      </c>
      <c r="D359" s="136"/>
      <c r="E359" s="136"/>
      <c r="F359" s="136" t="e">
        <f>VLOOKUP($B359,#REF!,MATCH(F$2,#REF!,0),0)</f>
        <v>#REF!</v>
      </c>
      <c r="G359" s="137" t="e">
        <f>VLOOKUP($B359,#REF!,MATCH(G$2,#REF!,0),0)</f>
        <v>#REF!</v>
      </c>
      <c r="H359" s="375">
        <f t="shared" si="335"/>
        <v>67.384</v>
      </c>
      <c r="I359" s="375">
        <f t="shared" si="336"/>
        <v>41.848</v>
      </c>
      <c r="J359" s="375">
        <f t="shared" si="337"/>
        <v>35.7618311765404</v>
      </c>
      <c r="K359" s="375">
        <f t="shared" si="338"/>
        <v>35.7618311765404</v>
      </c>
      <c r="L359" s="375">
        <f t="shared" si="339"/>
        <v>27.12</v>
      </c>
      <c r="M359" s="48">
        <v>60.04</v>
      </c>
      <c r="N359" s="48">
        <v>60.04</v>
      </c>
      <c r="O359" s="48">
        <v>60.04</v>
      </c>
      <c r="P359" s="48"/>
      <c r="Q359" s="48"/>
      <c r="R359" s="371" t="e">
        <f t="shared" si="340"/>
        <v>#REF!</v>
      </c>
      <c r="S359" s="371" t="e">
        <f t="shared" ref="S359:AA359" si="343">$G359*I359</f>
        <v>#REF!</v>
      </c>
      <c r="T359" s="371" t="e">
        <f t="shared" si="343"/>
        <v>#REF!</v>
      </c>
      <c r="U359" s="371" t="e">
        <f t="shared" si="343"/>
        <v>#REF!</v>
      </c>
      <c r="V359" s="371" t="e">
        <f t="shared" si="343"/>
        <v>#REF!</v>
      </c>
      <c r="W359" s="371" t="e">
        <f t="shared" si="343"/>
        <v>#REF!</v>
      </c>
      <c r="X359" s="371" t="e">
        <f t="shared" si="343"/>
        <v>#REF!</v>
      </c>
      <c r="Y359" s="371" t="e">
        <f t="shared" si="343"/>
        <v>#REF!</v>
      </c>
      <c r="Z359" s="371" t="e">
        <f t="shared" si="343"/>
        <v>#REF!</v>
      </c>
      <c r="AA359" s="371" t="e">
        <f t="shared" si="343"/>
        <v>#REF!</v>
      </c>
      <c r="AB359" s="50"/>
    </row>
    <row r="360" customFormat="1" outlineLevel="2" spans="1:28">
      <c r="A360" s="52"/>
      <c r="B360" s="51"/>
      <c r="C360" s="51" t="s">
        <v>504</v>
      </c>
      <c r="D360" s="136"/>
      <c r="E360" s="136"/>
      <c r="F360" s="136"/>
      <c r="G360" s="137"/>
      <c r="H360" s="48"/>
      <c r="I360" s="48"/>
      <c r="J360" s="48"/>
      <c r="K360" s="48"/>
      <c r="L360" s="48"/>
      <c r="M360" s="48"/>
      <c r="N360" s="48"/>
      <c r="O360" s="48"/>
      <c r="P360" s="48"/>
      <c r="Q360" s="48"/>
      <c r="R360" s="371"/>
      <c r="S360" s="371"/>
      <c r="T360" s="371"/>
      <c r="U360" s="371"/>
      <c r="V360" s="371"/>
      <c r="W360" s="371"/>
      <c r="X360" s="371"/>
      <c r="Y360" s="371"/>
      <c r="Z360" s="371"/>
      <c r="AA360" s="371"/>
      <c r="AB360" s="50"/>
    </row>
    <row r="361" customFormat="1" ht="28.8" outlineLevel="2" spans="1:28">
      <c r="A361" s="52">
        <v>298</v>
      </c>
      <c r="B361" s="51" t="s">
        <v>505</v>
      </c>
      <c r="C361" s="51" t="e">
        <f>VLOOKUP($B361,#REF!,MATCH(C$2,#REF!,0),0)</f>
        <v>#REF!</v>
      </c>
      <c r="D361" s="136"/>
      <c r="E361" s="136"/>
      <c r="F361" s="136" t="e">
        <f>VLOOKUP($B361,#REF!,MATCH(F$2,#REF!,0),0)</f>
        <v>#REF!</v>
      </c>
      <c r="G361" s="137" t="e">
        <f>VLOOKUP($B361,#REF!,MATCH(G$2,#REF!,0),0)</f>
        <v>#REF!</v>
      </c>
      <c r="H361" s="375">
        <v>126.34</v>
      </c>
      <c r="I361" s="375">
        <v>78.46</v>
      </c>
      <c r="J361" s="375">
        <v>67.06</v>
      </c>
      <c r="K361" s="375">
        <v>67.06</v>
      </c>
      <c r="L361" s="375">
        <v>50.85</v>
      </c>
      <c r="M361" s="48"/>
      <c r="N361" s="48"/>
      <c r="O361" s="48"/>
      <c r="P361" s="48"/>
      <c r="Q361" s="48">
        <v>0</v>
      </c>
      <c r="R361" s="371" t="e">
        <f t="shared" ref="R361:AA361" si="344">$G361*H361</f>
        <v>#REF!</v>
      </c>
      <c r="S361" s="371" t="e">
        <f t="shared" si="344"/>
        <v>#REF!</v>
      </c>
      <c r="T361" s="371" t="e">
        <f t="shared" si="344"/>
        <v>#REF!</v>
      </c>
      <c r="U361" s="371" t="e">
        <f t="shared" si="344"/>
        <v>#REF!</v>
      </c>
      <c r="V361" s="371" t="e">
        <f t="shared" si="344"/>
        <v>#REF!</v>
      </c>
      <c r="W361" s="371" t="e">
        <f t="shared" si="344"/>
        <v>#REF!</v>
      </c>
      <c r="X361" s="371" t="e">
        <f t="shared" si="344"/>
        <v>#REF!</v>
      </c>
      <c r="Y361" s="371" t="e">
        <f t="shared" si="344"/>
        <v>#REF!</v>
      </c>
      <c r="Z361" s="371" t="e">
        <f t="shared" si="344"/>
        <v>#REF!</v>
      </c>
      <c r="AA361" s="371" t="e">
        <f t="shared" si="344"/>
        <v>#REF!</v>
      </c>
      <c r="AB361" s="50"/>
    </row>
    <row r="362" s="122" customFormat="1" outlineLevel="2" spans="1:28">
      <c r="A362" s="130"/>
      <c r="B362" s="154" t="s">
        <v>506</v>
      </c>
      <c r="C362" s="154"/>
      <c r="D362" s="154"/>
      <c r="E362" s="154"/>
      <c r="F362" s="130"/>
      <c r="G362" s="134"/>
      <c r="H362" s="134"/>
      <c r="I362" s="134"/>
      <c r="J362" s="134"/>
      <c r="K362" s="134"/>
      <c r="L362" s="134"/>
      <c r="M362" s="134"/>
      <c r="N362" s="134"/>
      <c r="O362" s="134"/>
      <c r="P362" s="134"/>
      <c r="Q362" s="134"/>
      <c r="R362" s="367"/>
      <c r="S362" s="367"/>
      <c r="T362" s="367"/>
      <c r="U362" s="367"/>
      <c r="V362" s="371"/>
      <c r="W362" s="367"/>
      <c r="X362" s="367"/>
      <c r="Y362" s="367"/>
      <c r="Z362" s="367"/>
      <c r="AA362" s="367"/>
      <c r="AB362" s="130"/>
    </row>
    <row r="363" outlineLevel="2" spans="1:28">
      <c r="A363" s="52">
        <f>MAX($A$6:A362)+1</f>
        <v>301</v>
      </c>
      <c r="B363" s="51" t="s">
        <v>507</v>
      </c>
      <c r="C363" s="51" t="e">
        <f>VLOOKUP($B363,#REF!,MATCH(C$2,#REF!,0),0)</f>
        <v>#REF!</v>
      </c>
      <c r="D363" s="136"/>
      <c r="E363" s="136"/>
      <c r="F363" s="136" t="e">
        <f>VLOOKUP($B363,#REF!,MATCH(F$2,#REF!,0),0)</f>
        <v>#REF!</v>
      </c>
      <c r="G363" s="137" t="e">
        <f>VLOOKUP($B363,#REF!,MATCH(G$2,#REF!,0),0)</f>
        <v>#REF!</v>
      </c>
      <c r="H363" s="48">
        <v>1</v>
      </c>
      <c r="I363" s="48">
        <v>1</v>
      </c>
      <c r="J363" s="48"/>
      <c r="K363" s="48"/>
      <c r="L363" s="48"/>
      <c r="M363" s="48"/>
      <c r="N363" s="48"/>
      <c r="O363" s="48"/>
      <c r="P363" s="48"/>
      <c r="Q363" s="48"/>
      <c r="R363" s="371" t="e">
        <f>$G363*H363</f>
        <v>#REF!</v>
      </c>
      <c r="S363" s="371" t="e">
        <f t="shared" ref="S363:AA363" si="345">$G363*I363</f>
        <v>#REF!</v>
      </c>
      <c r="T363" s="371" t="e">
        <f t="shared" si="345"/>
        <v>#REF!</v>
      </c>
      <c r="U363" s="371" t="e">
        <f t="shared" si="345"/>
        <v>#REF!</v>
      </c>
      <c r="V363" s="371" t="e">
        <f t="shared" si="345"/>
        <v>#REF!</v>
      </c>
      <c r="W363" s="371" t="e">
        <f t="shared" si="345"/>
        <v>#REF!</v>
      </c>
      <c r="X363" s="371" t="e">
        <f t="shared" si="345"/>
        <v>#REF!</v>
      </c>
      <c r="Y363" s="371" t="e">
        <f t="shared" si="345"/>
        <v>#REF!</v>
      </c>
      <c r="Z363" s="371" t="e">
        <f t="shared" si="345"/>
        <v>#REF!</v>
      </c>
      <c r="AA363" s="371" t="e">
        <f t="shared" si="345"/>
        <v>#REF!</v>
      </c>
      <c r="AB363" s="50"/>
    </row>
    <row r="364" ht="28.8" outlineLevel="2" spans="1:28">
      <c r="A364" s="52">
        <f>MAX($A$6:A363)+1</f>
        <v>302</v>
      </c>
      <c r="B364" s="51" t="s">
        <v>508</v>
      </c>
      <c r="C364" s="51" t="e">
        <f>VLOOKUP($B364,#REF!,MATCH(C$2,#REF!,0),0)</f>
        <v>#REF!</v>
      </c>
      <c r="D364" s="136"/>
      <c r="E364" s="136"/>
      <c r="F364" s="136" t="e">
        <f>VLOOKUP($B364,#REF!,MATCH(F$2,#REF!,0),0)</f>
        <v>#REF!</v>
      </c>
      <c r="G364" s="137" t="e">
        <f>VLOOKUP($B364,#REF!,MATCH(G$2,#REF!,0),0)</f>
        <v>#REF!</v>
      </c>
      <c r="H364" s="48">
        <v>1</v>
      </c>
      <c r="I364" s="48">
        <v>1</v>
      </c>
      <c r="J364" s="48"/>
      <c r="K364" s="48"/>
      <c r="L364" s="48"/>
      <c r="M364" s="48"/>
      <c r="N364" s="48"/>
      <c r="O364" s="48"/>
      <c r="P364" s="48"/>
      <c r="Q364" s="48"/>
      <c r="R364" s="371" t="e">
        <f t="shared" ref="R364:AA364" si="346">$G364*H364</f>
        <v>#REF!</v>
      </c>
      <c r="S364" s="371" t="e">
        <f t="shared" si="346"/>
        <v>#REF!</v>
      </c>
      <c r="T364" s="371" t="e">
        <f t="shared" si="346"/>
        <v>#REF!</v>
      </c>
      <c r="U364" s="371" t="e">
        <f t="shared" si="346"/>
        <v>#REF!</v>
      </c>
      <c r="V364" s="371" t="e">
        <f t="shared" si="346"/>
        <v>#REF!</v>
      </c>
      <c r="W364" s="371" t="e">
        <f t="shared" si="346"/>
        <v>#REF!</v>
      </c>
      <c r="X364" s="371" t="e">
        <f t="shared" si="346"/>
        <v>#REF!</v>
      </c>
      <c r="Y364" s="371" t="e">
        <f t="shared" si="346"/>
        <v>#REF!</v>
      </c>
      <c r="Z364" s="371" t="e">
        <f t="shared" si="346"/>
        <v>#REF!</v>
      </c>
      <c r="AA364" s="371" t="e">
        <f t="shared" si="346"/>
        <v>#REF!</v>
      </c>
      <c r="AB364" s="50"/>
    </row>
    <row r="365" ht="28.8" outlineLevel="2" spans="1:28">
      <c r="A365" s="52">
        <f>MAX($A$6:A364)+1</f>
        <v>303</v>
      </c>
      <c r="B365" s="51" t="s">
        <v>509</v>
      </c>
      <c r="C365" s="51" t="e">
        <f>VLOOKUP($B365,#REF!,MATCH(C$2,#REF!,0),0)</f>
        <v>#REF!</v>
      </c>
      <c r="D365" s="136"/>
      <c r="E365" s="136"/>
      <c r="F365" s="136" t="e">
        <f>VLOOKUP($B365,#REF!,MATCH(F$2,#REF!,0),0)</f>
        <v>#REF!</v>
      </c>
      <c r="G365" s="137" t="e">
        <f>VLOOKUP($B365,#REF!,MATCH(G$2,#REF!,0),0)</f>
        <v>#REF!</v>
      </c>
      <c r="H365" s="48">
        <v>1</v>
      </c>
      <c r="I365" s="48">
        <v>1</v>
      </c>
      <c r="J365" s="48"/>
      <c r="K365" s="48"/>
      <c r="L365" s="48"/>
      <c r="M365" s="48"/>
      <c r="N365" s="48"/>
      <c r="O365" s="48"/>
      <c r="P365" s="48"/>
      <c r="Q365" s="48"/>
      <c r="R365" s="371" t="e">
        <f t="shared" ref="R365:AA365" si="347">$G365*H365</f>
        <v>#REF!</v>
      </c>
      <c r="S365" s="371" t="e">
        <f t="shared" si="347"/>
        <v>#REF!</v>
      </c>
      <c r="T365" s="371" t="e">
        <f t="shared" si="347"/>
        <v>#REF!</v>
      </c>
      <c r="U365" s="371" t="e">
        <f t="shared" si="347"/>
        <v>#REF!</v>
      </c>
      <c r="V365" s="371" t="e">
        <f t="shared" si="347"/>
        <v>#REF!</v>
      </c>
      <c r="W365" s="371" t="e">
        <f t="shared" si="347"/>
        <v>#REF!</v>
      </c>
      <c r="X365" s="371" t="e">
        <f t="shared" si="347"/>
        <v>#REF!</v>
      </c>
      <c r="Y365" s="371" t="e">
        <f t="shared" si="347"/>
        <v>#REF!</v>
      </c>
      <c r="Z365" s="371" t="e">
        <f t="shared" si="347"/>
        <v>#REF!</v>
      </c>
      <c r="AA365" s="371" t="e">
        <f t="shared" si="347"/>
        <v>#REF!</v>
      </c>
      <c r="AB365" s="50"/>
    </row>
    <row r="366" outlineLevel="2" spans="1:28">
      <c r="A366" s="52">
        <f>MAX($A$6:A365)+1</f>
        <v>304</v>
      </c>
      <c r="B366" s="51" t="s">
        <v>510</v>
      </c>
      <c r="C366" s="51" t="e">
        <f>VLOOKUP($B366,#REF!,MATCH(C$2,#REF!,0),0)</f>
        <v>#REF!</v>
      </c>
      <c r="D366" s="136"/>
      <c r="E366" s="136"/>
      <c r="F366" s="136" t="e">
        <f>VLOOKUP($B366,#REF!,MATCH(F$2,#REF!,0),0)</f>
        <v>#REF!</v>
      </c>
      <c r="G366" s="137" t="e">
        <f>VLOOKUP($B366,#REF!,MATCH(G$2,#REF!,0),0)</f>
        <v>#REF!</v>
      </c>
      <c r="H366" s="48">
        <v>1</v>
      </c>
      <c r="I366" s="48">
        <v>1</v>
      </c>
      <c r="J366" s="48"/>
      <c r="K366" s="48"/>
      <c r="L366" s="48"/>
      <c r="M366" s="48"/>
      <c r="N366" s="48"/>
      <c r="O366" s="48"/>
      <c r="P366" s="48"/>
      <c r="Q366" s="48"/>
      <c r="R366" s="371" t="e">
        <f t="shared" ref="R366:AA366" si="348">$G366*H366</f>
        <v>#REF!</v>
      </c>
      <c r="S366" s="371" t="e">
        <f t="shared" si="348"/>
        <v>#REF!</v>
      </c>
      <c r="T366" s="371" t="e">
        <f t="shared" si="348"/>
        <v>#REF!</v>
      </c>
      <c r="U366" s="371" t="e">
        <f t="shared" si="348"/>
        <v>#REF!</v>
      </c>
      <c r="V366" s="371" t="e">
        <f t="shared" si="348"/>
        <v>#REF!</v>
      </c>
      <c r="W366" s="371" t="e">
        <f t="shared" si="348"/>
        <v>#REF!</v>
      </c>
      <c r="X366" s="371" t="e">
        <f t="shared" si="348"/>
        <v>#REF!</v>
      </c>
      <c r="Y366" s="371" t="e">
        <f t="shared" si="348"/>
        <v>#REF!</v>
      </c>
      <c r="Z366" s="371" t="e">
        <f t="shared" si="348"/>
        <v>#REF!</v>
      </c>
      <c r="AA366" s="371" t="e">
        <f t="shared" si="348"/>
        <v>#REF!</v>
      </c>
      <c r="AB366" s="50"/>
    </row>
    <row r="367" outlineLevel="2" spans="1:28">
      <c r="A367" s="52">
        <f>MAX($A$6:A366)+1</f>
        <v>305</v>
      </c>
      <c r="B367" s="51" t="s">
        <v>511</v>
      </c>
      <c r="C367" s="51" t="e">
        <f>VLOOKUP($B367,#REF!,MATCH(C$2,#REF!,0),0)</f>
        <v>#REF!</v>
      </c>
      <c r="D367" s="136"/>
      <c r="E367" s="136"/>
      <c r="F367" s="136" t="e">
        <f>VLOOKUP($B367,#REF!,MATCH(F$2,#REF!,0),0)</f>
        <v>#REF!</v>
      </c>
      <c r="G367" s="137" t="e">
        <f>VLOOKUP($B367,#REF!,MATCH(G$2,#REF!,0),0)</f>
        <v>#REF!</v>
      </c>
      <c r="H367" s="48">
        <v>1</v>
      </c>
      <c r="I367" s="48">
        <v>1</v>
      </c>
      <c r="J367" s="48"/>
      <c r="K367" s="48"/>
      <c r="L367" s="48"/>
      <c r="M367" s="48"/>
      <c r="N367" s="48"/>
      <c r="O367" s="48"/>
      <c r="P367" s="48"/>
      <c r="Q367" s="48"/>
      <c r="R367" s="371" t="e">
        <f t="shared" ref="R367:AA367" si="349">$G367*H367</f>
        <v>#REF!</v>
      </c>
      <c r="S367" s="371" t="e">
        <f t="shared" si="349"/>
        <v>#REF!</v>
      </c>
      <c r="T367" s="371" t="e">
        <f t="shared" si="349"/>
        <v>#REF!</v>
      </c>
      <c r="U367" s="371" t="e">
        <f t="shared" si="349"/>
        <v>#REF!</v>
      </c>
      <c r="V367" s="371" t="e">
        <f t="shared" si="349"/>
        <v>#REF!</v>
      </c>
      <c r="W367" s="371" t="e">
        <f t="shared" si="349"/>
        <v>#REF!</v>
      </c>
      <c r="X367" s="371" t="e">
        <f t="shared" si="349"/>
        <v>#REF!</v>
      </c>
      <c r="Y367" s="371" t="e">
        <f t="shared" si="349"/>
        <v>#REF!</v>
      </c>
      <c r="Z367" s="371" t="e">
        <f t="shared" si="349"/>
        <v>#REF!</v>
      </c>
      <c r="AA367" s="371" t="e">
        <f t="shared" si="349"/>
        <v>#REF!</v>
      </c>
      <c r="AB367" s="50"/>
    </row>
    <row r="368" s="122" customFormat="1" outlineLevel="2" spans="1:28">
      <c r="A368" s="130"/>
      <c r="B368" s="154" t="s">
        <v>512</v>
      </c>
      <c r="C368" s="154"/>
      <c r="D368" s="154"/>
      <c r="E368" s="154"/>
      <c r="F368" s="130"/>
      <c r="G368" s="134"/>
      <c r="H368" s="134"/>
      <c r="I368" s="134"/>
      <c r="J368" s="134"/>
      <c r="K368" s="134"/>
      <c r="L368" s="134"/>
      <c r="M368" s="134"/>
      <c r="N368" s="134"/>
      <c r="O368" s="134"/>
      <c r="P368" s="134"/>
      <c r="Q368" s="134"/>
      <c r="R368" s="367"/>
      <c r="S368" s="367"/>
      <c r="T368" s="367"/>
      <c r="U368" s="367"/>
      <c r="V368" s="371"/>
      <c r="W368" s="367"/>
      <c r="X368" s="367"/>
      <c r="Y368" s="367"/>
      <c r="Z368" s="367"/>
      <c r="AA368" s="367"/>
      <c r="AB368" s="130"/>
    </row>
    <row r="369" outlineLevel="2" spans="1:28">
      <c r="A369" s="52">
        <f>MAX($A$6:A368)+1</f>
        <v>306</v>
      </c>
      <c r="B369" s="51" t="s">
        <v>513</v>
      </c>
      <c r="C369" s="51" t="e">
        <f>VLOOKUP($B369,#REF!,MATCH(C$2,#REF!,0),0)</f>
        <v>#REF!</v>
      </c>
      <c r="D369" s="136"/>
      <c r="E369" s="136"/>
      <c r="F369" s="136" t="e">
        <f>VLOOKUP($B369,#REF!,MATCH(F$2,#REF!,0),0)</f>
        <v>#REF!</v>
      </c>
      <c r="G369" s="137" t="e">
        <f>VLOOKUP($B369,#REF!,MATCH(G$2,#REF!,0),0)</f>
        <v>#REF!</v>
      </c>
      <c r="H369" s="48"/>
      <c r="I369" s="48"/>
      <c r="J369" s="48"/>
      <c r="K369" s="48"/>
      <c r="L369" s="48"/>
      <c r="M369" s="48">
        <v>133.5</v>
      </c>
      <c r="N369" s="48">
        <v>133.5</v>
      </c>
      <c r="O369" s="48">
        <v>133.5</v>
      </c>
      <c r="P369" s="48"/>
      <c r="Q369" s="48"/>
      <c r="R369" s="371" t="e">
        <f t="shared" ref="R369:R371" si="350">$G369*H369</f>
        <v>#REF!</v>
      </c>
      <c r="S369" s="371" t="e">
        <f t="shared" ref="S369:AA369" si="351">$G369*I369</f>
        <v>#REF!</v>
      </c>
      <c r="T369" s="371" t="e">
        <f t="shared" si="351"/>
        <v>#REF!</v>
      </c>
      <c r="U369" s="371" t="e">
        <f t="shared" si="351"/>
        <v>#REF!</v>
      </c>
      <c r="V369" s="371" t="e">
        <f t="shared" si="351"/>
        <v>#REF!</v>
      </c>
      <c r="W369" s="371" t="e">
        <f t="shared" si="351"/>
        <v>#REF!</v>
      </c>
      <c r="X369" s="371" t="e">
        <f t="shared" si="351"/>
        <v>#REF!</v>
      </c>
      <c r="Y369" s="371" t="e">
        <f t="shared" si="351"/>
        <v>#REF!</v>
      </c>
      <c r="Z369" s="371" t="e">
        <f t="shared" si="351"/>
        <v>#REF!</v>
      </c>
      <c r="AA369" s="371" t="e">
        <f t="shared" si="351"/>
        <v>#REF!</v>
      </c>
      <c r="AB369" s="50"/>
    </row>
    <row r="370" outlineLevel="2" spans="1:28">
      <c r="A370" s="52">
        <f>MAX($A$6:A369)+1</f>
        <v>307</v>
      </c>
      <c r="B370" s="51" t="s">
        <v>514</v>
      </c>
      <c r="C370" s="51" t="e">
        <f>VLOOKUP($B370,#REF!,MATCH(C$2,#REF!,0),0)</f>
        <v>#REF!</v>
      </c>
      <c r="D370" s="136"/>
      <c r="E370" s="136"/>
      <c r="F370" s="136" t="e">
        <f>VLOOKUP($B370,#REF!,MATCH(F$2,#REF!,0),0)</f>
        <v>#REF!</v>
      </c>
      <c r="G370" s="137" t="e">
        <f>VLOOKUP($B370,#REF!,MATCH(G$2,#REF!,0),0)</f>
        <v>#REF!</v>
      </c>
      <c r="H370" s="48"/>
      <c r="I370" s="48"/>
      <c r="J370" s="48"/>
      <c r="K370" s="48"/>
      <c r="L370" s="48"/>
      <c r="M370" s="48">
        <v>133.5</v>
      </c>
      <c r="N370" s="48">
        <v>133.5</v>
      </c>
      <c r="O370" s="48">
        <v>133.5</v>
      </c>
      <c r="P370" s="48"/>
      <c r="Q370" s="48"/>
      <c r="R370" s="371" t="e">
        <f t="shared" si="350"/>
        <v>#REF!</v>
      </c>
      <c r="S370" s="371" t="e">
        <f t="shared" ref="S370:AA370" si="352">$G370*I370</f>
        <v>#REF!</v>
      </c>
      <c r="T370" s="371" t="e">
        <f t="shared" si="352"/>
        <v>#REF!</v>
      </c>
      <c r="U370" s="371" t="e">
        <f t="shared" si="352"/>
        <v>#REF!</v>
      </c>
      <c r="V370" s="371" t="e">
        <f t="shared" si="352"/>
        <v>#REF!</v>
      </c>
      <c r="W370" s="371" t="e">
        <f t="shared" si="352"/>
        <v>#REF!</v>
      </c>
      <c r="X370" s="371" t="e">
        <f t="shared" si="352"/>
        <v>#REF!</v>
      </c>
      <c r="Y370" s="371" t="e">
        <f t="shared" si="352"/>
        <v>#REF!</v>
      </c>
      <c r="Z370" s="371" t="e">
        <f t="shared" si="352"/>
        <v>#REF!</v>
      </c>
      <c r="AA370" s="371" t="e">
        <f t="shared" si="352"/>
        <v>#REF!</v>
      </c>
      <c r="AB370" s="50"/>
    </row>
    <row r="371" outlineLevel="2" spans="1:28">
      <c r="A371" s="52">
        <f>MAX($A$6:A370)+1</f>
        <v>308</v>
      </c>
      <c r="B371" s="51" t="s">
        <v>515</v>
      </c>
      <c r="C371" s="51" t="e">
        <f>VLOOKUP($B371,#REF!,MATCH(C$2,#REF!,0),0)</f>
        <v>#REF!</v>
      </c>
      <c r="D371" s="136"/>
      <c r="E371" s="136"/>
      <c r="F371" s="136" t="e">
        <f>VLOOKUP($B371,#REF!,MATCH(F$2,#REF!,0),0)</f>
        <v>#REF!</v>
      </c>
      <c r="G371" s="137" t="e">
        <f>VLOOKUP($B371,#REF!,MATCH(G$2,#REF!,0),0)</f>
        <v>#REF!</v>
      </c>
      <c r="H371" s="48"/>
      <c r="I371" s="48"/>
      <c r="J371" s="48"/>
      <c r="K371" s="48"/>
      <c r="L371" s="48"/>
      <c r="M371" s="48">
        <v>133.5</v>
      </c>
      <c r="N371" s="48">
        <v>133.5</v>
      </c>
      <c r="O371" s="48">
        <v>133.5</v>
      </c>
      <c r="P371" s="48"/>
      <c r="Q371" s="48"/>
      <c r="R371" s="371" t="e">
        <f t="shared" si="350"/>
        <v>#REF!</v>
      </c>
      <c r="S371" s="371" t="e">
        <f t="shared" ref="S371:AA371" si="353">$G371*I371</f>
        <v>#REF!</v>
      </c>
      <c r="T371" s="371" t="e">
        <f t="shared" si="353"/>
        <v>#REF!</v>
      </c>
      <c r="U371" s="371" t="e">
        <f t="shared" si="353"/>
        <v>#REF!</v>
      </c>
      <c r="V371" s="371" t="e">
        <f t="shared" si="353"/>
        <v>#REF!</v>
      </c>
      <c r="W371" s="371" t="e">
        <f t="shared" si="353"/>
        <v>#REF!</v>
      </c>
      <c r="X371" s="371" t="e">
        <f t="shared" si="353"/>
        <v>#REF!</v>
      </c>
      <c r="Y371" s="371" t="e">
        <f t="shared" si="353"/>
        <v>#REF!</v>
      </c>
      <c r="Z371" s="371" t="e">
        <f t="shared" si="353"/>
        <v>#REF!</v>
      </c>
      <c r="AA371" s="371" t="e">
        <f t="shared" si="353"/>
        <v>#REF!</v>
      </c>
      <c r="AB371" s="50"/>
    </row>
    <row r="372" s="122" customFormat="1" outlineLevel="2" spans="1:28">
      <c r="A372" s="130"/>
      <c r="B372" s="154" t="s">
        <v>516</v>
      </c>
      <c r="C372" s="154"/>
      <c r="D372" s="154"/>
      <c r="E372" s="154"/>
      <c r="F372" s="130"/>
      <c r="G372" s="134"/>
      <c r="H372" s="134"/>
      <c r="I372" s="134"/>
      <c r="J372" s="134"/>
      <c r="K372" s="134"/>
      <c r="L372" s="134"/>
      <c r="M372" s="134"/>
      <c r="N372" s="134"/>
      <c r="O372" s="134"/>
      <c r="P372" s="134"/>
      <c r="Q372" s="134"/>
      <c r="R372" s="367"/>
      <c r="S372" s="367"/>
      <c r="T372" s="367"/>
      <c r="U372" s="367"/>
      <c r="V372" s="371"/>
      <c r="W372" s="367"/>
      <c r="X372" s="367"/>
      <c r="Y372" s="367"/>
      <c r="Z372" s="367"/>
      <c r="AA372" s="367"/>
      <c r="AB372" s="130"/>
    </row>
    <row r="373" outlineLevel="2" spans="1:28">
      <c r="A373" s="52">
        <f>MAX($A$6:A372)+1</f>
        <v>309</v>
      </c>
      <c r="B373" s="51" t="s">
        <v>326</v>
      </c>
      <c r="C373" s="51" t="e">
        <f>VLOOKUP($B373,#REF!,MATCH(C$2,#REF!,0),0)</f>
        <v>#REF!</v>
      </c>
      <c r="D373" s="136"/>
      <c r="E373" s="136"/>
      <c r="F373" s="136" t="e">
        <f>VLOOKUP($B373,#REF!,MATCH(F$2,#REF!,0),0)</f>
        <v>#REF!</v>
      </c>
      <c r="G373" s="137" t="e">
        <f>VLOOKUP($B373,#REF!,MATCH(G$2,#REF!,0),0)</f>
        <v>#REF!</v>
      </c>
      <c r="H373" s="48">
        <v>43.32</v>
      </c>
      <c r="I373" s="48">
        <v>43.32</v>
      </c>
      <c r="J373" s="48">
        <v>35.54</v>
      </c>
      <c r="K373" s="48">
        <v>35.54</v>
      </c>
      <c r="L373" s="48">
        <v>17.23</v>
      </c>
      <c r="M373" s="48">
        <v>106.32</v>
      </c>
      <c r="N373" s="48">
        <v>106.32</v>
      </c>
      <c r="O373" s="48">
        <v>106.32</v>
      </c>
      <c r="P373" s="48"/>
      <c r="Q373" s="48"/>
      <c r="R373" s="371" t="e">
        <f>$G373*H373</f>
        <v>#REF!</v>
      </c>
      <c r="S373" s="371" t="e">
        <f t="shared" ref="S373:AA373" si="354">$G373*I373</f>
        <v>#REF!</v>
      </c>
      <c r="T373" s="371" t="e">
        <f t="shared" si="354"/>
        <v>#REF!</v>
      </c>
      <c r="U373" s="371" t="e">
        <f t="shared" si="354"/>
        <v>#REF!</v>
      </c>
      <c r="V373" s="371" t="e">
        <f t="shared" si="354"/>
        <v>#REF!</v>
      </c>
      <c r="W373" s="371" t="e">
        <f t="shared" si="354"/>
        <v>#REF!</v>
      </c>
      <c r="X373" s="371" t="e">
        <f t="shared" si="354"/>
        <v>#REF!</v>
      </c>
      <c r="Y373" s="371" t="e">
        <f t="shared" si="354"/>
        <v>#REF!</v>
      </c>
      <c r="Z373" s="371" t="e">
        <f t="shared" si="354"/>
        <v>#REF!</v>
      </c>
      <c r="AA373" s="371" t="e">
        <f t="shared" si="354"/>
        <v>#REF!</v>
      </c>
      <c r="AB373" s="50"/>
    </row>
    <row r="374" outlineLevel="2" spans="1:28">
      <c r="A374" s="52">
        <f>MAX($A$6:A373)+1</f>
        <v>310</v>
      </c>
      <c r="B374" s="51" t="s">
        <v>517</v>
      </c>
      <c r="C374" s="51" t="e">
        <f>VLOOKUP($B374,#REF!,MATCH(C$2,#REF!,0),0)</f>
        <v>#REF!</v>
      </c>
      <c r="D374" s="136"/>
      <c r="E374" s="136"/>
      <c r="F374" s="136" t="e">
        <f>VLOOKUP($B374,#REF!,MATCH(F$2,#REF!,0),0)</f>
        <v>#REF!</v>
      </c>
      <c r="G374" s="137" t="e">
        <f>VLOOKUP($B374,#REF!,MATCH(G$2,#REF!,0),0)</f>
        <v>#REF!</v>
      </c>
      <c r="H374" s="48">
        <v>43.32</v>
      </c>
      <c r="I374" s="48">
        <v>43.32</v>
      </c>
      <c r="J374" s="48">
        <v>35.54</v>
      </c>
      <c r="K374" s="48">
        <v>35.54</v>
      </c>
      <c r="L374" s="48">
        <v>17.23</v>
      </c>
      <c r="M374" s="48">
        <v>106.32</v>
      </c>
      <c r="N374" s="48">
        <v>106.32</v>
      </c>
      <c r="O374" s="48">
        <v>106.32</v>
      </c>
      <c r="P374" s="48"/>
      <c r="Q374" s="48"/>
      <c r="R374" s="371" t="e">
        <f t="shared" ref="R374:AA374" si="355">$G374*H374</f>
        <v>#REF!</v>
      </c>
      <c r="S374" s="371" t="e">
        <f t="shared" si="355"/>
        <v>#REF!</v>
      </c>
      <c r="T374" s="371" t="e">
        <f t="shared" si="355"/>
        <v>#REF!</v>
      </c>
      <c r="U374" s="371" t="e">
        <f t="shared" si="355"/>
        <v>#REF!</v>
      </c>
      <c r="V374" s="371" t="e">
        <f t="shared" si="355"/>
        <v>#REF!</v>
      </c>
      <c r="W374" s="371" t="e">
        <f t="shared" si="355"/>
        <v>#REF!</v>
      </c>
      <c r="X374" s="371" t="e">
        <f t="shared" si="355"/>
        <v>#REF!</v>
      </c>
      <c r="Y374" s="371" t="e">
        <f t="shared" si="355"/>
        <v>#REF!</v>
      </c>
      <c r="Z374" s="371" t="e">
        <f t="shared" si="355"/>
        <v>#REF!</v>
      </c>
      <c r="AA374" s="371" t="e">
        <f t="shared" si="355"/>
        <v>#REF!</v>
      </c>
      <c r="AB374" s="50"/>
    </row>
    <row r="375" outlineLevel="2" spans="1:28">
      <c r="A375" s="52">
        <f>MAX($A$6:A374)+1</f>
        <v>311</v>
      </c>
      <c r="B375" s="51" t="s">
        <v>328</v>
      </c>
      <c r="C375" s="51" t="e">
        <f>VLOOKUP($B375,#REF!,MATCH(C$2,#REF!,0),0)</f>
        <v>#REF!</v>
      </c>
      <c r="D375" s="136"/>
      <c r="E375" s="136"/>
      <c r="F375" s="136" t="e">
        <f>VLOOKUP($B375,#REF!,MATCH(F$2,#REF!,0),0)</f>
        <v>#REF!</v>
      </c>
      <c r="G375" s="137" t="e">
        <f>VLOOKUP($B375,#REF!,MATCH(G$2,#REF!,0),0)</f>
        <v>#REF!</v>
      </c>
      <c r="H375" s="48">
        <v>43.32</v>
      </c>
      <c r="I375" s="48">
        <v>43.32</v>
      </c>
      <c r="J375" s="48">
        <v>35.54</v>
      </c>
      <c r="K375" s="48">
        <v>35.54</v>
      </c>
      <c r="L375" s="48">
        <v>17.23</v>
      </c>
      <c r="M375" s="48">
        <v>106.32</v>
      </c>
      <c r="N375" s="48">
        <v>106.32</v>
      </c>
      <c r="O375" s="48">
        <v>106.32</v>
      </c>
      <c r="P375" s="48"/>
      <c r="Q375" s="48"/>
      <c r="R375" s="371" t="e">
        <f t="shared" ref="R375:AA375" si="356">$G375*H375</f>
        <v>#REF!</v>
      </c>
      <c r="S375" s="371" t="e">
        <f t="shared" si="356"/>
        <v>#REF!</v>
      </c>
      <c r="T375" s="371" t="e">
        <f t="shared" si="356"/>
        <v>#REF!</v>
      </c>
      <c r="U375" s="371" t="e">
        <f t="shared" si="356"/>
        <v>#REF!</v>
      </c>
      <c r="V375" s="371" t="e">
        <f t="shared" si="356"/>
        <v>#REF!</v>
      </c>
      <c r="W375" s="371" t="e">
        <f t="shared" si="356"/>
        <v>#REF!</v>
      </c>
      <c r="X375" s="371" t="e">
        <f t="shared" si="356"/>
        <v>#REF!</v>
      </c>
      <c r="Y375" s="371" t="e">
        <f t="shared" si="356"/>
        <v>#REF!</v>
      </c>
      <c r="Z375" s="371" t="e">
        <f t="shared" si="356"/>
        <v>#REF!</v>
      </c>
      <c r="AA375" s="371" t="e">
        <f t="shared" si="356"/>
        <v>#REF!</v>
      </c>
      <c r="AB375" s="50"/>
    </row>
    <row r="376" outlineLevel="2" spans="1:28">
      <c r="A376" s="52">
        <f>MAX($A$6:A375)+1</f>
        <v>312</v>
      </c>
      <c r="B376" s="51" t="s">
        <v>408</v>
      </c>
      <c r="C376" s="51" t="e">
        <f>VLOOKUP($B376,#REF!,MATCH(C$2,#REF!,0),0)</f>
        <v>#REF!</v>
      </c>
      <c r="D376" s="136"/>
      <c r="E376" s="136"/>
      <c r="F376" s="136" t="e">
        <f>VLOOKUP($B376,#REF!,MATCH(F$2,#REF!,0),0)</f>
        <v>#REF!</v>
      </c>
      <c r="G376" s="137" t="e">
        <f>VLOOKUP($B376,#REF!,MATCH(G$2,#REF!,0),0)</f>
        <v>#REF!</v>
      </c>
      <c r="H376" s="48">
        <v>0.14</v>
      </c>
      <c r="I376" s="48">
        <v>0.14</v>
      </c>
      <c r="J376" s="48">
        <v>0.12</v>
      </c>
      <c r="K376" s="48">
        <v>0.12</v>
      </c>
      <c r="L376" s="48"/>
      <c r="M376" s="48">
        <v>1</v>
      </c>
      <c r="N376" s="48">
        <v>1</v>
      </c>
      <c r="O376" s="48">
        <v>1</v>
      </c>
      <c r="P376" s="48"/>
      <c r="Q376" s="48"/>
      <c r="R376" s="371" t="e">
        <f t="shared" ref="R376:AA376" si="357">$G376*H376</f>
        <v>#REF!</v>
      </c>
      <c r="S376" s="371" t="e">
        <f t="shared" si="357"/>
        <v>#REF!</v>
      </c>
      <c r="T376" s="371" t="e">
        <f t="shared" si="357"/>
        <v>#REF!</v>
      </c>
      <c r="U376" s="371" t="e">
        <f t="shared" si="357"/>
        <v>#REF!</v>
      </c>
      <c r="V376" s="371" t="e">
        <f t="shared" si="357"/>
        <v>#REF!</v>
      </c>
      <c r="W376" s="371" t="e">
        <f t="shared" si="357"/>
        <v>#REF!</v>
      </c>
      <c r="X376" s="371" t="e">
        <f t="shared" si="357"/>
        <v>#REF!</v>
      </c>
      <c r="Y376" s="371" t="e">
        <f t="shared" si="357"/>
        <v>#REF!</v>
      </c>
      <c r="Z376" s="371" t="e">
        <f t="shared" si="357"/>
        <v>#REF!</v>
      </c>
      <c r="AA376" s="371" t="e">
        <f t="shared" si="357"/>
        <v>#REF!</v>
      </c>
      <c r="AB376" s="50"/>
    </row>
    <row r="377" outlineLevel="2" spans="1:28">
      <c r="A377" s="52">
        <f>MAX($A$6:A376)+1</f>
        <v>313</v>
      </c>
      <c r="B377" s="51" t="s">
        <v>518</v>
      </c>
      <c r="C377" s="51" t="e">
        <f>VLOOKUP($B377,#REF!,MATCH(C$2,#REF!,0),0)</f>
        <v>#REF!</v>
      </c>
      <c r="D377" s="136"/>
      <c r="E377" s="136"/>
      <c r="F377" s="136" t="e">
        <f>VLOOKUP($B377,#REF!,MATCH(F$2,#REF!,0),0)</f>
        <v>#REF!</v>
      </c>
      <c r="G377" s="137" t="e">
        <f>VLOOKUP($B377,#REF!,MATCH(G$2,#REF!,0),0)</f>
        <v>#REF!</v>
      </c>
      <c r="H377" s="48">
        <v>645.6</v>
      </c>
      <c r="I377" s="48">
        <v>645.6</v>
      </c>
      <c r="J377" s="48">
        <v>254.56</v>
      </c>
      <c r="K377" s="48">
        <v>254.56</v>
      </c>
      <c r="L377" s="48">
        <v>190.2</v>
      </c>
      <c r="M377" s="48">
        <v>4.9</v>
      </c>
      <c r="N377" s="48">
        <v>4.9</v>
      </c>
      <c r="O377" s="48">
        <v>4.9</v>
      </c>
      <c r="P377" s="48"/>
      <c r="Q377" s="48"/>
      <c r="R377" s="371" t="e">
        <f t="shared" ref="R377:AA377" si="358">$G377*H377</f>
        <v>#REF!</v>
      </c>
      <c r="S377" s="371" t="e">
        <f t="shared" si="358"/>
        <v>#REF!</v>
      </c>
      <c r="T377" s="371" t="e">
        <f t="shared" si="358"/>
        <v>#REF!</v>
      </c>
      <c r="U377" s="371" t="e">
        <f t="shared" si="358"/>
        <v>#REF!</v>
      </c>
      <c r="V377" s="371" t="e">
        <f t="shared" si="358"/>
        <v>#REF!</v>
      </c>
      <c r="W377" s="371" t="e">
        <f t="shared" si="358"/>
        <v>#REF!</v>
      </c>
      <c r="X377" s="371" t="e">
        <f t="shared" si="358"/>
        <v>#REF!</v>
      </c>
      <c r="Y377" s="371" t="e">
        <f t="shared" si="358"/>
        <v>#REF!</v>
      </c>
      <c r="Z377" s="371" t="e">
        <f t="shared" si="358"/>
        <v>#REF!</v>
      </c>
      <c r="AA377" s="371" t="e">
        <f t="shared" si="358"/>
        <v>#REF!</v>
      </c>
      <c r="AB377" s="50"/>
    </row>
    <row r="378" outlineLevel="2" spans="1:28">
      <c r="A378" s="52">
        <f>MAX($A$6:A377)+1</f>
        <v>314</v>
      </c>
      <c r="B378" s="51" t="s">
        <v>519</v>
      </c>
      <c r="C378" s="51" t="e">
        <f>VLOOKUP($B378,#REF!,MATCH(C$2,#REF!,0),0)</f>
        <v>#REF!</v>
      </c>
      <c r="D378" s="136"/>
      <c r="E378" s="136"/>
      <c r="F378" s="136" t="e">
        <f>VLOOKUP($B378,#REF!,MATCH(F$2,#REF!,0),0)</f>
        <v>#REF!</v>
      </c>
      <c r="G378" s="137" t="e">
        <f>VLOOKUP($B378,#REF!,MATCH(G$2,#REF!,0),0)</f>
        <v>#REF!</v>
      </c>
      <c r="H378" s="48">
        <v>322.8</v>
      </c>
      <c r="I378" s="48">
        <v>322.8</v>
      </c>
      <c r="J378" s="48">
        <v>127.28</v>
      </c>
      <c r="K378" s="48">
        <v>127.28</v>
      </c>
      <c r="L378" s="48">
        <v>63.4</v>
      </c>
      <c r="M378" s="48"/>
      <c r="N378" s="48"/>
      <c r="O378" s="48"/>
      <c r="P378" s="48"/>
      <c r="Q378" s="48"/>
      <c r="R378" s="371" t="e">
        <f t="shared" ref="R378:AA378" si="359">$G378*H378</f>
        <v>#REF!</v>
      </c>
      <c r="S378" s="371" t="e">
        <f t="shared" si="359"/>
        <v>#REF!</v>
      </c>
      <c r="T378" s="371" t="e">
        <f t="shared" si="359"/>
        <v>#REF!</v>
      </c>
      <c r="U378" s="371" t="e">
        <f t="shared" si="359"/>
        <v>#REF!</v>
      </c>
      <c r="V378" s="371" t="e">
        <f t="shared" si="359"/>
        <v>#REF!</v>
      </c>
      <c r="W378" s="371" t="e">
        <f t="shared" si="359"/>
        <v>#REF!</v>
      </c>
      <c r="X378" s="371" t="e">
        <f t="shared" si="359"/>
        <v>#REF!</v>
      </c>
      <c r="Y378" s="371" t="e">
        <f t="shared" si="359"/>
        <v>#REF!</v>
      </c>
      <c r="Z378" s="371" t="e">
        <f t="shared" si="359"/>
        <v>#REF!</v>
      </c>
      <c r="AA378" s="371" t="e">
        <f t="shared" si="359"/>
        <v>#REF!</v>
      </c>
      <c r="AB378" s="50"/>
    </row>
    <row r="379" s="29" customFormat="1" outlineLevel="1" spans="1:28">
      <c r="A379" s="40"/>
      <c r="B379" s="41" t="str">
        <f>目录!H9</f>
        <v>A.03.03钢筋工程</v>
      </c>
      <c r="C379" s="41"/>
      <c r="D379" s="141"/>
      <c r="E379" s="141"/>
      <c r="F379" s="40"/>
      <c r="G379" s="43"/>
      <c r="H379" s="43"/>
      <c r="I379" s="43"/>
      <c r="J379" s="43"/>
      <c r="K379" s="43"/>
      <c r="L379" s="43"/>
      <c r="M379" s="43"/>
      <c r="N379" s="43"/>
      <c r="O379" s="43"/>
      <c r="P379" s="43"/>
      <c r="Q379" s="43"/>
      <c r="R379" s="369" t="e">
        <f t="shared" ref="R379:AA379" si="360">SUM(R380:R386)</f>
        <v>#REF!</v>
      </c>
      <c r="S379" s="369" t="e">
        <f t="shared" si="360"/>
        <v>#REF!</v>
      </c>
      <c r="T379" s="369" t="e">
        <f t="shared" si="360"/>
        <v>#REF!</v>
      </c>
      <c r="U379" s="369" t="e">
        <f t="shared" si="360"/>
        <v>#REF!</v>
      </c>
      <c r="V379" s="369" t="e">
        <f t="shared" si="360"/>
        <v>#REF!</v>
      </c>
      <c r="W379" s="369" t="e">
        <f t="shared" si="360"/>
        <v>#REF!</v>
      </c>
      <c r="X379" s="369" t="e">
        <f t="shared" si="360"/>
        <v>#REF!</v>
      </c>
      <c r="Y379" s="369" t="e">
        <f t="shared" si="360"/>
        <v>#REF!</v>
      </c>
      <c r="Z379" s="369" t="e">
        <f t="shared" si="360"/>
        <v>#REF!</v>
      </c>
      <c r="AA379" s="369" t="e">
        <f t="shared" si="360"/>
        <v>#REF!</v>
      </c>
      <c r="AB379" s="40"/>
    </row>
    <row r="380" ht="28.8" outlineLevel="2" spans="1:28">
      <c r="A380" s="52">
        <f>MAX($A$6:A379)+1</f>
        <v>315</v>
      </c>
      <c r="B380" s="51" t="s">
        <v>480</v>
      </c>
      <c r="C380" s="51" t="e">
        <f>VLOOKUP($B380,#REF!,MATCH(C$2,#REF!,0),0)</f>
        <v>#REF!</v>
      </c>
      <c r="D380" s="136"/>
      <c r="E380" s="136"/>
      <c r="F380" s="136" t="e">
        <f>VLOOKUP($B380,#REF!,MATCH(F$2,#REF!,0),0)</f>
        <v>#REF!</v>
      </c>
      <c r="G380" s="137" t="e">
        <f>VLOOKUP($B380,#REF!,MATCH(G$2,#REF!,0),0)</f>
        <v>#REF!</v>
      </c>
      <c r="H380" s="48">
        <v>3.049</v>
      </c>
      <c r="I380" s="48">
        <v>6.129</v>
      </c>
      <c r="J380" s="48">
        <v>0.154782879632666</v>
      </c>
      <c r="K380" s="48">
        <v>0.154782879632666</v>
      </c>
      <c r="L380" s="48">
        <v>0.1083</v>
      </c>
      <c r="M380" s="48">
        <v>0.001</v>
      </c>
      <c r="N380" s="48">
        <v>0.001</v>
      </c>
      <c r="O380" s="48">
        <v>0.001</v>
      </c>
      <c r="P380" s="48"/>
      <c r="Q380" s="48"/>
      <c r="R380" s="371" t="e">
        <f>$G380*H380</f>
        <v>#REF!</v>
      </c>
      <c r="S380" s="371" t="e">
        <f t="shared" ref="S380:AA380" si="361">$G380*I380</f>
        <v>#REF!</v>
      </c>
      <c r="T380" s="371" t="e">
        <f t="shared" si="361"/>
        <v>#REF!</v>
      </c>
      <c r="U380" s="371" t="e">
        <f t="shared" si="361"/>
        <v>#REF!</v>
      </c>
      <c r="V380" s="371" t="e">
        <f t="shared" si="361"/>
        <v>#REF!</v>
      </c>
      <c r="W380" s="371" t="e">
        <f t="shared" si="361"/>
        <v>#REF!</v>
      </c>
      <c r="X380" s="371" t="e">
        <f t="shared" si="361"/>
        <v>#REF!</v>
      </c>
      <c r="Y380" s="371" t="e">
        <f t="shared" si="361"/>
        <v>#REF!</v>
      </c>
      <c r="Z380" s="371" t="e">
        <f t="shared" si="361"/>
        <v>#REF!</v>
      </c>
      <c r="AA380" s="371" t="e">
        <f t="shared" si="361"/>
        <v>#REF!</v>
      </c>
      <c r="AB380" s="50"/>
    </row>
    <row r="381" ht="28.8" outlineLevel="2" spans="1:28">
      <c r="A381" s="52">
        <f>MAX($A$6:A380)+1</f>
        <v>316</v>
      </c>
      <c r="B381" s="51" t="s">
        <v>481</v>
      </c>
      <c r="C381" s="51" t="e">
        <f>VLOOKUP($B381,#REF!,MATCH(C$2,#REF!,0),0)</f>
        <v>#REF!</v>
      </c>
      <c r="D381" s="136"/>
      <c r="E381" s="136"/>
      <c r="F381" s="136" t="e">
        <f>VLOOKUP($B381,#REF!,MATCH(F$2,#REF!,0),0)</f>
        <v>#REF!</v>
      </c>
      <c r="G381" s="137" t="e">
        <f>VLOOKUP($B381,#REF!,MATCH(G$2,#REF!,0),0)</f>
        <v>#REF!</v>
      </c>
      <c r="H381" s="48">
        <v>4.15</v>
      </c>
      <c r="I381" s="48">
        <v>5.562</v>
      </c>
      <c r="J381" s="48">
        <v>0.520013493975904</v>
      </c>
      <c r="K381" s="48">
        <v>0.520013493975904</v>
      </c>
      <c r="L381" s="48">
        <v>0.837</v>
      </c>
      <c r="M381" s="48">
        <v>0.202</v>
      </c>
      <c r="N381" s="48">
        <v>0.202</v>
      </c>
      <c r="O381" s="48">
        <v>0.202</v>
      </c>
      <c r="P381" s="48"/>
      <c r="Q381" s="48"/>
      <c r="R381" s="371" t="e">
        <f t="shared" ref="R381:R386" si="362">$G381*H381</f>
        <v>#REF!</v>
      </c>
      <c r="S381" s="371" t="e">
        <f t="shared" ref="S381:S386" si="363">$G381*I381</f>
        <v>#REF!</v>
      </c>
      <c r="T381" s="371" t="e">
        <f t="shared" ref="T381:T386" si="364">$G381*J381</f>
        <v>#REF!</v>
      </c>
      <c r="U381" s="371" t="e">
        <f t="shared" ref="U381:U386" si="365">$G381*K381</f>
        <v>#REF!</v>
      </c>
      <c r="V381" s="371" t="e">
        <f t="shared" ref="V381:V386" si="366">$G381*L381</f>
        <v>#REF!</v>
      </c>
      <c r="W381" s="371" t="e">
        <f t="shared" ref="W381:W386" si="367">$G381*M381</f>
        <v>#REF!</v>
      </c>
      <c r="X381" s="371" t="e">
        <f t="shared" ref="X381:X386" si="368">$G381*N381</f>
        <v>#REF!</v>
      </c>
      <c r="Y381" s="371" t="e">
        <f t="shared" ref="Y381:Y386" si="369">$G381*O381</f>
        <v>#REF!</v>
      </c>
      <c r="Z381" s="371" t="e">
        <f t="shared" ref="Z381:Z386" si="370">$G381*P381</f>
        <v>#REF!</v>
      </c>
      <c r="AA381" s="371" t="e">
        <f t="shared" ref="AA381:AA386" si="371">$G381*Q381</f>
        <v>#REF!</v>
      </c>
      <c r="AB381" s="50"/>
    </row>
    <row r="382" ht="28.8" outlineLevel="2" spans="1:28">
      <c r="A382" s="52">
        <f>MAX($A$6:A381)+1</f>
        <v>317</v>
      </c>
      <c r="B382" s="51" t="s">
        <v>482</v>
      </c>
      <c r="C382" s="51" t="e">
        <f>VLOOKUP($B382,#REF!,MATCH(C$2,#REF!,0),0)</f>
        <v>#REF!</v>
      </c>
      <c r="D382" s="136"/>
      <c r="E382" s="136"/>
      <c r="F382" s="136" t="e">
        <f>VLOOKUP($B382,#REF!,MATCH(F$2,#REF!,0),0)</f>
        <v>#REF!</v>
      </c>
      <c r="G382" s="137" t="e">
        <f>VLOOKUP($B382,#REF!,MATCH(G$2,#REF!,0),0)</f>
        <v>#REF!</v>
      </c>
      <c r="H382" s="48">
        <v>0.489</v>
      </c>
      <c r="I382" s="48">
        <v>0.44</v>
      </c>
      <c r="J382" s="48">
        <v>1.239918200409</v>
      </c>
      <c r="K382" s="48">
        <v>1.239918200409</v>
      </c>
      <c r="L382" s="48">
        <v>0.315</v>
      </c>
      <c r="M382" s="48">
        <v>0.202</v>
      </c>
      <c r="N382" s="48">
        <v>0.202</v>
      </c>
      <c r="O382" s="48">
        <v>0.202</v>
      </c>
      <c r="P382" s="48"/>
      <c r="Q382" s="48"/>
      <c r="R382" s="371" t="e">
        <f t="shared" si="362"/>
        <v>#REF!</v>
      </c>
      <c r="S382" s="371" t="e">
        <f t="shared" si="363"/>
        <v>#REF!</v>
      </c>
      <c r="T382" s="371" t="e">
        <f t="shared" si="364"/>
        <v>#REF!</v>
      </c>
      <c r="U382" s="371" t="e">
        <f t="shared" si="365"/>
        <v>#REF!</v>
      </c>
      <c r="V382" s="371" t="e">
        <f t="shared" si="366"/>
        <v>#REF!</v>
      </c>
      <c r="W382" s="371" t="e">
        <f t="shared" si="367"/>
        <v>#REF!</v>
      </c>
      <c r="X382" s="371" t="e">
        <f t="shared" si="368"/>
        <v>#REF!</v>
      </c>
      <c r="Y382" s="371" t="e">
        <f t="shared" si="369"/>
        <v>#REF!</v>
      </c>
      <c r="Z382" s="371" t="e">
        <f t="shared" si="370"/>
        <v>#REF!</v>
      </c>
      <c r="AA382" s="371" t="e">
        <f t="shared" si="371"/>
        <v>#REF!</v>
      </c>
      <c r="AB382" s="50"/>
    </row>
    <row r="383" ht="28.8" outlineLevel="2" spans="1:28">
      <c r="A383" s="52">
        <f>MAX($A$6:A382)+1</f>
        <v>318</v>
      </c>
      <c r="B383" s="51" t="s">
        <v>483</v>
      </c>
      <c r="C383" s="51" t="e">
        <f>VLOOKUP($B383,#REF!,MATCH(C$2,#REF!,0),0)</f>
        <v>#REF!</v>
      </c>
      <c r="D383" s="136"/>
      <c r="E383" s="136"/>
      <c r="F383" s="136" t="e">
        <f>VLOOKUP($B383,#REF!,MATCH(F$2,#REF!,0),0)</f>
        <v>#REF!</v>
      </c>
      <c r="G383" s="137" t="e">
        <f>VLOOKUP($B383,#REF!,MATCH(G$2,#REF!,0),0)</f>
        <v>#REF!</v>
      </c>
      <c r="H383" s="48">
        <v>2.626</v>
      </c>
      <c r="I383" s="48">
        <v>2.631</v>
      </c>
      <c r="J383" s="48">
        <v>0.406773038842346</v>
      </c>
      <c r="K383" s="48">
        <v>0.406773038842346</v>
      </c>
      <c r="L383" s="48">
        <v>0.631</v>
      </c>
      <c r="M383" s="48">
        <v>0.082</v>
      </c>
      <c r="N383" s="48">
        <v>0.082</v>
      </c>
      <c r="O383" s="48">
        <v>0.082</v>
      </c>
      <c r="P383" s="48"/>
      <c r="Q383" s="48"/>
      <c r="R383" s="371" t="e">
        <f t="shared" si="362"/>
        <v>#REF!</v>
      </c>
      <c r="S383" s="371" t="e">
        <f t="shared" si="363"/>
        <v>#REF!</v>
      </c>
      <c r="T383" s="371" t="e">
        <f t="shared" si="364"/>
        <v>#REF!</v>
      </c>
      <c r="U383" s="371" t="e">
        <f t="shared" si="365"/>
        <v>#REF!</v>
      </c>
      <c r="V383" s="371" t="e">
        <f t="shared" si="366"/>
        <v>#REF!</v>
      </c>
      <c r="W383" s="371" t="e">
        <f t="shared" si="367"/>
        <v>#REF!</v>
      </c>
      <c r="X383" s="371" t="e">
        <f t="shared" si="368"/>
        <v>#REF!</v>
      </c>
      <c r="Y383" s="371" t="e">
        <f t="shared" si="369"/>
        <v>#REF!</v>
      </c>
      <c r="Z383" s="371" t="e">
        <f t="shared" si="370"/>
        <v>#REF!</v>
      </c>
      <c r="AA383" s="371" t="e">
        <f t="shared" si="371"/>
        <v>#REF!</v>
      </c>
      <c r="AB383" s="50"/>
    </row>
    <row r="384" ht="28.8" outlineLevel="2" spans="1:28">
      <c r="A384" s="52">
        <f>MAX($A$6:A383)+1</f>
        <v>319</v>
      </c>
      <c r="B384" s="51" t="s">
        <v>484</v>
      </c>
      <c r="C384" s="51" t="e">
        <f>VLOOKUP($B384,#REF!,MATCH(C$2,#REF!,0),0)</f>
        <v>#REF!</v>
      </c>
      <c r="D384" s="136"/>
      <c r="E384" s="136"/>
      <c r="F384" s="136" t="e">
        <f>VLOOKUP($B384,#REF!,MATCH(F$2,#REF!,0),0)</f>
        <v>#REF!</v>
      </c>
      <c r="G384" s="137" t="e">
        <f>VLOOKUP($B384,#REF!,MATCH(G$2,#REF!,0),0)</f>
        <v>#REF!</v>
      </c>
      <c r="H384" s="48">
        <v>9.374</v>
      </c>
      <c r="I384" s="48">
        <v>20.698</v>
      </c>
      <c r="J384" s="48">
        <v>0</v>
      </c>
      <c r="K384" s="48">
        <v>0</v>
      </c>
      <c r="L384" s="48">
        <v>0.844</v>
      </c>
      <c r="M384" s="48">
        <v>0.976</v>
      </c>
      <c r="N384" s="48">
        <v>0.976</v>
      </c>
      <c r="O384" s="48">
        <v>0.976</v>
      </c>
      <c r="P384" s="48"/>
      <c r="Q384" s="48"/>
      <c r="R384" s="371" t="e">
        <f t="shared" si="362"/>
        <v>#REF!</v>
      </c>
      <c r="S384" s="371" t="e">
        <f t="shared" si="363"/>
        <v>#REF!</v>
      </c>
      <c r="T384" s="371" t="e">
        <f t="shared" si="364"/>
        <v>#REF!</v>
      </c>
      <c r="U384" s="371" t="e">
        <f t="shared" si="365"/>
        <v>#REF!</v>
      </c>
      <c r="V384" s="371" t="e">
        <f t="shared" si="366"/>
        <v>#REF!</v>
      </c>
      <c r="W384" s="371" t="e">
        <f t="shared" si="367"/>
        <v>#REF!</v>
      </c>
      <c r="X384" s="371" t="e">
        <f t="shared" si="368"/>
        <v>#REF!</v>
      </c>
      <c r="Y384" s="371" t="e">
        <f t="shared" si="369"/>
        <v>#REF!</v>
      </c>
      <c r="Z384" s="371" t="e">
        <f t="shared" si="370"/>
        <v>#REF!</v>
      </c>
      <c r="AA384" s="371" t="e">
        <f t="shared" si="371"/>
        <v>#REF!</v>
      </c>
      <c r="AB384" s="50"/>
    </row>
    <row r="385" ht="28.8" outlineLevel="2" spans="1:28">
      <c r="A385" s="52">
        <f>MAX($A$6:A384)+1</f>
        <v>320</v>
      </c>
      <c r="B385" s="51" t="s">
        <v>520</v>
      </c>
      <c r="C385" s="51" t="e">
        <f>VLOOKUP($B385,#REF!,MATCH(C$2,#REF!,0),0)</f>
        <v>#REF!</v>
      </c>
      <c r="D385" s="136"/>
      <c r="E385" s="136"/>
      <c r="F385" s="136" t="e">
        <f>VLOOKUP($B385,#REF!,MATCH(F$2,#REF!,0),0)</f>
        <v>#REF!</v>
      </c>
      <c r="G385" s="137" t="e">
        <f>VLOOKUP($B385,#REF!,MATCH(G$2,#REF!,0),0)</f>
        <v>#REF!</v>
      </c>
      <c r="H385" s="48">
        <v>0.924</v>
      </c>
      <c r="I385" s="48">
        <v>9.404</v>
      </c>
      <c r="J385" s="48">
        <v>6.26933333333333</v>
      </c>
      <c r="K385" s="48">
        <v>6.26933333333333</v>
      </c>
      <c r="L385" s="48">
        <v>0.032</v>
      </c>
      <c r="M385" s="48">
        <v>1.166</v>
      </c>
      <c r="N385" s="48">
        <v>1.166</v>
      </c>
      <c r="O385" s="48">
        <v>1.166</v>
      </c>
      <c r="P385" s="48"/>
      <c r="Q385" s="48"/>
      <c r="R385" s="371" t="e">
        <f t="shared" si="362"/>
        <v>#REF!</v>
      </c>
      <c r="S385" s="371" t="e">
        <f t="shared" si="363"/>
        <v>#REF!</v>
      </c>
      <c r="T385" s="371" t="e">
        <f t="shared" si="364"/>
        <v>#REF!</v>
      </c>
      <c r="U385" s="371" t="e">
        <f t="shared" si="365"/>
        <v>#REF!</v>
      </c>
      <c r="V385" s="371" t="e">
        <f t="shared" si="366"/>
        <v>#REF!</v>
      </c>
      <c r="W385" s="371" t="e">
        <f t="shared" si="367"/>
        <v>#REF!</v>
      </c>
      <c r="X385" s="371" t="e">
        <f t="shared" si="368"/>
        <v>#REF!</v>
      </c>
      <c r="Y385" s="371" t="e">
        <f t="shared" si="369"/>
        <v>#REF!</v>
      </c>
      <c r="Z385" s="371" t="e">
        <f t="shared" si="370"/>
        <v>#REF!</v>
      </c>
      <c r="AA385" s="371" t="e">
        <f t="shared" si="371"/>
        <v>#REF!</v>
      </c>
      <c r="AB385" s="50"/>
    </row>
    <row r="386" ht="28.8" outlineLevel="2" spans="1:28">
      <c r="A386" s="52">
        <f>MAX($A$6:A385)+1</f>
        <v>321</v>
      </c>
      <c r="B386" s="51" t="s">
        <v>488</v>
      </c>
      <c r="C386" s="51" t="e">
        <f>VLOOKUP($B386,#REF!,MATCH(C$2,#REF!,0),0)</f>
        <v>#REF!</v>
      </c>
      <c r="D386" s="136"/>
      <c r="E386" s="136"/>
      <c r="F386" s="136" t="e">
        <f>VLOOKUP($B386,#REF!,MATCH(F$2,#REF!,0),0)</f>
        <v>#REF!</v>
      </c>
      <c r="G386" s="137" t="e">
        <f>VLOOKUP($B386,#REF!,MATCH(G$2,#REF!,0),0)</f>
        <v>#REF!</v>
      </c>
      <c r="H386" s="48"/>
      <c r="I386" s="48"/>
      <c r="J386" s="48"/>
      <c r="K386" s="48"/>
      <c r="L386" s="48"/>
      <c r="M386" s="48">
        <v>0.053</v>
      </c>
      <c r="N386" s="48">
        <v>0.053</v>
      </c>
      <c r="O386" s="48">
        <v>0.053</v>
      </c>
      <c r="P386" s="48"/>
      <c r="Q386" s="48"/>
      <c r="R386" s="371" t="e">
        <f t="shared" si="362"/>
        <v>#REF!</v>
      </c>
      <c r="S386" s="371" t="e">
        <f t="shared" si="363"/>
        <v>#REF!</v>
      </c>
      <c r="T386" s="371" t="e">
        <f t="shared" si="364"/>
        <v>#REF!</v>
      </c>
      <c r="U386" s="371" t="e">
        <f t="shared" si="365"/>
        <v>#REF!</v>
      </c>
      <c r="V386" s="371" t="e">
        <f t="shared" si="366"/>
        <v>#REF!</v>
      </c>
      <c r="W386" s="371" t="e">
        <f t="shared" si="367"/>
        <v>#REF!</v>
      </c>
      <c r="X386" s="371" t="e">
        <f t="shared" si="368"/>
        <v>#REF!</v>
      </c>
      <c r="Y386" s="371" t="e">
        <f t="shared" si="369"/>
        <v>#REF!</v>
      </c>
      <c r="Z386" s="371" t="e">
        <f t="shared" si="370"/>
        <v>#REF!</v>
      </c>
      <c r="AA386" s="371" t="e">
        <f t="shared" si="371"/>
        <v>#REF!</v>
      </c>
      <c r="AB386" s="50"/>
    </row>
    <row r="387" s="29" customFormat="1" outlineLevel="1" spans="1:28">
      <c r="A387" s="40"/>
      <c r="B387" s="41" t="str">
        <f>目录!H10</f>
        <v>A.03.04金属工程</v>
      </c>
      <c r="C387" s="41"/>
      <c r="D387" s="141"/>
      <c r="E387" s="141"/>
      <c r="F387" s="40"/>
      <c r="G387" s="43"/>
      <c r="H387" s="43"/>
      <c r="I387" s="43"/>
      <c r="J387" s="43"/>
      <c r="K387" s="43"/>
      <c r="L387" s="43"/>
      <c r="M387" s="43"/>
      <c r="N387" s="43"/>
      <c r="O387" s="43"/>
      <c r="P387" s="43"/>
      <c r="Q387" s="43"/>
      <c r="R387" s="369" t="e">
        <f t="shared" ref="R387:AA387" si="372">SUM(R388:R392)</f>
        <v>#REF!</v>
      </c>
      <c r="S387" s="369" t="e">
        <f t="shared" si="372"/>
        <v>#REF!</v>
      </c>
      <c r="T387" s="369" t="e">
        <f t="shared" si="372"/>
        <v>#REF!</v>
      </c>
      <c r="U387" s="369" t="e">
        <f t="shared" si="372"/>
        <v>#REF!</v>
      </c>
      <c r="V387" s="369" t="e">
        <f t="shared" si="372"/>
        <v>#REF!</v>
      </c>
      <c r="W387" s="369" t="e">
        <f t="shared" si="372"/>
        <v>#REF!</v>
      </c>
      <c r="X387" s="369" t="e">
        <f t="shared" si="372"/>
        <v>#REF!</v>
      </c>
      <c r="Y387" s="369" t="e">
        <f t="shared" si="372"/>
        <v>#REF!</v>
      </c>
      <c r="Z387" s="369" t="e">
        <f t="shared" si="372"/>
        <v>#REF!</v>
      </c>
      <c r="AA387" s="369" t="e">
        <f t="shared" si="372"/>
        <v>#REF!</v>
      </c>
      <c r="AB387" s="40"/>
    </row>
    <row r="388" outlineLevel="2" spans="1:28">
      <c r="A388" s="52">
        <f>MAX($A$6:A387)+1</f>
        <v>322</v>
      </c>
      <c r="B388" s="51" t="s">
        <v>332</v>
      </c>
      <c r="C388" s="51" t="e">
        <f>VLOOKUP($B388,#REF!,MATCH(C$2,#REF!,0),0)</f>
        <v>#REF!</v>
      </c>
      <c r="D388" s="136"/>
      <c r="E388" s="136"/>
      <c r="F388" s="136" t="e">
        <f>VLOOKUP($B388,#REF!,MATCH(F$2,#REF!,0),0)</f>
        <v>#REF!</v>
      </c>
      <c r="G388" s="137" t="e">
        <f>VLOOKUP($B388,#REF!,MATCH(G$2,#REF!,0),0)</f>
        <v>#REF!</v>
      </c>
      <c r="H388" s="48">
        <v>0.073</v>
      </c>
      <c r="I388" s="48">
        <v>0.073</v>
      </c>
      <c r="J388" s="48">
        <v>0.0262156978624974</v>
      </c>
      <c r="K388" s="48">
        <v>0.0262156978624974</v>
      </c>
      <c r="L388" s="48">
        <v>0.04</v>
      </c>
      <c r="M388" s="48">
        <v>0.025</v>
      </c>
      <c r="N388" s="48">
        <v>0.025</v>
      </c>
      <c r="O388" s="48">
        <v>0.025</v>
      </c>
      <c r="P388" s="48"/>
      <c r="Q388" s="48"/>
      <c r="R388" s="371" t="e">
        <f>$G388*H388</f>
        <v>#REF!</v>
      </c>
      <c r="S388" s="371" t="e">
        <f t="shared" ref="S388:AA388" si="373">$G388*I388</f>
        <v>#REF!</v>
      </c>
      <c r="T388" s="371" t="e">
        <f t="shared" si="373"/>
        <v>#REF!</v>
      </c>
      <c r="U388" s="371" t="e">
        <f t="shared" si="373"/>
        <v>#REF!</v>
      </c>
      <c r="V388" s="371" t="e">
        <f t="shared" si="373"/>
        <v>#REF!</v>
      </c>
      <c r="W388" s="371" t="e">
        <f t="shared" si="373"/>
        <v>#REF!</v>
      </c>
      <c r="X388" s="371" t="e">
        <f t="shared" si="373"/>
        <v>#REF!</v>
      </c>
      <c r="Y388" s="371" t="e">
        <f t="shared" si="373"/>
        <v>#REF!</v>
      </c>
      <c r="Z388" s="371" t="e">
        <f t="shared" si="373"/>
        <v>#REF!</v>
      </c>
      <c r="AA388" s="371" t="e">
        <f t="shared" si="373"/>
        <v>#REF!</v>
      </c>
      <c r="AB388" s="50"/>
    </row>
    <row r="389" outlineLevel="2" spans="1:28">
      <c r="A389" s="52">
        <f>MAX($A$6:A388)+1</f>
        <v>323</v>
      </c>
      <c r="B389" s="51" t="s">
        <v>521</v>
      </c>
      <c r="C389" s="51" t="e">
        <f>VLOOKUP($B389,#REF!,MATCH(C$2,#REF!,0),0)</f>
        <v>#REF!</v>
      </c>
      <c r="D389" s="136"/>
      <c r="E389" s="136"/>
      <c r="F389" s="136" t="e">
        <f>VLOOKUP($B389,#REF!,MATCH(F$2,#REF!,0),0)</f>
        <v>#REF!</v>
      </c>
      <c r="G389" s="137" t="e">
        <f>VLOOKUP($B389,#REF!,MATCH(G$2,#REF!,0),0)</f>
        <v>#REF!</v>
      </c>
      <c r="H389" s="48">
        <v>1</v>
      </c>
      <c r="I389" s="48">
        <v>1</v>
      </c>
      <c r="J389" s="48">
        <v>1</v>
      </c>
      <c r="K389" s="48">
        <v>1</v>
      </c>
      <c r="L389" s="48"/>
      <c r="M389" s="48"/>
      <c r="N389" s="48"/>
      <c r="O389" s="48"/>
      <c r="P389" s="48"/>
      <c r="Q389" s="48"/>
      <c r="R389" s="371" t="e">
        <f t="shared" ref="R389:AA389" si="374">$G389*H389</f>
        <v>#REF!</v>
      </c>
      <c r="S389" s="371" t="e">
        <f t="shared" si="374"/>
        <v>#REF!</v>
      </c>
      <c r="T389" s="371" t="e">
        <f t="shared" si="374"/>
        <v>#REF!</v>
      </c>
      <c r="U389" s="371" t="e">
        <f t="shared" si="374"/>
        <v>#REF!</v>
      </c>
      <c r="V389" s="371" t="e">
        <f t="shared" si="374"/>
        <v>#REF!</v>
      </c>
      <c r="W389" s="371" t="e">
        <f t="shared" si="374"/>
        <v>#REF!</v>
      </c>
      <c r="X389" s="371" t="e">
        <f t="shared" si="374"/>
        <v>#REF!</v>
      </c>
      <c r="Y389" s="371" t="e">
        <f t="shared" si="374"/>
        <v>#REF!</v>
      </c>
      <c r="Z389" s="371" t="e">
        <f t="shared" si="374"/>
        <v>#REF!</v>
      </c>
      <c r="AA389" s="371" t="e">
        <f t="shared" si="374"/>
        <v>#REF!</v>
      </c>
      <c r="AB389" s="50"/>
    </row>
    <row r="390" ht="28.8" outlineLevel="2" spans="1:28">
      <c r="A390" s="52">
        <f>MAX($A$6:A389)+1</f>
        <v>324</v>
      </c>
      <c r="B390" s="51" t="s">
        <v>330</v>
      </c>
      <c r="C390" s="51" t="e">
        <f>VLOOKUP($B390,#REF!,MATCH(C$2,#REF!,0),0)</f>
        <v>#REF!</v>
      </c>
      <c r="D390" s="136"/>
      <c r="E390" s="136"/>
      <c r="F390" s="136" t="e">
        <f>VLOOKUP($B390,#REF!,MATCH(F$2,#REF!,0),0)</f>
        <v>#REF!</v>
      </c>
      <c r="G390" s="137" t="e">
        <f>VLOOKUP($B390,#REF!,MATCH(G$2,#REF!,0),0)</f>
        <v>#REF!</v>
      </c>
      <c r="H390" s="48">
        <v>5965.53</v>
      </c>
      <c r="I390" s="48">
        <v>7742.48</v>
      </c>
      <c r="J390" s="48">
        <v>2698.592</v>
      </c>
      <c r="K390" s="48">
        <v>2698.592</v>
      </c>
      <c r="L390" s="48">
        <v>1877</v>
      </c>
      <c r="M390" s="48">
        <v>219.36</v>
      </c>
      <c r="N390" s="48">
        <v>219.36</v>
      </c>
      <c r="O390" s="48">
        <v>219.36</v>
      </c>
      <c r="P390" s="48"/>
      <c r="Q390" s="48"/>
      <c r="R390" s="371" t="e">
        <f t="shared" ref="R390:AA390" si="375">$G390*H390</f>
        <v>#REF!</v>
      </c>
      <c r="S390" s="371" t="e">
        <f t="shared" si="375"/>
        <v>#REF!</v>
      </c>
      <c r="T390" s="371" t="e">
        <f t="shared" si="375"/>
        <v>#REF!</v>
      </c>
      <c r="U390" s="371" t="e">
        <f t="shared" si="375"/>
        <v>#REF!</v>
      </c>
      <c r="V390" s="371" t="e">
        <f t="shared" si="375"/>
        <v>#REF!</v>
      </c>
      <c r="W390" s="371" t="e">
        <f t="shared" si="375"/>
        <v>#REF!</v>
      </c>
      <c r="X390" s="371" t="e">
        <f t="shared" si="375"/>
        <v>#REF!</v>
      </c>
      <c r="Y390" s="371" t="e">
        <f t="shared" si="375"/>
        <v>#REF!</v>
      </c>
      <c r="Z390" s="371" t="e">
        <f t="shared" si="375"/>
        <v>#REF!</v>
      </c>
      <c r="AA390" s="371" t="e">
        <f t="shared" si="375"/>
        <v>#REF!</v>
      </c>
      <c r="AB390" s="50"/>
    </row>
    <row r="391" outlineLevel="2" spans="1:28">
      <c r="A391" s="52">
        <f>MAX($A$6:A390)+1</f>
        <v>325</v>
      </c>
      <c r="B391" s="51" t="s">
        <v>331</v>
      </c>
      <c r="C391" s="51" t="e">
        <f>VLOOKUP($B391,#REF!,MATCH(C$2,#REF!,0),0)</f>
        <v>#REF!</v>
      </c>
      <c r="D391" s="136"/>
      <c r="E391" s="136"/>
      <c r="F391" s="136" t="e">
        <f>VLOOKUP($B391,#REF!,MATCH(F$2,#REF!,0),0)</f>
        <v>#REF!</v>
      </c>
      <c r="G391" s="137" t="e">
        <f>VLOOKUP($B391,#REF!,MATCH(G$2,#REF!,0),0)</f>
        <v>#REF!</v>
      </c>
      <c r="H391" s="48"/>
      <c r="I391" s="48"/>
      <c r="J391" s="48"/>
      <c r="K391" s="48"/>
      <c r="L391" s="48">
        <v>8000</v>
      </c>
      <c r="M391" s="48">
        <v>413.68</v>
      </c>
      <c r="N391" s="48">
        <v>413.68</v>
      </c>
      <c r="O391" s="48">
        <v>413.68</v>
      </c>
      <c r="P391" s="48"/>
      <c r="Q391" s="48"/>
      <c r="R391" s="371" t="e">
        <f t="shared" ref="R391:AA391" si="376">$G391*H391</f>
        <v>#REF!</v>
      </c>
      <c r="S391" s="371" t="e">
        <f t="shared" si="376"/>
        <v>#REF!</v>
      </c>
      <c r="T391" s="371" t="e">
        <f t="shared" si="376"/>
        <v>#REF!</v>
      </c>
      <c r="U391" s="371" t="e">
        <f t="shared" si="376"/>
        <v>#REF!</v>
      </c>
      <c r="V391" s="371" t="e">
        <f t="shared" si="376"/>
        <v>#REF!</v>
      </c>
      <c r="W391" s="371" t="e">
        <f t="shared" si="376"/>
        <v>#REF!</v>
      </c>
      <c r="X391" s="371" t="e">
        <f t="shared" si="376"/>
        <v>#REF!</v>
      </c>
      <c r="Y391" s="371" t="e">
        <f t="shared" si="376"/>
        <v>#REF!</v>
      </c>
      <c r="Z391" s="371" t="e">
        <f t="shared" si="376"/>
        <v>#REF!</v>
      </c>
      <c r="AA391" s="371" t="e">
        <f t="shared" si="376"/>
        <v>#REF!</v>
      </c>
      <c r="AB391" s="50"/>
    </row>
    <row r="392" outlineLevel="2" spans="1:28">
      <c r="A392" s="52">
        <f>MAX($A$6:A391)+1</f>
        <v>326</v>
      </c>
      <c r="B392" s="51" t="s">
        <v>522</v>
      </c>
      <c r="C392" s="51" t="e">
        <f>VLOOKUP($B392,#REF!,MATCH(C$2,#REF!,0),0)</f>
        <v>#REF!</v>
      </c>
      <c r="D392" s="136"/>
      <c r="E392" s="136"/>
      <c r="F392" s="136" t="e">
        <f>VLOOKUP($B392,#REF!,MATCH(F$2,#REF!,0),0)</f>
        <v>#REF!</v>
      </c>
      <c r="G392" s="137" t="e">
        <f>VLOOKUP($B392,#REF!,MATCH(G$2,#REF!,0),0)</f>
        <v>#REF!</v>
      </c>
      <c r="H392" s="48"/>
      <c r="I392" s="48"/>
      <c r="J392" s="48"/>
      <c r="K392" s="48"/>
      <c r="L392" s="48"/>
      <c r="M392" s="48">
        <v>1.109</v>
      </c>
      <c r="N392" s="48">
        <v>1.109</v>
      </c>
      <c r="O392" s="48">
        <v>1.109</v>
      </c>
      <c r="P392" s="48"/>
      <c r="Q392" s="48"/>
      <c r="R392" s="371" t="e">
        <f t="shared" ref="R392:AA392" si="377">$G392*H392</f>
        <v>#REF!</v>
      </c>
      <c r="S392" s="371" t="e">
        <f t="shared" si="377"/>
        <v>#REF!</v>
      </c>
      <c r="T392" s="371" t="e">
        <f t="shared" si="377"/>
        <v>#REF!</v>
      </c>
      <c r="U392" s="371" t="e">
        <f t="shared" si="377"/>
        <v>#REF!</v>
      </c>
      <c r="V392" s="371" t="e">
        <f t="shared" si="377"/>
        <v>#REF!</v>
      </c>
      <c r="W392" s="371" t="e">
        <f t="shared" si="377"/>
        <v>#REF!</v>
      </c>
      <c r="X392" s="371" t="e">
        <f t="shared" si="377"/>
        <v>#REF!</v>
      </c>
      <c r="Y392" s="371" t="e">
        <f t="shared" si="377"/>
        <v>#REF!</v>
      </c>
      <c r="Z392" s="371" t="e">
        <f t="shared" si="377"/>
        <v>#REF!</v>
      </c>
      <c r="AA392" s="371" t="e">
        <f t="shared" si="377"/>
        <v>#REF!</v>
      </c>
      <c r="AB392" s="50"/>
    </row>
    <row r="393" s="355" customFormat="1" spans="1:28">
      <c r="A393" s="130"/>
      <c r="B393" s="131" t="str">
        <f>B126</f>
        <v>A.04隔热防水工程</v>
      </c>
      <c r="C393" s="131"/>
      <c r="D393" s="154"/>
      <c r="E393" s="154"/>
      <c r="F393" s="154"/>
      <c r="G393" s="359"/>
      <c r="H393" s="134"/>
      <c r="I393" s="134"/>
      <c r="J393" s="134"/>
      <c r="K393" s="134"/>
      <c r="L393" s="134"/>
      <c r="M393" s="134"/>
      <c r="N393" s="134"/>
      <c r="O393" s="134"/>
      <c r="P393" s="134"/>
      <c r="Q393" s="134"/>
      <c r="R393" s="367" t="e">
        <f t="shared" ref="R393:AA393" si="378">SUM(R394,R460)</f>
        <v>#REF!</v>
      </c>
      <c r="S393" s="367" t="e">
        <f t="shared" si="378"/>
        <v>#REF!</v>
      </c>
      <c r="T393" s="367" t="e">
        <f t="shared" si="378"/>
        <v>#REF!</v>
      </c>
      <c r="U393" s="367" t="e">
        <f t="shared" si="378"/>
        <v>#REF!</v>
      </c>
      <c r="V393" s="367" t="e">
        <f t="shared" si="378"/>
        <v>#REF!</v>
      </c>
      <c r="W393" s="367" t="e">
        <f t="shared" si="378"/>
        <v>#REF!</v>
      </c>
      <c r="X393" s="367" t="e">
        <f t="shared" si="378"/>
        <v>#REF!</v>
      </c>
      <c r="Y393" s="367" t="e">
        <f t="shared" si="378"/>
        <v>#REF!</v>
      </c>
      <c r="Z393" s="367" t="e">
        <f t="shared" si="378"/>
        <v>#REF!</v>
      </c>
      <c r="AA393" s="367" t="e">
        <f t="shared" si="378"/>
        <v>#REF!</v>
      </c>
      <c r="AB393" s="130"/>
    </row>
    <row r="394" s="29" customFormat="1" ht="28.8" outlineLevel="1" spans="1:28">
      <c r="A394" s="40"/>
      <c r="B394" s="41" t="str">
        <f>目录!H12</f>
        <v>A.04.02屋面与防水工程</v>
      </c>
      <c r="C394" s="41"/>
      <c r="D394" s="141"/>
      <c r="E394" s="141"/>
      <c r="F394" s="40"/>
      <c r="G394" s="43"/>
      <c r="H394" s="43"/>
      <c r="I394" s="43"/>
      <c r="J394" s="43"/>
      <c r="K394" s="43"/>
      <c r="L394" s="43"/>
      <c r="M394" s="43"/>
      <c r="N394" s="43"/>
      <c r="O394" s="43"/>
      <c r="P394" s="43"/>
      <c r="Q394" s="43"/>
      <c r="R394" s="369" t="e">
        <f t="shared" ref="R394:AA394" si="379">SUM(R395:R459)</f>
        <v>#REF!</v>
      </c>
      <c r="S394" s="369" t="e">
        <f t="shared" si="379"/>
        <v>#REF!</v>
      </c>
      <c r="T394" s="369" t="e">
        <f t="shared" si="379"/>
        <v>#REF!</v>
      </c>
      <c r="U394" s="369" t="e">
        <f t="shared" si="379"/>
        <v>#REF!</v>
      </c>
      <c r="V394" s="369" t="e">
        <f t="shared" si="379"/>
        <v>#REF!</v>
      </c>
      <c r="W394" s="369" t="e">
        <f t="shared" si="379"/>
        <v>#REF!</v>
      </c>
      <c r="X394" s="369" t="e">
        <f t="shared" si="379"/>
        <v>#REF!</v>
      </c>
      <c r="Y394" s="369" t="e">
        <f t="shared" si="379"/>
        <v>#REF!</v>
      </c>
      <c r="Z394" s="369" t="e">
        <f t="shared" si="379"/>
        <v>#REF!</v>
      </c>
      <c r="AA394" s="369" t="e">
        <f t="shared" si="379"/>
        <v>#REF!</v>
      </c>
      <c r="AB394" s="40"/>
    </row>
    <row r="395" s="122" customFormat="1" outlineLevel="2" spans="1:28">
      <c r="A395" s="130"/>
      <c r="B395" s="154" t="s">
        <v>523</v>
      </c>
      <c r="C395" s="154"/>
      <c r="D395" s="154"/>
      <c r="E395" s="154"/>
      <c r="F395" s="130"/>
      <c r="G395" s="134"/>
      <c r="H395" s="134"/>
      <c r="I395" s="134"/>
      <c r="J395" s="134"/>
      <c r="K395" s="134"/>
      <c r="L395" s="134"/>
      <c r="M395" s="134"/>
      <c r="N395" s="134"/>
      <c r="O395" s="134"/>
      <c r="P395" s="134"/>
      <c r="Q395" s="134"/>
      <c r="R395" s="367"/>
      <c r="S395" s="367"/>
      <c r="T395" s="367"/>
      <c r="U395" s="367"/>
      <c r="V395" s="371"/>
      <c r="W395" s="367"/>
      <c r="X395" s="367"/>
      <c r="Y395" s="367"/>
      <c r="Z395" s="367"/>
      <c r="AA395" s="367"/>
      <c r="AB395" s="130"/>
    </row>
    <row r="396" outlineLevel="2" spans="1:28">
      <c r="A396" s="52">
        <f>MAX($A$6:A395)+1</f>
        <v>327</v>
      </c>
      <c r="B396" s="51" t="s">
        <v>524</v>
      </c>
      <c r="C396" s="51" t="e">
        <f>VLOOKUP($B396,#REF!,MATCH(C$2,#REF!,0),0)</f>
        <v>#REF!</v>
      </c>
      <c r="D396" s="136"/>
      <c r="E396" s="136"/>
      <c r="F396" s="136" t="e">
        <f>VLOOKUP($B396,#REF!,MATCH(F$2,#REF!,0),0)</f>
        <v>#REF!</v>
      </c>
      <c r="G396" s="137" t="e">
        <f>VLOOKUP($B396,#REF!,MATCH(G$2,#REF!,0),0)</f>
        <v>#REF!</v>
      </c>
      <c r="H396" s="48">
        <v>551.96</v>
      </c>
      <c r="I396" s="48">
        <v>549.54</v>
      </c>
      <c r="J396" s="48">
        <v>1</v>
      </c>
      <c r="K396" s="48">
        <v>1</v>
      </c>
      <c r="L396" s="48"/>
      <c r="M396" s="48">
        <v>611.61</v>
      </c>
      <c r="N396" s="48">
        <v>1</v>
      </c>
      <c r="O396" s="48">
        <v>611.61</v>
      </c>
      <c r="P396" s="48"/>
      <c r="Q396" s="48"/>
      <c r="R396" s="371" t="e">
        <f>$G396*H396</f>
        <v>#REF!</v>
      </c>
      <c r="S396" s="371" t="e">
        <f t="shared" ref="S396:AA396" si="380">$G396*I396</f>
        <v>#REF!</v>
      </c>
      <c r="T396" s="371" t="e">
        <f t="shared" si="380"/>
        <v>#REF!</v>
      </c>
      <c r="U396" s="371" t="e">
        <f t="shared" si="380"/>
        <v>#REF!</v>
      </c>
      <c r="V396" s="371" t="e">
        <f t="shared" si="380"/>
        <v>#REF!</v>
      </c>
      <c r="W396" s="371" t="e">
        <f t="shared" si="380"/>
        <v>#REF!</v>
      </c>
      <c r="X396" s="371" t="e">
        <f t="shared" si="380"/>
        <v>#REF!</v>
      </c>
      <c r="Y396" s="371" t="e">
        <f t="shared" si="380"/>
        <v>#REF!</v>
      </c>
      <c r="Z396" s="371" t="e">
        <f t="shared" si="380"/>
        <v>#REF!</v>
      </c>
      <c r="AA396" s="371" t="e">
        <f t="shared" si="380"/>
        <v>#REF!</v>
      </c>
      <c r="AB396" s="50"/>
    </row>
    <row r="397" outlineLevel="2" spans="1:28">
      <c r="A397" s="52">
        <f>MAX($A$6:A396)+1</f>
        <v>328</v>
      </c>
      <c r="B397" s="51" t="s">
        <v>525</v>
      </c>
      <c r="C397" s="51" t="e">
        <f>VLOOKUP($B397,#REF!,MATCH(C$2,#REF!,0),0)</f>
        <v>#REF!</v>
      </c>
      <c r="D397" s="136"/>
      <c r="E397" s="136"/>
      <c r="F397" s="136" t="e">
        <f>VLOOKUP($B397,#REF!,MATCH(F$2,#REF!,0),0)</f>
        <v>#REF!</v>
      </c>
      <c r="G397" s="137" t="e">
        <f>VLOOKUP($B397,#REF!,MATCH(G$2,#REF!,0),0)</f>
        <v>#REF!</v>
      </c>
      <c r="H397" s="48">
        <v>551.96</v>
      </c>
      <c r="I397" s="48">
        <v>549.54</v>
      </c>
      <c r="J397" s="48">
        <v>1</v>
      </c>
      <c r="K397" s="48">
        <v>1</v>
      </c>
      <c r="L397" s="48"/>
      <c r="M397" s="48">
        <v>611.61</v>
      </c>
      <c r="N397" s="48">
        <v>1</v>
      </c>
      <c r="O397" s="48">
        <v>611.61</v>
      </c>
      <c r="P397" s="48"/>
      <c r="Q397" s="48"/>
      <c r="R397" s="371" t="e">
        <f t="shared" ref="R397:AA397" si="381">$G397*H397</f>
        <v>#REF!</v>
      </c>
      <c r="S397" s="371" t="e">
        <f t="shared" si="381"/>
        <v>#REF!</v>
      </c>
      <c r="T397" s="371" t="e">
        <f t="shared" si="381"/>
        <v>#REF!</v>
      </c>
      <c r="U397" s="371" t="e">
        <f t="shared" si="381"/>
        <v>#REF!</v>
      </c>
      <c r="V397" s="371" t="e">
        <f t="shared" si="381"/>
        <v>#REF!</v>
      </c>
      <c r="W397" s="371" t="e">
        <f t="shared" si="381"/>
        <v>#REF!</v>
      </c>
      <c r="X397" s="371" t="e">
        <f t="shared" si="381"/>
        <v>#REF!</v>
      </c>
      <c r="Y397" s="371" t="e">
        <f t="shared" si="381"/>
        <v>#REF!</v>
      </c>
      <c r="Z397" s="371" t="e">
        <f t="shared" si="381"/>
        <v>#REF!</v>
      </c>
      <c r="AA397" s="371" t="e">
        <f t="shared" si="381"/>
        <v>#REF!</v>
      </c>
      <c r="AB397" s="50"/>
    </row>
    <row r="398" outlineLevel="2" spans="1:28">
      <c r="A398" s="52">
        <f>MAX($A$6:A397)+1</f>
        <v>329</v>
      </c>
      <c r="B398" s="51" t="s">
        <v>397</v>
      </c>
      <c r="C398" s="51" t="e">
        <f>VLOOKUP($B398,#REF!,MATCH(C$2,#REF!,0),0)</f>
        <v>#REF!</v>
      </c>
      <c r="D398" s="136"/>
      <c r="E398" s="136"/>
      <c r="F398" s="136" t="e">
        <f>VLOOKUP($B398,#REF!,MATCH(F$2,#REF!,0),0)</f>
        <v>#REF!</v>
      </c>
      <c r="G398" s="137" t="e">
        <f>VLOOKUP($B398,#REF!,MATCH(G$2,#REF!,0),0)</f>
        <v>#REF!</v>
      </c>
      <c r="H398" s="48">
        <v>551.96</v>
      </c>
      <c r="I398" s="48">
        <v>549.54</v>
      </c>
      <c r="J398" s="48">
        <v>1</v>
      </c>
      <c r="K398" s="48">
        <v>1</v>
      </c>
      <c r="L398" s="48"/>
      <c r="M398" s="48">
        <v>611.61</v>
      </c>
      <c r="N398" s="48">
        <v>1</v>
      </c>
      <c r="O398" s="48">
        <v>611.61</v>
      </c>
      <c r="P398" s="48"/>
      <c r="Q398" s="48"/>
      <c r="R398" s="371" t="e">
        <f t="shared" ref="R398:AA398" si="382">$G398*H398</f>
        <v>#REF!</v>
      </c>
      <c r="S398" s="371" t="e">
        <f t="shared" si="382"/>
        <v>#REF!</v>
      </c>
      <c r="T398" s="371" t="e">
        <f t="shared" si="382"/>
        <v>#REF!</v>
      </c>
      <c r="U398" s="371" t="e">
        <f t="shared" si="382"/>
        <v>#REF!</v>
      </c>
      <c r="V398" s="371" t="e">
        <f t="shared" si="382"/>
        <v>#REF!</v>
      </c>
      <c r="W398" s="371" t="e">
        <f t="shared" si="382"/>
        <v>#REF!</v>
      </c>
      <c r="X398" s="371" t="e">
        <f t="shared" si="382"/>
        <v>#REF!</v>
      </c>
      <c r="Y398" s="371" t="e">
        <f t="shared" si="382"/>
        <v>#REF!</v>
      </c>
      <c r="Z398" s="371" t="e">
        <f t="shared" si="382"/>
        <v>#REF!</v>
      </c>
      <c r="AA398" s="371" t="e">
        <f t="shared" si="382"/>
        <v>#REF!</v>
      </c>
      <c r="AB398" s="50"/>
    </row>
    <row r="399" outlineLevel="2" spans="1:28">
      <c r="A399" s="52">
        <f>MAX($A$6:A398)+1</f>
        <v>330</v>
      </c>
      <c r="B399" s="51" t="s">
        <v>398</v>
      </c>
      <c r="C399" s="51" t="e">
        <f>VLOOKUP($B399,#REF!,MATCH(C$2,#REF!,0),0)</f>
        <v>#REF!</v>
      </c>
      <c r="D399" s="136"/>
      <c r="E399" s="136"/>
      <c r="F399" s="136" t="e">
        <f>VLOOKUP($B399,#REF!,MATCH(F$2,#REF!,0),0)</f>
        <v>#REF!</v>
      </c>
      <c r="G399" s="137" t="e">
        <f>VLOOKUP($B399,#REF!,MATCH(G$2,#REF!,0),0)</f>
        <v>#REF!</v>
      </c>
      <c r="H399" s="48">
        <v>551.96</v>
      </c>
      <c r="I399" s="48">
        <v>549.54</v>
      </c>
      <c r="J399" s="48">
        <v>1</v>
      </c>
      <c r="K399" s="48">
        <v>1</v>
      </c>
      <c r="L399" s="48"/>
      <c r="M399" s="48">
        <v>611.61</v>
      </c>
      <c r="N399" s="48">
        <v>1</v>
      </c>
      <c r="O399" s="48">
        <v>611.61</v>
      </c>
      <c r="P399" s="48"/>
      <c r="Q399" s="48"/>
      <c r="R399" s="371" t="e">
        <f t="shared" ref="R399:AA399" si="383">$G399*H399</f>
        <v>#REF!</v>
      </c>
      <c r="S399" s="371" t="e">
        <f t="shared" si="383"/>
        <v>#REF!</v>
      </c>
      <c r="T399" s="371" t="e">
        <f t="shared" si="383"/>
        <v>#REF!</v>
      </c>
      <c r="U399" s="371" t="e">
        <f t="shared" si="383"/>
        <v>#REF!</v>
      </c>
      <c r="V399" s="371" t="e">
        <f t="shared" si="383"/>
        <v>#REF!</v>
      </c>
      <c r="W399" s="371" t="e">
        <f t="shared" si="383"/>
        <v>#REF!</v>
      </c>
      <c r="X399" s="371" t="e">
        <f t="shared" si="383"/>
        <v>#REF!</v>
      </c>
      <c r="Y399" s="371" t="e">
        <f t="shared" si="383"/>
        <v>#REF!</v>
      </c>
      <c r="Z399" s="371" t="e">
        <f t="shared" si="383"/>
        <v>#REF!</v>
      </c>
      <c r="AA399" s="371" t="e">
        <f t="shared" si="383"/>
        <v>#REF!</v>
      </c>
      <c r="AB399" s="50"/>
    </row>
    <row r="400" outlineLevel="2" spans="1:28">
      <c r="A400" s="52">
        <f>MAX($A$6:A399)+1</f>
        <v>331</v>
      </c>
      <c r="B400" s="51" t="s">
        <v>399</v>
      </c>
      <c r="C400" s="51" t="e">
        <f>VLOOKUP($B400,#REF!,MATCH(C$2,#REF!,0),0)</f>
        <v>#REF!</v>
      </c>
      <c r="D400" s="136" t="s">
        <v>132</v>
      </c>
      <c r="E400" s="136" t="s">
        <v>132</v>
      </c>
      <c r="F400" s="136" t="e">
        <f>VLOOKUP($B400,#REF!,MATCH(F$2,#REF!,0),0)</f>
        <v>#REF!</v>
      </c>
      <c r="G400" s="137" t="e">
        <f>VLOOKUP($B400,#REF!,MATCH(G$2,#REF!,0),0)</f>
        <v>#REF!</v>
      </c>
      <c r="H400" s="48">
        <v>551.96</v>
      </c>
      <c r="I400" s="48">
        <v>549.54</v>
      </c>
      <c r="J400" s="48">
        <v>1</v>
      </c>
      <c r="K400" s="48">
        <v>1</v>
      </c>
      <c r="L400" s="48"/>
      <c r="M400" s="48">
        <v>611.61</v>
      </c>
      <c r="N400" s="48">
        <v>1</v>
      </c>
      <c r="O400" s="48">
        <v>611.61</v>
      </c>
      <c r="P400" s="48"/>
      <c r="Q400" s="48"/>
      <c r="R400" s="371" t="e">
        <f t="shared" ref="R400:AA400" si="384">$G400*H400</f>
        <v>#REF!</v>
      </c>
      <c r="S400" s="371" t="e">
        <f t="shared" si="384"/>
        <v>#REF!</v>
      </c>
      <c r="T400" s="371" t="e">
        <f t="shared" si="384"/>
        <v>#REF!</v>
      </c>
      <c r="U400" s="371" t="e">
        <f t="shared" si="384"/>
        <v>#REF!</v>
      </c>
      <c r="V400" s="371" t="e">
        <f t="shared" si="384"/>
        <v>#REF!</v>
      </c>
      <c r="W400" s="371" t="e">
        <f t="shared" si="384"/>
        <v>#REF!</v>
      </c>
      <c r="X400" s="371" t="e">
        <f t="shared" si="384"/>
        <v>#REF!</v>
      </c>
      <c r="Y400" s="371" t="e">
        <f t="shared" si="384"/>
        <v>#REF!</v>
      </c>
      <c r="Z400" s="371" t="e">
        <f t="shared" si="384"/>
        <v>#REF!</v>
      </c>
      <c r="AA400" s="371" t="e">
        <f t="shared" si="384"/>
        <v>#REF!</v>
      </c>
      <c r="AB400" s="50"/>
    </row>
    <row r="401" ht="28.8" outlineLevel="2" spans="1:28">
      <c r="A401" s="52">
        <f>MAX($A$6:A400)+1</f>
        <v>332</v>
      </c>
      <c r="B401" s="360" t="s">
        <v>400</v>
      </c>
      <c r="C401" s="51" t="e">
        <f>VLOOKUP($B401,#REF!,MATCH(C$2,#REF!,0),0)</f>
        <v>#REF!</v>
      </c>
      <c r="D401" s="136"/>
      <c r="E401" s="136"/>
      <c r="F401" s="136" t="e">
        <f>VLOOKUP($B401,#REF!,MATCH(F$2,#REF!,0),0)</f>
        <v>#REF!</v>
      </c>
      <c r="G401" s="137" t="e">
        <f>VLOOKUP($B401,#REF!,MATCH(G$2,#REF!,0),0)</f>
        <v>#REF!</v>
      </c>
      <c r="H401" s="48">
        <v>551.96</v>
      </c>
      <c r="I401" s="48">
        <v>549.54</v>
      </c>
      <c r="J401" s="48">
        <v>1</v>
      </c>
      <c r="K401" s="48">
        <v>1</v>
      </c>
      <c r="L401" s="48"/>
      <c r="M401" s="48">
        <v>611.61</v>
      </c>
      <c r="N401" s="48">
        <v>1</v>
      </c>
      <c r="O401" s="48">
        <v>611.61</v>
      </c>
      <c r="P401" s="48"/>
      <c r="Q401" s="48"/>
      <c r="R401" s="371" t="e">
        <f t="shared" ref="R401:AA401" si="385">$G401*H401</f>
        <v>#REF!</v>
      </c>
      <c r="S401" s="371" t="e">
        <f t="shared" si="385"/>
        <v>#REF!</v>
      </c>
      <c r="T401" s="371" t="e">
        <f t="shared" si="385"/>
        <v>#REF!</v>
      </c>
      <c r="U401" s="371" t="e">
        <f t="shared" si="385"/>
        <v>#REF!</v>
      </c>
      <c r="V401" s="371" t="e">
        <f t="shared" si="385"/>
        <v>#REF!</v>
      </c>
      <c r="W401" s="371" t="e">
        <f t="shared" si="385"/>
        <v>#REF!</v>
      </c>
      <c r="X401" s="371" t="e">
        <f t="shared" si="385"/>
        <v>#REF!</v>
      </c>
      <c r="Y401" s="371" t="e">
        <f t="shared" si="385"/>
        <v>#REF!</v>
      </c>
      <c r="Z401" s="371" t="e">
        <f t="shared" si="385"/>
        <v>#REF!</v>
      </c>
      <c r="AA401" s="371" t="e">
        <f t="shared" si="385"/>
        <v>#REF!</v>
      </c>
      <c r="AB401" s="50"/>
    </row>
    <row r="402" outlineLevel="2" spans="1:28">
      <c r="A402" s="52">
        <f>MAX($A$6:A401)+1</f>
        <v>333</v>
      </c>
      <c r="B402" s="360" t="s">
        <v>526</v>
      </c>
      <c r="C402" s="51" t="e">
        <f>VLOOKUP($B402,#REF!,MATCH(C$2,#REF!,0),0)</f>
        <v>#REF!</v>
      </c>
      <c r="D402" s="136"/>
      <c r="E402" s="136"/>
      <c r="F402" s="136" t="e">
        <f>VLOOKUP($B402,#REF!,MATCH(F$2,#REF!,0),0)</f>
        <v>#REF!</v>
      </c>
      <c r="G402" s="137" t="e">
        <f>VLOOKUP($B402,#REF!,MATCH(G$2,#REF!,0),0)</f>
        <v>#REF!</v>
      </c>
      <c r="H402" s="48"/>
      <c r="I402" s="48"/>
      <c r="J402" s="48"/>
      <c r="K402" s="48"/>
      <c r="L402" s="48"/>
      <c r="M402" s="48"/>
      <c r="N402" s="48"/>
      <c r="O402" s="48"/>
      <c r="P402" s="48"/>
      <c r="Q402" s="48"/>
      <c r="R402" s="371" t="e">
        <f t="shared" ref="R402:AA402" si="386">$G402*H402</f>
        <v>#REF!</v>
      </c>
      <c r="S402" s="371" t="e">
        <f t="shared" si="386"/>
        <v>#REF!</v>
      </c>
      <c r="T402" s="371" t="e">
        <f t="shared" si="386"/>
        <v>#REF!</v>
      </c>
      <c r="U402" s="371" t="e">
        <f t="shared" si="386"/>
        <v>#REF!</v>
      </c>
      <c r="V402" s="371" t="e">
        <f t="shared" si="386"/>
        <v>#REF!</v>
      </c>
      <c r="W402" s="371" t="e">
        <f t="shared" si="386"/>
        <v>#REF!</v>
      </c>
      <c r="X402" s="371" t="e">
        <f t="shared" si="386"/>
        <v>#REF!</v>
      </c>
      <c r="Y402" s="371" t="e">
        <f t="shared" si="386"/>
        <v>#REF!</v>
      </c>
      <c r="Z402" s="371" t="e">
        <f t="shared" si="386"/>
        <v>#REF!</v>
      </c>
      <c r="AA402" s="371" t="e">
        <f t="shared" si="386"/>
        <v>#REF!</v>
      </c>
      <c r="AB402" s="50"/>
    </row>
    <row r="403" outlineLevel="2" spans="1:28">
      <c r="A403" s="52">
        <f>MAX($A$6:A402)+1</f>
        <v>334</v>
      </c>
      <c r="B403" s="51" t="s">
        <v>401</v>
      </c>
      <c r="C403" s="51" t="e">
        <f>VLOOKUP($B403,#REF!,MATCH(C$2,#REF!,0),0)</f>
        <v>#REF!</v>
      </c>
      <c r="D403" s="136"/>
      <c r="E403" s="136"/>
      <c r="F403" s="136" t="e">
        <f>VLOOKUP($B403,#REF!,MATCH(F$2,#REF!,0),0)</f>
        <v>#REF!</v>
      </c>
      <c r="G403" s="137" t="e">
        <f>VLOOKUP($B403,#REF!,MATCH(G$2,#REF!,0),0)</f>
        <v>#REF!</v>
      </c>
      <c r="H403" s="48">
        <v>551.96</v>
      </c>
      <c r="I403" s="48">
        <v>549.54</v>
      </c>
      <c r="J403" s="48">
        <v>1</v>
      </c>
      <c r="K403" s="48">
        <v>1</v>
      </c>
      <c r="L403" s="48"/>
      <c r="M403" s="48">
        <v>611.61</v>
      </c>
      <c r="N403" s="48">
        <v>1</v>
      </c>
      <c r="O403" s="48">
        <v>611.61</v>
      </c>
      <c r="P403" s="48"/>
      <c r="Q403" s="48"/>
      <c r="R403" s="371" t="e">
        <f t="shared" ref="R403:AA403" si="387">$G403*H403</f>
        <v>#REF!</v>
      </c>
      <c r="S403" s="371" t="e">
        <f t="shared" si="387"/>
        <v>#REF!</v>
      </c>
      <c r="T403" s="371" t="e">
        <f t="shared" si="387"/>
        <v>#REF!</v>
      </c>
      <c r="U403" s="371" t="e">
        <f t="shared" si="387"/>
        <v>#REF!</v>
      </c>
      <c r="V403" s="371" t="e">
        <f t="shared" si="387"/>
        <v>#REF!</v>
      </c>
      <c r="W403" s="371" t="e">
        <f t="shared" si="387"/>
        <v>#REF!</v>
      </c>
      <c r="X403" s="371" t="e">
        <f t="shared" si="387"/>
        <v>#REF!</v>
      </c>
      <c r="Y403" s="371" t="e">
        <f t="shared" si="387"/>
        <v>#REF!</v>
      </c>
      <c r="Z403" s="371" t="e">
        <f t="shared" si="387"/>
        <v>#REF!</v>
      </c>
      <c r="AA403" s="371" t="e">
        <f t="shared" si="387"/>
        <v>#REF!</v>
      </c>
      <c r="AB403" s="50"/>
    </row>
    <row r="404" s="122" customFormat="1" outlineLevel="2" spans="1:28">
      <c r="A404" s="130"/>
      <c r="B404" s="154" t="s">
        <v>527</v>
      </c>
      <c r="C404" s="154"/>
      <c r="D404" s="154"/>
      <c r="E404" s="154"/>
      <c r="F404" s="130"/>
      <c r="G404" s="134"/>
      <c r="H404" s="134"/>
      <c r="I404" s="134"/>
      <c r="J404" s="134"/>
      <c r="K404" s="134"/>
      <c r="L404" s="134"/>
      <c r="M404" s="134"/>
      <c r="N404" s="134"/>
      <c r="O404" s="134"/>
      <c r="P404" s="134"/>
      <c r="Q404" s="134"/>
      <c r="R404" s="367"/>
      <c r="S404" s="367"/>
      <c r="T404" s="367"/>
      <c r="U404" s="367"/>
      <c r="V404" s="371"/>
      <c r="W404" s="367"/>
      <c r="X404" s="367"/>
      <c r="Y404" s="367"/>
      <c r="Z404" s="367"/>
      <c r="AA404" s="367"/>
      <c r="AB404" s="130"/>
    </row>
    <row r="405" outlineLevel="2" spans="1:28">
      <c r="A405" s="52">
        <f>MAX($A$6:A404)+1</f>
        <v>335</v>
      </c>
      <c r="B405" s="51" t="s">
        <v>524</v>
      </c>
      <c r="C405" s="51" t="e">
        <f>VLOOKUP($B405,#REF!,MATCH(C$2,#REF!,0),0)</f>
        <v>#REF!</v>
      </c>
      <c r="D405" s="136"/>
      <c r="E405" s="136"/>
      <c r="F405" s="136" t="e">
        <f>VLOOKUP($B405,#REF!,MATCH(F$2,#REF!,0),0)</f>
        <v>#REF!</v>
      </c>
      <c r="G405" s="137" t="e">
        <f>VLOOKUP($B405,#REF!,MATCH(G$2,#REF!,0),0)</f>
        <v>#REF!</v>
      </c>
      <c r="H405" s="48"/>
      <c r="I405" s="48"/>
      <c r="J405" s="48">
        <v>585.41</v>
      </c>
      <c r="K405" s="48">
        <v>585.41</v>
      </c>
      <c r="L405" s="48">
        <v>316</v>
      </c>
      <c r="M405" s="48"/>
      <c r="N405" s="48">
        <v>611.61</v>
      </c>
      <c r="O405" s="48"/>
      <c r="P405" s="48"/>
      <c r="Q405" s="48"/>
      <c r="R405" s="371" t="e">
        <f>$G405*H405</f>
        <v>#REF!</v>
      </c>
      <c r="S405" s="371" t="e">
        <f t="shared" ref="S405:AA405" si="388">$G405*I405</f>
        <v>#REF!</v>
      </c>
      <c r="T405" s="371" t="e">
        <f t="shared" si="388"/>
        <v>#REF!</v>
      </c>
      <c r="U405" s="371" t="e">
        <f t="shared" si="388"/>
        <v>#REF!</v>
      </c>
      <c r="V405" s="371" t="e">
        <f t="shared" si="388"/>
        <v>#REF!</v>
      </c>
      <c r="W405" s="371" t="e">
        <f t="shared" si="388"/>
        <v>#REF!</v>
      </c>
      <c r="X405" s="371" t="e">
        <f t="shared" si="388"/>
        <v>#REF!</v>
      </c>
      <c r="Y405" s="371" t="e">
        <f t="shared" si="388"/>
        <v>#REF!</v>
      </c>
      <c r="Z405" s="371" t="e">
        <f t="shared" si="388"/>
        <v>#REF!</v>
      </c>
      <c r="AA405" s="371" t="e">
        <f t="shared" si="388"/>
        <v>#REF!</v>
      </c>
      <c r="AB405" s="50"/>
    </row>
    <row r="406" outlineLevel="2" spans="1:28">
      <c r="A406" s="52">
        <f>MAX($A$6:A405)+1</f>
        <v>336</v>
      </c>
      <c r="B406" s="51" t="s">
        <v>525</v>
      </c>
      <c r="C406" s="51" t="e">
        <f>VLOOKUP($B406,#REF!,MATCH(C$2,#REF!,0),0)</f>
        <v>#REF!</v>
      </c>
      <c r="D406" s="136"/>
      <c r="E406" s="136"/>
      <c r="F406" s="136" t="e">
        <f>VLOOKUP($B406,#REF!,MATCH(F$2,#REF!,0),0)</f>
        <v>#REF!</v>
      </c>
      <c r="G406" s="137" t="e">
        <f>VLOOKUP($B406,#REF!,MATCH(G$2,#REF!,0),0)</f>
        <v>#REF!</v>
      </c>
      <c r="H406" s="48"/>
      <c r="I406" s="48"/>
      <c r="J406" s="48">
        <v>585.41</v>
      </c>
      <c r="K406" s="48">
        <v>585.41</v>
      </c>
      <c r="L406" s="48">
        <v>316</v>
      </c>
      <c r="M406" s="48"/>
      <c r="N406" s="48">
        <v>611.61</v>
      </c>
      <c r="O406" s="48"/>
      <c r="P406" s="48"/>
      <c r="Q406" s="48"/>
      <c r="R406" s="371" t="e">
        <f t="shared" ref="R406:R412" si="389">$G406*H406</f>
        <v>#REF!</v>
      </c>
      <c r="S406" s="371" t="e">
        <f t="shared" ref="S406:S412" si="390">$G406*I406</f>
        <v>#REF!</v>
      </c>
      <c r="T406" s="371" t="e">
        <f t="shared" ref="T406:T412" si="391">$G406*J406</f>
        <v>#REF!</v>
      </c>
      <c r="U406" s="371" t="e">
        <f t="shared" ref="U406:U412" si="392">$G406*K406</f>
        <v>#REF!</v>
      </c>
      <c r="V406" s="371" t="e">
        <f t="shared" ref="V406:V412" si="393">$G406*L406</f>
        <v>#REF!</v>
      </c>
      <c r="W406" s="371" t="e">
        <f t="shared" ref="W406:W412" si="394">$G406*M406</f>
        <v>#REF!</v>
      </c>
      <c r="X406" s="371" t="e">
        <f t="shared" ref="X406:X412" si="395">$G406*N406</f>
        <v>#REF!</v>
      </c>
      <c r="Y406" s="371" t="e">
        <f t="shared" ref="Y406:Y412" si="396">$G406*O406</f>
        <v>#REF!</v>
      </c>
      <c r="Z406" s="371" t="e">
        <f t="shared" ref="Z406:Z412" si="397">$G406*P406</f>
        <v>#REF!</v>
      </c>
      <c r="AA406" s="371" t="e">
        <f t="shared" ref="AA406:AA412" si="398">$G406*Q406</f>
        <v>#REF!</v>
      </c>
      <c r="AB406" s="50"/>
    </row>
    <row r="407" outlineLevel="2" spans="1:28">
      <c r="A407" s="52">
        <f>MAX($A$6:A406)+1</f>
        <v>337</v>
      </c>
      <c r="B407" s="51" t="s">
        <v>528</v>
      </c>
      <c r="C407" s="51" t="e">
        <f>VLOOKUP($B407,#REF!,MATCH(C$2,#REF!,0),0)</f>
        <v>#REF!</v>
      </c>
      <c r="D407" s="136"/>
      <c r="E407" s="136"/>
      <c r="F407" s="136" t="e">
        <f>VLOOKUP($B407,#REF!,MATCH(F$2,#REF!,0),0)</f>
        <v>#REF!</v>
      </c>
      <c r="G407" s="137" t="e">
        <f>VLOOKUP($B407,#REF!,MATCH(G$2,#REF!,0),0)</f>
        <v>#REF!</v>
      </c>
      <c r="H407" s="48"/>
      <c r="I407" s="48"/>
      <c r="J407" s="48">
        <v>585.41</v>
      </c>
      <c r="K407" s="48">
        <v>585.41</v>
      </c>
      <c r="L407" s="48">
        <v>316</v>
      </c>
      <c r="M407" s="48"/>
      <c r="N407" s="48">
        <v>611.61</v>
      </c>
      <c r="O407" s="48"/>
      <c r="P407" s="48"/>
      <c r="Q407" s="48"/>
      <c r="R407" s="371" t="e">
        <f t="shared" si="389"/>
        <v>#REF!</v>
      </c>
      <c r="S407" s="371" t="e">
        <f t="shared" si="390"/>
        <v>#REF!</v>
      </c>
      <c r="T407" s="371" t="e">
        <f t="shared" si="391"/>
        <v>#REF!</v>
      </c>
      <c r="U407" s="371" t="e">
        <f t="shared" si="392"/>
        <v>#REF!</v>
      </c>
      <c r="V407" s="371" t="e">
        <f t="shared" si="393"/>
        <v>#REF!</v>
      </c>
      <c r="W407" s="371" t="e">
        <f t="shared" si="394"/>
        <v>#REF!</v>
      </c>
      <c r="X407" s="371" t="e">
        <f t="shared" si="395"/>
        <v>#REF!</v>
      </c>
      <c r="Y407" s="371" t="e">
        <f t="shared" si="396"/>
        <v>#REF!</v>
      </c>
      <c r="Z407" s="371" t="e">
        <f t="shared" si="397"/>
        <v>#REF!</v>
      </c>
      <c r="AA407" s="371" t="e">
        <f t="shared" si="398"/>
        <v>#REF!</v>
      </c>
      <c r="AB407" s="50"/>
    </row>
    <row r="408" ht="28.8" outlineLevel="2" spans="1:28">
      <c r="A408" s="52">
        <f>MAX($A$6:A407)+1</f>
        <v>338</v>
      </c>
      <c r="B408" s="51" t="s">
        <v>529</v>
      </c>
      <c r="C408" s="51" t="e">
        <f>VLOOKUP($B408,#REF!,MATCH(C$2,#REF!,0),0)</f>
        <v>#REF!</v>
      </c>
      <c r="D408" s="136"/>
      <c r="E408" s="136"/>
      <c r="F408" s="136" t="e">
        <f>VLOOKUP($B408,#REF!,MATCH(F$2,#REF!,0),0)</f>
        <v>#REF!</v>
      </c>
      <c r="G408" s="137" t="e">
        <f>VLOOKUP($B408,#REF!,MATCH(G$2,#REF!,0),0)</f>
        <v>#REF!</v>
      </c>
      <c r="H408" s="48"/>
      <c r="I408" s="48"/>
      <c r="J408" s="48">
        <v>585.41</v>
      </c>
      <c r="K408" s="48">
        <v>585.41</v>
      </c>
      <c r="L408" s="48">
        <v>316</v>
      </c>
      <c r="M408" s="48"/>
      <c r="N408" s="48">
        <v>611.61</v>
      </c>
      <c r="O408" s="48"/>
      <c r="P408" s="48"/>
      <c r="Q408" s="48"/>
      <c r="R408" s="371" t="e">
        <f t="shared" si="389"/>
        <v>#REF!</v>
      </c>
      <c r="S408" s="371" t="e">
        <f t="shared" si="390"/>
        <v>#REF!</v>
      </c>
      <c r="T408" s="371" t="e">
        <f t="shared" si="391"/>
        <v>#REF!</v>
      </c>
      <c r="U408" s="371" t="e">
        <f t="shared" si="392"/>
        <v>#REF!</v>
      </c>
      <c r="V408" s="371" t="e">
        <f t="shared" si="393"/>
        <v>#REF!</v>
      </c>
      <c r="W408" s="371" t="e">
        <f t="shared" si="394"/>
        <v>#REF!</v>
      </c>
      <c r="X408" s="371" t="e">
        <f t="shared" si="395"/>
        <v>#REF!</v>
      </c>
      <c r="Y408" s="371" t="e">
        <f t="shared" si="396"/>
        <v>#REF!</v>
      </c>
      <c r="Z408" s="371" t="e">
        <f t="shared" si="397"/>
        <v>#REF!</v>
      </c>
      <c r="AA408" s="371" t="e">
        <f t="shared" si="398"/>
        <v>#REF!</v>
      </c>
      <c r="AB408" s="50"/>
    </row>
    <row r="409" ht="28.8" outlineLevel="2" spans="1:28">
      <c r="A409" s="52">
        <f>MAX($A$6:A408)+1</f>
        <v>339</v>
      </c>
      <c r="B409" s="51" t="s">
        <v>530</v>
      </c>
      <c r="C409" s="51" t="e">
        <f>VLOOKUP($B409,#REF!,MATCH(C$2,#REF!,0),0)</f>
        <v>#REF!</v>
      </c>
      <c r="D409" s="136"/>
      <c r="E409" s="136"/>
      <c r="F409" s="136" t="e">
        <f>VLOOKUP($B409,#REF!,MATCH(F$2,#REF!,0),0)</f>
        <v>#REF!</v>
      </c>
      <c r="G409" s="137" t="e">
        <f>VLOOKUP($B409,#REF!,MATCH(G$2,#REF!,0),0)</f>
        <v>#REF!</v>
      </c>
      <c r="H409" s="48"/>
      <c r="I409" s="48"/>
      <c r="J409" s="48">
        <v>585.41</v>
      </c>
      <c r="K409" s="48">
        <v>585.41</v>
      </c>
      <c r="L409" s="48">
        <v>316</v>
      </c>
      <c r="M409" s="48"/>
      <c r="N409" s="48">
        <v>611.61</v>
      </c>
      <c r="O409" s="48"/>
      <c r="P409" s="48"/>
      <c r="Q409" s="48"/>
      <c r="R409" s="371" t="e">
        <f t="shared" si="389"/>
        <v>#REF!</v>
      </c>
      <c r="S409" s="371" t="e">
        <f t="shared" si="390"/>
        <v>#REF!</v>
      </c>
      <c r="T409" s="371" t="e">
        <f t="shared" si="391"/>
        <v>#REF!</v>
      </c>
      <c r="U409" s="371" t="e">
        <f t="shared" si="392"/>
        <v>#REF!</v>
      </c>
      <c r="V409" s="371" t="e">
        <f t="shared" si="393"/>
        <v>#REF!</v>
      </c>
      <c r="W409" s="371" t="e">
        <f t="shared" si="394"/>
        <v>#REF!</v>
      </c>
      <c r="X409" s="371" t="e">
        <f t="shared" si="395"/>
        <v>#REF!</v>
      </c>
      <c r="Y409" s="371" t="e">
        <f t="shared" si="396"/>
        <v>#REF!</v>
      </c>
      <c r="Z409" s="371" t="e">
        <f t="shared" si="397"/>
        <v>#REF!</v>
      </c>
      <c r="AA409" s="371" t="e">
        <f t="shared" si="398"/>
        <v>#REF!</v>
      </c>
      <c r="AB409" s="50"/>
    </row>
    <row r="410" ht="28.8" outlineLevel="2" spans="1:28">
      <c r="A410" s="52">
        <f>MAX($A$6:A409)+1</f>
        <v>340</v>
      </c>
      <c r="B410" s="51" t="s">
        <v>531</v>
      </c>
      <c r="C410" s="51" t="e">
        <f>VLOOKUP($B410,#REF!,MATCH(C$2,#REF!,0),0)</f>
        <v>#REF!</v>
      </c>
      <c r="D410" s="136"/>
      <c r="E410" s="136"/>
      <c r="F410" s="136" t="e">
        <f>VLOOKUP($B410,#REF!,MATCH(F$2,#REF!,0),0)</f>
        <v>#REF!</v>
      </c>
      <c r="G410" s="137" t="e">
        <f>VLOOKUP($B410,#REF!,MATCH(G$2,#REF!,0),0)</f>
        <v>#REF!</v>
      </c>
      <c r="H410" s="48"/>
      <c r="I410" s="48"/>
      <c r="J410" s="48">
        <v>585.41</v>
      </c>
      <c r="K410" s="48">
        <v>585.41</v>
      </c>
      <c r="L410" s="48">
        <v>316</v>
      </c>
      <c r="M410" s="48"/>
      <c r="N410" s="48">
        <v>611.61</v>
      </c>
      <c r="O410" s="48"/>
      <c r="P410" s="48"/>
      <c r="Q410" s="48"/>
      <c r="R410" s="371" t="e">
        <f t="shared" si="389"/>
        <v>#REF!</v>
      </c>
      <c r="S410" s="371" t="e">
        <f t="shared" si="390"/>
        <v>#REF!</v>
      </c>
      <c r="T410" s="371" t="e">
        <f t="shared" si="391"/>
        <v>#REF!</v>
      </c>
      <c r="U410" s="371" t="e">
        <f t="shared" si="392"/>
        <v>#REF!</v>
      </c>
      <c r="V410" s="371" t="e">
        <f t="shared" si="393"/>
        <v>#REF!</v>
      </c>
      <c r="W410" s="371" t="e">
        <f t="shared" si="394"/>
        <v>#REF!</v>
      </c>
      <c r="X410" s="371" t="e">
        <f t="shared" si="395"/>
        <v>#REF!</v>
      </c>
      <c r="Y410" s="371" t="e">
        <f t="shared" si="396"/>
        <v>#REF!</v>
      </c>
      <c r="Z410" s="371" t="e">
        <f t="shared" si="397"/>
        <v>#REF!</v>
      </c>
      <c r="AA410" s="371" t="e">
        <f t="shared" si="398"/>
        <v>#REF!</v>
      </c>
      <c r="AB410" s="50"/>
    </row>
    <row r="411" ht="28.8" outlineLevel="2" spans="1:28">
      <c r="A411" s="52">
        <f>MAX($A$6:A410)+1</f>
        <v>341</v>
      </c>
      <c r="B411" s="51" t="s">
        <v>532</v>
      </c>
      <c r="C411" s="51" t="e">
        <f>VLOOKUP($B411,#REF!,MATCH(C$2,#REF!,0),0)</f>
        <v>#REF!</v>
      </c>
      <c r="D411" s="136"/>
      <c r="E411" s="136"/>
      <c r="F411" s="136" t="e">
        <f>VLOOKUP($B411,#REF!,MATCH(F$2,#REF!,0),0)</f>
        <v>#REF!</v>
      </c>
      <c r="G411" s="137" t="e">
        <f>VLOOKUP($B411,#REF!,MATCH(G$2,#REF!,0),0)</f>
        <v>#REF!</v>
      </c>
      <c r="H411" s="48"/>
      <c r="I411" s="48"/>
      <c r="J411" s="48">
        <v>585.41</v>
      </c>
      <c r="K411" s="48">
        <v>585.41</v>
      </c>
      <c r="L411" s="48">
        <v>316</v>
      </c>
      <c r="M411" s="48"/>
      <c r="N411" s="48">
        <v>611.61</v>
      </c>
      <c r="O411" s="48"/>
      <c r="P411" s="48"/>
      <c r="Q411" s="48"/>
      <c r="R411" s="371" t="e">
        <f t="shared" si="389"/>
        <v>#REF!</v>
      </c>
      <c r="S411" s="371" t="e">
        <f t="shared" si="390"/>
        <v>#REF!</v>
      </c>
      <c r="T411" s="371" t="e">
        <f t="shared" si="391"/>
        <v>#REF!</v>
      </c>
      <c r="U411" s="371" t="e">
        <f t="shared" si="392"/>
        <v>#REF!</v>
      </c>
      <c r="V411" s="371" t="e">
        <f t="shared" si="393"/>
        <v>#REF!</v>
      </c>
      <c r="W411" s="371" t="e">
        <f t="shared" si="394"/>
        <v>#REF!</v>
      </c>
      <c r="X411" s="371" t="e">
        <f t="shared" si="395"/>
        <v>#REF!</v>
      </c>
      <c r="Y411" s="371" t="e">
        <f t="shared" si="396"/>
        <v>#REF!</v>
      </c>
      <c r="Z411" s="371" t="e">
        <f t="shared" si="397"/>
        <v>#REF!</v>
      </c>
      <c r="AA411" s="371" t="e">
        <f t="shared" si="398"/>
        <v>#REF!</v>
      </c>
      <c r="AB411" s="50"/>
    </row>
    <row r="412" ht="28.8" outlineLevel="2" spans="1:28">
      <c r="A412" s="52">
        <f>MAX($A$6:A411)+1</f>
        <v>342</v>
      </c>
      <c r="B412" s="51" t="s">
        <v>533</v>
      </c>
      <c r="C412" s="51" t="e">
        <f>VLOOKUP($B412,#REF!,MATCH(C$2,#REF!,0),0)</f>
        <v>#REF!</v>
      </c>
      <c r="D412" s="136"/>
      <c r="E412" s="136"/>
      <c r="F412" s="136" t="e">
        <f>VLOOKUP($B412,#REF!,MATCH(F$2,#REF!,0),0)</f>
        <v>#REF!</v>
      </c>
      <c r="G412" s="137" t="e">
        <f>VLOOKUP($B412,#REF!,MATCH(G$2,#REF!,0),0)</f>
        <v>#REF!</v>
      </c>
      <c r="H412" s="48"/>
      <c r="I412" s="48"/>
      <c r="J412" s="48">
        <v>585.41</v>
      </c>
      <c r="K412" s="48">
        <v>585.41</v>
      </c>
      <c r="L412" s="48">
        <v>316</v>
      </c>
      <c r="M412" s="48"/>
      <c r="N412" s="48">
        <v>611.61</v>
      </c>
      <c r="O412" s="48"/>
      <c r="P412" s="48"/>
      <c r="Q412" s="48"/>
      <c r="R412" s="371" t="e">
        <f t="shared" si="389"/>
        <v>#REF!</v>
      </c>
      <c r="S412" s="371" t="e">
        <f t="shared" si="390"/>
        <v>#REF!</v>
      </c>
      <c r="T412" s="371" t="e">
        <f t="shared" si="391"/>
        <v>#REF!</v>
      </c>
      <c r="U412" s="371" t="e">
        <f t="shared" si="392"/>
        <v>#REF!</v>
      </c>
      <c r="V412" s="371" t="e">
        <f t="shared" si="393"/>
        <v>#REF!</v>
      </c>
      <c r="W412" s="371" t="e">
        <f t="shared" si="394"/>
        <v>#REF!</v>
      </c>
      <c r="X412" s="371" t="e">
        <f t="shared" si="395"/>
        <v>#REF!</v>
      </c>
      <c r="Y412" s="371" t="e">
        <f t="shared" si="396"/>
        <v>#REF!</v>
      </c>
      <c r="Z412" s="371" t="e">
        <f t="shared" si="397"/>
        <v>#REF!</v>
      </c>
      <c r="AA412" s="371" t="e">
        <f t="shared" si="398"/>
        <v>#REF!</v>
      </c>
      <c r="AB412" s="50"/>
    </row>
    <row r="413" s="122" customFormat="1" outlineLevel="2" spans="1:28">
      <c r="A413" s="130"/>
      <c r="B413" s="154" t="s">
        <v>534</v>
      </c>
      <c r="C413" s="154"/>
      <c r="D413" s="154"/>
      <c r="E413" s="154"/>
      <c r="F413" s="130"/>
      <c r="G413" s="134"/>
      <c r="H413" s="134"/>
      <c r="I413" s="134"/>
      <c r="J413" s="134"/>
      <c r="K413" s="134"/>
      <c r="L413" s="134"/>
      <c r="M413" s="134"/>
      <c r="N413" s="134"/>
      <c r="O413" s="134"/>
      <c r="P413" s="134"/>
      <c r="Q413" s="134"/>
      <c r="R413" s="367"/>
      <c r="S413" s="367"/>
      <c r="T413" s="367"/>
      <c r="U413" s="367"/>
      <c r="V413" s="371"/>
      <c r="W413" s="367"/>
      <c r="X413" s="367"/>
      <c r="Y413" s="367"/>
      <c r="Z413" s="367"/>
      <c r="AA413" s="367"/>
      <c r="AB413" s="130"/>
    </row>
    <row r="414" ht="28.8" outlineLevel="2" spans="1:28">
      <c r="A414" s="52">
        <f>MAX($A$6:A413)+1</f>
        <v>343</v>
      </c>
      <c r="B414" s="51" t="s">
        <v>396</v>
      </c>
      <c r="C414" s="51" t="e">
        <f>VLOOKUP($B414,#REF!,MATCH(C$2,#REF!,0),0)</f>
        <v>#REF!</v>
      </c>
      <c r="D414" s="136"/>
      <c r="E414" s="136"/>
      <c r="F414" s="136" t="e">
        <f>VLOOKUP($B414,#REF!,MATCH(F$2,#REF!,0),0)</f>
        <v>#REF!</v>
      </c>
      <c r="G414" s="137" t="e">
        <f>VLOOKUP($B414,#REF!,MATCH(G$2,#REF!,0),0)</f>
        <v>#REF!</v>
      </c>
      <c r="H414" s="48">
        <v>174.64</v>
      </c>
      <c r="I414" s="48">
        <v>174.64</v>
      </c>
      <c r="J414" s="48">
        <v>85.67</v>
      </c>
      <c r="K414" s="48">
        <v>85.67</v>
      </c>
      <c r="L414" s="48">
        <v>177</v>
      </c>
      <c r="M414" s="48"/>
      <c r="N414" s="48"/>
      <c r="O414" s="48"/>
      <c r="P414" s="48"/>
      <c r="Q414" s="48"/>
      <c r="R414" s="371" t="e">
        <f>$G414*H414</f>
        <v>#REF!</v>
      </c>
      <c r="S414" s="371" t="e">
        <f t="shared" ref="S414:AA414" si="399">$G414*I414</f>
        <v>#REF!</v>
      </c>
      <c r="T414" s="371" t="e">
        <f t="shared" si="399"/>
        <v>#REF!</v>
      </c>
      <c r="U414" s="371" t="e">
        <f t="shared" si="399"/>
        <v>#REF!</v>
      </c>
      <c r="V414" s="371" t="e">
        <f t="shared" si="399"/>
        <v>#REF!</v>
      </c>
      <c r="W414" s="371" t="e">
        <f t="shared" si="399"/>
        <v>#REF!</v>
      </c>
      <c r="X414" s="371" t="e">
        <f t="shared" si="399"/>
        <v>#REF!</v>
      </c>
      <c r="Y414" s="371" t="e">
        <f t="shared" si="399"/>
        <v>#REF!</v>
      </c>
      <c r="Z414" s="371" t="e">
        <f t="shared" si="399"/>
        <v>#REF!</v>
      </c>
      <c r="AA414" s="371" t="e">
        <f t="shared" si="399"/>
        <v>#REF!</v>
      </c>
      <c r="AB414" s="50"/>
    </row>
    <row r="415" outlineLevel="2" spans="1:28">
      <c r="A415" s="52">
        <f>MAX($A$6:A414)+1</f>
        <v>344</v>
      </c>
      <c r="B415" s="51" t="s">
        <v>397</v>
      </c>
      <c r="C415" s="51" t="e">
        <f>VLOOKUP($B415,#REF!,MATCH(C$2,#REF!,0),0)</f>
        <v>#REF!</v>
      </c>
      <c r="D415" s="136"/>
      <c r="E415" s="136"/>
      <c r="F415" s="136" t="e">
        <f>VLOOKUP($B415,#REF!,MATCH(F$2,#REF!,0),0)</f>
        <v>#REF!</v>
      </c>
      <c r="G415" s="137" t="e">
        <f>VLOOKUP($B415,#REF!,MATCH(G$2,#REF!,0),0)</f>
        <v>#REF!</v>
      </c>
      <c r="H415" s="48">
        <v>174.64</v>
      </c>
      <c r="I415" s="48">
        <v>174.64</v>
      </c>
      <c r="J415" s="48">
        <v>85.67</v>
      </c>
      <c r="K415" s="48">
        <v>85.67</v>
      </c>
      <c r="L415" s="48">
        <v>177</v>
      </c>
      <c r="M415" s="48"/>
      <c r="N415" s="48"/>
      <c r="O415" s="48"/>
      <c r="P415" s="48"/>
      <c r="Q415" s="48"/>
      <c r="R415" s="371" t="e">
        <f t="shared" ref="R415:R427" si="400">$G415*H415</f>
        <v>#REF!</v>
      </c>
      <c r="S415" s="371" t="e">
        <f t="shared" ref="S415:S427" si="401">$G415*I415</f>
        <v>#REF!</v>
      </c>
      <c r="T415" s="371" t="e">
        <f t="shared" ref="T415:T427" si="402">$G415*J415</f>
        <v>#REF!</v>
      </c>
      <c r="U415" s="371" t="e">
        <f t="shared" ref="U415:U427" si="403">$G415*K415</f>
        <v>#REF!</v>
      </c>
      <c r="V415" s="371" t="e">
        <f t="shared" ref="V415:V427" si="404">$G415*L415</f>
        <v>#REF!</v>
      </c>
      <c r="W415" s="371" t="e">
        <f t="shared" ref="W415:W427" si="405">$G415*M415</f>
        <v>#REF!</v>
      </c>
      <c r="X415" s="371" t="e">
        <f t="shared" ref="X415:X427" si="406">$G415*N415</f>
        <v>#REF!</v>
      </c>
      <c r="Y415" s="371" t="e">
        <f t="shared" ref="Y415:Y420" si="407">$G415*O415</f>
        <v>#REF!</v>
      </c>
      <c r="Z415" s="371" t="e">
        <f t="shared" ref="Z415:Z427" si="408">$G415*P415</f>
        <v>#REF!</v>
      </c>
      <c r="AA415" s="371" t="e">
        <f t="shared" ref="AA415:AA427" si="409">$G415*Q415</f>
        <v>#REF!</v>
      </c>
      <c r="AB415" s="50"/>
    </row>
    <row r="416" outlineLevel="2" spans="1:28">
      <c r="A416" s="52">
        <f>MAX($A$6:A415)+1</f>
        <v>345</v>
      </c>
      <c r="B416" s="51" t="s">
        <v>398</v>
      </c>
      <c r="C416" s="51" t="e">
        <f>VLOOKUP($B416,#REF!,MATCH(C$2,#REF!,0),0)</f>
        <v>#REF!</v>
      </c>
      <c r="D416" s="136"/>
      <c r="E416" s="136"/>
      <c r="F416" s="136" t="e">
        <f>VLOOKUP($B416,#REF!,MATCH(F$2,#REF!,0),0)</f>
        <v>#REF!</v>
      </c>
      <c r="G416" s="137" t="e">
        <f>VLOOKUP($B416,#REF!,MATCH(G$2,#REF!,0),0)</f>
        <v>#REF!</v>
      </c>
      <c r="H416" s="48">
        <v>174.64</v>
      </c>
      <c r="I416" s="48">
        <v>174.64</v>
      </c>
      <c r="J416" s="48">
        <v>85.67</v>
      </c>
      <c r="K416" s="48">
        <v>85.67</v>
      </c>
      <c r="L416" s="48">
        <v>177</v>
      </c>
      <c r="M416" s="48"/>
      <c r="N416" s="48"/>
      <c r="O416" s="48"/>
      <c r="P416" s="48"/>
      <c r="Q416" s="48"/>
      <c r="R416" s="371" t="e">
        <f t="shared" si="400"/>
        <v>#REF!</v>
      </c>
      <c r="S416" s="371" t="e">
        <f t="shared" si="401"/>
        <v>#REF!</v>
      </c>
      <c r="T416" s="371" t="e">
        <f t="shared" si="402"/>
        <v>#REF!</v>
      </c>
      <c r="U416" s="371" t="e">
        <f t="shared" si="403"/>
        <v>#REF!</v>
      </c>
      <c r="V416" s="371" t="e">
        <f t="shared" si="404"/>
        <v>#REF!</v>
      </c>
      <c r="W416" s="371" t="e">
        <f t="shared" si="405"/>
        <v>#REF!</v>
      </c>
      <c r="X416" s="371" t="e">
        <f t="shared" si="406"/>
        <v>#REF!</v>
      </c>
      <c r="Y416" s="371" t="e">
        <f t="shared" si="407"/>
        <v>#REF!</v>
      </c>
      <c r="Z416" s="371" t="e">
        <f t="shared" si="408"/>
        <v>#REF!</v>
      </c>
      <c r="AA416" s="371" t="e">
        <f t="shared" si="409"/>
        <v>#REF!</v>
      </c>
      <c r="AB416" s="50"/>
    </row>
    <row r="417" outlineLevel="2" spans="1:28">
      <c r="A417" s="52">
        <f>MAX($A$6:A416)+1</f>
        <v>346</v>
      </c>
      <c r="B417" s="51" t="s">
        <v>399</v>
      </c>
      <c r="C417" s="51" t="e">
        <f>VLOOKUP($B417,#REF!,MATCH(C$2,#REF!,0),0)</f>
        <v>#REF!</v>
      </c>
      <c r="D417" s="136"/>
      <c r="E417" s="136"/>
      <c r="F417" s="136" t="e">
        <f>VLOOKUP($B417,#REF!,MATCH(F$2,#REF!,0),0)</f>
        <v>#REF!</v>
      </c>
      <c r="G417" s="137" t="e">
        <f>VLOOKUP($B417,#REF!,MATCH(G$2,#REF!,0),0)</f>
        <v>#REF!</v>
      </c>
      <c r="H417" s="48">
        <v>174.64</v>
      </c>
      <c r="I417" s="48">
        <v>174.64</v>
      </c>
      <c r="J417" s="48">
        <v>85.67</v>
      </c>
      <c r="K417" s="48">
        <v>85.67</v>
      </c>
      <c r="L417" s="48">
        <v>177</v>
      </c>
      <c r="M417" s="48"/>
      <c r="N417" s="48"/>
      <c r="O417" s="48"/>
      <c r="P417" s="48"/>
      <c r="Q417" s="48"/>
      <c r="R417" s="371" t="e">
        <f t="shared" si="400"/>
        <v>#REF!</v>
      </c>
      <c r="S417" s="371" t="e">
        <f t="shared" si="401"/>
        <v>#REF!</v>
      </c>
      <c r="T417" s="371" t="e">
        <f t="shared" si="402"/>
        <v>#REF!</v>
      </c>
      <c r="U417" s="371" t="e">
        <f t="shared" si="403"/>
        <v>#REF!</v>
      </c>
      <c r="V417" s="371" t="e">
        <f t="shared" si="404"/>
        <v>#REF!</v>
      </c>
      <c r="W417" s="371" t="e">
        <f t="shared" si="405"/>
        <v>#REF!</v>
      </c>
      <c r="X417" s="371" t="e">
        <f t="shared" si="406"/>
        <v>#REF!</v>
      </c>
      <c r="Y417" s="371" t="e">
        <f t="shared" si="407"/>
        <v>#REF!</v>
      </c>
      <c r="Z417" s="371" t="e">
        <f t="shared" si="408"/>
        <v>#REF!</v>
      </c>
      <c r="AA417" s="371" t="e">
        <f t="shared" si="409"/>
        <v>#REF!</v>
      </c>
      <c r="AB417" s="50"/>
    </row>
    <row r="418" ht="28.8" outlineLevel="2" spans="1:28">
      <c r="A418" s="52">
        <f>MAX($A$6:A417)+1</f>
        <v>347</v>
      </c>
      <c r="B418" s="51" t="s">
        <v>400</v>
      </c>
      <c r="C418" s="51" t="e">
        <f>VLOOKUP($B418,#REF!,MATCH(C$2,#REF!,0),0)</f>
        <v>#REF!</v>
      </c>
      <c r="D418" s="136"/>
      <c r="E418" s="136"/>
      <c r="F418" s="136" t="e">
        <f>VLOOKUP($B418,#REF!,MATCH(F$2,#REF!,0),0)</f>
        <v>#REF!</v>
      </c>
      <c r="G418" s="137" t="e">
        <f>VLOOKUP($B418,#REF!,MATCH(G$2,#REF!,0),0)</f>
        <v>#REF!</v>
      </c>
      <c r="H418" s="48">
        <v>174.64</v>
      </c>
      <c r="I418" s="48">
        <v>174.64</v>
      </c>
      <c r="J418" s="48">
        <v>85.67</v>
      </c>
      <c r="K418" s="48">
        <v>85.67</v>
      </c>
      <c r="L418" s="48">
        <v>177</v>
      </c>
      <c r="M418" s="48"/>
      <c r="N418" s="48"/>
      <c r="O418" s="48"/>
      <c r="P418" s="48"/>
      <c r="Q418" s="48"/>
      <c r="R418" s="371" t="e">
        <f t="shared" si="400"/>
        <v>#REF!</v>
      </c>
      <c r="S418" s="371" t="e">
        <f t="shared" si="401"/>
        <v>#REF!</v>
      </c>
      <c r="T418" s="371" t="e">
        <f t="shared" si="402"/>
        <v>#REF!</v>
      </c>
      <c r="U418" s="371" t="e">
        <f t="shared" si="403"/>
        <v>#REF!</v>
      </c>
      <c r="V418" s="371" t="e">
        <f t="shared" si="404"/>
        <v>#REF!</v>
      </c>
      <c r="W418" s="371" t="e">
        <f t="shared" si="405"/>
        <v>#REF!</v>
      </c>
      <c r="X418" s="371" t="e">
        <f t="shared" si="406"/>
        <v>#REF!</v>
      </c>
      <c r="Y418" s="371" t="e">
        <f t="shared" si="407"/>
        <v>#REF!</v>
      </c>
      <c r="Z418" s="371" t="e">
        <f t="shared" si="408"/>
        <v>#REF!</v>
      </c>
      <c r="AA418" s="371" t="e">
        <f t="shared" si="409"/>
        <v>#REF!</v>
      </c>
      <c r="AB418" s="50"/>
    </row>
    <row r="419" outlineLevel="2" spans="1:28">
      <c r="A419" s="52">
        <f>MAX($A$6:A418)+1</f>
        <v>348</v>
      </c>
      <c r="B419" s="51" t="s">
        <v>526</v>
      </c>
      <c r="C419" s="51" t="e">
        <f>VLOOKUP($B419,#REF!,MATCH(C$2,#REF!,0),0)</f>
        <v>#REF!</v>
      </c>
      <c r="D419" s="136"/>
      <c r="E419" s="136"/>
      <c r="F419" s="136" t="e">
        <f>VLOOKUP($B419,#REF!,MATCH(F$2,#REF!,0),0)</f>
        <v>#REF!</v>
      </c>
      <c r="G419" s="137" t="e">
        <f>VLOOKUP($B419,#REF!,MATCH(G$2,#REF!,0),0)</f>
        <v>#REF!</v>
      </c>
      <c r="H419" s="48"/>
      <c r="I419" s="48"/>
      <c r="J419" s="48"/>
      <c r="K419" s="48"/>
      <c r="L419" s="48"/>
      <c r="M419" s="48"/>
      <c r="N419" s="48"/>
      <c r="O419" s="48"/>
      <c r="P419" s="48"/>
      <c r="Q419" s="48"/>
      <c r="R419" s="371" t="e">
        <f t="shared" si="400"/>
        <v>#REF!</v>
      </c>
      <c r="S419" s="371" t="e">
        <f t="shared" si="401"/>
        <v>#REF!</v>
      </c>
      <c r="T419" s="371" t="e">
        <f t="shared" si="402"/>
        <v>#REF!</v>
      </c>
      <c r="U419" s="371" t="e">
        <f t="shared" si="403"/>
        <v>#REF!</v>
      </c>
      <c r="V419" s="371" t="e">
        <f t="shared" si="404"/>
        <v>#REF!</v>
      </c>
      <c r="W419" s="371" t="e">
        <f t="shared" si="405"/>
        <v>#REF!</v>
      </c>
      <c r="X419" s="371" t="e">
        <f t="shared" si="406"/>
        <v>#REF!</v>
      </c>
      <c r="Y419" s="371" t="e">
        <f t="shared" si="407"/>
        <v>#REF!</v>
      </c>
      <c r="Z419" s="371" t="e">
        <f t="shared" si="408"/>
        <v>#REF!</v>
      </c>
      <c r="AA419" s="371" t="e">
        <f t="shared" si="409"/>
        <v>#REF!</v>
      </c>
      <c r="AB419" s="50"/>
    </row>
    <row r="420" outlineLevel="2" spans="1:28">
      <c r="A420" s="52">
        <f>MAX($A$6:A419)+1</f>
        <v>349</v>
      </c>
      <c r="B420" s="51" t="s">
        <v>401</v>
      </c>
      <c r="C420" s="51" t="e">
        <f>VLOOKUP($B420,#REF!,MATCH(C$2,#REF!,0),0)</f>
        <v>#REF!</v>
      </c>
      <c r="D420" s="136"/>
      <c r="E420" s="136"/>
      <c r="F420" s="136" t="e">
        <f>VLOOKUP($B420,#REF!,MATCH(F$2,#REF!,0),0)</f>
        <v>#REF!</v>
      </c>
      <c r="G420" s="137" t="e">
        <f>VLOOKUP($B420,#REF!,MATCH(G$2,#REF!,0),0)</f>
        <v>#REF!</v>
      </c>
      <c r="H420" s="48">
        <v>174.64</v>
      </c>
      <c r="I420" s="48">
        <v>174.64</v>
      </c>
      <c r="J420" s="48">
        <v>85.67</v>
      </c>
      <c r="K420" s="48">
        <v>85.67</v>
      </c>
      <c r="L420" s="48">
        <v>177</v>
      </c>
      <c r="M420" s="48"/>
      <c r="N420" s="48"/>
      <c r="O420" s="48"/>
      <c r="P420" s="48"/>
      <c r="Q420" s="48"/>
      <c r="R420" s="371" t="e">
        <f t="shared" si="400"/>
        <v>#REF!</v>
      </c>
      <c r="S420" s="371" t="e">
        <f t="shared" si="401"/>
        <v>#REF!</v>
      </c>
      <c r="T420" s="371" t="e">
        <f t="shared" si="402"/>
        <v>#REF!</v>
      </c>
      <c r="U420" s="371" t="e">
        <f t="shared" si="403"/>
        <v>#REF!</v>
      </c>
      <c r="V420" s="371" t="e">
        <f t="shared" si="404"/>
        <v>#REF!</v>
      </c>
      <c r="W420" s="371" t="e">
        <f t="shared" si="405"/>
        <v>#REF!</v>
      </c>
      <c r="X420" s="371" t="e">
        <f t="shared" si="406"/>
        <v>#REF!</v>
      </c>
      <c r="Y420" s="371" t="e">
        <f t="shared" si="407"/>
        <v>#REF!</v>
      </c>
      <c r="Z420" s="371" t="e">
        <f t="shared" si="408"/>
        <v>#REF!</v>
      </c>
      <c r="AA420" s="371" t="e">
        <f t="shared" si="409"/>
        <v>#REF!</v>
      </c>
      <c r="AB420" s="50"/>
    </row>
    <row r="421" s="122" customFormat="1" outlineLevel="2" spans="1:28">
      <c r="A421" s="130"/>
      <c r="B421" s="154" t="s">
        <v>535</v>
      </c>
      <c r="C421" s="154"/>
      <c r="D421" s="154"/>
      <c r="E421" s="154"/>
      <c r="F421" s="130"/>
      <c r="G421" s="134"/>
      <c r="H421" s="134"/>
      <c r="I421" s="134"/>
      <c r="J421" s="134"/>
      <c r="K421" s="134"/>
      <c r="L421" s="134"/>
      <c r="M421" s="134"/>
      <c r="N421" s="134"/>
      <c r="O421" s="134"/>
      <c r="P421" s="134"/>
      <c r="Q421" s="134"/>
      <c r="R421" s="371"/>
      <c r="S421" s="371"/>
      <c r="T421" s="371"/>
      <c r="U421" s="371"/>
      <c r="V421" s="371"/>
      <c r="W421" s="371"/>
      <c r="X421" s="371"/>
      <c r="Y421" s="371"/>
      <c r="Z421" s="371"/>
      <c r="AA421" s="371"/>
      <c r="AB421" s="130"/>
    </row>
    <row r="422" ht="28.8" outlineLevel="2" spans="1:28">
      <c r="A422" s="52">
        <f>MAX($A$6:A421)+1</f>
        <v>350</v>
      </c>
      <c r="B422" s="51" t="s">
        <v>396</v>
      </c>
      <c r="C422" s="51" t="e">
        <f>VLOOKUP($B422,#REF!,MATCH(C$2,#REF!,0),0)</f>
        <v>#REF!</v>
      </c>
      <c r="D422" s="136"/>
      <c r="E422" s="136"/>
      <c r="F422" s="136" t="e">
        <f>VLOOKUP($B422,#REF!,MATCH(F$2,#REF!,0),0)</f>
        <v>#REF!</v>
      </c>
      <c r="G422" s="137" t="e">
        <f>VLOOKUP($B422,#REF!,MATCH(G$2,#REF!,0),0)</f>
        <v>#REF!</v>
      </c>
      <c r="H422" s="48">
        <v>1</v>
      </c>
      <c r="I422" s="48">
        <v>1</v>
      </c>
      <c r="J422" s="48">
        <v>1</v>
      </c>
      <c r="K422" s="48">
        <v>1</v>
      </c>
      <c r="L422" s="48"/>
      <c r="M422" s="48">
        <v>1</v>
      </c>
      <c r="N422" s="48">
        <v>1</v>
      </c>
      <c r="O422" s="48">
        <v>1</v>
      </c>
      <c r="P422" s="48"/>
      <c r="Q422" s="48"/>
      <c r="R422" s="371" t="e">
        <f t="shared" si="400"/>
        <v>#REF!</v>
      </c>
      <c r="S422" s="371" t="e">
        <f t="shared" si="401"/>
        <v>#REF!</v>
      </c>
      <c r="T422" s="371" t="e">
        <f t="shared" si="402"/>
        <v>#REF!</v>
      </c>
      <c r="U422" s="371" t="e">
        <f t="shared" si="403"/>
        <v>#REF!</v>
      </c>
      <c r="V422" s="371" t="e">
        <f t="shared" si="404"/>
        <v>#REF!</v>
      </c>
      <c r="W422" s="371" t="e">
        <f t="shared" si="405"/>
        <v>#REF!</v>
      </c>
      <c r="X422" s="371" t="e">
        <f t="shared" si="406"/>
        <v>#REF!</v>
      </c>
      <c r="Y422" s="371" t="e">
        <f t="shared" ref="Y422:Y427" si="410">$G422*O422</f>
        <v>#REF!</v>
      </c>
      <c r="Z422" s="371" t="e">
        <f t="shared" si="408"/>
        <v>#REF!</v>
      </c>
      <c r="AA422" s="371" t="e">
        <f t="shared" si="409"/>
        <v>#REF!</v>
      </c>
      <c r="AB422" s="50"/>
    </row>
    <row r="423" outlineLevel="2" spans="1:28">
      <c r="A423" s="52">
        <f>MAX($A$6:A422)+1</f>
        <v>351</v>
      </c>
      <c r="B423" s="51" t="s">
        <v>397</v>
      </c>
      <c r="C423" s="51" t="e">
        <f>VLOOKUP($B423,#REF!,MATCH(C$2,#REF!,0),0)</f>
        <v>#REF!</v>
      </c>
      <c r="D423" s="136"/>
      <c r="E423" s="136"/>
      <c r="F423" s="136" t="e">
        <f>VLOOKUP($B423,#REF!,MATCH(F$2,#REF!,0),0)</f>
        <v>#REF!</v>
      </c>
      <c r="G423" s="137" t="e">
        <f>VLOOKUP($B423,#REF!,MATCH(G$2,#REF!,0),0)</f>
        <v>#REF!</v>
      </c>
      <c r="H423" s="48">
        <v>1</v>
      </c>
      <c r="I423" s="48">
        <v>1</v>
      </c>
      <c r="J423" s="48">
        <v>1</v>
      </c>
      <c r="K423" s="48">
        <v>1</v>
      </c>
      <c r="L423" s="48"/>
      <c r="M423" s="48">
        <v>1</v>
      </c>
      <c r="N423" s="48">
        <v>1</v>
      </c>
      <c r="O423" s="48">
        <v>1</v>
      </c>
      <c r="P423" s="48"/>
      <c r="Q423" s="48"/>
      <c r="R423" s="371" t="e">
        <f t="shared" si="400"/>
        <v>#REF!</v>
      </c>
      <c r="S423" s="371" t="e">
        <f t="shared" si="401"/>
        <v>#REF!</v>
      </c>
      <c r="T423" s="371" t="e">
        <f t="shared" si="402"/>
        <v>#REF!</v>
      </c>
      <c r="U423" s="371" t="e">
        <f t="shared" si="403"/>
        <v>#REF!</v>
      </c>
      <c r="V423" s="371" t="e">
        <f t="shared" si="404"/>
        <v>#REF!</v>
      </c>
      <c r="W423" s="371" t="e">
        <f t="shared" si="405"/>
        <v>#REF!</v>
      </c>
      <c r="X423" s="371" t="e">
        <f t="shared" si="406"/>
        <v>#REF!</v>
      </c>
      <c r="Y423" s="371" t="e">
        <f t="shared" si="410"/>
        <v>#REF!</v>
      </c>
      <c r="Z423" s="371" t="e">
        <f t="shared" si="408"/>
        <v>#REF!</v>
      </c>
      <c r="AA423" s="371" t="e">
        <f t="shared" si="409"/>
        <v>#REF!</v>
      </c>
      <c r="AB423" s="50"/>
    </row>
    <row r="424" outlineLevel="2" spans="1:28">
      <c r="A424" s="52">
        <f>MAX($A$6:A423)+1</f>
        <v>352</v>
      </c>
      <c r="B424" s="51" t="s">
        <v>403</v>
      </c>
      <c r="C424" s="51" t="e">
        <f>VLOOKUP($B424,#REF!,MATCH(C$2,#REF!,0),0)</f>
        <v>#REF!</v>
      </c>
      <c r="D424" s="136"/>
      <c r="E424" s="136"/>
      <c r="F424" s="136" t="e">
        <f>VLOOKUP($B424,#REF!,MATCH(F$2,#REF!,0),0)</f>
        <v>#REF!</v>
      </c>
      <c r="G424" s="137" t="e">
        <f>VLOOKUP($B424,#REF!,MATCH(G$2,#REF!,0),0)</f>
        <v>#REF!</v>
      </c>
      <c r="H424" s="48">
        <v>1</v>
      </c>
      <c r="I424" s="48">
        <v>1</v>
      </c>
      <c r="J424" s="48">
        <v>1</v>
      </c>
      <c r="K424" s="48">
        <v>1</v>
      </c>
      <c r="L424" s="48"/>
      <c r="M424" s="48">
        <v>1</v>
      </c>
      <c r="N424" s="48">
        <v>1</v>
      </c>
      <c r="O424" s="48">
        <v>1</v>
      </c>
      <c r="P424" s="48"/>
      <c r="Q424" s="48"/>
      <c r="R424" s="371" t="e">
        <f t="shared" si="400"/>
        <v>#REF!</v>
      </c>
      <c r="S424" s="371" t="e">
        <f t="shared" si="401"/>
        <v>#REF!</v>
      </c>
      <c r="T424" s="371" t="e">
        <f t="shared" si="402"/>
        <v>#REF!</v>
      </c>
      <c r="U424" s="371" t="e">
        <f t="shared" si="403"/>
        <v>#REF!</v>
      </c>
      <c r="V424" s="371" t="e">
        <f t="shared" si="404"/>
        <v>#REF!</v>
      </c>
      <c r="W424" s="371" t="e">
        <f t="shared" si="405"/>
        <v>#REF!</v>
      </c>
      <c r="X424" s="371" t="e">
        <f t="shared" si="406"/>
        <v>#REF!</v>
      </c>
      <c r="Y424" s="371" t="e">
        <f t="shared" si="410"/>
        <v>#REF!</v>
      </c>
      <c r="Z424" s="371" t="e">
        <f t="shared" si="408"/>
        <v>#REF!</v>
      </c>
      <c r="AA424" s="371" t="e">
        <f t="shared" si="409"/>
        <v>#REF!</v>
      </c>
      <c r="AB424" s="50"/>
    </row>
    <row r="425" outlineLevel="2" spans="1:28">
      <c r="A425" s="52">
        <f>MAX($A$6:A424)+1</f>
        <v>353</v>
      </c>
      <c r="B425" s="51" t="s">
        <v>399</v>
      </c>
      <c r="C425" s="51" t="e">
        <f>VLOOKUP($B425,#REF!,MATCH(C$2,#REF!,0),0)</f>
        <v>#REF!</v>
      </c>
      <c r="D425" s="136"/>
      <c r="E425" s="136"/>
      <c r="F425" s="136" t="e">
        <f>VLOOKUP($B425,#REF!,MATCH(F$2,#REF!,0),0)</f>
        <v>#REF!</v>
      </c>
      <c r="G425" s="137" t="e">
        <f>VLOOKUP($B425,#REF!,MATCH(G$2,#REF!,0),0)</f>
        <v>#REF!</v>
      </c>
      <c r="H425" s="48">
        <v>1</v>
      </c>
      <c r="I425" s="48">
        <v>1</v>
      </c>
      <c r="J425" s="48">
        <v>1</v>
      </c>
      <c r="K425" s="48">
        <v>1</v>
      </c>
      <c r="L425" s="48"/>
      <c r="M425" s="48">
        <v>1</v>
      </c>
      <c r="N425" s="48">
        <v>1</v>
      </c>
      <c r="O425" s="48">
        <v>1</v>
      </c>
      <c r="P425" s="48"/>
      <c r="Q425" s="48"/>
      <c r="R425" s="371" t="e">
        <f t="shared" si="400"/>
        <v>#REF!</v>
      </c>
      <c r="S425" s="371" t="e">
        <f t="shared" si="401"/>
        <v>#REF!</v>
      </c>
      <c r="T425" s="371" t="e">
        <f t="shared" si="402"/>
        <v>#REF!</v>
      </c>
      <c r="U425" s="371" t="e">
        <f t="shared" si="403"/>
        <v>#REF!</v>
      </c>
      <c r="V425" s="371" t="e">
        <f t="shared" si="404"/>
        <v>#REF!</v>
      </c>
      <c r="W425" s="371" t="e">
        <f t="shared" si="405"/>
        <v>#REF!</v>
      </c>
      <c r="X425" s="371" t="e">
        <f t="shared" si="406"/>
        <v>#REF!</v>
      </c>
      <c r="Y425" s="371" t="e">
        <f t="shared" si="410"/>
        <v>#REF!</v>
      </c>
      <c r="Z425" s="371" t="e">
        <f t="shared" si="408"/>
        <v>#REF!</v>
      </c>
      <c r="AA425" s="371" t="e">
        <f t="shared" si="409"/>
        <v>#REF!</v>
      </c>
      <c r="AB425" s="50"/>
    </row>
    <row r="426" ht="28.8" outlineLevel="2" spans="1:28">
      <c r="A426" s="52">
        <f>MAX($A$6:A425)+1</f>
        <v>354</v>
      </c>
      <c r="B426" s="51" t="s">
        <v>400</v>
      </c>
      <c r="C426" s="51" t="e">
        <f>VLOOKUP($B426,#REF!,MATCH(C$2,#REF!,0),0)</f>
        <v>#REF!</v>
      </c>
      <c r="D426" s="136"/>
      <c r="E426" s="136"/>
      <c r="F426" s="136" t="e">
        <f>VLOOKUP($B426,#REF!,MATCH(F$2,#REF!,0),0)</f>
        <v>#REF!</v>
      </c>
      <c r="G426" s="137" t="e">
        <f>VLOOKUP($B426,#REF!,MATCH(G$2,#REF!,0),0)</f>
        <v>#REF!</v>
      </c>
      <c r="H426" s="48">
        <v>1</v>
      </c>
      <c r="I426" s="48">
        <v>1</v>
      </c>
      <c r="J426" s="48">
        <v>1</v>
      </c>
      <c r="K426" s="48">
        <v>1</v>
      </c>
      <c r="L426" s="48"/>
      <c r="M426" s="48">
        <v>1</v>
      </c>
      <c r="N426" s="48">
        <v>1</v>
      </c>
      <c r="O426" s="48">
        <v>1</v>
      </c>
      <c r="P426" s="48"/>
      <c r="Q426" s="48"/>
      <c r="R426" s="371" t="e">
        <f t="shared" si="400"/>
        <v>#REF!</v>
      </c>
      <c r="S426" s="371" t="e">
        <f t="shared" si="401"/>
        <v>#REF!</v>
      </c>
      <c r="T426" s="371" t="e">
        <f t="shared" si="402"/>
        <v>#REF!</v>
      </c>
      <c r="U426" s="371" t="e">
        <f t="shared" si="403"/>
        <v>#REF!</v>
      </c>
      <c r="V426" s="371" t="e">
        <f t="shared" si="404"/>
        <v>#REF!</v>
      </c>
      <c r="W426" s="371" t="e">
        <f t="shared" si="405"/>
        <v>#REF!</v>
      </c>
      <c r="X426" s="371" t="e">
        <f t="shared" si="406"/>
        <v>#REF!</v>
      </c>
      <c r="Y426" s="371" t="e">
        <f t="shared" si="410"/>
        <v>#REF!</v>
      </c>
      <c r="Z426" s="371" t="e">
        <f t="shared" si="408"/>
        <v>#REF!</v>
      </c>
      <c r="AA426" s="371" t="e">
        <f t="shared" si="409"/>
        <v>#REF!</v>
      </c>
      <c r="AB426" s="50"/>
    </row>
    <row r="427" outlineLevel="2" spans="1:28">
      <c r="A427" s="52">
        <f>MAX($A$6:A426)+1</f>
        <v>355</v>
      </c>
      <c r="B427" s="51" t="s">
        <v>401</v>
      </c>
      <c r="C427" s="51" t="e">
        <f>VLOOKUP($B427,#REF!,MATCH(C$2,#REF!,0),0)</f>
        <v>#REF!</v>
      </c>
      <c r="D427" s="136"/>
      <c r="E427" s="136"/>
      <c r="F427" s="136" t="e">
        <f>VLOOKUP($B427,#REF!,MATCH(F$2,#REF!,0),0)</f>
        <v>#REF!</v>
      </c>
      <c r="G427" s="137" t="e">
        <f>VLOOKUP($B427,#REF!,MATCH(G$2,#REF!,0),0)</f>
        <v>#REF!</v>
      </c>
      <c r="H427" s="48">
        <v>1</v>
      </c>
      <c r="I427" s="48">
        <v>1</v>
      </c>
      <c r="J427" s="48">
        <v>1</v>
      </c>
      <c r="K427" s="48">
        <v>1</v>
      </c>
      <c r="L427" s="48"/>
      <c r="M427" s="48">
        <v>1</v>
      </c>
      <c r="N427" s="48">
        <v>1</v>
      </c>
      <c r="O427" s="48">
        <v>1</v>
      </c>
      <c r="P427" s="48"/>
      <c r="Q427" s="48"/>
      <c r="R427" s="371" t="e">
        <f t="shared" si="400"/>
        <v>#REF!</v>
      </c>
      <c r="S427" s="371" t="e">
        <f t="shared" si="401"/>
        <v>#REF!</v>
      </c>
      <c r="T427" s="371" t="e">
        <f t="shared" si="402"/>
        <v>#REF!</v>
      </c>
      <c r="U427" s="371" t="e">
        <f t="shared" si="403"/>
        <v>#REF!</v>
      </c>
      <c r="V427" s="371" t="e">
        <f t="shared" si="404"/>
        <v>#REF!</v>
      </c>
      <c r="W427" s="371" t="e">
        <f t="shared" si="405"/>
        <v>#REF!</v>
      </c>
      <c r="X427" s="371" t="e">
        <f t="shared" si="406"/>
        <v>#REF!</v>
      </c>
      <c r="Y427" s="371" t="e">
        <f t="shared" si="410"/>
        <v>#REF!</v>
      </c>
      <c r="Z427" s="371" t="e">
        <f t="shared" si="408"/>
        <v>#REF!</v>
      </c>
      <c r="AA427" s="371" t="e">
        <f t="shared" si="409"/>
        <v>#REF!</v>
      </c>
      <c r="AB427" s="50"/>
    </row>
    <row r="428" s="122" customFormat="1" outlineLevel="2" spans="1:28">
      <c r="A428" s="130"/>
      <c r="B428" s="154" t="s">
        <v>536</v>
      </c>
      <c r="C428" s="154"/>
      <c r="D428" s="154"/>
      <c r="E428" s="154"/>
      <c r="F428" s="130"/>
      <c r="G428" s="134"/>
      <c r="H428" s="134"/>
      <c r="I428" s="134"/>
      <c r="J428" s="134"/>
      <c r="K428" s="134"/>
      <c r="L428" s="134"/>
      <c r="M428" s="134"/>
      <c r="N428" s="134"/>
      <c r="O428" s="134"/>
      <c r="P428" s="134"/>
      <c r="Q428" s="134"/>
      <c r="R428" s="367"/>
      <c r="S428" s="367"/>
      <c r="T428" s="367"/>
      <c r="U428" s="367"/>
      <c r="V428" s="371"/>
      <c r="W428" s="367"/>
      <c r="X428" s="367"/>
      <c r="Y428" s="367"/>
      <c r="Z428" s="367"/>
      <c r="AA428" s="367"/>
      <c r="AB428" s="130"/>
    </row>
    <row r="429" ht="28.8" outlineLevel="2" spans="1:28">
      <c r="A429" s="52">
        <f>MAX($A$6:A428)+1</f>
        <v>356</v>
      </c>
      <c r="B429" s="51" t="s">
        <v>396</v>
      </c>
      <c r="C429" s="51" t="e">
        <f>VLOOKUP($B429,#REF!,MATCH(C$2,#REF!,0),0)</f>
        <v>#REF!</v>
      </c>
      <c r="D429" s="136"/>
      <c r="E429" s="136"/>
      <c r="F429" s="136" t="e">
        <f>VLOOKUP($B429,#REF!,MATCH(F$2,#REF!,0),0)</f>
        <v>#REF!</v>
      </c>
      <c r="G429" s="137" t="e">
        <f>VLOOKUP($B429,#REF!,MATCH(G$2,#REF!,0),0)</f>
        <v>#REF!</v>
      </c>
      <c r="H429" s="48">
        <v>1</v>
      </c>
      <c r="I429" s="48">
        <v>1</v>
      </c>
      <c r="J429" s="48">
        <v>1</v>
      </c>
      <c r="K429" s="48">
        <v>1</v>
      </c>
      <c r="L429" s="48"/>
      <c r="M429" s="48">
        <v>1</v>
      </c>
      <c r="N429" s="48">
        <v>1</v>
      </c>
      <c r="O429" s="48">
        <v>1</v>
      </c>
      <c r="P429" s="48"/>
      <c r="Q429" s="48"/>
      <c r="R429" s="371" t="e">
        <f>$G429*H429</f>
        <v>#REF!</v>
      </c>
      <c r="S429" s="371" t="e">
        <f t="shared" ref="S429:AA429" si="411">$G429*I429</f>
        <v>#REF!</v>
      </c>
      <c r="T429" s="371" t="e">
        <f t="shared" si="411"/>
        <v>#REF!</v>
      </c>
      <c r="U429" s="371" t="e">
        <f t="shared" si="411"/>
        <v>#REF!</v>
      </c>
      <c r="V429" s="371" t="e">
        <f t="shared" si="411"/>
        <v>#REF!</v>
      </c>
      <c r="W429" s="371" t="e">
        <f t="shared" si="411"/>
        <v>#REF!</v>
      </c>
      <c r="X429" s="371" t="e">
        <f t="shared" si="411"/>
        <v>#REF!</v>
      </c>
      <c r="Y429" s="371" t="e">
        <f t="shared" si="411"/>
        <v>#REF!</v>
      </c>
      <c r="Z429" s="371" t="e">
        <f t="shared" si="411"/>
        <v>#REF!</v>
      </c>
      <c r="AA429" s="371" t="e">
        <f t="shared" si="411"/>
        <v>#REF!</v>
      </c>
      <c r="AB429" s="50"/>
    </row>
    <row r="430" outlineLevel="2" spans="1:28">
      <c r="A430" s="52">
        <f>MAX($A$6:A429)+1</f>
        <v>357</v>
      </c>
      <c r="B430" s="51" t="s">
        <v>397</v>
      </c>
      <c r="C430" s="51" t="e">
        <f>VLOOKUP($B430,#REF!,MATCH(C$2,#REF!,0),0)</f>
        <v>#REF!</v>
      </c>
      <c r="D430" s="136"/>
      <c r="E430" s="136"/>
      <c r="F430" s="136" t="e">
        <f>VLOOKUP($B430,#REF!,MATCH(F$2,#REF!,0),0)</f>
        <v>#REF!</v>
      </c>
      <c r="G430" s="137" t="e">
        <f>VLOOKUP($B430,#REF!,MATCH(G$2,#REF!,0),0)</f>
        <v>#REF!</v>
      </c>
      <c r="H430" s="48">
        <v>1</v>
      </c>
      <c r="I430" s="48">
        <v>1</v>
      </c>
      <c r="J430" s="48">
        <v>1</v>
      </c>
      <c r="K430" s="48">
        <v>1</v>
      </c>
      <c r="L430" s="48"/>
      <c r="M430" s="48">
        <v>1</v>
      </c>
      <c r="N430" s="48">
        <v>1</v>
      </c>
      <c r="O430" s="48">
        <v>1</v>
      </c>
      <c r="P430" s="48"/>
      <c r="Q430" s="48"/>
      <c r="R430" s="371" t="e">
        <f t="shared" ref="R430:AA430" si="412">$G430*H430</f>
        <v>#REF!</v>
      </c>
      <c r="S430" s="371" t="e">
        <f t="shared" si="412"/>
        <v>#REF!</v>
      </c>
      <c r="T430" s="371" t="e">
        <f t="shared" si="412"/>
        <v>#REF!</v>
      </c>
      <c r="U430" s="371" t="e">
        <f t="shared" si="412"/>
        <v>#REF!</v>
      </c>
      <c r="V430" s="371" t="e">
        <f t="shared" si="412"/>
        <v>#REF!</v>
      </c>
      <c r="W430" s="371" t="e">
        <f t="shared" si="412"/>
        <v>#REF!</v>
      </c>
      <c r="X430" s="371" t="e">
        <f t="shared" si="412"/>
        <v>#REF!</v>
      </c>
      <c r="Y430" s="371" t="e">
        <f t="shared" si="412"/>
        <v>#REF!</v>
      </c>
      <c r="Z430" s="371" t="e">
        <f t="shared" si="412"/>
        <v>#REF!</v>
      </c>
      <c r="AA430" s="371" t="e">
        <f t="shared" si="412"/>
        <v>#REF!</v>
      </c>
      <c r="AB430" s="50"/>
    </row>
    <row r="431" outlineLevel="2" spans="1:28">
      <c r="A431" s="52">
        <f>MAX($A$6:A430)+1</f>
        <v>358</v>
      </c>
      <c r="B431" s="51" t="s">
        <v>403</v>
      </c>
      <c r="C431" s="51" t="e">
        <f>VLOOKUP($B431,#REF!,MATCH(C$2,#REF!,0),0)</f>
        <v>#REF!</v>
      </c>
      <c r="D431" s="136"/>
      <c r="E431" s="136"/>
      <c r="F431" s="136" t="e">
        <f>VLOOKUP($B431,#REF!,MATCH(F$2,#REF!,0),0)</f>
        <v>#REF!</v>
      </c>
      <c r="G431" s="137" t="e">
        <f>VLOOKUP($B431,#REF!,MATCH(G$2,#REF!,0),0)</f>
        <v>#REF!</v>
      </c>
      <c r="H431" s="48">
        <v>1</v>
      </c>
      <c r="I431" s="48">
        <v>1</v>
      </c>
      <c r="J431" s="48">
        <v>1</v>
      </c>
      <c r="K431" s="48">
        <v>1</v>
      </c>
      <c r="L431" s="48"/>
      <c r="M431" s="48">
        <v>1</v>
      </c>
      <c r="N431" s="48">
        <v>1</v>
      </c>
      <c r="O431" s="48">
        <v>1</v>
      </c>
      <c r="P431" s="48"/>
      <c r="Q431" s="48"/>
      <c r="R431" s="371" t="e">
        <f t="shared" ref="R431:AA431" si="413">$G431*H431</f>
        <v>#REF!</v>
      </c>
      <c r="S431" s="371" t="e">
        <f t="shared" si="413"/>
        <v>#REF!</v>
      </c>
      <c r="T431" s="371" t="e">
        <f t="shared" si="413"/>
        <v>#REF!</v>
      </c>
      <c r="U431" s="371" t="e">
        <f t="shared" si="413"/>
        <v>#REF!</v>
      </c>
      <c r="V431" s="371" t="e">
        <f t="shared" si="413"/>
        <v>#REF!</v>
      </c>
      <c r="W431" s="371" t="e">
        <f t="shared" si="413"/>
        <v>#REF!</v>
      </c>
      <c r="X431" s="371" t="e">
        <f t="shared" si="413"/>
        <v>#REF!</v>
      </c>
      <c r="Y431" s="371" t="e">
        <f t="shared" si="413"/>
        <v>#REF!</v>
      </c>
      <c r="Z431" s="371" t="e">
        <f t="shared" si="413"/>
        <v>#REF!</v>
      </c>
      <c r="AA431" s="371" t="e">
        <f t="shared" si="413"/>
        <v>#REF!</v>
      </c>
      <c r="AB431" s="50"/>
    </row>
    <row r="432" outlineLevel="2" spans="1:28">
      <c r="A432" s="52">
        <f>MAX($A$6:A431)+1</f>
        <v>359</v>
      </c>
      <c r="B432" s="51" t="s">
        <v>399</v>
      </c>
      <c r="C432" s="51" t="e">
        <f>VLOOKUP($B432,#REF!,MATCH(C$2,#REF!,0),0)</f>
        <v>#REF!</v>
      </c>
      <c r="D432" s="136"/>
      <c r="E432" s="136"/>
      <c r="F432" s="136" t="e">
        <f>VLOOKUP($B432,#REF!,MATCH(F$2,#REF!,0),0)</f>
        <v>#REF!</v>
      </c>
      <c r="G432" s="137" t="e">
        <f>VLOOKUP($B432,#REF!,MATCH(G$2,#REF!,0),0)</f>
        <v>#REF!</v>
      </c>
      <c r="H432" s="48">
        <v>1</v>
      </c>
      <c r="I432" s="48">
        <v>1</v>
      </c>
      <c r="J432" s="48">
        <v>1</v>
      </c>
      <c r="K432" s="48">
        <v>1</v>
      </c>
      <c r="L432" s="48"/>
      <c r="M432" s="48">
        <v>1</v>
      </c>
      <c r="N432" s="48">
        <v>1</v>
      </c>
      <c r="O432" s="48">
        <v>1</v>
      </c>
      <c r="P432" s="48"/>
      <c r="Q432" s="48"/>
      <c r="R432" s="371" t="e">
        <f t="shared" ref="R432:AA432" si="414">$G432*H432</f>
        <v>#REF!</v>
      </c>
      <c r="S432" s="371" t="e">
        <f t="shared" si="414"/>
        <v>#REF!</v>
      </c>
      <c r="T432" s="371" t="e">
        <f t="shared" si="414"/>
        <v>#REF!</v>
      </c>
      <c r="U432" s="371" t="e">
        <f t="shared" si="414"/>
        <v>#REF!</v>
      </c>
      <c r="V432" s="371" t="e">
        <f t="shared" si="414"/>
        <v>#REF!</v>
      </c>
      <c r="W432" s="371" t="e">
        <f t="shared" si="414"/>
        <v>#REF!</v>
      </c>
      <c r="X432" s="371" t="e">
        <f t="shared" si="414"/>
        <v>#REF!</v>
      </c>
      <c r="Y432" s="371" t="e">
        <f t="shared" si="414"/>
        <v>#REF!</v>
      </c>
      <c r="Z432" s="371" t="e">
        <f t="shared" si="414"/>
        <v>#REF!</v>
      </c>
      <c r="AA432" s="371" t="e">
        <f t="shared" si="414"/>
        <v>#REF!</v>
      </c>
      <c r="AB432" s="50"/>
    </row>
    <row r="433" ht="28.8" outlineLevel="2" spans="1:28">
      <c r="A433" s="52">
        <f>MAX($A$6:A432)+1</f>
        <v>360</v>
      </c>
      <c r="B433" s="51" t="s">
        <v>400</v>
      </c>
      <c r="C433" s="51" t="e">
        <f>VLOOKUP($B433,#REF!,MATCH(C$2,#REF!,0),0)</f>
        <v>#REF!</v>
      </c>
      <c r="D433" s="136"/>
      <c r="E433" s="136"/>
      <c r="F433" s="136" t="e">
        <f>VLOOKUP($B433,#REF!,MATCH(F$2,#REF!,0),0)</f>
        <v>#REF!</v>
      </c>
      <c r="G433" s="137" t="e">
        <f>VLOOKUP($B433,#REF!,MATCH(G$2,#REF!,0),0)</f>
        <v>#REF!</v>
      </c>
      <c r="H433" s="48">
        <v>1</v>
      </c>
      <c r="I433" s="48">
        <v>1</v>
      </c>
      <c r="J433" s="48">
        <v>1</v>
      </c>
      <c r="K433" s="48">
        <v>1</v>
      </c>
      <c r="L433" s="48"/>
      <c r="M433" s="48">
        <v>1</v>
      </c>
      <c r="N433" s="48">
        <v>1</v>
      </c>
      <c r="O433" s="48">
        <v>1</v>
      </c>
      <c r="P433" s="48"/>
      <c r="Q433" s="48"/>
      <c r="R433" s="371" t="e">
        <f t="shared" ref="R433:AA433" si="415">$G433*H433</f>
        <v>#REF!</v>
      </c>
      <c r="S433" s="371" t="e">
        <f t="shared" si="415"/>
        <v>#REF!</v>
      </c>
      <c r="T433" s="371" t="e">
        <f t="shared" si="415"/>
        <v>#REF!</v>
      </c>
      <c r="U433" s="371" t="e">
        <f t="shared" si="415"/>
        <v>#REF!</v>
      </c>
      <c r="V433" s="371" t="e">
        <f t="shared" si="415"/>
        <v>#REF!</v>
      </c>
      <c r="W433" s="371" t="e">
        <f t="shared" si="415"/>
        <v>#REF!</v>
      </c>
      <c r="X433" s="371" t="e">
        <f t="shared" si="415"/>
        <v>#REF!</v>
      </c>
      <c r="Y433" s="371" t="e">
        <f t="shared" si="415"/>
        <v>#REF!</v>
      </c>
      <c r="Z433" s="371" t="e">
        <f t="shared" si="415"/>
        <v>#REF!</v>
      </c>
      <c r="AA433" s="371" t="e">
        <f t="shared" si="415"/>
        <v>#REF!</v>
      </c>
      <c r="AB433" s="50"/>
    </row>
    <row r="434" s="122" customFormat="1" outlineLevel="2" spans="1:28">
      <c r="A434" s="130"/>
      <c r="B434" s="154" t="s">
        <v>537</v>
      </c>
      <c r="C434" s="154"/>
      <c r="D434" s="154"/>
      <c r="E434" s="154"/>
      <c r="F434" s="130"/>
      <c r="G434" s="134"/>
      <c r="H434" s="134"/>
      <c r="I434" s="134"/>
      <c r="J434" s="134"/>
      <c r="K434" s="134"/>
      <c r="L434" s="134"/>
      <c r="M434" s="134"/>
      <c r="N434" s="134"/>
      <c r="O434" s="134"/>
      <c r="P434" s="134"/>
      <c r="Q434" s="134"/>
      <c r="R434" s="367"/>
      <c r="S434" s="367"/>
      <c r="T434" s="367"/>
      <c r="U434" s="367"/>
      <c r="V434" s="371"/>
      <c r="W434" s="367"/>
      <c r="X434" s="367"/>
      <c r="Y434" s="367"/>
      <c r="Z434" s="367"/>
      <c r="AA434" s="367"/>
      <c r="AB434" s="130"/>
    </row>
    <row r="435" ht="28.8" outlineLevel="2" spans="1:28">
      <c r="A435" s="52">
        <f>MAX($A$6:A434)+1</f>
        <v>361</v>
      </c>
      <c r="B435" s="51" t="s">
        <v>396</v>
      </c>
      <c r="C435" s="51" t="e">
        <f>VLOOKUP($B435,#REF!,MATCH(C$2,#REF!,0),0)</f>
        <v>#REF!</v>
      </c>
      <c r="D435" s="136"/>
      <c r="E435" s="136"/>
      <c r="F435" s="136" t="e">
        <f>VLOOKUP($B435,#REF!,MATCH(F$2,#REF!,0),0)</f>
        <v>#REF!</v>
      </c>
      <c r="G435" s="137" t="e">
        <f>VLOOKUP($B435,#REF!,MATCH(G$2,#REF!,0),0)</f>
        <v>#REF!</v>
      </c>
      <c r="H435" s="48">
        <v>74.72</v>
      </c>
      <c r="I435" s="48">
        <v>74.72</v>
      </c>
      <c r="J435" s="48">
        <v>1</v>
      </c>
      <c r="K435" s="48">
        <v>1</v>
      </c>
      <c r="L435" s="48">
        <v>192</v>
      </c>
      <c r="M435" s="48">
        <v>1</v>
      </c>
      <c r="N435" s="48">
        <v>1</v>
      </c>
      <c r="O435" s="48">
        <v>1</v>
      </c>
      <c r="P435" s="48"/>
      <c r="Q435" s="48"/>
      <c r="R435" s="371" t="e">
        <f>$G435*H435</f>
        <v>#REF!</v>
      </c>
      <c r="S435" s="371" t="e">
        <f t="shared" ref="S435:AA435" si="416">$G435*I435</f>
        <v>#REF!</v>
      </c>
      <c r="T435" s="371" t="e">
        <f t="shared" si="416"/>
        <v>#REF!</v>
      </c>
      <c r="U435" s="371" t="e">
        <f t="shared" si="416"/>
        <v>#REF!</v>
      </c>
      <c r="V435" s="371" t="e">
        <f t="shared" si="416"/>
        <v>#REF!</v>
      </c>
      <c r="W435" s="371" t="e">
        <f t="shared" si="416"/>
        <v>#REF!</v>
      </c>
      <c r="X435" s="371" t="e">
        <f t="shared" si="416"/>
        <v>#REF!</v>
      </c>
      <c r="Y435" s="371" t="e">
        <f t="shared" si="416"/>
        <v>#REF!</v>
      </c>
      <c r="Z435" s="371" t="e">
        <f t="shared" si="416"/>
        <v>#REF!</v>
      </c>
      <c r="AA435" s="371" t="e">
        <f t="shared" si="416"/>
        <v>#REF!</v>
      </c>
      <c r="AB435" s="50"/>
    </row>
    <row r="436" outlineLevel="2" spans="1:28">
      <c r="A436" s="52">
        <f>MAX($A$6:A435)+1</f>
        <v>362</v>
      </c>
      <c r="B436" s="51" t="s">
        <v>397</v>
      </c>
      <c r="C436" s="51" t="e">
        <f>VLOOKUP($B436,#REF!,MATCH(C$2,#REF!,0),0)</f>
        <v>#REF!</v>
      </c>
      <c r="D436" s="136"/>
      <c r="E436" s="136"/>
      <c r="F436" s="136" t="e">
        <f>VLOOKUP($B436,#REF!,MATCH(F$2,#REF!,0),0)</f>
        <v>#REF!</v>
      </c>
      <c r="G436" s="137" t="e">
        <f>VLOOKUP($B436,#REF!,MATCH(G$2,#REF!,0),0)</f>
        <v>#REF!</v>
      </c>
      <c r="H436" s="48">
        <v>74.72</v>
      </c>
      <c r="I436" s="48">
        <v>74.72</v>
      </c>
      <c r="J436" s="48">
        <v>1</v>
      </c>
      <c r="K436" s="48">
        <v>1</v>
      </c>
      <c r="L436" s="48">
        <v>192</v>
      </c>
      <c r="M436" s="48">
        <v>1</v>
      </c>
      <c r="N436" s="48">
        <v>1</v>
      </c>
      <c r="O436" s="48">
        <v>1</v>
      </c>
      <c r="P436" s="48"/>
      <c r="Q436" s="48"/>
      <c r="R436" s="371" t="e">
        <f t="shared" ref="R436:AA436" si="417">$G436*H436</f>
        <v>#REF!</v>
      </c>
      <c r="S436" s="371" t="e">
        <f t="shared" si="417"/>
        <v>#REF!</v>
      </c>
      <c r="T436" s="371" t="e">
        <f t="shared" si="417"/>
        <v>#REF!</v>
      </c>
      <c r="U436" s="371" t="e">
        <f t="shared" si="417"/>
        <v>#REF!</v>
      </c>
      <c r="V436" s="371" t="e">
        <f t="shared" si="417"/>
        <v>#REF!</v>
      </c>
      <c r="W436" s="371" t="e">
        <f t="shared" si="417"/>
        <v>#REF!</v>
      </c>
      <c r="X436" s="371" t="e">
        <f t="shared" si="417"/>
        <v>#REF!</v>
      </c>
      <c r="Y436" s="371" t="e">
        <f t="shared" si="417"/>
        <v>#REF!</v>
      </c>
      <c r="Z436" s="371" t="e">
        <f t="shared" si="417"/>
        <v>#REF!</v>
      </c>
      <c r="AA436" s="371" t="e">
        <f t="shared" si="417"/>
        <v>#REF!</v>
      </c>
      <c r="AB436" s="50"/>
    </row>
    <row r="437" outlineLevel="2" spans="1:28">
      <c r="A437" s="52">
        <f>MAX($A$6:A436)+1</f>
        <v>363</v>
      </c>
      <c r="B437" s="51" t="s">
        <v>403</v>
      </c>
      <c r="C437" s="51" t="e">
        <f>VLOOKUP($B437,#REF!,MATCH(C$2,#REF!,0),0)</f>
        <v>#REF!</v>
      </c>
      <c r="D437" s="136"/>
      <c r="E437" s="136"/>
      <c r="F437" s="136" t="e">
        <f>VLOOKUP($B437,#REF!,MATCH(F$2,#REF!,0),0)</f>
        <v>#REF!</v>
      </c>
      <c r="G437" s="137" t="e">
        <f>VLOOKUP($B437,#REF!,MATCH(G$2,#REF!,0),0)</f>
        <v>#REF!</v>
      </c>
      <c r="H437" s="48">
        <v>74.72</v>
      </c>
      <c r="I437" s="48">
        <v>74.72</v>
      </c>
      <c r="J437" s="48">
        <v>1</v>
      </c>
      <c r="K437" s="48">
        <v>1</v>
      </c>
      <c r="L437" s="48">
        <v>192</v>
      </c>
      <c r="M437" s="48">
        <v>1</v>
      </c>
      <c r="N437" s="48">
        <v>1</v>
      </c>
      <c r="O437" s="48">
        <v>1</v>
      </c>
      <c r="P437" s="48"/>
      <c r="Q437" s="48"/>
      <c r="R437" s="371" t="e">
        <f t="shared" ref="R437:AA437" si="418">$G437*H437</f>
        <v>#REF!</v>
      </c>
      <c r="S437" s="371" t="e">
        <f t="shared" si="418"/>
        <v>#REF!</v>
      </c>
      <c r="T437" s="371" t="e">
        <f t="shared" si="418"/>
        <v>#REF!</v>
      </c>
      <c r="U437" s="371" t="e">
        <f t="shared" si="418"/>
        <v>#REF!</v>
      </c>
      <c r="V437" s="371" t="e">
        <f t="shared" si="418"/>
        <v>#REF!</v>
      </c>
      <c r="W437" s="371" t="e">
        <f t="shared" si="418"/>
        <v>#REF!</v>
      </c>
      <c r="X437" s="371" t="e">
        <f t="shared" si="418"/>
        <v>#REF!</v>
      </c>
      <c r="Y437" s="371" t="e">
        <f t="shared" si="418"/>
        <v>#REF!</v>
      </c>
      <c r="Z437" s="371" t="e">
        <f t="shared" si="418"/>
        <v>#REF!</v>
      </c>
      <c r="AA437" s="371" t="e">
        <f t="shared" si="418"/>
        <v>#REF!</v>
      </c>
      <c r="AB437" s="50"/>
    </row>
    <row r="438" ht="28.8" outlineLevel="2" spans="1:28">
      <c r="A438" s="52">
        <f>MAX($A$6:A437)+1</f>
        <v>364</v>
      </c>
      <c r="B438" s="51" t="s">
        <v>538</v>
      </c>
      <c r="C438" s="51" t="e">
        <f>VLOOKUP($B438,#REF!,MATCH(C$2,#REF!,0),0)</f>
        <v>#REF!</v>
      </c>
      <c r="D438" s="136"/>
      <c r="E438" s="136"/>
      <c r="F438" s="136" t="e">
        <f>VLOOKUP($B438,#REF!,MATCH(F$2,#REF!,0),0)</f>
        <v>#REF!</v>
      </c>
      <c r="G438" s="137" t="e">
        <f>VLOOKUP($B438,#REF!,MATCH(G$2,#REF!,0),0)</f>
        <v>#REF!</v>
      </c>
      <c r="H438" s="48">
        <v>74.72</v>
      </c>
      <c r="I438" s="48">
        <v>74.72</v>
      </c>
      <c r="J438" s="48">
        <v>1</v>
      </c>
      <c r="K438" s="48">
        <v>1</v>
      </c>
      <c r="L438" s="48">
        <v>192</v>
      </c>
      <c r="M438" s="48">
        <v>1</v>
      </c>
      <c r="N438" s="48">
        <v>1</v>
      </c>
      <c r="O438" s="48">
        <v>1</v>
      </c>
      <c r="P438" s="48"/>
      <c r="Q438" s="48"/>
      <c r="R438" s="371" t="e">
        <f t="shared" ref="R438:AA438" si="419">$G438*H438</f>
        <v>#REF!</v>
      </c>
      <c r="S438" s="371" t="e">
        <f t="shared" si="419"/>
        <v>#REF!</v>
      </c>
      <c r="T438" s="371" t="e">
        <f t="shared" si="419"/>
        <v>#REF!</v>
      </c>
      <c r="U438" s="371" t="e">
        <f t="shared" si="419"/>
        <v>#REF!</v>
      </c>
      <c r="V438" s="371" t="e">
        <f t="shared" si="419"/>
        <v>#REF!</v>
      </c>
      <c r="W438" s="371" t="e">
        <f t="shared" si="419"/>
        <v>#REF!</v>
      </c>
      <c r="X438" s="371" t="e">
        <f t="shared" si="419"/>
        <v>#REF!</v>
      </c>
      <c r="Y438" s="371" t="e">
        <f t="shared" si="419"/>
        <v>#REF!</v>
      </c>
      <c r="Z438" s="371" t="e">
        <f t="shared" si="419"/>
        <v>#REF!</v>
      </c>
      <c r="AA438" s="371" t="e">
        <f t="shared" si="419"/>
        <v>#REF!</v>
      </c>
      <c r="AB438" s="50"/>
    </row>
    <row r="439" s="122" customFormat="1" outlineLevel="2" spans="1:28">
      <c r="A439" s="130"/>
      <c r="B439" s="154" t="s">
        <v>539</v>
      </c>
      <c r="C439" s="154"/>
      <c r="D439" s="154"/>
      <c r="E439" s="154"/>
      <c r="F439" s="130"/>
      <c r="G439" s="134"/>
      <c r="H439" s="134"/>
      <c r="I439" s="134"/>
      <c r="J439" s="134"/>
      <c r="K439" s="134"/>
      <c r="L439" s="134"/>
      <c r="M439" s="134"/>
      <c r="N439" s="134"/>
      <c r="O439" s="134"/>
      <c r="P439" s="134"/>
      <c r="Q439" s="134"/>
      <c r="R439" s="367"/>
      <c r="S439" s="367"/>
      <c r="T439" s="367"/>
      <c r="U439" s="367"/>
      <c r="V439" s="371"/>
      <c r="W439" s="367"/>
      <c r="X439" s="367"/>
      <c r="Y439" s="367"/>
      <c r="Z439" s="367"/>
      <c r="AA439" s="367"/>
      <c r="AB439" s="130"/>
    </row>
    <row r="440" outlineLevel="2" spans="1:28">
      <c r="A440" s="52">
        <f>MAX($A$6:A439)+1</f>
        <v>365</v>
      </c>
      <c r="B440" s="51" t="s">
        <v>540</v>
      </c>
      <c r="C440" s="51" t="e">
        <f>VLOOKUP($B440,#REF!,MATCH(C$2,#REF!,0),0)</f>
        <v>#REF!</v>
      </c>
      <c r="D440" s="136"/>
      <c r="E440" s="136"/>
      <c r="F440" s="136" t="e">
        <f>VLOOKUP($B440,#REF!,MATCH(F$2,#REF!,0),0)</f>
        <v>#REF!</v>
      </c>
      <c r="G440" s="137" t="e">
        <f>VLOOKUP($B440,#REF!,MATCH(G$2,#REF!,0),0)</f>
        <v>#REF!</v>
      </c>
      <c r="H440" s="48">
        <v>1</v>
      </c>
      <c r="I440" s="48">
        <v>1</v>
      </c>
      <c r="J440" s="48">
        <v>1</v>
      </c>
      <c r="K440" s="48">
        <v>1</v>
      </c>
      <c r="L440" s="48"/>
      <c r="M440" s="48">
        <v>1</v>
      </c>
      <c r="N440" s="48">
        <v>1</v>
      </c>
      <c r="O440" s="48">
        <v>1</v>
      </c>
      <c r="P440" s="48"/>
      <c r="Q440" s="48"/>
      <c r="R440" s="371" t="e">
        <f>$G440*H440</f>
        <v>#REF!</v>
      </c>
      <c r="S440" s="371" t="e">
        <f t="shared" ref="S440:AA440" si="420">$G440*I440</f>
        <v>#REF!</v>
      </c>
      <c r="T440" s="371" t="e">
        <f t="shared" si="420"/>
        <v>#REF!</v>
      </c>
      <c r="U440" s="371" t="e">
        <f t="shared" si="420"/>
        <v>#REF!</v>
      </c>
      <c r="V440" s="371" t="e">
        <f t="shared" si="420"/>
        <v>#REF!</v>
      </c>
      <c r="W440" s="371" t="e">
        <f t="shared" si="420"/>
        <v>#REF!</v>
      </c>
      <c r="X440" s="371" t="e">
        <f t="shared" si="420"/>
        <v>#REF!</v>
      </c>
      <c r="Y440" s="371" t="e">
        <f t="shared" si="420"/>
        <v>#REF!</v>
      </c>
      <c r="Z440" s="371" t="e">
        <f t="shared" si="420"/>
        <v>#REF!</v>
      </c>
      <c r="AA440" s="371" t="e">
        <f t="shared" si="420"/>
        <v>#REF!</v>
      </c>
      <c r="AB440" s="50"/>
    </row>
    <row r="441" outlineLevel="2" spans="1:28">
      <c r="A441" s="52">
        <f>MAX($A$6:A440)+1</f>
        <v>366</v>
      </c>
      <c r="B441" s="51" t="s">
        <v>525</v>
      </c>
      <c r="C441" s="51" t="e">
        <f>VLOOKUP($B441,#REF!,MATCH(C$2,#REF!,0),0)</f>
        <v>#REF!</v>
      </c>
      <c r="D441" s="136"/>
      <c r="E441" s="136"/>
      <c r="F441" s="136" t="e">
        <f>VLOOKUP($B441,#REF!,MATCH(F$2,#REF!,0),0)</f>
        <v>#REF!</v>
      </c>
      <c r="G441" s="137" t="e">
        <f>VLOOKUP($B441,#REF!,MATCH(G$2,#REF!,0),0)</f>
        <v>#REF!</v>
      </c>
      <c r="H441" s="48">
        <v>1</v>
      </c>
      <c r="I441" s="48">
        <v>1</v>
      </c>
      <c r="J441" s="48">
        <v>1</v>
      </c>
      <c r="K441" s="48">
        <v>1</v>
      </c>
      <c r="L441" s="48"/>
      <c r="M441" s="48">
        <v>1</v>
      </c>
      <c r="N441" s="48">
        <v>1</v>
      </c>
      <c r="O441" s="48">
        <v>1</v>
      </c>
      <c r="P441" s="48"/>
      <c r="Q441" s="48"/>
      <c r="R441" s="371" t="e">
        <f t="shared" ref="R441:AA441" si="421">$G441*H441</f>
        <v>#REF!</v>
      </c>
      <c r="S441" s="371" t="e">
        <f t="shared" si="421"/>
        <v>#REF!</v>
      </c>
      <c r="T441" s="371" t="e">
        <f t="shared" si="421"/>
        <v>#REF!</v>
      </c>
      <c r="U441" s="371" t="e">
        <f t="shared" si="421"/>
        <v>#REF!</v>
      </c>
      <c r="V441" s="371" t="e">
        <f t="shared" si="421"/>
        <v>#REF!</v>
      </c>
      <c r="W441" s="371" t="e">
        <f t="shared" si="421"/>
        <v>#REF!</v>
      </c>
      <c r="X441" s="371" t="e">
        <f t="shared" si="421"/>
        <v>#REF!</v>
      </c>
      <c r="Y441" s="371" t="e">
        <f t="shared" si="421"/>
        <v>#REF!</v>
      </c>
      <c r="Z441" s="371" t="e">
        <f t="shared" si="421"/>
        <v>#REF!</v>
      </c>
      <c r="AA441" s="371" t="e">
        <f t="shared" si="421"/>
        <v>#REF!</v>
      </c>
      <c r="AB441" s="50"/>
    </row>
    <row r="442" outlineLevel="2" spans="1:28">
      <c r="A442" s="52">
        <f>MAX($A$6:A441)+1</f>
        <v>367</v>
      </c>
      <c r="B442" s="51" t="s">
        <v>397</v>
      </c>
      <c r="C442" s="51" t="e">
        <f>VLOOKUP($B442,#REF!,MATCH(C$2,#REF!,0),0)</f>
        <v>#REF!</v>
      </c>
      <c r="D442" s="136"/>
      <c r="E442" s="136"/>
      <c r="F442" s="136" t="e">
        <f>VLOOKUP($B442,#REF!,MATCH(F$2,#REF!,0),0)</f>
        <v>#REF!</v>
      </c>
      <c r="G442" s="137" t="e">
        <f>VLOOKUP($B442,#REF!,MATCH(G$2,#REF!,0),0)</f>
        <v>#REF!</v>
      </c>
      <c r="H442" s="48">
        <v>1</v>
      </c>
      <c r="I442" s="48">
        <v>1</v>
      </c>
      <c r="J442" s="48">
        <v>1</v>
      </c>
      <c r="K442" s="48">
        <v>1</v>
      </c>
      <c r="L442" s="48"/>
      <c r="M442" s="48">
        <v>1</v>
      </c>
      <c r="N442" s="48">
        <v>1</v>
      </c>
      <c r="O442" s="48">
        <v>1</v>
      </c>
      <c r="P442" s="48"/>
      <c r="Q442" s="48"/>
      <c r="R442" s="371" t="e">
        <f t="shared" ref="R442:AA442" si="422">$G442*H442</f>
        <v>#REF!</v>
      </c>
      <c r="S442" s="371" t="e">
        <f t="shared" si="422"/>
        <v>#REF!</v>
      </c>
      <c r="T442" s="371" t="e">
        <f t="shared" si="422"/>
        <v>#REF!</v>
      </c>
      <c r="U442" s="371" t="e">
        <f t="shared" si="422"/>
        <v>#REF!</v>
      </c>
      <c r="V442" s="371" t="e">
        <f t="shared" si="422"/>
        <v>#REF!</v>
      </c>
      <c r="W442" s="371" t="e">
        <f t="shared" si="422"/>
        <v>#REF!</v>
      </c>
      <c r="X442" s="371" t="e">
        <f t="shared" si="422"/>
        <v>#REF!</v>
      </c>
      <c r="Y442" s="371" t="e">
        <f t="shared" si="422"/>
        <v>#REF!</v>
      </c>
      <c r="Z442" s="371" t="e">
        <f t="shared" si="422"/>
        <v>#REF!</v>
      </c>
      <c r="AA442" s="371" t="e">
        <f t="shared" si="422"/>
        <v>#REF!</v>
      </c>
      <c r="AB442" s="50"/>
    </row>
    <row r="443" outlineLevel="2" spans="1:28">
      <c r="A443" s="52">
        <f>MAX($A$6:A442)+1</f>
        <v>368</v>
      </c>
      <c r="B443" s="51" t="s">
        <v>403</v>
      </c>
      <c r="C443" s="51" t="e">
        <f>VLOOKUP($B443,#REF!,MATCH(C$2,#REF!,0),0)</f>
        <v>#REF!</v>
      </c>
      <c r="D443" s="136"/>
      <c r="E443" s="136"/>
      <c r="F443" s="136" t="e">
        <f>VLOOKUP($B443,#REF!,MATCH(F$2,#REF!,0),0)</f>
        <v>#REF!</v>
      </c>
      <c r="G443" s="137" t="e">
        <f>VLOOKUP($B443,#REF!,MATCH(G$2,#REF!,0),0)</f>
        <v>#REF!</v>
      </c>
      <c r="H443" s="48">
        <v>1</v>
      </c>
      <c r="I443" s="48">
        <v>1</v>
      </c>
      <c r="J443" s="48">
        <v>1</v>
      </c>
      <c r="K443" s="48">
        <v>1</v>
      </c>
      <c r="L443" s="48"/>
      <c r="M443" s="48">
        <v>1</v>
      </c>
      <c r="N443" s="48">
        <v>1</v>
      </c>
      <c r="O443" s="48">
        <v>1</v>
      </c>
      <c r="P443" s="48"/>
      <c r="Q443" s="48"/>
      <c r="R443" s="371" t="e">
        <f t="shared" ref="R443:AA443" si="423">$G443*H443</f>
        <v>#REF!</v>
      </c>
      <c r="S443" s="371" t="e">
        <f t="shared" si="423"/>
        <v>#REF!</v>
      </c>
      <c r="T443" s="371" t="e">
        <f t="shared" si="423"/>
        <v>#REF!</v>
      </c>
      <c r="U443" s="371" t="e">
        <f t="shared" si="423"/>
        <v>#REF!</v>
      </c>
      <c r="V443" s="371" t="e">
        <f t="shared" si="423"/>
        <v>#REF!</v>
      </c>
      <c r="W443" s="371" t="e">
        <f t="shared" si="423"/>
        <v>#REF!</v>
      </c>
      <c r="X443" s="371" t="e">
        <f t="shared" si="423"/>
        <v>#REF!</v>
      </c>
      <c r="Y443" s="371" t="e">
        <f t="shared" si="423"/>
        <v>#REF!</v>
      </c>
      <c r="Z443" s="371" t="e">
        <f t="shared" si="423"/>
        <v>#REF!</v>
      </c>
      <c r="AA443" s="371" t="e">
        <f t="shared" si="423"/>
        <v>#REF!</v>
      </c>
      <c r="AB443" s="50"/>
    </row>
    <row r="444" outlineLevel="2" spans="1:28">
      <c r="A444" s="52">
        <f>MAX($A$6:A443)+1</f>
        <v>369</v>
      </c>
      <c r="B444" s="51" t="s">
        <v>399</v>
      </c>
      <c r="C444" s="51" t="e">
        <f>VLOOKUP($B444,#REF!,MATCH(C$2,#REF!,0),0)</f>
        <v>#REF!</v>
      </c>
      <c r="D444" s="136"/>
      <c r="E444" s="136"/>
      <c r="F444" s="136" t="e">
        <f>VLOOKUP($B444,#REF!,MATCH(F$2,#REF!,0),0)</f>
        <v>#REF!</v>
      </c>
      <c r="G444" s="137" t="e">
        <f>VLOOKUP($B444,#REF!,MATCH(G$2,#REF!,0),0)</f>
        <v>#REF!</v>
      </c>
      <c r="H444" s="48">
        <v>1</v>
      </c>
      <c r="I444" s="48">
        <v>1</v>
      </c>
      <c r="J444" s="48">
        <v>1</v>
      </c>
      <c r="K444" s="48">
        <v>1</v>
      </c>
      <c r="L444" s="48"/>
      <c r="M444" s="48">
        <v>1</v>
      </c>
      <c r="N444" s="48">
        <v>1</v>
      </c>
      <c r="O444" s="48">
        <v>1</v>
      </c>
      <c r="P444" s="48"/>
      <c r="Q444" s="48"/>
      <c r="R444" s="371" t="e">
        <f t="shared" ref="R444:AA444" si="424">$G444*H444</f>
        <v>#REF!</v>
      </c>
      <c r="S444" s="371" t="e">
        <f t="shared" si="424"/>
        <v>#REF!</v>
      </c>
      <c r="T444" s="371" t="e">
        <f t="shared" si="424"/>
        <v>#REF!</v>
      </c>
      <c r="U444" s="371" t="e">
        <f t="shared" si="424"/>
        <v>#REF!</v>
      </c>
      <c r="V444" s="371" t="e">
        <f t="shared" si="424"/>
        <v>#REF!</v>
      </c>
      <c r="W444" s="371" t="e">
        <f t="shared" si="424"/>
        <v>#REF!</v>
      </c>
      <c r="X444" s="371" t="e">
        <f t="shared" si="424"/>
        <v>#REF!</v>
      </c>
      <c r="Y444" s="371" t="e">
        <f t="shared" si="424"/>
        <v>#REF!</v>
      </c>
      <c r="Z444" s="371" t="e">
        <f t="shared" si="424"/>
        <v>#REF!</v>
      </c>
      <c r="AA444" s="371" t="e">
        <f t="shared" si="424"/>
        <v>#REF!</v>
      </c>
      <c r="AB444" s="50"/>
    </row>
    <row r="445" ht="28.8" outlineLevel="2" spans="1:28">
      <c r="A445" s="52">
        <f>MAX($A$6:A444)+1</f>
        <v>370</v>
      </c>
      <c r="B445" s="51" t="s">
        <v>541</v>
      </c>
      <c r="C445" s="51" t="e">
        <f>VLOOKUP($B445,#REF!,MATCH(C$2,#REF!,0),0)</f>
        <v>#REF!</v>
      </c>
      <c r="D445" s="136"/>
      <c r="E445" s="136"/>
      <c r="F445" s="136" t="e">
        <f>VLOOKUP($B445,#REF!,MATCH(F$2,#REF!,0),0)</f>
        <v>#REF!</v>
      </c>
      <c r="G445" s="137" t="e">
        <f>VLOOKUP($B445,#REF!,MATCH(G$2,#REF!,0),0)</f>
        <v>#REF!</v>
      </c>
      <c r="H445" s="48">
        <v>1</v>
      </c>
      <c r="I445" s="48">
        <v>1</v>
      </c>
      <c r="J445" s="48">
        <v>1</v>
      </c>
      <c r="K445" s="48">
        <v>1</v>
      </c>
      <c r="L445" s="48"/>
      <c r="M445" s="48">
        <v>1</v>
      </c>
      <c r="N445" s="48">
        <v>1</v>
      </c>
      <c r="O445" s="48">
        <v>1</v>
      </c>
      <c r="P445" s="48"/>
      <c r="Q445" s="48"/>
      <c r="R445" s="371" t="e">
        <f t="shared" ref="R445:AA445" si="425">$G445*H445</f>
        <v>#REF!</v>
      </c>
      <c r="S445" s="371" t="e">
        <f t="shared" si="425"/>
        <v>#REF!</v>
      </c>
      <c r="T445" s="371" t="e">
        <f t="shared" si="425"/>
        <v>#REF!</v>
      </c>
      <c r="U445" s="371" t="e">
        <f t="shared" si="425"/>
        <v>#REF!</v>
      </c>
      <c r="V445" s="371" t="e">
        <f t="shared" si="425"/>
        <v>#REF!</v>
      </c>
      <c r="W445" s="371" t="e">
        <f t="shared" si="425"/>
        <v>#REF!</v>
      </c>
      <c r="X445" s="371" t="e">
        <f t="shared" si="425"/>
        <v>#REF!</v>
      </c>
      <c r="Y445" s="371" t="e">
        <f t="shared" si="425"/>
        <v>#REF!</v>
      </c>
      <c r="Z445" s="371" t="e">
        <f t="shared" si="425"/>
        <v>#REF!</v>
      </c>
      <c r="AA445" s="371" t="e">
        <f t="shared" si="425"/>
        <v>#REF!</v>
      </c>
      <c r="AB445" s="50"/>
    </row>
    <row r="446" s="122" customFormat="1" outlineLevel="2" spans="1:28">
      <c r="A446" s="130"/>
      <c r="B446" s="154" t="s">
        <v>542</v>
      </c>
      <c r="C446" s="154"/>
      <c r="D446" s="154"/>
      <c r="E446" s="154"/>
      <c r="F446" s="130"/>
      <c r="G446" s="134"/>
      <c r="H446" s="134"/>
      <c r="I446" s="134"/>
      <c r="J446" s="134"/>
      <c r="K446" s="134"/>
      <c r="L446" s="134"/>
      <c r="M446" s="134"/>
      <c r="N446" s="134"/>
      <c r="O446" s="134"/>
      <c r="P446" s="134"/>
      <c r="Q446" s="134"/>
      <c r="R446" s="367"/>
      <c r="S446" s="367"/>
      <c r="T446" s="367"/>
      <c r="U446" s="367"/>
      <c r="V446" s="371"/>
      <c r="W446" s="367"/>
      <c r="X446" s="367"/>
      <c r="Y446" s="367"/>
      <c r="Z446" s="367"/>
      <c r="AA446" s="367"/>
      <c r="AB446" s="130"/>
    </row>
    <row r="447" outlineLevel="2" spans="1:28">
      <c r="A447" s="52">
        <f>MAX($A$6:A446)+1</f>
        <v>371</v>
      </c>
      <c r="B447" s="51" t="s">
        <v>543</v>
      </c>
      <c r="C447" s="51" t="e">
        <f>VLOOKUP($B447,#REF!,MATCH(C$2,#REF!,0),0)</f>
        <v>#REF!</v>
      </c>
      <c r="D447" s="136"/>
      <c r="E447" s="136"/>
      <c r="F447" s="136" t="e">
        <f>VLOOKUP($B447,#REF!,MATCH(F$2,#REF!,0),0)</f>
        <v>#REF!</v>
      </c>
      <c r="G447" s="137" t="e">
        <f>VLOOKUP($B447,#REF!,MATCH(G$2,#REF!,0),0)</f>
        <v>#REF!</v>
      </c>
      <c r="H447" s="48">
        <v>354</v>
      </c>
      <c r="I447" s="48">
        <v>354</v>
      </c>
      <c r="J447" s="48">
        <v>278.88</v>
      </c>
      <c r="K447" s="48">
        <v>278.88</v>
      </c>
      <c r="L447" s="48"/>
      <c r="M447" s="48">
        <v>1</v>
      </c>
      <c r="N447" s="48">
        <v>1</v>
      </c>
      <c r="O447" s="48">
        <v>1</v>
      </c>
      <c r="P447" s="48"/>
      <c r="Q447" s="48"/>
      <c r="R447" s="371" t="e">
        <f>$G447*H447</f>
        <v>#REF!</v>
      </c>
      <c r="S447" s="371" t="e">
        <f t="shared" ref="S447:AA447" si="426">$G447*I447</f>
        <v>#REF!</v>
      </c>
      <c r="T447" s="371" t="e">
        <f t="shared" si="426"/>
        <v>#REF!</v>
      </c>
      <c r="U447" s="371" t="e">
        <f t="shared" si="426"/>
        <v>#REF!</v>
      </c>
      <c r="V447" s="371" t="e">
        <f t="shared" si="426"/>
        <v>#REF!</v>
      </c>
      <c r="W447" s="371" t="e">
        <f t="shared" si="426"/>
        <v>#REF!</v>
      </c>
      <c r="X447" s="371" t="e">
        <f t="shared" si="426"/>
        <v>#REF!</v>
      </c>
      <c r="Y447" s="371" t="e">
        <f t="shared" si="426"/>
        <v>#REF!</v>
      </c>
      <c r="Z447" s="371" t="e">
        <f t="shared" si="426"/>
        <v>#REF!</v>
      </c>
      <c r="AA447" s="371" t="e">
        <f t="shared" si="426"/>
        <v>#REF!</v>
      </c>
      <c r="AB447" s="50"/>
    </row>
    <row r="448" ht="28.8" outlineLevel="2" spans="1:28">
      <c r="A448" s="52">
        <f>MAX($A$6:A447)+1</f>
        <v>372</v>
      </c>
      <c r="B448" s="51" t="s">
        <v>544</v>
      </c>
      <c r="C448" s="51" t="e">
        <f>VLOOKUP($B448,#REF!,MATCH(C$2,#REF!,0),0)</f>
        <v>#REF!</v>
      </c>
      <c r="D448" s="136"/>
      <c r="E448" s="136"/>
      <c r="F448" s="136" t="e">
        <f>VLOOKUP($B448,#REF!,MATCH(F$2,#REF!,0),0)</f>
        <v>#REF!</v>
      </c>
      <c r="G448" s="137" t="e">
        <f>VLOOKUP($B448,#REF!,MATCH(G$2,#REF!,0),0)</f>
        <v>#REF!</v>
      </c>
      <c r="H448" s="48">
        <v>354</v>
      </c>
      <c r="I448" s="48">
        <v>354</v>
      </c>
      <c r="J448" s="48">
        <v>278.88</v>
      </c>
      <c r="K448" s="48">
        <v>278.88</v>
      </c>
      <c r="L448" s="48"/>
      <c r="M448" s="48">
        <v>1</v>
      </c>
      <c r="N448" s="48">
        <v>1</v>
      </c>
      <c r="O448" s="48">
        <v>1</v>
      </c>
      <c r="P448" s="48"/>
      <c r="Q448" s="48"/>
      <c r="R448" s="371" t="e">
        <f t="shared" ref="R448:AA448" si="427">$G448*H448</f>
        <v>#REF!</v>
      </c>
      <c r="S448" s="371" t="e">
        <f t="shared" si="427"/>
        <v>#REF!</v>
      </c>
      <c r="T448" s="371" t="e">
        <f t="shared" si="427"/>
        <v>#REF!</v>
      </c>
      <c r="U448" s="371" t="e">
        <f t="shared" si="427"/>
        <v>#REF!</v>
      </c>
      <c r="V448" s="371" t="e">
        <f t="shared" si="427"/>
        <v>#REF!</v>
      </c>
      <c r="W448" s="371" t="e">
        <f t="shared" si="427"/>
        <v>#REF!</v>
      </c>
      <c r="X448" s="371" t="e">
        <f t="shared" si="427"/>
        <v>#REF!</v>
      </c>
      <c r="Y448" s="371" t="e">
        <f t="shared" si="427"/>
        <v>#REF!</v>
      </c>
      <c r="Z448" s="371" t="e">
        <f t="shared" si="427"/>
        <v>#REF!</v>
      </c>
      <c r="AA448" s="371" t="e">
        <f t="shared" si="427"/>
        <v>#REF!</v>
      </c>
      <c r="AB448" s="50"/>
    </row>
    <row r="449" outlineLevel="2" spans="1:28">
      <c r="A449" s="52">
        <f>MAX($A$6:A448)+1</f>
        <v>373</v>
      </c>
      <c r="B449" s="51" t="s">
        <v>406</v>
      </c>
      <c r="C449" s="51" t="e">
        <f>VLOOKUP($B449,#REF!,MATCH(C$2,#REF!,0),0)</f>
        <v>#REF!</v>
      </c>
      <c r="D449" s="136"/>
      <c r="E449" s="136"/>
      <c r="F449" s="136" t="e">
        <f>VLOOKUP($B449,#REF!,MATCH(F$2,#REF!,0),0)</f>
        <v>#REF!</v>
      </c>
      <c r="G449" s="137" t="e">
        <f>VLOOKUP($B449,#REF!,MATCH(G$2,#REF!,0),0)</f>
        <v>#REF!</v>
      </c>
      <c r="H449" s="48">
        <v>9.3</v>
      </c>
      <c r="I449" s="48">
        <v>9.3</v>
      </c>
      <c r="J449" s="48">
        <v>1</v>
      </c>
      <c r="K449" s="48">
        <v>1</v>
      </c>
      <c r="L449" s="48"/>
      <c r="M449" s="48"/>
      <c r="N449" s="48"/>
      <c r="O449" s="48"/>
      <c r="P449" s="48"/>
      <c r="Q449" s="48"/>
      <c r="R449" s="371" t="e">
        <f t="shared" ref="R449:AA449" si="428">$G449*H449</f>
        <v>#REF!</v>
      </c>
      <c r="S449" s="371" t="e">
        <f t="shared" si="428"/>
        <v>#REF!</v>
      </c>
      <c r="T449" s="371" t="e">
        <f t="shared" si="428"/>
        <v>#REF!</v>
      </c>
      <c r="U449" s="371" t="e">
        <f t="shared" si="428"/>
        <v>#REF!</v>
      </c>
      <c r="V449" s="371" t="e">
        <f t="shared" si="428"/>
        <v>#REF!</v>
      </c>
      <c r="W449" s="371" t="e">
        <f t="shared" si="428"/>
        <v>#REF!</v>
      </c>
      <c r="X449" s="371" t="e">
        <f t="shared" si="428"/>
        <v>#REF!</v>
      </c>
      <c r="Y449" s="371" t="e">
        <f t="shared" si="428"/>
        <v>#REF!</v>
      </c>
      <c r="Z449" s="371" t="e">
        <f t="shared" si="428"/>
        <v>#REF!</v>
      </c>
      <c r="AA449" s="371" t="e">
        <f t="shared" si="428"/>
        <v>#REF!</v>
      </c>
      <c r="AB449" s="50"/>
    </row>
    <row r="450" outlineLevel="2" spans="1:28">
      <c r="A450" s="52">
        <f>MAX($A$6:A449)+1</f>
        <v>374</v>
      </c>
      <c r="B450" s="51" t="s">
        <v>545</v>
      </c>
      <c r="C450" s="51" t="e">
        <f>VLOOKUP($B450,#REF!,MATCH(C$2,#REF!,0),0)</f>
        <v>#REF!</v>
      </c>
      <c r="D450" s="136"/>
      <c r="E450" s="136"/>
      <c r="F450" s="136" t="e">
        <f>VLOOKUP($B450,#REF!,MATCH(F$2,#REF!,0),0)</f>
        <v>#REF!</v>
      </c>
      <c r="G450" s="137" t="e">
        <f>VLOOKUP($B450,#REF!,MATCH(G$2,#REF!,0),0)</f>
        <v>#REF!</v>
      </c>
      <c r="H450" s="48">
        <v>10.86</v>
      </c>
      <c r="I450" s="48">
        <v>10.86</v>
      </c>
      <c r="J450" s="48">
        <v>1</v>
      </c>
      <c r="K450" s="48">
        <v>1</v>
      </c>
      <c r="L450" s="48"/>
      <c r="M450" s="48"/>
      <c r="N450" s="48"/>
      <c r="O450" s="48"/>
      <c r="P450" s="48"/>
      <c r="Q450" s="48"/>
      <c r="R450" s="371" t="e">
        <f t="shared" ref="R450:AA450" si="429">$G450*H450</f>
        <v>#REF!</v>
      </c>
      <c r="S450" s="371" t="e">
        <f t="shared" si="429"/>
        <v>#REF!</v>
      </c>
      <c r="T450" s="371" t="e">
        <f t="shared" si="429"/>
        <v>#REF!</v>
      </c>
      <c r="U450" s="371" t="e">
        <f t="shared" si="429"/>
        <v>#REF!</v>
      </c>
      <c r="V450" s="371" t="e">
        <f t="shared" si="429"/>
        <v>#REF!</v>
      </c>
      <c r="W450" s="371" t="e">
        <f t="shared" si="429"/>
        <v>#REF!</v>
      </c>
      <c r="X450" s="371" t="e">
        <f t="shared" si="429"/>
        <v>#REF!</v>
      </c>
      <c r="Y450" s="371" t="e">
        <f t="shared" si="429"/>
        <v>#REF!</v>
      </c>
      <c r="Z450" s="371" t="e">
        <f t="shared" si="429"/>
        <v>#REF!</v>
      </c>
      <c r="AA450" s="371" t="e">
        <f t="shared" si="429"/>
        <v>#REF!</v>
      </c>
      <c r="AB450" s="50"/>
    </row>
    <row r="451" ht="28.8" outlineLevel="2" spans="1:28">
      <c r="A451" s="52">
        <f>MAX($A$6:A450)+1</f>
        <v>375</v>
      </c>
      <c r="B451" s="51" t="s">
        <v>546</v>
      </c>
      <c r="C451" s="51" t="e">
        <f>VLOOKUP($B451,#REF!,MATCH(C$2,#REF!,0),0)</f>
        <v>#REF!</v>
      </c>
      <c r="D451" s="136"/>
      <c r="E451" s="136"/>
      <c r="F451" s="136" t="e">
        <f>VLOOKUP($B451,#REF!,MATCH(F$2,#REF!,0),0)</f>
        <v>#REF!</v>
      </c>
      <c r="G451" s="137" t="e">
        <f>VLOOKUP($B451,#REF!,MATCH(G$2,#REF!,0),0)</f>
        <v>#REF!</v>
      </c>
      <c r="H451" s="48">
        <v>24.51</v>
      </c>
      <c r="I451" s="48">
        <v>24.51</v>
      </c>
      <c r="J451" s="48">
        <v>1</v>
      </c>
      <c r="K451" s="48">
        <v>1</v>
      </c>
      <c r="L451" s="48"/>
      <c r="M451" s="48">
        <v>26.32</v>
      </c>
      <c r="N451" s="48">
        <v>26.32</v>
      </c>
      <c r="O451" s="48">
        <v>26.32</v>
      </c>
      <c r="P451" s="48"/>
      <c r="Q451" s="48"/>
      <c r="R451" s="371" t="e">
        <f t="shared" ref="R451:AA451" si="430">$G451*H451</f>
        <v>#REF!</v>
      </c>
      <c r="S451" s="371" t="e">
        <f t="shared" si="430"/>
        <v>#REF!</v>
      </c>
      <c r="T451" s="371" t="e">
        <f t="shared" si="430"/>
        <v>#REF!</v>
      </c>
      <c r="U451" s="371" t="e">
        <f t="shared" si="430"/>
        <v>#REF!</v>
      </c>
      <c r="V451" s="371" t="e">
        <f t="shared" si="430"/>
        <v>#REF!</v>
      </c>
      <c r="W451" s="371" t="e">
        <f t="shared" si="430"/>
        <v>#REF!</v>
      </c>
      <c r="X451" s="371" t="e">
        <f t="shared" si="430"/>
        <v>#REF!</v>
      </c>
      <c r="Y451" s="371" t="e">
        <f t="shared" si="430"/>
        <v>#REF!</v>
      </c>
      <c r="Z451" s="371" t="e">
        <f t="shared" si="430"/>
        <v>#REF!</v>
      </c>
      <c r="AA451" s="371" t="e">
        <f t="shared" si="430"/>
        <v>#REF!</v>
      </c>
      <c r="AB451" s="50"/>
    </row>
    <row r="452" ht="28.8" outlineLevel="2" spans="1:28">
      <c r="A452" s="52">
        <f>MAX($A$6:A451)+1</f>
        <v>376</v>
      </c>
      <c r="B452" s="360" t="s">
        <v>547</v>
      </c>
      <c r="C452" s="51" t="e">
        <f>VLOOKUP($B452,#REF!,MATCH(C$2,#REF!,0),0)</f>
        <v>#REF!</v>
      </c>
      <c r="D452" s="136"/>
      <c r="E452" s="136"/>
      <c r="F452" s="136" t="e">
        <f>VLOOKUP($B452,#REF!,MATCH(F$2,#REF!,0),0)</f>
        <v>#REF!</v>
      </c>
      <c r="G452" s="137" t="e">
        <f>VLOOKUP($B452,#REF!,MATCH(G$2,#REF!,0),0)</f>
        <v>#REF!</v>
      </c>
      <c r="H452" s="48"/>
      <c r="I452" s="48"/>
      <c r="J452" s="48">
        <v>1</v>
      </c>
      <c r="K452" s="48">
        <v>1</v>
      </c>
      <c r="L452" s="48"/>
      <c r="M452" s="48"/>
      <c r="N452" s="48"/>
      <c r="O452" s="48"/>
      <c r="P452" s="48"/>
      <c r="Q452" s="48"/>
      <c r="R452" s="371" t="e">
        <f t="shared" ref="R452:AA452" si="431">$G452*H452</f>
        <v>#REF!</v>
      </c>
      <c r="S452" s="371" t="e">
        <f t="shared" si="431"/>
        <v>#REF!</v>
      </c>
      <c r="T452" s="371" t="e">
        <f t="shared" si="431"/>
        <v>#REF!</v>
      </c>
      <c r="U452" s="371" t="e">
        <f t="shared" si="431"/>
        <v>#REF!</v>
      </c>
      <c r="V452" s="371" t="e">
        <f t="shared" si="431"/>
        <v>#REF!</v>
      </c>
      <c r="W452" s="371" t="e">
        <f t="shared" si="431"/>
        <v>#REF!</v>
      </c>
      <c r="X452" s="371" t="e">
        <f t="shared" si="431"/>
        <v>#REF!</v>
      </c>
      <c r="Y452" s="371" t="e">
        <f t="shared" si="431"/>
        <v>#REF!</v>
      </c>
      <c r="Z452" s="371" t="e">
        <f t="shared" si="431"/>
        <v>#REF!</v>
      </c>
      <c r="AA452" s="371" t="e">
        <f t="shared" si="431"/>
        <v>#REF!</v>
      </c>
      <c r="AB452" s="50"/>
    </row>
    <row r="453" s="122" customFormat="1" outlineLevel="2" spans="1:28">
      <c r="A453" s="130"/>
      <c r="B453" s="154" t="s">
        <v>548</v>
      </c>
      <c r="C453" s="154"/>
      <c r="D453" s="154"/>
      <c r="E453" s="154"/>
      <c r="F453" s="130"/>
      <c r="G453" s="134"/>
      <c r="H453" s="134"/>
      <c r="I453" s="134"/>
      <c r="J453" s="134"/>
      <c r="K453" s="134"/>
      <c r="L453" s="134"/>
      <c r="M453" s="134"/>
      <c r="N453" s="134"/>
      <c r="O453" s="134"/>
      <c r="P453" s="134"/>
      <c r="Q453" s="134"/>
      <c r="R453" s="367"/>
      <c r="S453" s="367"/>
      <c r="T453" s="367"/>
      <c r="U453" s="367"/>
      <c r="V453" s="371"/>
      <c r="W453" s="367"/>
      <c r="X453" s="367"/>
      <c r="Y453" s="367"/>
      <c r="Z453" s="367"/>
      <c r="AA453" s="367"/>
      <c r="AB453" s="130"/>
    </row>
    <row r="454" s="1" customFormat="1" outlineLevel="2" spans="1:28">
      <c r="A454" s="52">
        <f>MAX($A$6:A453)+1</f>
        <v>377</v>
      </c>
      <c r="B454" s="374" t="s">
        <v>549</v>
      </c>
      <c r="C454" s="51" t="e">
        <f>VLOOKUP($B454,#REF!,MATCH(C$2,#REF!,0),0)</f>
        <v>#REF!</v>
      </c>
      <c r="D454" s="136"/>
      <c r="E454" s="136"/>
      <c r="F454" s="136" t="e">
        <f>VLOOKUP($B454,#REF!,MATCH(F$2,#REF!,0),0)</f>
        <v>#REF!</v>
      </c>
      <c r="G454" s="137" t="e">
        <f>VLOOKUP($B454,#REF!,MATCH(G$2,#REF!,0),0)</f>
        <v>#REF!</v>
      </c>
      <c r="H454" s="139"/>
      <c r="I454" s="139"/>
      <c r="J454" s="139"/>
      <c r="K454" s="139"/>
      <c r="L454" s="139"/>
      <c r="M454" s="139"/>
      <c r="N454" s="139">
        <v>1</v>
      </c>
      <c r="O454" s="139"/>
      <c r="P454" s="139"/>
      <c r="Q454" s="139"/>
      <c r="R454" s="371" t="e">
        <f>$G454*H454</f>
        <v>#REF!</v>
      </c>
      <c r="S454" s="371" t="e">
        <f t="shared" ref="S454:AA454" si="432">$G454*I454</f>
        <v>#REF!</v>
      </c>
      <c r="T454" s="371" t="e">
        <f t="shared" si="432"/>
        <v>#REF!</v>
      </c>
      <c r="U454" s="371" t="e">
        <f t="shared" si="432"/>
        <v>#REF!</v>
      </c>
      <c r="V454" s="371" t="e">
        <f t="shared" si="432"/>
        <v>#REF!</v>
      </c>
      <c r="W454" s="371" t="e">
        <f t="shared" si="432"/>
        <v>#REF!</v>
      </c>
      <c r="X454" s="371" t="e">
        <f t="shared" si="432"/>
        <v>#REF!</v>
      </c>
      <c r="Y454" s="371" t="e">
        <f t="shared" si="432"/>
        <v>#REF!</v>
      </c>
      <c r="Z454" s="371" t="e">
        <f t="shared" si="432"/>
        <v>#REF!</v>
      </c>
      <c r="AA454" s="371" t="e">
        <f t="shared" si="432"/>
        <v>#REF!</v>
      </c>
      <c r="AB454" s="26"/>
    </row>
    <row r="455" customFormat="1" outlineLevel="2" spans="1:28">
      <c r="A455" s="52">
        <f>MAX($A$6:A454)+1</f>
        <v>378</v>
      </c>
      <c r="B455" s="51" t="s">
        <v>348</v>
      </c>
      <c r="C455" s="51" t="e">
        <f>VLOOKUP($B455,#REF!,MATCH(C$2,#REF!,0),0)</f>
        <v>#REF!</v>
      </c>
      <c r="D455" s="136"/>
      <c r="E455" s="136"/>
      <c r="F455" s="136" t="e">
        <f>VLOOKUP($B455,#REF!,MATCH(F$2,#REF!,0),0)</f>
        <v>#REF!</v>
      </c>
      <c r="G455" s="137" t="e">
        <f>VLOOKUP($B455,#REF!,MATCH(G$2,#REF!,0),0)</f>
        <v>#REF!</v>
      </c>
      <c r="H455" s="48"/>
      <c r="I455" s="48"/>
      <c r="J455" s="48"/>
      <c r="K455" s="48"/>
      <c r="L455" s="48"/>
      <c r="M455" s="48"/>
      <c r="N455" s="48">
        <v>1</v>
      </c>
      <c r="O455" s="48"/>
      <c r="P455" s="48"/>
      <c r="Q455" s="48"/>
      <c r="R455" s="371" t="e">
        <f t="shared" ref="R455:AA455" si="433">$G455*H455</f>
        <v>#REF!</v>
      </c>
      <c r="S455" s="371" t="e">
        <f t="shared" si="433"/>
        <v>#REF!</v>
      </c>
      <c r="T455" s="371" t="e">
        <f t="shared" si="433"/>
        <v>#REF!</v>
      </c>
      <c r="U455" s="371" t="e">
        <f t="shared" si="433"/>
        <v>#REF!</v>
      </c>
      <c r="V455" s="371" t="e">
        <f t="shared" si="433"/>
        <v>#REF!</v>
      </c>
      <c r="W455" s="371" t="e">
        <f t="shared" si="433"/>
        <v>#REF!</v>
      </c>
      <c r="X455" s="371" t="e">
        <f t="shared" si="433"/>
        <v>#REF!</v>
      </c>
      <c r="Y455" s="371" t="e">
        <f t="shared" si="433"/>
        <v>#REF!</v>
      </c>
      <c r="Z455" s="371" t="e">
        <f t="shared" si="433"/>
        <v>#REF!</v>
      </c>
      <c r="AA455" s="371" t="e">
        <f t="shared" si="433"/>
        <v>#REF!</v>
      </c>
      <c r="AB455" s="50"/>
    </row>
    <row r="456" outlineLevel="2" spans="1:28">
      <c r="A456" s="52">
        <f>MAX($A$6:A455)+1</f>
        <v>379</v>
      </c>
      <c r="B456" s="51" t="s">
        <v>349</v>
      </c>
      <c r="C456" s="51" t="e">
        <f>VLOOKUP($B456,#REF!,MATCH(C$2,#REF!,0),0)</f>
        <v>#REF!</v>
      </c>
      <c r="D456" s="136"/>
      <c r="E456" s="136"/>
      <c r="F456" s="136" t="e">
        <f>VLOOKUP($B456,#REF!,MATCH(F$2,#REF!,0),0)</f>
        <v>#REF!</v>
      </c>
      <c r="G456" s="137" t="e">
        <f>VLOOKUP($B456,#REF!,MATCH(G$2,#REF!,0),0)</f>
        <v>#REF!</v>
      </c>
      <c r="H456" s="48"/>
      <c r="I456" s="48"/>
      <c r="J456" s="48"/>
      <c r="K456" s="48"/>
      <c r="L456" s="48"/>
      <c r="M456" s="48"/>
      <c r="N456" s="48">
        <v>1</v>
      </c>
      <c r="O456" s="48"/>
      <c r="P456" s="48"/>
      <c r="Q456" s="48"/>
      <c r="R456" s="371" t="e">
        <f t="shared" ref="R456:AA456" si="434">$G456*H456</f>
        <v>#REF!</v>
      </c>
      <c r="S456" s="371" t="e">
        <f t="shared" si="434"/>
        <v>#REF!</v>
      </c>
      <c r="T456" s="371" t="e">
        <f t="shared" si="434"/>
        <v>#REF!</v>
      </c>
      <c r="U456" s="371" t="e">
        <f t="shared" si="434"/>
        <v>#REF!</v>
      </c>
      <c r="V456" s="371" t="e">
        <f t="shared" si="434"/>
        <v>#REF!</v>
      </c>
      <c r="W456" s="371" t="e">
        <f t="shared" si="434"/>
        <v>#REF!</v>
      </c>
      <c r="X456" s="371" t="e">
        <f t="shared" si="434"/>
        <v>#REF!</v>
      </c>
      <c r="Y456" s="371" t="e">
        <f t="shared" si="434"/>
        <v>#REF!</v>
      </c>
      <c r="Z456" s="371" t="e">
        <f t="shared" si="434"/>
        <v>#REF!</v>
      </c>
      <c r="AA456" s="371" t="e">
        <f t="shared" si="434"/>
        <v>#REF!</v>
      </c>
      <c r="AB456" s="50"/>
    </row>
    <row r="457" ht="28.8" outlineLevel="2" spans="1:28">
      <c r="A457" s="52">
        <f>MAX($A$6:A456)+1</f>
        <v>380</v>
      </c>
      <c r="B457" s="51" t="s">
        <v>409</v>
      </c>
      <c r="C457" s="51" t="e">
        <f>VLOOKUP($B457,#REF!,MATCH(C$2,#REF!,0),0)</f>
        <v>#REF!</v>
      </c>
      <c r="D457" s="136"/>
      <c r="E457" s="136"/>
      <c r="F457" s="136" t="e">
        <f>VLOOKUP($B457,#REF!,MATCH(F$2,#REF!,0),0)</f>
        <v>#REF!</v>
      </c>
      <c r="G457" s="137" t="e">
        <f>VLOOKUP($B457,#REF!,MATCH(G$2,#REF!,0),0)</f>
        <v>#REF!</v>
      </c>
      <c r="H457" s="48">
        <v>617.236363636364</v>
      </c>
      <c r="I457" s="48">
        <v>617.236363636364</v>
      </c>
      <c r="J457" s="48">
        <v>377.2</v>
      </c>
      <c r="K457" s="48">
        <v>377.2</v>
      </c>
      <c r="L457" s="48"/>
      <c r="M457" s="48"/>
      <c r="N457" s="48"/>
      <c r="O457" s="48"/>
      <c r="P457" s="48"/>
      <c r="Q457" s="48"/>
      <c r="R457" s="371" t="e">
        <f t="shared" ref="R457:AA457" si="435">$G457*H457</f>
        <v>#REF!</v>
      </c>
      <c r="S457" s="371" t="e">
        <f t="shared" si="435"/>
        <v>#REF!</v>
      </c>
      <c r="T457" s="371" t="e">
        <f t="shared" si="435"/>
        <v>#REF!</v>
      </c>
      <c r="U457" s="371" t="e">
        <f t="shared" si="435"/>
        <v>#REF!</v>
      </c>
      <c r="V457" s="371" t="e">
        <f t="shared" si="435"/>
        <v>#REF!</v>
      </c>
      <c r="W457" s="371" t="e">
        <f t="shared" si="435"/>
        <v>#REF!</v>
      </c>
      <c r="X457" s="371" t="e">
        <f t="shared" si="435"/>
        <v>#REF!</v>
      </c>
      <c r="Y457" s="371" t="e">
        <f t="shared" si="435"/>
        <v>#REF!</v>
      </c>
      <c r="Z457" s="371" t="e">
        <f t="shared" si="435"/>
        <v>#REF!</v>
      </c>
      <c r="AA457" s="371" t="e">
        <f t="shared" si="435"/>
        <v>#REF!</v>
      </c>
      <c r="AB457" s="50"/>
    </row>
    <row r="458" outlineLevel="2" spans="1:28">
      <c r="A458" s="52">
        <f>MAX($A$6:A457)+1</f>
        <v>381</v>
      </c>
      <c r="B458" s="51" t="s">
        <v>550</v>
      </c>
      <c r="C458" s="51" t="e">
        <f>VLOOKUP($B458,#REF!,MATCH(C$2,#REF!,0),0)</f>
        <v>#REF!</v>
      </c>
      <c r="D458" s="136"/>
      <c r="E458" s="136"/>
      <c r="F458" s="136" t="e">
        <f>VLOOKUP($B458,#REF!,MATCH(F$2,#REF!,0),0)</f>
        <v>#REF!</v>
      </c>
      <c r="G458" s="137" t="e">
        <f>VLOOKUP($B458,#REF!,MATCH(G$2,#REF!,0),0)</f>
        <v>#REF!</v>
      </c>
      <c r="H458" s="48">
        <v>16</v>
      </c>
      <c r="I458" s="48">
        <v>16</v>
      </c>
      <c r="J458" s="48">
        <v>16</v>
      </c>
      <c r="K458" s="48">
        <v>16</v>
      </c>
      <c r="L458" s="48"/>
      <c r="M458" s="48"/>
      <c r="N458" s="48"/>
      <c r="O458" s="48"/>
      <c r="P458" s="48"/>
      <c r="Q458" s="48"/>
      <c r="R458" s="371" t="e">
        <f t="shared" ref="R458:AA458" si="436">$G458*H458</f>
        <v>#REF!</v>
      </c>
      <c r="S458" s="371" t="e">
        <f t="shared" si="436"/>
        <v>#REF!</v>
      </c>
      <c r="T458" s="371" t="e">
        <f t="shared" si="436"/>
        <v>#REF!</v>
      </c>
      <c r="U458" s="371" t="e">
        <f t="shared" si="436"/>
        <v>#REF!</v>
      </c>
      <c r="V458" s="371" t="e">
        <f t="shared" si="436"/>
        <v>#REF!</v>
      </c>
      <c r="W458" s="371" t="e">
        <f t="shared" si="436"/>
        <v>#REF!</v>
      </c>
      <c r="X458" s="371" t="e">
        <f t="shared" si="436"/>
        <v>#REF!</v>
      </c>
      <c r="Y458" s="371" t="e">
        <f t="shared" si="436"/>
        <v>#REF!</v>
      </c>
      <c r="Z458" s="371" t="e">
        <f t="shared" si="436"/>
        <v>#REF!</v>
      </c>
      <c r="AA458" s="371" t="e">
        <f t="shared" si="436"/>
        <v>#REF!</v>
      </c>
      <c r="AB458" s="50"/>
    </row>
    <row r="459" ht="28.8" outlineLevel="2" spans="1:28">
      <c r="A459" s="52">
        <f>MAX($A$6:A458)+1</f>
        <v>382</v>
      </c>
      <c r="B459" s="51" t="s">
        <v>551</v>
      </c>
      <c r="C459" s="51" t="e">
        <f>VLOOKUP($B459,#REF!,MATCH(C$2,#REF!,0),0)</f>
        <v>#REF!</v>
      </c>
      <c r="D459" s="136"/>
      <c r="E459" s="136"/>
      <c r="F459" s="136" t="e">
        <f>VLOOKUP($B459,#REF!,MATCH(F$2,#REF!,0),0)</f>
        <v>#REF!</v>
      </c>
      <c r="G459" s="137" t="e">
        <f>VLOOKUP($B459,#REF!,MATCH(G$2,#REF!,0),0)</f>
        <v>#REF!</v>
      </c>
      <c r="H459" s="48">
        <v>112.03</v>
      </c>
      <c r="I459" s="48">
        <v>112.03</v>
      </c>
      <c r="J459" s="48">
        <v>71.12</v>
      </c>
      <c r="K459" s="48">
        <v>71.12</v>
      </c>
      <c r="L459" s="48"/>
      <c r="M459" s="48"/>
      <c r="N459" s="48"/>
      <c r="O459" s="48"/>
      <c r="P459" s="48"/>
      <c r="Q459" s="48"/>
      <c r="R459" s="371" t="e">
        <f t="shared" ref="R459:AA459" si="437">$G459*H459</f>
        <v>#REF!</v>
      </c>
      <c r="S459" s="371" t="e">
        <f t="shared" si="437"/>
        <v>#REF!</v>
      </c>
      <c r="T459" s="371" t="e">
        <f t="shared" si="437"/>
        <v>#REF!</v>
      </c>
      <c r="U459" s="371" t="e">
        <f t="shared" si="437"/>
        <v>#REF!</v>
      </c>
      <c r="V459" s="371" t="e">
        <f t="shared" si="437"/>
        <v>#REF!</v>
      </c>
      <c r="W459" s="371" t="e">
        <f t="shared" si="437"/>
        <v>#REF!</v>
      </c>
      <c r="X459" s="371" t="e">
        <f t="shared" si="437"/>
        <v>#REF!</v>
      </c>
      <c r="Y459" s="371" t="e">
        <f t="shared" si="437"/>
        <v>#REF!</v>
      </c>
      <c r="Z459" s="371" t="e">
        <f t="shared" si="437"/>
        <v>#REF!</v>
      </c>
      <c r="AA459" s="371" t="e">
        <f t="shared" si="437"/>
        <v>#REF!</v>
      </c>
      <c r="AB459" s="50"/>
    </row>
    <row r="460" s="29" customFormat="1" ht="28.8" outlineLevel="1" spans="1:28">
      <c r="A460" s="40"/>
      <c r="B460" s="41" t="str">
        <f>目录!H13</f>
        <v>A.04.03保温一体化工程</v>
      </c>
      <c r="C460" s="41"/>
      <c r="D460" s="141"/>
      <c r="E460" s="141"/>
      <c r="F460" s="40"/>
      <c r="G460" s="43"/>
      <c r="H460" s="43"/>
      <c r="I460" s="43"/>
      <c r="J460" s="43"/>
      <c r="K460" s="43"/>
      <c r="L460" s="43"/>
      <c r="M460" s="43"/>
      <c r="N460" s="43"/>
      <c r="O460" s="43"/>
      <c r="P460" s="43"/>
      <c r="Q460" s="43"/>
      <c r="R460" s="369" t="e">
        <f t="shared" ref="R460:AA460" si="438">SUM(R461:R489)</f>
        <v>#REF!</v>
      </c>
      <c r="S460" s="369" t="e">
        <f t="shared" si="438"/>
        <v>#REF!</v>
      </c>
      <c r="T460" s="369" t="e">
        <f t="shared" si="438"/>
        <v>#REF!</v>
      </c>
      <c r="U460" s="369" t="e">
        <f t="shared" si="438"/>
        <v>#REF!</v>
      </c>
      <c r="V460" s="369" t="e">
        <f t="shared" si="438"/>
        <v>#REF!</v>
      </c>
      <c r="W460" s="369" t="e">
        <f t="shared" si="438"/>
        <v>#REF!</v>
      </c>
      <c r="X460" s="369" t="e">
        <f t="shared" si="438"/>
        <v>#REF!</v>
      </c>
      <c r="Y460" s="369" t="e">
        <f t="shared" si="438"/>
        <v>#REF!</v>
      </c>
      <c r="Z460" s="369" t="e">
        <f t="shared" si="438"/>
        <v>#REF!</v>
      </c>
      <c r="AA460" s="369" t="e">
        <f t="shared" si="438"/>
        <v>#REF!</v>
      </c>
      <c r="AB460" s="40"/>
    </row>
    <row r="461" ht="28.8" outlineLevel="2" spans="1:28">
      <c r="A461" s="52">
        <f>MAX($A$6:A460)+1</f>
        <v>383</v>
      </c>
      <c r="B461" s="51" t="s">
        <v>552</v>
      </c>
      <c r="C461" s="51" t="e">
        <f>VLOOKUP($B461,#REF!,MATCH(C$2,#REF!,0),0)</f>
        <v>#REF!</v>
      </c>
      <c r="D461" s="136"/>
      <c r="E461" s="136"/>
      <c r="F461" s="136" t="e">
        <f>VLOOKUP($B461,#REF!,MATCH(F$2,#REF!,0),0)</f>
        <v>#REF!</v>
      </c>
      <c r="G461" s="137" t="e">
        <f>VLOOKUP($B461,#REF!,MATCH(G$2,#REF!,0),0)</f>
        <v>#REF!</v>
      </c>
      <c r="H461" s="48">
        <v>1</v>
      </c>
      <c r="I461" s="48">
        <v>1</v>
      </c>
      <c r="J461" s="48">
        <v>1</v>
      </c>
      <c r="K461" s="48">
        <v>1</v>
      </c>
      <c r="L461" s="48"/>
      <c r="M461" s="48">
        <v>1</v>
      </c>
      <c r="N461" s="48">
        <v>1</v>
      </c>
      <c r="O461" s="48">
        <v>1</v>
      </c>
      <c r="P461" s="48"/>
      <c r="Q461" s="48"/>
      <c r="R461" s="371" t="e">
        <f>$G461*H461</f>
        <v>#REF!</v>
      </c>
      <c r="S461" s="371" t="e">
        <f t="shared" ref="S461:AA461" si="439">$G461*I461</f>
        <v>#REF!</v>
      </c>
      <c r="T461" s="371" t="e">
        <f t="shared" si="439"/>
        <v>#REF!</v>
      </c>
      <c r="U461" s="371" t="e">
        <f t="shared" si="439"/>
        <v>#REF!</v>
      </c>
      <c r="V461" s="371" t="e">
        <f t="shared" si="439"/>
        <v>#REF!</v>
      </c>
      <c r="W461" s="371" t="e">
        <f t="shared" si="439"/>
        <v>#REF!</v>
      </c>
      <c r="X461" s="371" t="e">
        <f t="shared" si="439"/>
        <v>#REF!</v>
      </c>
      <c r="Y461" s="371" t="e">
        <f t="shared" si="439"/>
        <v>#REF!</v>
      </c>
      <c r="Z461" s="371" t="e">
        <f t="shared" si="439"/>
        <v>#REF!</v>
      </c>
      <c r="AA461" s="371" t="e">
        <f t="shared" si="439"/>
        <v>#REF!</v>
      </c>
      <c r="AB461" s="50"/>
    </row>
    <row r="462" ht="28.8" outlineLevel="2" spans="1:28">
      <c r="A462" s="52">
        <f>MAX($A$6:A461)+1</f>
        <v>384</v>
      </c>
      <c r="B462" s="51" t="s">
        <v>553</v>
      </c>
      <c r="C462" s="51" t="e">
        <f>VLOOKUP($B462,#REF!,MATCH(C$2,#REF!,0),0)</f>
        <v>#REF!</v>
      </c>
      <c r="D462" s="136"/>
      <c r="E462" s="136"/>
      <c r="F462" s="136" t="e">
        <f>VLOOKUP($B462,#REF!,MATCH(F$2,#REF!,0),0)</f>
        <v>#REF!</v>
      </c>
      <c r="G462" s="137" t="e">
        <f>VLOOKUP($B462,#REF!,MATCH(G$2,#REF!,0),0)</f>
        <v>#REF!</v>
      </c>
      <c r="H462" s="48">
        <v>1</v>
      </c>
      <c r="I462" s="48">
        <v>1</v>
      </c>
      <c r="J462" s="48">
        <v>1</v>
      </c>
      <c r="K462" s="48">
        <v>1</v>
      </c>
      <c r="L462" s="48"/>
      <c r="M462" s="48">
        <v>1</v>
      </c>
      <c r="N462" s="48">
        <v>1</v>
      </c>
      <c r="O462" s="48">
        <v>1</v>
      </c>
      <c r="P462" s="48"/>
      <c r="Q462" s="48"/>
      <c r="R462" s="371" t="e">
        <f t="shared" ref="R462:AA462" si="440">$G462*H462</f>
        <v>#REF!</v>
      </c>
      <c r="S462" s="371" t="e">
        <f t="shared" si="440"/>
        <v>#REF!</v>
      </c>
      <c r="T462" s="371" t="e">
        <f t="shared" si="440"/>
        <v>#REF!</v>
      </c>
      <c r="U462" s="371" t="e">
        <f t="shared" si="440"/>
        <v>#REF!</v>
      </c>
      <c r="V462" s="371" t="e">
        <f t="shared" si="440"/>
        <v>#REF!</v>
      </c>
      <c r="W462" s="371" t="e">
        <f t="shared" si="440"/>
        <v>#REF!</v>
      </c>
      <c r="X462" s="371" t="e">
        <f t="shared" si="440"/>
        <v>#REF!</v>
      </c>
      <c r="Y462" s="371" t="e">
        <f t="shared" si="440"/>
        <v>#REF!</v>
      </c>
      <c r="Z462" s="371" t="e">
        <f t="shared" si="440"/>
        <v>#REF!</v>
      </c>
      <c r="AA462" s="371" t="e">
        <f t="shared" si="440"/>
        <v>#REF!</v>
      </c>
      <c r="AB462" s="50"/>
    </row>
    <row r="463" ht="28.8" outlineLevel="2" spans="1:28">
      <c r="A463" s="52">
        <f>MAX($A$6:A462)+1</f>
        <v>385</v>
      </c>
      <c r="B463" s="51" t="s">
        <v>554</v>
      </c>
      <c r="C463" s="51" t="e">
        <f>VLOOKUP($B463,#REF!,MATCH(C$2,#REF!,0),0)</f>
        <v>#REF!</v>
      </c>
      <c r="D463" s="136"/>
      <c r="E463" s="136"/>
      <c r="F463" s="136" t="e">
        <f>VLOOKUP($B463,#REF!,MATCH(F$2,#REF!,0),0)</f>
        <v>#REF!</v>
      </c>
      <c r="G463" s="137" t="e">
        <f>VLOOKUP($B463,#REF!,MATCH(G$2,#REF!,0),0)</f>
        <v>#REF!</v>
      </c>
      <c r="H463" s="48">
        <v>1</v>
      </c>
      <c r="I463" s="48">
        <v>1</v>
      </c>
      <c r="J463" s="48">
        <v>1</v>
      </c>
      <c r="K463" s="48">
        <v>1</v>
      </c>
      <c r="L463" s="48"/>
      <c r="M463" s="48">
        <v>1</v>
      </c>
      <c r="N463" s="48">
        <v>1</v>
      </c>
      <c r="O463" s="48">
        <v>1</v>
      </c>
      <c r="P463" s="48"/>
      <c r="Q463" s="48"/>
      <c r="R463" s="371" t="e">
        <f t="shared" ref="R463:AA463" si="441">$G463*H463</f>
        <v>#REF!</v>
      </c>
      <c r="S463" s="371" t="e">
        <f t="shared" si="441"/>
        <v>#REF!</v>
      </c>
      <c r="T463" s="371" t="e">
        <f t="shared" si="441"/>
        <v>#REF!</v>
      </c>
      <c r="U463" s="371" t="e">
        <f t="shared" si="441"/>
        <v>#REF!</v>
      </c>
      <c r="V463" s="371" t="e">
        <f t="shared" si="441"/>
        <v>#REF!</v>
      </c>
      <c r="W463" s="371" t="e">
        <f t="shared" si="441"/>
        <v>#REF!</v>
      </c>
      <c r="X463" s="371" t="e">
        <f t="shared" si="441"/>
        <v>#REF!</v>
      </c>
      <c r="Y463" s="371" t="e">
        <f t="shared" si="441"/>
        <v>#REF!</v>
      </c>
      <c r="Z463" s="371" t="e">
        <f t="shared" si="441"/>
        <v>#REF!</v>
      </c>
      <c r="AA463" s="371" t="e">
        <f t="shared" si="441"/>
        <v>#REF!</v>
      </c>
      <c r="AB463" s="50"/>
    </row>
    <row r="464" ht="28.8" outlineLevel="2" spans="1:28">
      <c r="A464" s="52">
        <f>MAX($A$6:A463)+1</f>
        <v>386</v>
      </c>
      <c r="B464" s="51" t="s">
        <v>555</v>
      </c>
      <c r="C464" s="51" t="e">
        <f>VLOOKUP($B464,#REF!,MATCH(C$2,#REF!,0),0)</f>
        <v>#REF!</v>
      </c>
      <c r="D464" s="136"/>
      <c r="E464" s="136"/>
      <c r="F464" s="136" t="e">
        <f>VLOOKUP($B464,#REF!,MATCH(F$2,#REF!,0),0)</f>
        <v>#REF!</v>
      </c>
      <c r="G464" s="137" t="e">
        <f>VLOOKUP($B464,#REF!,MATCH(G$2,#REF!,0),0)</f>
        <v>#REF!</v>
      </c>
      <c r="H464" s="48">
        <v>1</v>
      </c>
      <c r="I464" s="48">
        <v>1</v>
      </c>
      <c r="J464" s="48">
        <v>1</v>
      </c>
      <c r="K464" s="48">
        <v>1</v>
      </c>
      <c r="L464" s="48"/>
      <c r="M464" s="48">
        <v>1</v>
      </c>
      <c r="N464" s="48">
        <v>1</v>
      </c>
      <c r="O464" s="48">
        <v>1</v>
      </c>
      <c r="P464" s="48"/>
      <c r="Q464" s="48"/>
      <c r="R464" s="371" t="e">
        <f t="shared" ref="R464:AA464" si="442">$G464*H464</f>
        <v>#REF!</v>
      </c>
      <c r="S464" s="371" t="e">
        <f t="shared" si="442"/>
        <v>#REF!</v>
      </c>
      <c r="T464" s="371" t="e">
        <f t="shared" si="442"/>
        <v>#REF!</v>
      </c>
      <c r="U464" s="371" t="e">
        <f t="shared" si="442"/>
        <v>#REF!</v>
      </c>
      <c r="V464" s="371" t="e">
        <f t="shared" si="442"/>
        <v>#REF!</v>
      </c>
      <c r="W464" s="371" t="e">
        <f t="shared" si="442"/>
        <v>#REF!</v>
      </c>
      <c r="X464" s="371" t="e">
        <f t="shared" si="442"/>
        <v>#REF!</v>
      </c>
      <c r="Y464" s="371" t="e">
        <f t="shared" si="442"/>
        <v>#REF!</v>
      </c>
      <c r="Z464" s="371" t="e">
        <f t="shared" si="442"/>
        <v>#REF!</v>
      </c>
      <c r="AA464" s="371" t="e">
        <f t="shared" si="442"/>
        <v>#REF!</v>
      </c>
      <c r="AB464" s="50"/>
    </row>
    <row r="465" ht="28.8" outlineLevel="2" spans="1:28">
      <c r="A465" s="52">
        <f>MAX($A$6:A464)+1</f>
        <v>387</v>
      </c>
      <c r="B465" s="51" t="s">
        <v>556</v>
      </c>
      <c r="C465" s="51" t="e">
        <f>VLOOKUP($B465,#REF!,MATCH(C$2,#REF!,0),0)</f>
        <v>#REF!</v>
      </c>
      <c r="D465" s="136"/>
      <c r="E465" s="136"/>
      <c r="F465" s="136" t="e">
        <f>VLOOKUP($B465,#REF!,MATCH(F$2,#REF!,0),0)</f>
        <v>#REF!</v>
      </c>
      <c r="G465" s="137" t="e">
        <f>VLOOKUP($B465,#REF!,MATCH(G$2,#REF!,0),0)</f>
        <v>#REF!</v>
      </c>
      <c r="H465" s="48">
        <v>1</v>
      </c>
      <c r="I465" s="48">
        <v>1</v>
      </c>
      <c r="J465" s="48">
        <v>1</v>
      </c>
      <c r="K465" s="48">
        <v>1</v>
      </c>
      <c r="L465" s="48"/>
      <c r="M465" s="48">
        <v>1</v>
      </c>
      <c r="N465" s="48">
        <v>1</v>
      </c>
      <c r="O465" s="48">
        <v>1</v>
      </c>
      <c r="P465" s="48"/>
      <c r="Q465" s="48"/>
      <c r="R465" s="371" t="e">
        <f t="shared" ref="R465:AA465" si="443">$G465*H465</f>
        <v>#REF!</v>
      </c>
      <c r="S465" s="371" t="e">
        <f t="shared" si="443"/>
        <v>#REF!</v>
      </c>
      <c r="T465" s="371" t="e">
        <f t="shared" si="443"/>
        <v>#REF!</v>
      </c>
      <c r="U465" s="371" t="e">
        <f t="shared" si="443"/>
        <v>#REF!</v>
      </c>
      <c r="V465" s="371" t="e">
        <f t="shared" si="443"/>
        <v>#REF!</v>
      </c>
      <c r="W465" s="371" t="e">
        <f t="shared" si="443"/>
        <v>#REF!</v>
      </c>
      <c r="X465" s="371" t="e">
        <f t="shared" si="443"/>
        <v>#REF!</v>
      </c>
      <c r="Y465" s="371" t="e">
        <f t="shared" si="443"/>
        <v>#REF!</v>
      </c>
      <c r="Z465" s="371" t="e">
        <f t="shared" si="443"/>
        <v>#REF!</v>
      </c>
      <c r="AA465" s="371" t="e">
        <f t="shared" si="443"/>
        <v>#REF!</v>
      </c>
      <c r="AB465" s="50"/>
    </row>
    <row r="466" ht="28.8" outlineLevel="2" spans="1:28">
      <c r="A466" s="52">
        <f>MAX($A$6:A465)+1</f>
        <v>388</v>
      </c>
      <c r="B466" s="51" t="s">
        <v>557</v>
      </c>
      <c r="C466" s="51" t="e">
        <f>VLOOKUP($B466,#REF!,MATCH(C$2,#REF!,0),0)</f>
        <v>#REF!</v>
      </c>
      <c r="D466" s="136"/>
      <c r="E466" s="136"/>
      <c r="F466" s="136" t="e">
        <f>VLOOKUP($B466,#REF!,MATCH(F$2,#REF!,0),0)</f>
        <v>#REF!</v>
      </c>
      <c r="G466" s="137" t="e">
        <f>VLOOKUP($B466,#REF!,MATCH(G$2,#REF!,0),0)</f>
        <v>#REF!</v>
      </c>
      <c r="H466" s="48">
        <v>1</v>
      </c>
      <c r="I466" s="48">
        <v>1</v>
      </c>
      <c r="J466" s="48">
        <v>1</v>
      </c>
      <c r="K466" s="48">
        <v>1</v>
      </c>
      <c r="L466" s="48"/>
      <c r="M466" s="48">
        <v>1</v>
      </c>
      <c r="N466" s="48">
        <v>1</v>
      </c>
      <c r="O466" s="48">
        <v>1</v>
      </c>
      <c r="P466" s="48"/>
      <c r="Q466" s="48"/>
      <c r="R466" s="371" t="e">
        <f t="shared" ref="R466:AA466" si="444">$G466*H466</f>
        <v>#REF!</v>
      </c>
      <c r="S466" s="371" t="e">
        <f t="shared" si="444"/>
        <v>#REF!</v>
      </c>
      <c r="T466" s="371" t="e">
        <f t="shared" si="444"/>
        <v>#REF!</v>
      </c>
      <c r="U466" s="371" t="e">
        <f t="shared" si="444"/>
        <v>#REF!</v>
      </c>
      <c r="V466" s="371" t="e">
        <f t="shared" si="444"/>
        <v>#REF!</v>
      </c>
      <c r="W466" s="371" t="e">
        <f t="shared" si="444"/>
        <v>#REF!</v>
      </c>
      <c r="X466" s="371" t="e">
        <f t="shared" si="444"/>
        <v>#REF!</v>
      </c>
      <c r="Y466" s="371" t="e">
        <f t="shared" si="444"/>
        <v>#REF!</v>
      </c>
      <c r="Z466" s="371" t="e">
        <f t="shared" si="444"/>
        <v>#REF!</v>
      </c>
      <c r="AA466" s="371" t="e">
        <f t="shared" si="444"/>
        <v>#REF!</v>
      </c>
      <c r="AB466" s="50"/>
    </row>
    <row r="467" ht="28.8" outlineLevel="2" spans="1:28">
      <c r="A467" s="52">
        <f>MAX($A$6:A466)+1</f>
        <v>389</v>
      </c>
      <c r="B467" s="51" t="s">
        <v>558</v>
      </c>
      <c r="C467" s="51" t="e">
        <f>VLOOKUP($B467,#REF!,MATCH(C$2,#REF!,0),0)</f>
        <v>#REF!</v>
      </c>
      <c r="D467" s="136"/>
      <c r="E467" s="136"/>
      <c r="F467" s="136" t="e">
        <f>VLOOKUP($B467,#REF!,MATCH(F$2,#REF!,0),0)</f>
        <v>#REF!</v>
      </c>
      <c r="G467" s="137" t="e">
        <f>VLOOKUP($B467,#REF!,MATCH(G$2,#REF!,0),0)</f>
        <v>#REF!</v>
      </c>
      <c r="H467" s="48">
        <v>7319.13</v>
      </c>
      <c r="I467" s="48">
        <v>7304.16</v>
      </c>
      <c r="J467" s="48">
        <v>1</v>
      </c>
      <c r="K467" s="48">
        <v>3373.64</v>
      </c>
      <c r="L467" s="48">
        <v>1964.7604</v>
      </c>
      <c r="M467" s="48">
        <v>1</v>
      </c>
      <c r="N467" s="48">
        <v>1</v>
      </c>
      <c r="O467" s="48">
        <v>1</v>
      </c>
      <c r="P467" s="48"/>
      <c r="Q467" s="48"/>
      <c r="R467" s="371" t="e">
        <f t="shared" ref="R467:AA467" si="445">$G467*H467</f>
        <v>#REF!</v>
      </c>
      <c r="S467" s="371" t="e">
        <f t="shared" si="445"/>
        <v>#REF!</v>
      </c>
      <c r="T467" s="371" t="e">
        <f t="shared" si="445"/>
        <v>#REF!</v>
      </c>
      <c r="U467" s="371" t="e">
        <f t="shared" si="445"/>
        <v>#REF!</v>
      </c>
      <c r="V467" s="371" t="e">
        <f t="shared" si="445"/>
        <v>#REF!</v>
      </c>
      <c r="W467" s="371" t="e">
        <f t="shared" si="445"/>
        <v>#REF!</v>
      </c>
      <c r="X467" s="371" t="e">
        <f t="shared" si="445"/>
        <v>#REF!</v>
      </c>
      <c r="Y467" s="371" t="e">
        <f t="shared" si="445"/>
        <v>#REF!</v>
      </c>
      <c r="Z467" s="371" t="e">
        <f t="shared" si="445"/>
        <v>#REF!</v>
      </c>
      <c r="AA467" s="371" t="e">
        <f t="shared" si="445"/>
        <v>#REF!</v>
      </c>
      <c r="AB467" s="50"/>
    </row>
    <row r="468" ht="28.8" outlineLevel="2" spans="1:28">
      <c r="A468" s="52">
        <f>MAX($A$6:A467)+1</f>
        <v>390</v>
      </c>
      <c r="B468" s="51" t="s">
        <v>559</v>
      </c>
      <c r="C468" s="51" t="e">
        <f>VLOOKUP($B468,#REF!,MATCH(C$2,#REF!,0),0)</f>
        <v>#REF!</v>
      </c>
      <c r="D468" s="136"/>
      <c r="E468" s="136"/>
      <c r="F468" s="136" t="e">
        <f>VLOOKUP($B468,#REF!,MATCH(F$2,#REF!,0),0)</f>
        <v>#REF!</v>
      </c>
      <c r="G468" s="137" t="e">
        <f>VLOOKUP($B468,#REF!,MATCH(G$2,#REF!,0),0)</f>
        <v>#REF!</v>
      </c>
      <c r="H468" s="48">
        <v>241.99</v>
      </c>
      <c r="I468" s="48">
        <v>241.99</v>
      </c>
      <c r="J468" s="48">
        <v>1</v>
      </c>
      <c r="K468" s="48">
        <v>55.85</v>
      </c>
      <c r="L468" s="48"/>
      <c r="M468" s="48">
        <v>1</v>
      </c>
      <c r="N468" s="48">
        <v>1</v>
      </c>
      <c r="O468" s="48">
        <v>1</v>
      </c>
      <c r="P468" s="48"/>
      <c r="Q468" s="48"/>
      <c r="R468" s="371" t="e">
        <f t="shared" ref="R468:AA468" si="446">$G468*H468</f>
        <v>#REF!</v>
      </c>
      <c r="S468" s="371" t="e">
        <f t="shared" si="446"/>
        <v>#REF!</v>
      </c>
      <c r="T468" s="371" t="e">
        <f t="shared" si="446"/>
        <v>#REF!</v>
      </c>
      <c r="U468" s="371" t="e">
        <f t="shared" si="446"/>
        <v>#REF!</v>
      </c>
      <c r="V468" s="371" t="e">
        <f t="shared" si="446"/>
        <v>#REF!</v>
      </c>
      <c r="W468" s="371" t="e">
        <f t="shared" si="446"/>
        <v>#REF!</v>
      </c>
      <c r="X468" s="371" t="e">
        <f t="shared" si="446"/>
        <v>#REF!</v>
      </c>
      <c r="Y468" s="371" t="e">
        <f t="shared" si="446"/>
        <v>#REF!</v>
      </c>
      <c r="Z468" s="371" t="e">
        <f t="shared" si="446"/>
        <v>#REF!</v>
      </c>
      <c r="AA468" s="371" t="e">
        <f t="shared" si="446"/>
        <v>#REF!</v>
      </c>
      <c r="AB468" s="50"/>
    </row>
    <row r="469" ht="28.8" outlineLevel="2" spans="1:28">
      <c r="A469" s="52">
        <f>MAX($A$6:A468)+1</f>
        <v>391</v>
      </c>
      <c r="B469" s="51" t="s">
        <v>560</v>
      </c>
      <c r="C469" s="51" t="e">
        <f>VLOOKUP($B469,#REF!,MATCH(C$2,#REF!,0),0)</f>
        <v>#REF!</v>
      </c>
      <c r="D469" s="136"/>
      <c r="E469" s="136"/>
      <c r="F469" s="136" t="e">
        <f>VLOOKUP($B469,#REF!,MATCH(F$2,#REF!,0),0)</f>
        <v>#REF!</v>
      </c>
      <c r="G469" s="137" t="e">
        <f>VLOOKUP($B469,#REF!,MATCH(G$2,#REF!,0),0)</f>
        <v>#REF!</v>
      </c>
      <c r="H469" s="48">
        <v>105.49</v>
      </c>
      <c r="I469" s="48">
        <v>105.49</v>
      </c>
      <c r="J469" s="48">
        <v>1</v>
      </c>
      <c r="K469" s="48">
        <v>88.89</v>
      </c>
      <c r="L469" s="48"/>
      <c r="M469" s="48">
        <v>1</v>
      </c>
      <c r="N469" s="48">
        <v>1</v>
      </c>
      <c r="O469" s="48">
        <v>1</v>
      </c>
      <c r="P469" s="48"/>
      <c r="Q469" s="48"/>
      <c r="R469" s="371" t="e">
        <f t="shared" ref="R469:AA469" si="447">$G469*H469</f>
        <v>#REF!</v>
      </c>
      <c r="S469" s="371" t="e">
        <f t="shared" si="447"/>
        <v>#REF!</v>
      </c>
      <c r="T469" s="371" t="e">
        <f t="shared" si="447"/>
        <v>#REF!</v>
      </c>
      <c r="U469" s="371" t="e">
        <f t="shared" si="447"/>
        <v>#REF!</v>
      </c>
      <c r="V469" s="371" t="e">
        <f t="shared" si="447"/>
        <v>#REF!</v>
      </c>
      <c r="W469" s="371" t="e">
        <f t="shared" si="447"/>
        <v>#REF!</v>
      </c>
      <c r="X469" s="371" t="e">
        <f t="shared" si="447"/>
        <v>#REF!</v>
      </c>
      <c r="Y469" s="371" t="e">
        <f t="shared" si="447"/>
        <v>#REF!</v>
      </c>
      <c r="Z469" s="371" t="e">
        <f t="shared" si="447"/>
        <v>#REF!</v>
      </c>
      <c r="AA469" s="371" t="e">
        <f t="shared" si="447"/>
        <v>#REF!</v>
      </c>
      <c r="AB469" s="50"/>
    </row>
    <row r="470" ht="28.8" outlineLevel="2" spans="1:28">
      <c r="A470" s="52">
        <f>MAX($A$6:A469)+1</f>
        <v>392</v>
      </c>
      <c r="B470" s="51" t="s">
        <v>561</v>
      </c>
      <c r="C470" s="51" t="e">
        <f>VLOOKUP($B470,#REF!,MATCH(C$2,#REF!,0),0)</f>
        <v>#REF!</v>
      </c>
      <c r="D470" s="136"/>
      <c r="E470" s="136"/>
      <c r="F470" s="136" t="e">
        <f>VLOOKUP($B470,#REF!,MATCH(F$2,#REF!,0),0)</f>
        <v>#REF!</v>
      </c>
      <c r="G470" s="137" t="e">
        <f>VLOOKUP($B470,#REF!,MATCH(G$2,#REF!,0),0)</f>
        <v>#REF!</v>
      </c>
      <c r="H470" s="48">
        <v>99.3</v>
      </c>
      <c r="I470" s="48">
        <v>99.3</v>
      </c>
      <c r="J470" s="48">
        <v>1</v>
      </c>
      <c r="K470" s="48">
        <v>88.89</v>
      </c>
      <c r="L470" s="48"/>
      <c r="M470" s="48">
        <v>1</v>
      </c>
      <c r="N470" s="48">
        <v>1</v>
      </c>
      <c r="O470" s="48">
        <v>1</v>
      </c>
      <c r="P470" s="48"/>
      <c r="Q470" s="48"/>
      <c r="R470" s="371" t="e">
        <f t="shared" ref="R470:AA470" si="448">$G470*H470</f>
        <v>#REF!</v>
      </c>
      <c r="S470" s="371" t="e">
        <f t="shared" si="448"/>
        <v>#REF!</v>
      </c>
      <c r="T470" s="371" t="e">
        <f t="shared" si="448"/>
        <v>#REF!</v>
      </c>
      <c r="U470" s="371" t="e">
        <f t="shared" si="448"/>
        <v>#REF!</v>
      </c>
      <c r="V470" s="371" t="e">
        <f t="shared" si="448"/>
        <v>#REF!</v>
      </c>
      <c r="W470" s="371" t="e">
        <f t="shared" si="448"/>
        <v>#REF!</v>
      </c>
      <c r="X470" s="371" t="e">
        <f t="shared" si="448"/>
        <v>#REF!</v>
      </c>
      <c r="Y470" s="371" t="e">
        <f t="shared" si="448"/>
        <v>#REF!</v>
      </c>
      <c r="Z470" s="371" t="e">
        <f t="shared" si="448"/>
        <v>#REF!</v>
      </c>
      <c r="AA470" s="371" t="e">
        <f t="shared" si="448"/>
        <v>#REF!</v>
      </c>
      <c r="AB470" s="50"/>
    </row>
    <row r="471" ht="28.8" outlineLevel="2" spans="1:28">
      <c r="A471" s="52">
        <f>MAX($A$6:A470)+1</f>
        <v>393</v>
      </c>
      <c r="B471" s="51" t="s">
        <v>562</v>
      </c>
      <c r="C471" s="51" t="e">
        <f>VLOOKUP($B471,#REF!,MATCH(C$2,#REF!,0),0)</f>
        <v>#REF!</v>
      </c>
      <c r="D471" s="136"/>
      <c r="E471" s="136"/>
      <c r="F471" s="136" t="e">
        <f>VLOOKUP($B471,#REF!,MATCH(F$2,#REF!,0),0)</f>
        <v>#REF!</v>
      </c>
      <c r="G471" s="137" t="e">
        <f>VLOOKUP($B471,#REF!,MATCH(G$2,#REF!,0),0)</f>
        <v>#REF!</v>
      </c>
      <c r="H471" s="48">
        <v>1</v>
      </c>
      <c r="I471" s="48">
        <v>1</v>
      </c>
      <c r="J471" s="48">
        <v>1</v>
      </c>
      <c r="K471" s="48">
        <v>1</v>
      </c>
      <c r="L471" s="48"/>
      <c r="M471" s="48">
        <v>1</v>
      </c>
      <c r="N471" s="48">
        <v>1</v>
      </c>
      <c r="O471" s="48">
        <v>1</v>
      </c>
      <c r="P471" s="48"/>
      <c r="Q471" s="48"/>
      <c r="R471" s="371" t="e">
        <f t="shared" ref="R471:AA471" si="449">$G471*H471</f>
        <v>#REF!</v>
      </c>
      <c r="S471" s="371" t="e">
        <f t="shared" si="449"/>
        <v>#REF!</v>
      </c>
      <c r="T471" s="371" t="e">
        <f t="shared" si="449"/>
        <v>#REF!</v>
      </c>
      <c r="U471" s="371" t="e">
        <f t="shared" si="449"/>
        <v>#REF!</v>
      </c>
      <c r="V471" s="371" t="e">
        <f t="shared" si="449"/>
        <v>#REF!</v>
      </c>
      <c r="W471" s="371" t="e">
        <f t="shared" si="449"/>
        <v>#REF!</v>
      </c>
      <c r="X471" s="371" t="e">
        <f t="shared" si="449"/>
        <v>#REF!</v>
      </c>
      <c r="Y471" s="371" t="e">
        <f t="shared" si="449"/>
        <v>#REF!</v>
      </c>
      <c r="Z471" s="371" t="e">
        <f t="shared" si="449"/>
        <v>#REF!</v>
      </c>
      <c r="AA471" s="371" t="e">
        <f t="shared" si="449"/>
        <v>#REF!</v>
      </c>
      <c r="AB471" s="50"/>
    </row>
    <row r="472" ht="28.8" outlineLevel="2" spans="1:28">
      <c r="A472" s="52">
        <f>MAX($A$6:A471)+1</f>
        <v>394</v>
      </c>
      <c r="B472" s="51" t="s">
        <v>563</v>
      </c>
      <c r="C472" s="51" t="e">
        <f>VLOOKUP($B472,#REF!,MATCH(C$2,#REF!,0),0)</f>
        <v>#REF!</v>
      </c>
      <c r="D472" s="136"/>
      <c r="E472" s="136"/>
      <c r="F472" s="136" t="e">
        <f>VLOOKUP($B472,#REF!,MATCH(F$2,#REF!,0),0)</f>
        <v>#REF!</v>
      </c>
      <c r="G472" s="137" t="e">
        <f>VLOOKUP($B472,#REF!,MATCH(G$2,#REF!,0),0)</f>
        <v>#REF!</v>
      </c>
      <c r="H472" s="48">
        <v>1</v>
      </c>
      <c r="I472" s="48">
        <v>1</v>
      </c>
      <c r="J472" s="48">
        <v>1</v>
      </c>
      <c r="K472" s="48">
        <v>1</v>
      </c>
      <c r="L472" s="48"/>
      <c r="M472" s="48">
        <v>1</v>
      </c>
      <c r="N472" s="48">
        <v>1</v>
      </c>
      <c r="O472" s="48">
        <v>1</v>
      </c>
      <c r="P472" s="48"/>
      <c r="Q472" s="48"/>
      <c r="R472" s="371" t="e">
        <f t="shared" ref="R472:AA472" si="450">$G472*H472</f>
        <v>#REF!</v>
      </c>
      <c r="S472" s="371" t="e">
        <f t="shared" si="450"/>
        <v>#REF!</v>
      </c>
      <c r="T472" s="371" t="e">
        <f t="shared" si="450"/>
        <v>#REF!</v>
      </c>
      <c r="U472" s="371" t="e">
        <f t="shared" si="450"/>
        <v>#REF!</v>
      </c>
      <c r="V472" s="371" t="e">
        <f t="shared" si="450"/>
        <v>#REF!</v>
      </c>
      <c r="W472" s="371" t="e">
        <f t="shared" si="450"/>
        <v>#REF!</v>
      </c>
      <c r="X472" s="371" t="e">
        <f t="shared" si="450"/>
        <v>#REF!</v>
      </c>
      <c r="Y472" s="371" t="e">
        <f t="shared" si="450"/>
        <v>#REF!</v>
      </c>
      <c r="Z472" s="371" t="e">
        <f t="shared" si="450"/>
        <v>#REF!</v>
      </c>
      <c r="AA472" s="371" t="e">
        <f t="shared" si="450"/>
        <v>#REF!</v>
      </c>
      <c r="AB472" s="50"/>
    </row>
    <row r="473" ht="28.8" outlineLevel="2" spans="1:28">
      <c r="A473" s="52">
        <f>MAX($A$6:A472)+1</f>
        <v>395</v>
      </c>
      <c r="B473" s="51" t="s">
        <v>564</v>
      </c>
      <c r="C473" s="51" t="e">
        <f>VLOOKUP($B473,#REF!,MATCH(C$2,#REF!,0),0)</f>
        <v>#REF!</v>
      </c>
      <c r="D473" s="136"/>
      <c r="E473" s="136"/>
      <c r="F473" s="136" t="e">
        <f>VLOOKUP($B473,#REF!,MATCH(F$2,#REF!,0),0)</f>
        <v>#REF!</v>
      </c>
      <c r="G473" s="137" t="e">
        <f>VLOOKUP($B473,#REF!,MATCH(G$2,#REF!,0),0)</f>
        <v>#REF!</v>
      </c>
      <c r="H473" s="48">
        <v>1</v>
      </c>
      <c r="I473" s="48">
        <v>1</v>
      </c>
      <c r="J473" s="48">
        <v>1</v>
      </c>
      <c r="K473" s="48">
        <v>1</v>
      </c>
      <c r="L473" s="48"/>
      <c r="M473" s="48">
        <v>1</v>
      </c>
      <c r="N473" s="48">
        <v>1</v>
      </c>
      <c r="O473" s="48">
        <v>1</v>
      </c>
      <c r="P473" s="48"/>
      <c r="Q473" s="48"/>
      <c r="R473" s="371" t="e">
        <f t="shared" ref="R473:AA473" si="451">$G473*H473</f>
        <v>#REF!</v>
      </c>
      <c r="S473" s="371" t="e">
        <f t="shared" si="451"/>
        <v>#REF!</v>
      </c>
      <c r="T473" s="371" t="e">
        <f t="shared" si="451"/>
        <v>#REF!</v>
      </c>
      <c r="U473" s="371" t="e">
        <f t="shared" si="451"/>
        <v>#REF!</v>
      </c>
      <c r="V473" s="371" t="e">
        <f t="shared" si="451"/>
        <v>#REF!</v>
      </c>
      <c r="W473" s="371" t="e">
        <f t="shared" si="451"/>
        <v>#REF!</v>
      </c>
      <c r="X473" s="371" t="e">
        <f t="shared" si="451"/>
        <v>#REF!</v>
      </c>
      <c r="Y473" s="371" t="e">
        <f t="shared" si="451"/>
        <v>#REF!</v>
      </c>
      <c r="Z473" s="371" t="e">
        <f t="shared" si="451"/>
        <v>#REF!</v>
      </c>
      <c r="AA473" s="371" t="e">
        <f t="shared" si="451"/>
        <v>#REF!</v>
      </c>
      <c r="AB473" s="50"/>
    </row>
    <row r="474" ht="28.8" outlineLevel="2" spans="1:28">
      <c r="A474" s="52">
        <f>MAX($A$6:A473)+1</f>
        <v>396</v>
      </c>
      <c r="B474" s="51" t="s">
        <v>565</v>
      </c>
      <c r="C474" s="51" t="e">
        <f>VLOOKUP($B474,#REF!,MATCH(C$2,#REF!,0),0)</f>
        <v>#REF!</v>
      </c>
      <c r="D474" s="136"/>
      <c r="E474" s="136"/>
      <c r="F474" s="136" t="e">
        <f>VLOOKUP($B474,#REF!,MATCH(F$2,#REF!,0),0)</f>
        <v>#REF!</v>
      </c>
      <c r="G474" s="137" t="e">
        <f>VLOOKUP($B474,#REF!,MATCH(G$2,#REF!,0),0)</f>
        <v>#REF!</v>
      </c>
      <c r="H474" s="48">
        <v>1</v>
      </c>
      <c r="I474" s="48">
        <v>1</v>
      </c>
      <c r="J474" s="48">
        <v>1</v>
      </c>
      <c r="K474" s="48">
        <v>1</v>
      </c>
      <c r="L474" s="48"/>
      <c r="M474" s="48">
        <v>1</v>
      </c>
      <c r="N474" s="48">
        <v>1</v>
      </c>
      <c r="O474" s="48">
        <v>1</v>
      </c>
      <c r="P474" s="48"/>
      <c r="Q474" s="48"/>
      <c r="R474" s="371" t="e">
        <f t="shared" ref="R474:AA474" si="452">$G474*H474</f>
        <v>#REF!</v>
      </c>
      <c r="S474" s="371" t="e">
        <f t="shared" si="452"/>
        <v>#REF!</v>
      </c>
      <c r="T474" s="371" t="e">
        <f t="shared" si="452"/>
        <v>#REF!</v>
      </c>
      <c r="U474" s="371" t="e">
        <f t="shared" si="452"/>
        <v>#REF!</v>
      </c>
      <c r="V474" s="371" t="e">
        <f t="shared" si="452"/>
        <v>#REF!</v>
      </c>
      <c r="W474" s="371" t="e">
        <f t="shared" si="452"/>
        <v>#REF!</v>
      </c>
      <c r="X474" s="371" t="e">
        <f t="shared" si="452"/>
        <v>#REF!</v>
      </c>
      <c r="Y474" s="371" t="e">
        <f t="shared" si="452"/>
        <v>#REF!</v>
      </c>
      <c r="Z474" s="371" t="e">
        <f t="shared" si="452"/>
        <v>#REF!</v>
      </c>
      <c r="AA474" s="371" t="e">
        <f t="shared" si="452"/>
        <v>#REF!</v>
      </c>
      <c r="AB474" s="50"/>
    </row>
    <row r="475" s="122" customFormat="1" outlineLevel="2" spans="1:28">
      <c r="A475" s="130"/>
      <c r="B475" s="154" t="s">
        <v>566</v>
      </c>
      <c r="C475" s="154"/>
      <c r="D475" s="154"/>
      <c r="E475" s="154"/>
      <c r="F475" s="130"/>
      <c r="G475" s="134"/>
      <c r="H475" s="134"/>
      <c r="I475" s="134"/>
      <c r="J475" s="134"/>
      <c r="K475" s="134"/>
      <c r="L475" s="134"/>
      <c r="M475" s="134"/>
      <c r="N475" s="134"/>
      <c r="O475" s="134"/>
      <c r="P475" s="134"/>
      <c r="Q475" s="134"/>
      <c r="R475" s="367"/>
      <c r="S475" s="367"/>
      <c r="T475" s="367"/>
      <c r="U475" s="367"/>
      <c r="V475" s="371"/>
      <c r="W475" s="367"/>
      <c r="X475" s="367"/>
      <c r="Y475" s="367"/>
      <c r="Z475" s="367"/>
      <c r="AA475" s="367"/>
      <c r="AB475" s="130"/>
    </row>
    <row r="476" ht="28.8" outlineLevel="2" spans="1:28">
      <c r="A476" s="52">
        <f>MAX($A$6:A475)+1</f>
        <v>397</v>
      </c>
      <c r="B476" s="51" t="s">
        <v>567</v>
      </c>
      <c r="C476" s="51" t="e">
        <f>VLOOKUP($B476,#REF!,MATCH(C$2,#REF!,0),0)</f>
        <v>#REF!</v>
      </c>
      <c r="D476" s="136"/>
      <c r="E476" s="136"/>
      <c r="F476" s="136" t="e">
        <f>VLOOKUP($B476,#REF!,MATCH(F$2,#REF!,0),0)</f>
        <v>#REF!</v>
      </c>
      <c r="G476" s="137" t="e">
        <f>VLOOKUP($B476,#REF!,MATCH(G$2,#REF!,0),0)</f>
        <v>#REF!</v>
      </c>
      <c r="H476" s="48"/>
      <c r="I476" s="48"/>
      <c r="J476" s="48">
        <v>4821.3555</v>
      </c>
      <c r="K476" s="48"/>
      <c r="L476" s="48"/>
      <c r="M476" s="48"/>
      <c r="N476" s="48"/>
      <c r="O476" s="48"/>
      <c r="P476" s="48"/>
      <c r="Q476" s="48"/>
      <c r="R476" s="371" t="e">
        <f>$G476*H476</f>
        <v>#REF!</v>
      </c>
      <c r="S476" s="371" t="e">
        <f t="shared" ref="S476:AA476" si="453">$G476*I476</f>
        <v>#REF!</v>
      </c>
      <c r="T476" s="371" t="e">
        <f t="shared" si="453"/>
        <v>#REF!</v>
      </c>
      <c r="U476" s="371" t="e">
        <f t="shared" si="453"/>
        <v>#REF!</v>
      </c>
      <c r="V476" s="371" t="e">
        <f t="shared" si="453"/>
        <v>#REF!</v>
      </c>
      <c r="W476" s="371" t="e">
        <f t="shared" si="453"/>
        <v>#REF!</v>
      </c>
      <c r="X476" s="371" t="e">
        <f t="shared" si="453"/>
        <v>#REF!</v>
      </c>
      <c r="Y476" s="371" t="e">
        <f t="shared" si="453"/>
        <v>#REF!</v>
      </c>
      <c r="Z476" s="371" t="e">
        <f t="shared" si="453"/>
        <v>#REF!</v>
      </c>
      <c r="AA476" s="371" t="e">
        <f t="shared" si="453"/>
        <v>#REF!</v>
      </c>
      <c r="AB476" s="50"/>
    </row>
    <row r="477" outlineLevel="2" spans="1:28">
      <c r="A477" s="52">
        <f>MAX($A$6:A476)+1</f>
        <v>398</v>
      </c>
      <c r="B477" s="51" t="s">
        <v>568</v>
      </c>
      <c r="C477" s="51" t="e">
        <f>VLOOKUP($B477,#REF!,MATCH(C$2,#REF!,0),0)</f>
        <v>#REF!</v>
      </c>
      <c r="D477" s="136"/>
      <c r="E477" s="136"/>
      <c r="F477" s="136" t="e">
        <f>VLOOKUP($B477,#REF!,MATCH(F$2,#REF!,0),0)</f>
        <v>#REF!</v>
      </c>
      <c r="G477" s="137" t="e">
        <f>VLOOKUP($B477,#REF!,MATCH(G$2,#REF!,0),0)</f>
        <v>#REF!</v>
      </c>
      <c r="H477" s="48"/>
      <c r="I477" s="48"/>
      <c r="J477" s="48">
        <v>4821.3555</v>
      </c>
      <c r="K477" s="48"/>
      <c r="L477" s="48"/>
      <c r="M477" s="48"/>
      <c r="N477" s="48"/>
      <c r="O477" s="48"/>
      <c r="P477" s="48"/>
      <c r="Q477" s="48"/>
      <c r="R477" s="371" t="e">
        <f t="shared" ref="R477:AA477" si="454">$G477*H477</f>
        <v>#REF!</v>
      </c>
      <c r="S477" s="371" t="e">
        <f t="shared" si="454"/>
        <v>#REF!</v>
      </c>
      <c r="T477" s="371" t="e">
        <f t="shared" si="454"/>
        <v>#REF!</v>
      </c>
      <c r="U477" s="371" t="e">
        <f t="shared" si="454"/>
        <v>#REF!</v>
      </c>
      <c r="V477" s="371" t="e">
        <f t="shared" si="454"/>
        <v>#REF!</v>
      </c>
      <c r="W477" s="371" t="e">
        <f t="shared" si="454"/>
        <v>#REF!</v>
      </c>
      <c r="X477" s="371" t="e">
        <f t="shared" si="454"/>
        <v>#REF!</v>
      </c>
      <c r="Y477" s="371" t="e">
        <f t="shared" si="454"/>
        <v>#REF!</v>
      </c>
      <c r="Z477" s="371" t="e">
        <f t="shared" si="454"/>
        <v>#REF!</v>
      </c>
      <c r="AA477" s="371" t="e">
        <f t="shared" si="454"/>
        <v>#REF!</v>
      </c>
      <c r="AB477" s="50"/>
    </row>
    <row r="478" ht="28.8" outlineLevel="2" spans="1:28">
      <c r="A478" s="52">
        <f>MAX($A$6:A477)+1</f>
        <v>399</v>
      </c>
      <c r="B478" s="51" t="s">
        <v>569</v>
      </c>
      <c r="C478" s="51" t="e">
        <f>VLOOKUP($B478,#REF!,MATCH(C$2,#REF!,0),0)</f>
        <v>#REF!</v>
      </c>
      <c r="D478" s="136"/>
      <c r="E478" s="136"/>
      <c r="F478" s="136" t="e">
        <f>VLOOKUP($B478,#REF!,MATCH(F$2,#REF!,0),0)</f>
        <v>#REF!</v>
      </c>
      <c r="G478" s="137" t="e">
        <f>VLOOKUP($B478,#REF!,MATCH(G$2,#REF!,0),0)</f>
        <v>#REF!</v>
      </c>
      <c r="H478" s="48"/>
      <c r="I478" s="48"/>
      <c r="J478" s="48">
        <v>4821.3555</v>
      </c>
      <c r="K478" s="48"/>
      <c r="L478" s="48"/>
      <c r="M478" s="48"/>
      <c r="N478" s="48"/>
      <c r="O478" s="48"/>
      <c r="P478" s="48"/>
      <c r="Q478" s="48"/>
      <c r="R478" s="371" t="e">
        <f t="shared" ref="R478:AA478" si="455">$G478*H478</f>
        <v>#REF!</v>
      </c>
      <c r="S478" s="371" t="e">
        <f t="shared" si="455"/>
        <v>#REF!</v>
      </c>
      <c r="T478" s="371" t="e">
        <f t="shared" si="455"/>
        <v>#REF!</v>
      </c>
      <c r="U478" s="371" t="e">
        <f t="shared" si="455"/>
        <v>#REF!</v>
      </c>
      <c r="V478" s="371" t="e">
        <f t="shared" si="455"/>
        <v>#REF!</v>
      </c>
      <c r="W478" s="371" t="e">
        <f t="shared" si="455"/>
        <v>#REF!</v>
      </c>
      <c r="X478" s="371" t="e">
        <f t="shared" si="455"/>
        <v>#REF!</v>
      </c>
      <c r="Y478" s="371" t="e">
        <f t="shared" si="455"/>
        <v>#REF!</v>
      </c>
      <c r="Z478" s="371" t="e">
        <f t="shared" si="455"/>
        <v>#REF!</v>
      </c>
      <c r="AA478" s="371" t="e">
        <f t="shared" si="455"/>
        <v>#REF!</v>
      </c>
      <c r="AB478" s="50"/>
    </row>
    <row r="479" outlineLevel="2" spans="1:28">
      <c r="A479" s="52">
        <f>MAX($A$6:A478)+1</f>
        <v>400</v>
      </c>
      <c r="B479" s="51" t="s">
        <v>349</v>
      </c>
      <c r="C479" s="51" t="e">
        <f>VLOOKUP($B479,#REF!,MATCH(C$2,#REF!,0),0)</f>
        <v>#REF!</v>
      </c>
      <c r="D479" s="136"/>
      <c r="E479" s="136"/>
      <c r="F479" s="136" t="e">
        <f>VLOOKUP($B479,#REF!,MATCH(F$2,#REF!,0),0)</f>
        <v>#REF!</v>
      </c>
      <c r="G479" s="137" t="e">
        <f>VLOOKUP($B479,#REF!,MATCH(G$2,#REF!,0),0)</f>
        <v>#REF!</v>
      </c>
      <c r="H479" s="48"/>
      <c r="I479" s="48"/>
      <c r="J479" s="48">
        <v>4821.3555</v>
      </c>
      <c r="K479" s="48"/>
      <c r="L479" s="48"/>
      <c r="M479" s="48"/>
      <c r="N479" s="48"/>
      <c r="O479" s="48"/>
      <c r="P479" s="48"/>
      <c r="Q479" s="48"/>
      <c r="R479" s="371" t="e">
        <f t="shared" ref="R479:AA479" si="456">$G479*H479</f>
        <v>#REF!</v>
      </c>
      <c r="S479" s="371" t="e">
        <f t="shared" si="456"/>
        <v>#REF!</v>
      </c>
      <c r="T479" s="371" t="e">
        <f t="shared" si="456"/>
        <v>#REF!</v>
      </c>
      <c r="U479" s="371" t="e">
        <f t="shared" si="456"/>
        <v>#REF!</v>
      </c>
      <c r="V479" s="371" t="e">
        <f t="shared" si="456"/>
        <v>#REF!</v>
      </c>
      <c r="W479" s="371" t="e">
        <f t="shared" si="456"/>
        <v>#REF!</v>
      </c>
      <c r="X479" s="371" t="e">
        <f t="shared" si="456"/>
        <v>#REF!</v>
      </c>
      <c r="Y479" s="371" t="e">
        <f t="shared" si="456"/>
        <v>#REF!</v>
      </c>
      <c r="Z479" s="371" t="e">
        <f t="shared" si="456"/>
        <v>#REF!</v>
      </c>
      <c r="AA479" s="371" t="e">
        <f t="shared" si="456"/>
        <v>#REF!</v>
      </c>
      <c r="AB479" s="50"/>
    </row>
    <row r="480" s="122" customFormat="1" outlineLevel="2" spans="1:28">
      <c r="A480" s="130"/>
      <c r="B480" s="154" t="s">
        <v>570</v>
      </c>
      <c r="C480" s="154"/>
      <c r="D480" s="154"/>
      <c r="E480" s="154"/>
      <c r="F480" s="130"/>
      <c r="G480" s="134"/>
      <c r="H480" s="134"/>
      <c r="I480" s="134"/>
      <c r="J480" s="134"/>
      <c r="K480" s="134"/>
      <c r="L480" s="134"/>
      <c r="M480" s="134"/>
      <c r="N480" s="134"/>
      <c r="O480" s="134"/>
      <c r="P480" s="134"/>
      <c r="Q480" s="134"/>
      <c r="R480" s="367"/>
      <c r="S480" s="367"/>
      <c r="T480" s="367"/>
      <c r="U480" s="367"/>
      <c r="V480" s="371"/>
      <c r="W480" s="367"/>
      <c r="X480" s="367"/>
      <c r="Y480" s="367"/>
      <c r="Z480" s="367"/>
      <c r="AA480" s="367"/>
      <c r="AB480" s="130"/>
    </row>
    <row r="481" ht="28.8" outlineLevel="2" spans="1:28">
      <c r="A481" s="52">
        <f>MAX($A$6:A480)+1</f>
        <v>401</v>
      </c>
      <c r="B481" s="51" t="s">
        <v>571</v>
      </c>
      <c r="C481" s="51" t="e">
        <f>VLOOKUP($B481,#REF!,MATCH(C$2,#REF!,0),0)</f>
        <v>#REF!</v>
      </c>
      <c r="D481" s="136"/>
      <c r="E481" s="136"/>
      <c r="F481" s="136" t="e">
        <f>VLOOKUP($B481,#REF!,MATCH(F$2,#REF!,0),0)</f>
        <v>#REF!</v>
      </c>
      <c r="G481" s="137" t="e">
        <f>VLOOKUP($B481,#REF!,MATCH(G$2,#REF!,0),0)</f>
        <v>#REF!</v>
      </c>
      <c r="H481" s="48"/>
      <c r="I481" s="48"/>
      <c r="J481" s="48">
        <v>1483.494</v>
      </c>
      <c r="K481" s="48"/>
      <c r="L481" s="48"/>
      <c r="M481" s="48"/>
      <c r="N481" s="48"/>
      <c r="O481" s="48"/>
      <c r="P481" s="48"/>
      <c r="Q481" s="48"/>
      <c r="R481" s="371" t="e">
        <f>$G481*H481</f>
        <v>#REF!</v>
      </c>
      <c r="S481" s="371" t="e">
        <f t="shared" ref="S481:AA481" si="457">$G481*I481</f>
        <v>#REF!</v>
      </c>
      <c r="T481" s="371" t="e">
        <f t="shared" si="457"/>
        <v>#REF!</v>
      </c>
      <c r="U481" s="371" t="e">
        <f t="shared" si="457"/>
        <v>#REF!</v>
      </c>
      <c r="V481" s="371" t="e">
        <f t="shared" si="457"/>
        <v>#REF!</v>
      </c>
      <c r="W481" s="371" t="e">
        <f t="shared" si="457"/>
        <v>#REF!</v>
      </c>
      <c r="X481" s="371" t="e">
        <f t="shared" si="457"/>
        <v>#REF!</v>
      </c>
      <c r="Y481" s="371" t="e">
        <f t="shared" si="457"/>
        <v>#REF!</v>
      </c>
      <c r="Z481" s="371" t="e">
        <f t="shared" si="457"/>
        <v>#REF!</v>
      </c>
      <c r="AA481" s="371" t="e">
        <f t="shared" si="457"/>
        <v>#REF!</v>
      </c>
      <c r="AB481" s="50"/>
    </row>
    <row r="482" outlineLevel="2" spans="1:28">
      <c r="A482" s="52">
        <f>MAX($A$6:A481)+1</f>
        <v>402</v>
      </c>
      <c r="B482" s="51" t="s">
        <v>568</v>
      </c>
      <c r="C482" s="51" t="e">
        <f>VLOOKUP($B482,#REF!,MATCH(C$2,#REF!,0),0)</f>
        <v>#REF!</v>
      </c>
      <c r="D482" s="136"/>
      <c r="E482" s="136"/>
      <c r="F482" s="136" t="e">
        <f>VLOOKUP($B482,#REF!,MATCH(F$2,#REF!,0),0)</f>
        <v>#REF!</v>
      </c>
      <c r="G482" s="137" t="e">
        <f>VLOOKUP($B482,#REF!,MATCH(G$2,#REF!,0),0)</f>
        <v>#REF!</v>
      </c>
      <c r="H482" s="48"/>
      <c r="I482" s="48"/>
      <c r="J482" s="48">
        <v>1483.494</v>
      </c>
      <c r="K482" s="48"/>
      <c r="L482" s="48"/>
      <c r="M482" s="48"/>
      <c r="N482" s="48"/>
      <c r="O482" s="48"/>
      <c r="P482" s="48"/>
      <c r="Q482" s="48"/>
      <c r="R482" s="371" t="e">
        <f t="shared" ref="R482:AA482" si="458">$G482*H482</f>
        <v>#REF!</v>
      </c>
      <c r="S482" s="371" t="e">
        <f t="shared" si="458"/>
        <v>#REF!</v>
      </c>
      <c r="T482" s="371" t="e">
        <f t="shared" si="458"/>
        <v>#REF!</v>
      </c>
      <c r="U482" s="371" t="e">
        <f t="shared" si="458"/>
        <v>#REF!</v>
      </c>
      <c r="V482" s="371" t="e">
        <f t="shared" si="458"/>
        <v>#REF!</v>
      </c>
      <c r="W482" s="371" t="e">
        <f t="shared" si="458"/>
        <v>#REF!</v>
      </c>
      <c r="X482" s="371" t="e">
        <f t="shared" si="458"/>
        <v>#REF!</v>
      </c>
      <c r="Y482" s="371" t="e">
        <f t="shared" si="458"/>
        <v>#REF!</v>
      </c>
      <c r="Z482" s="371" t="e">
        <f t="shared" si="458"/>
        <v>#REF!</v>
      </c>
      <c r="AA482" s="371" t="e">
        <f t="shared" si="458"/>
        <v>#REF!</v>
      </c>
      <c r="AB482" s="50"/>
    </row>
    <row r="483" ht="28.8" outlineLevel="2" spans="1:28">
      <c r="A483" s="52">
        <f>MAX($A$6:A482)+1</f>
        <v>403</v>
      </c>
      <c r="B483" s="51" t="s">
        <v>569</v>
      </c>
      <c r="C483" s="51" t="e">
        <f>VLOOKUP($B483,#REF!,MATCH(C$2,#REF!,0),0)</f>
        <v>#REF!</v>
      </c>
      <c r="D483" s="136"/>
      <c r="E483" s="136"/>
      <c r="F483" s="136" t="e">
        <f>VLOOKUP($B483,#REF!,MATCH(F$2,#REF!,0),0)</f>
        <v>#REF!</v>
      </c>
      <c r="G483" s="137" t="e">
        <f>VLOOKUP($B483,#REF!,MATCH(G$2,#REF!,0),0)</f>
        <v>#REF!</v>
      </c>
      <c r="H483" s="48"/>
      <c r="I483" s="48"/>
      <c r="J483" s="48">
        <v>1483.494</v>
      </c>
      <c r="K483" s="48"/>
      <c r="L483" s="48"/>
      <c r="M483" s="48"/>
      <c r="N483" s="48"/>
      <c r="O483" s="48"/>
      <c r="P483" s="48"/>
      <c r="Q483" s="48"/>
      <c r="R483" s="371" t="e">
        <f t="shared" ref="R483:AA483" si="459">$G483*H483</f>
        <v>#REF!</v>
      </c>
      <c r="S483" s="371" t="e">
        <f t="shared" si="459"/>
        <v>#REF!</v>
      </c>
      <c r="T483" s="371" t="e">
        <f t="shared" si="459"/>
        <v>#REF!</v>
      </c>
      <c r="U483" s="371" t="e">
        <f t="shared" si="459"/>
        <v>#REF!</v>
      </c>
      <c r="V483" s="371" t="e">
        <f t="shared" si="459"/>
        <v>#REF!</v>
      </c>
      <c r="W483" s="371" t="e">
        <f t="shared" si="459"/>
        <v>#REF!</v>
      </c>
      <c r="X483" s="371" t="e">
        <f t="shared" si="459"/>
        <v>#REF!</v>
      </c>
      <c r="Y483" s="371" t="e">
        <f t="shared" si="459"/>
        <v>#REF!</v>
      </c>
      <c r="Z483" s="371" t="e">
        <f t="shared" si="459"/>
        <v>#REF!</v>
      </c>
      <c r="AA483" s="371" t="e">
        <f t="shared" si="459"/>
        <v>#REF!</v>
      </c>
      <c r="AB483" s="50"/>
    </row>
    <row r="484" outlineLevel="2" spans="1:28">
      <c r="A484" s="52">
        <f>MAX($A$6:A483)+1</f>
        <v>404</v>
      </c>
      <c r="B484" s="51" t="s">
        <v>349</v>
      </c>
      <c r="C484" s="51" t="e">
        <f>VLOOKUP($B484,#REF!,MATCH(C$2,#REF!,0),0)</f>
        <v>#REF!</v>
      </c>
      <c r="D484" s="136"/>
      <c r="E484" s="136"/>
      <c r="F484" s="136" t="e">
        <f>VLOOKUP($B484,#REF!,MATCH(F$2,#REF!,0),0)</f>
        <v>#REF!</v>
      </c>
      <c r="G484" s="137" t="e">
        <f>VLOOKUP($B484,#REF!,MATCH(G$2,#REF!,0),0)</f>
        <v>#REF!</v>
      </c>
      <c r="H484" s="48"/>
      <c r="I484" s="48"/>
      <c r="J484" s="48">
        <v>1483.494</v>
      </c>
      <c r="K484" s="48"/>
      <c r="L484" s="48"/>
      <c r="M484" s="48"/>
      <c r="N484" s="48"/>
      <c r="O484" s="48"/>
      <c r="P484" s="48"/>
      <c r="Q484" s="48"/>
      <c r="R484" s="371" t="e">
        <f t="shared" ref="R484:AA484" si="460">$G484*H484</f>
        <v>#REF!</v>
      </c>
      <c r="S484" s="371" t="e">
        <f t="shared" si="460"/>
        <v>#REF!</v>
      </c>
      <c r="T484" s="371" t="e">
        <f t="shared" si="460"/>
        <v>#REF!</v>
      </c>
      <c r="U484" s="371" t="e">
        <f t="shared" si="460"/>
        <v>#REF!</v>
      </c>
      <c r="V484" s="371" t="e">
        <f t="shared" si="460"/>
        <v>#REF!</v>
      </c>
      <c r="W484" s="371" t="e">
        <f t="shared" si="460"/>
        <v>#REF!</v>
      </c>
      <c r="X484" s="371" t="e">
        <f t="shared" si="460"/>
        <v>#REF!</v>
      </c>
      <c r="Y484" s="371" t="e">
        <f t="shared" si="460"/>
        <v>#REF!</v>
      </c>
      <c r="Z484" s="371" t="e">
        <f t="shared" si="460"/>
        <v>#REF!</v>
      </c>
      <c r="AA484" s="371" t="e">
        <f t="shared" si="460"/>
        <v>#REF!</v>
      </c>
      <c r="AB484" s="50"/>
    </row>
    <row r="485" s="122" customFormat="1" outlineLevel="2" spans="1:28">
      <c r="A485" s="130"/>
      <c r="B485" s="154" t="s">
        <v>570</v>
      </c>
      <c r="C485" s="154"/>
      <c r="D485" s="154"/>
      <c r="E485" s="154"/>
      <c r="F485" s="130"/>
      <c r="G485" s="134"/>
      <c r="H485" s="134"/>
      <c r="I485" s="134"/>
      <c r="J485" s="134"/>
      <c r="K485" s="134"/>
      <c r="L485" s="134"/>
      <c r="M485" s="134"/>
      <c r="N485" s="134"/>
      <c r="O485" s="134"/>
      <c r="P485" s="134"/>
      <c r="Q485" s="134"/>
      <c r="R485" s="367"/>
      <c r="S485" s="367"/>
      <c r="T485" s="367"/>
      <c r="U485" s="367"/>
      <c r="V485" s="371"/>
      <c r="W485" s="367"/>
      <c r="X485" s="367"/>
      <c r="Y485" s="367"/>
      <c r="Z485" s="367"/>
      <c r="AA485" s="367"/>
      <c r="AB485" s="130"/>
    </row>
    <row r="486" s="1" customFormat="1" ht="28.8" outlineLevel="2" spans="1:28">
      <c r="A486" s="52">
        <f>MAX($A$6:A485)+1</f>
        <v>405</v>
      </c>
      <c r="B486" s="51" t="s">
        <v>572</v>
      </c>
      <c r="C486" s="51" t="e">
        <f>VLOOKUP($B486,#REF!,MATCH(C$2,#REF!,0),0)</f>
        <v>#REF!</v>
      </c>
      <c r="D486" s="136"/>
      <c r="E486" s="136"/>
      <c r="F486" s="136" t="e">
        <f>VLOOKUP($B486,#REF!,MATCH(F$2,#REF!,0),0)</f>
        <v>#REF!</v>
      </c>
      <c r="G486" s="137" t="e">
        <f>VLOOKUP($B486,#REF!,MATCH(G$2,#REF!,0),0)</f>
        <v>#REF!</v>
      </c>
      <c r="H486" s="139"/>
      <c r="I486" s="139"/>
      <c r="J486" s="48">
        <v>1</v>
      </c>
      <c r="K486" s="139"/>
      <c r="L486" s="139"/>
      <c r="M486" s="139"/>
      <c r="N486" s="139"/>
      <c r="O486" s="139"/>
      <c r="P486" s="139"/>
      <c r="Q486" s="139"/>
      <c r="R486" s="371" t="e">
        <f>$G486*H486</f>
        <v>#REF!</v>
      </c>
      <c r="S486" s="371" t="e">
        <f t="shared" ref="S486:AA486" si="461">$G486*I486</f>
        <v>#REF!</v>
      </c>
      <c r="T486" s="371" t="e">
        <f t="shared" si="461"/>
        <v>#REF!</v>
      </c>
      <c r="U486" s="371" t="e">
        <f t="shared" si="461"/>
        <v>#REF!</v>
      </c>
      <c r="V486" s="371" t="e">
        <f t="shared" si="461"/>
        <v>#REF!</v>
      </c>
      <c r="W486" s="371" t="e">
        <f t="shared" si="461"/>
        <v>#REF!</v>
      </c>
      <c r="X486" s="371" t="e">
        <f t="shared" si="461"/>
        <v>#REF!</v>
      </c>
      <c r="Y486" s="371" t="e">
        <f t="shared" si="461"/>
        <v>#REF!</v>
      </c>
      <c r="Z486" s="371" t="e">
        <f t="shared" si="461"/>
        <v>#REF!</v>
      </c>
      <c r="AA486" s="371" t="e">
        <f t="shared" si="461"/>
        <v>#REF!</v>
      </c>
      <c r="AB486" s="26"/>
    </row>
    <row r="487" s="1" customFormat="1" outlineLevel="2" spans="1:28">
      <c r="A487" s="52">
        <f>MAX($A$6:A486)+1</f>
        <v>406</v>
      </c>
      <c r="B487" s="51" t="s">
        <v>568</v>
      </c>
      <c r="C487" s="51" t="e">
        <f>VLOOKUP($B487,#REF!,MATCH(C$2,#REF!,0),0)</f>
        <v>#REF!</v>
      </c>
      <c r="D487" s="136"/>
      <c r="E487" s="136"/>
      <c r="F487" s="136" t="e">
        <f>VLOOKUP($B487,#REF!,MATCH(F$2,#REF!,0),0)</f>
        <v>#REF!</v>
      </c>
      <c r="G487" s="137" t="e">
        <f>VLOOKUP($B487,#REF!,MATCH(G$2,#REF!,0),0)</f>
        <v>#REF!</v>
      </c>
      <c r="H487" s="139"/>
      <c r="I487" s="139"/>
      <c r="J487" s="48">
        <v>1</v>
      </c>
      <c r="K487" s="139"/>
      <c r="L487" s="139"/>
      <c r="M487" s="139"/>
      <c r="N487" s="139"/>
      <c r="O487" s="139"/>
      <c r="P487" s="139"/>
      <c r="Q487" s="139"/>
      <c r="R487" s="371" t="e">
        <f t="shared" ref="R487:AA487" si="462">$G487*H487</f>
        <v>#REF!</v>
      </c>
      <c r="S487" s="371" t="e">
        <f t="shared" si="462"/>
        <v>#REF!</v>
      </c>
      <c r="T487" s="371" t="e">
        <f t="shared" si="462"/>
        <v>#REF!</v>
      </c>
      <c r="U487" s="371" t="e">
        <f t="shared" si="462"/>
        <v>#REF!</v>
      </c>
      <c r="V487" s="371" t="e">
        <f t="shared" si="462"/>
        <v>#REF!</v>
      </c>
      <c r="W487" s="371" t="e">
        <f t="shared" si="462"/>
        <v>#REF!</v>
      </c>
      <c r="X487" s="371" t="e">
        <f t="shared" si="462"/>
        <v>#REF!</v>
      </c>
      <c r="Y487" s="371" t="e">
        <f t="shared" si="462"/>
        <v>#REF!</v>
      </c>
      <c r="Z487" s="371" t="e">
        <f t="shared" si="462"/>
        <v>#REF!</v>
      </c>
      <c r="AA487" s="371" t="e">
        <f t="shared" si="462"/>
        <v>#REF!</v>
      </c>
      <c r="AB487" s="26"/>
    </row>
    <row r="488" s="1" customFormat="1" ht="28.8" outlineLevel="2" spans="1:28">
      <c r="A488" s="52">
        <f>MAX($A$6:A487)+1</f>
        <v>407</v>
      </c>
      <c r="B488" s="51" t="s">
        <v>569</v>
      </c>
      <c r="C488" s="51" t="e">
        <f>VLOOKUP($B488,#REF!,MATCH(C$2,#REF!,0),0)</f>
        <v>#REF!</v>
      </c>
      <c r="D488" s="136"/>
      <c r="E488" s="136"/>
      <c r="F488" s="136" t="e">
        <f>VLOOKUP($B488,#REF!,MATCH(F$2,#REF!,0),0)</f>
        <v>#REF!</v>
      </c>
      <c r="G488" s="137" t="e">
        <f>VLOOKUP($B488,#REF!,MATCH(G$2,#REF!,0),0)</f>
        <v>#REF!</v>
      </c>
      <c r="H488" s="139"/>
      <c r="I488" s="139"/>
      <c r="J488" s="48">
        <v>1</v>
      </c>
      <c r="K488" s="139"/>
      <c r="L488" s="139"/>
      <c r="M488" s="139"/>
      <c r="N488" s="139"/>
      <c r="O488" s="139"/>
      <c r="P488" s="139"/>
      <c r="Q488" s="139"/>
      <c r="R488" s="371" t="e">
        <f t="shared" ref="R488:AA488" si="463">$G488*H488</f>
        <v>#REF!</v>
      </c>
      <c r="S488" s="371" t="e">
        <f t="shared" si="463"/>
        <v>#REF!</v>
      </c>
      <c r="T488" s="371" t="e">
        <f t="shared" si="463"/>
        <v>#REF!</v>
      </c>
      <c r="U488" s="371" t="e">
        <f t="shared" si="463"/>
        <v>#REF!</v>
      </c>
      <c r="V488" s="371" t="e">
        <f t="shared" si="463"/>
        <v>#REF!</v>
      </c>
      <c r="W488" s="371" t="e">
        <f t="shared" si="463"/>
        <v>#REF!</v>
      </c>
      <c r="X488" s="371" t="e">
        <f t="shared" si="463"/>
        <v>#REF!</v>
      </c>
      <c r="Y488" s="371" t="e">
        <f t="shared" si="463"/>
        <v>#REF!</v>
      </c>
      <c r="Z488" s="371" t="e">
        <f t="shared" si="463"/>
        <v>#REF!</v>
      </c>
      <c r="AA488" s="371" t="e">
        <f t="shared" si="463"/>
        <v>#REF!</v>
      </c>
      <c r="AB488" s="26"/>
    </row>
    <row r="489" s="1" customFormat="1" outlineLevel="2" spans="1:28">
      <c r="A489" s="52">
        <f>MAX($A$6:A488)+1</f>
        <v>408</v>
      </c>
      <c r="B489" s="51" t="s">
        <v>349</v>
      </c>
      <c r="C489" s="51" t="e">
        <f>VLOOKUP($B489,#REF!,MATCH(C$2,#REF!,0),0)</f>
        <v>#REF!</v>
      </c>
      <c r="D489" s="136"/>
      <c r="E489" s="136"/>
      <c r="F489" s="136" t="e">
        <f>VLOOKUP($B489,#REF!,MATCH(F$2,#REF!,0),0)</f>
        <v>#REF!</v>
      </c>
      <c r="G489" s="137" t="e">
        <f>VLOOKUP($B489,#REF!,MATCH(G$2,#REF!,0),0)</f>
        <v>#REF!</v>
      </c>
      <c r="H489" s="139"/>
      <c r="I489" s="139"/>
      <c r="J489" s="48">
        <v>1</v>
      </c>
      <c r="K489" s="139"/>
      <c r="L489" s="139"/>
      <c r="M489" s="139"/>
      <c r="N489" s="139"/>
      <c r="O489" s="139"/>
      <c r="P489" s="139"/>
      <c r="Q489" s="139"/>
      <c r="R489" s="371" t="e">
        <f t="shared" ref="R489:AA489" si="464">$G489*H489</f>
        <v>#REF!</v>
      </c>
      <c r="S489" s="371" t="e">
        <f t="shared" si="464"/>
        <v>#REF!</v>
      </c>
      <c r="T489" s="371" t="e">
        <f t="shared" si="464"/>
        <v>#REF!</v>
      </c>
      <c r="U489" s="371" t="e">
        <f t="shared" si="464"/>
        <v>#REF!</v>
      </c>
      <c r="V489" s="371" t="e">
        <f t="shared" si="464"/>
        <v>#REF!</v>
      </c>
      <c r="W489" s="371" t="e">
        <f t="shared" si="464"/>
        <v>#REF!</v>
      </c>
      <c r="X489" s="371" t="e">
        <f t="shared" si="464"/>
        <v>#REF!</v>
      </c>
      <c r="Y489" s="371" t="e">
        <f t="shared" si="464"/>
        <v>#REF!</v>
      </c>
      <c r="Z489" s="371" t="e">
        <f t="shared" si="464"/>
        <v>#REF!</v>
      </c>
      <c r="AA489" s="371" t="e">
        <f t="shared" si="464"/>
        <v>#REF!</v>
      </c>
      <c r="AB489" s="26"/>
    </row>
    <row r="490" s="355" customFormat="1" spans="1:28">
      <c r="A490" s="130"/>
      <c r="B490" s="51" t="str">
        <f>B226</f>
        <v>A.05简易装修工程</v>
      </c>
      <c r="C490" s="131"/>
      <c r="D490" s="154"/>
      <c r="E490" s="154"/>
      <c r="F490" s="154"/>
      <c r="G490" s="359"/>
      <c r="H490" s="134"/>
      <c r="I490" s="134"/>
      <c r="J490" s="134"/>
      <c r="K490" s="134"/>
      <c r="L490" s="134"/>
      <c r="M490" s="134"/>
      <c r="N490" s="134"/>
      <c r="O490" s="134"/>
      <c r="P490" s="134"/>
      <c r="Q490" s="134"/>
      <c r="R490" s="367" t="e">
        <f t="shared" ref="R490:AA490" si="465">SUM(R491,R650,R759,R761)</f>
        <v>#REF!</v>
      </c>
      <c r="S490" s="367" t="e">
        <f t="shared" si="465"/>
        <v>#REF!</v>
      </c>
      <c r="T490" s="367" t="e">
        <f t="shared" si="465"/>
        <v>#REF!</v>
      </c>
      <c r="U490" s="367" t="e">
        <f t="shared" si="465"/>
        <v>#REF!</v>
      </c>
      <c r="V490" s="367" t="e">
        <f t="shared" si="465"/>
        <v>#REF!</v>
      </c>
      <c r="W490" s="367" t="e">
        <f t="shared" si="465"/>
        <v>#REF!</v>
      </c>
      <c r="X490" s="367" t="e">
        <f t="shared" si="465"/>
        <v>#REF!</v>
      </c>
      <c r="Y490" s="367" t="e">
        <f t="shared" si="465"/>
        <v>#REF!</v>
      </c>
      <c r="Z490" s="367" t="e">
        <f t="shared" si="465"/>
        <v>#REF!</v>
      </c>
      <c r="AA490" s="367" t="e">
        <f t="shared" si="465"/>
        <v>#REF!</v>
      </c>
      <c r="AB490" s="130"/>
    </row>
    <row r="491" s="29" customFormat="1" ht="28.8" outlineLevel="1" spans="1:28">
      <c r="A491" s="40"/>
      <c r="B491" s="41" t="str">
        <f>目录!H14</f>
        <v>A.05.01地面装饰工程</v>
      </c>
      <c r="C491" s="41"/>
      <c r="D491" s="141"/>
      <c r="E491" s="141"/>
      <c r="F491" s="40"/>
      <c r="G491" s="43"/>
      <c r="H491" s="43"/>
      <c r="I491" s="43"/>
      <c r="J491" s="43"/>
      <c r="K491" s="43"/>
      <c r="L491" s="43"/>
      <c r="M491" s="43"/>
      <c r="N491" s="43"/>
      <c r="O491" s="43"/>
      <c r="P491" s="43"/>
      <c r="Q491" s="43"/>
      <c r="R491" s="369" t="e">
        <f t="shared" ref="R491:AA491" si="466">SUM(R492:R649)</f>
        <v>#REF!</v>
      </c>
      <c r="S491" s="369" t="e">
        <f t="shared" si="466"/>
        <v>#REF!</v>
      </c>
      <c r="T491" s="369" t="e">
        <f t="shared" si="466"/>
        <v>#REF!</v>
      </c>
      <c r="U491" s="369" t="e">
        <f t="shared" si="466"/>
        <v>#REF!</v>
      </c>
      <c r="V491" s="369" t="e">
        <f t="shared" si="466"/>
        <v>#REF!</v>
      </c>
      <c r="W491" s="369" t="e">
        <f t="shared" si="466"/>
        <v>#REF!</v>
      </c>
      <c r="X491" s="369" t="e">
        <f t="shared" si="466"/>
        <v>#REF!</v>
      </c>
      <c r="Y491" s="369" t="e">
        <f t="shared" si="466"/>
        <v>#REF!</v>
      </c>
      <c r="Z491" s="369" t="e">
        <f t="shared" si="466"/>
        <v>#REF!</v>
      </c>
      <c r="AA491" s="369" t="e">
        <f t="shared" si="466"/>
        <v>#REF!</v>
      </c>
      <c r="AB491" s="40"/>
    </row>
    <row r="492" ht="28.8" outlineLevel="2" spans="1:28">
      <c r="A492" s="52">
        <f>MAX($A$6:A491)+1</f>
        <v>409</v>
      </c>
      <c r="B492" s="51" t="s">
        <v>420</v>
      </c>
      <c r="C492" s="51" t="e">
        <f>VLOOKUP($B492,#REF!,MATCH(C$2,#REF!,0),0)</f>
        <v>#REF!</v>
      </c>
      <c r="D492" s="136"/>
      <c r="E492" s="136"/>
      <c r="F492" s="136" t="e">
        <f>VLOOKUP($B492,#REF!,MATCH(F$2,#REF!,0),0)</f>
        <v>#REF!</v>
      </c>
      <c r="G492" s="137" t="e">
        <f>VLOOKUP($B492,#REF!,MATCH(G$2,#REF!,0),0)</f>
        <v>#REF!</v>
      </c>
      <c r="H492" s="48">
        <v>619.72</v>
      </c>
      <c r="I492" s="48">
        <v>613.54</v>
      </c>
      <c r="J492" s="48">
        <v>95.85</v>
      </c>
      <c r="K492" s="48">
        <v>95.85</v>
      </c>
      <c r="L492" s="48">
        <v>131</v>
      </c>
      <c r="M492" s="48"/>
      <c r="N492" s="48"/>
      <c r="O492" s="48"/>
      <c r="P492" s="48"/>
      <c r="Q492" s="48"/>
      <c r="R492" s="371" t="e">
        <f>$G492*H492</f>
        <v>#REF!</v>
      </c>
      <c r="S492" s="371" t="e">
        <f t="shared" ref="S492:AA492" si="467">$G492*I492</f>
        <v>#REF!</v>
      </c>
      <c r="T492" s="371" t="e">
        <f t="shared" si="467"/>
        <v>#REF!</v>
      </c>
      <c r="U492" s="371" t="e">
        <f t="shared" si="467"/>
        <v>#REF!</v>
      </c>
      <c r="V492" s="371" t="e">
        <f t="shared" si="467"/>
        <v>#REF!</v>
      </c>
      <c r="W492" s="371" t="e">
        <f t="shared" si="467"/>
        <v>#REF!</v>
      </c>
      <c r="X492" s="371" t="e">
        <f t="shared" si="467"/>
        <v>#REF!</v>
      </c>
      <c r="Y492" s="371" t="e">
        <f t="shared" si="467"/>
        <v>#REF!</v>
      </c>
      <c r="Z492" s="371" t="e">
        <f t="shared" si="467"/>
        <v>#REF!</v>
      </c>
      <c r="AA492" s="371" t="e">
        <f t="shared" si="467"/>
        <v>#REF!</v>
      </c>
      <c r="AB492" s="50"/>
    </row>
    <row r="493" s="1" customFormat="1" ht="28.8" outlineLevel="2" spans="1:28">
      <c r="A493" s="52">
        <f>MAX($A$6:A492)+1</f>
        <v>410</v>
      </c>
      <c r="B493" s="51" t="s">
        <v>573</v>
      </c>
      <c r="C493" s="51" t="e">
        <f>VLOOKUP($B493,#REF!,MATCH(C$2,#REF!,0),0)</f>
        <v>#REF!</v>
      </c>
      <c r="D493" s="136"/>
      <c r="E493" s="136"/>
      <c r="F493" s="136" t="e">
        <f>VLOOKUP($B493,#REF!,MATCH(F$2,#REF!,0),0)</f>
        <v>#REF!</v>
      </c>
      <c r="G493" s="137" t="e">
        <f>VLOOKUP($B493,#REF!,MATCH(G$2,#REF!,0),0)</f>
        <v>#REF!</v>
      </c>
      <c r="H493" s="139"/>
      <c r="I493" s="139"/>
      <c r="J493" s="139"/>
      <c r="K493" s="139"/>
      <c r="L493" s="48">
        <v>368</v>
      </c>
      <c r="M493" s="48">
        <v>26.9</v>
      </c>
      <c r="N493" s="48">
        <v>26.9</v>
      </c>
      <c r="O493" s="48">
        <v>26.9</v>
      </c>
      <c r="P493" s="139"/>
      <c r="Q493" s="139"/>
      <c r="R493" s="371" t="e">
        <f t="shared" ref="R493:AA493" si="468">$G493*H493</f>
        <v>#REF!</v>
      </c>
      <c r="S493" s="371" t="e">
        <f t="shared" si="468"/>
        <v>#REF!</v>
      </c>
      <c r="T493" s="371" t="e">
        <f t="shared" si="468"/>
        <v>#REF!</v>
      </c>
      <c r="U493" s="371" t="e">
        <f t="shared" si="468"/>
        <v>#REF!</v>
      </c>
      <c r="V493" s="371" t="e">
        <f t="shared" si="468"/>
        <v>#REF!</v>
      </c>
      <c r="W493" s="371" t="e">
        <f t="shared" si="468"/>
        <v>#REF!</v>
      </c>
      <c r="X493" s="371" t="e">
        <f t="shared" si="468"/>
        <v>#REF!</v>
      </c>
      <c r="Y493" s="371" t="e">
        <f t="shared" si="468"/>
        <v>#REF!</v>
      </c>
      <c r="Z493" s="371" t="e">
        <f t="shared" si="468"/>
        <v>#REF!</v>
      </c>
      <c r="AA493" s="371" t="e">
        <f t="shared" si="468"/>
        <v>#REF!</v>
      </c>
      <c r="AB493" s="26"/>
    </row>
    <row r="494" s="122" customFormat="1" outlineLevel="2" spans="1:28">
      <c r="A494" s="130"/>
      <c r="B494" s="154" t="s">
        <v>574</v>
      </c>
      <c r="C494" s="154"/>
      <c r="D494" s="154"/>
      <c r="E494" s="154"/>
      <c r="F494" s="130"/>
      <c r="G494" s="134"/>
      <c r="H494" s="134"/>
      <c r="I494" s="134"/>
      <c r="J494" s="134"/>
      <c r="K494" s="134"/>
      <c r="L494" s="134"/>
      <c r="M494" s="134"/>
      <c r="N494" s="134"/>
      <c r="O494" s="134"/>
      <c r="P494" s="134"/>
      <c r="Q494" s="134"/>
      <c r="R494" s="367"/>
      <c r="S494" s="367"/>
      <c r="T494" s="367"/>
      <c r="U494" s="367"/>
      <c r="V494" s="371"/>
      <c r="W494" s="367"/>
      <c r="X494" s="367"/>
      <c r="Y494" s="367"/>
      <c r="Z494" s="367"/>
      <c r="AA494" s="367"/>
      <c r="AB494" s="130"/>
    </row>
    <row r="495" outlineLevel="2" spans="1:28">
      <c r="A495" s="52">
        <f>MAX($A$6:A494)+1</f>
        <v>411</v>
      </c>
      <c r="B495" s="51" t="s">
        <v>575</v>
      </c>
      <c r="C495" s="51" t="e">
        <f>VLOOKUP($B495,#REF!,MATCH(C$2,#REF!,0),0)</f>
        <v>#REF!</v>
      </c>
      <c r="D495" s="136"/>
      <c r="E495" s="136"/>
      <c r="F495" s="136" t="e">
        <f>VLOOKUP($B495,#REF!,MATCH(F$2,#REF!,0),0)</f>
        <v>#REF!</v>
      </c>
      <c r="G495" s="137" t="e">
        <f>VLOOKUP($B495,#REF!,MATCH(G$2,#REF!,0),0)</f>
        <v>#REF!</v>
      </c>
      <c r="H495" s="48">
        <v>1</v>
      </c>
      <c r="I495" s="48"/>
      <c r="J495" s="48"/>
      <c r="K495" s="48"/>
      <c r="L495" s="48"/>
      <c r="M495" s="48"/>
      <c r="N495" s="48"/>
      <c r="O495" s="48"/>
      <c r="P495" s="48"/>
      <c r="Q495" s="48"/>
      <c r="R495" s="371" t="e">
        <f>$G495*H495</f>
        <v>#REF!</v>
      </c>
      <c r="S495" s="371" t="e">
        <f t="shared" ref="S495:AA495" si="469">$G495*I495</f>
        <v>#REF!</v>
      </c>
      <c r="T495" s="371" t="e">
        <f t="shared" si="469"/>
        <v>#REF!</v>
      </c>
      <c r="U495" s="371" t="e">
        <f t="shared" si="469"/>
        <v>#REF!</v>
      </c>
      <c r="V495" s="371" t="e">
        <f t="shared" si="469"/>
        <v>#REF!</v>
      </c>
      <c r="W495" s="371" t="e">
        <f t="shared" si="469"/>
        <v>#REF!</v>
      </c>
      <c r="X495" s="371" t="e">
        <f t="shared" si="469"/>
        <v>#REF!</v>
      </c>
      <c r="Y495" s="371" t="e">
        <f t="shared" si="469"/>
        <v>#REF!</v>
      </c>
      <c r="Z495" s="371" t="e">
        <f t="shared" si="469"/>
        <v>#REF!</v>
      </c>
      <c r="AA495" s="371" t="e">
        <f t="shared" si="469"/>
        <v>#REF!</v>
      </c>
      <c r="AB495" s="50"/>
    </row>
    <row r="496" outlineLevel="2" spans="1:28">
      <c r="A496" s="52">
        <f>MAX($A$6:A495)+1</f>
        <v>412</v>
      </c>
      <c r="B496" s="51" t="s">
        <v>576</v>
      </c>
      <c r="C496" s="51" t="e">
        <f>VLOOKUP($B496,#REF!,MATCH(C$2,#REF!,0),0)</f>
        <v>#REF!</v>
      </c>
      <c r="D496" s="136"/>
      <c r="E496" s="136"/>
      <c r="F496" s="136" t="e">
        <f>VLOOKUP($B496,#REF!,MATCH(F$2,#REF!,0),0)</f>
        <v>#REF!</v>
      </c>
      <c r="G496" s="137" t="e">
        <f>VLOOKUP($B496,#REF!,MATCH(G$2,#REF!,0),0)</f>
        <v>#REF!</v>
      </c>
      <c r="H496" s="48">
        <f>1*0</f>
        <v>0</v>
      </c>
      <c r="I496" s="48"/>
      <c r="J496" s="48"/>
      <c r="K496" s="48"/>
      <c r="L496" s="48"/>
      <c r="M496" s="48"/>
      <c r="N496" s="48"/>
      <c r="O496" s="48"/>
      <c r="P496" s="48"/>
      <c r="Q496" s="48"/>
      <c r="R496" s="371" t="e">
        <f t="shared" ref="R496:AA496" si="470">$G496*H496</f>
        <v>#REF!</v>
      </c>
      <c r="S496" s="371" t="e">
        <f t="shared" si="470"/>
        <v>#REF!</v>
      </c>
      <c r="T496" s="371" t="e">
        <f t="shared" si="470"/>
        <v>#REF!</v>
      </c>
      <c r="U496" s="371" t="e">
        <f t="shared" si="470"/>
        <v>#REF!</v>
      </c>
      <c r="V496" s="371" t="e">
        <f t="shared" si="470"/>
        <v>#REF!</v>
      </c>
      <c r="W496" s="371" t="e">
        <f t="shared" si="470"/>
        <v>#REF!</v>
      </c>
      <c r="X496" s="371" t="e">
        <f t="shared" si="470"/>
        <v>#REF!</v>
      </c>
      <c r="Y496" s="371" t="e">
        <f t="shared" si="470"/>
        <v>#REF!</v>
      </c>
      <c r="Z496" s="371" t="e">
        <f t="shared" si="470"/>
        <v>#REF!</v>
      </c>
      <c r="AA496" s="371" t="e">
        <f t="shared" si="470"/>
        <v>#REF!</v>
      </c>
      <c r="AB496" s="50"/>
    </row>
    <row r="497" s="1" customFormat="1" ht="28.8" outlineLevel="2" spans="1:28">
      <c r="A497" s="52">
        <f>MAX($A$6:A496)+1</f>
        <v>413</v>
      </c>
      <c r="B497" s="374" t="s">
        <v>577</v>
      </c>
      <c r="C497" s="51" t="e">
        <f>VLOOKUP($B497,#REF!,MATCH(C$2,#REF!,0),0)</f>
        <v>#REF!</v>
      </c>
      <c r="D497" s="136"/>
      <c r="E497" s="136"/>
      <c r="F497" s="136" t="e">
        <f>VLOOKUP($B497,#REF!,MATCH(F$2,#REF!,0),0)</f>
        <v>#REF!</v>
      </c>
      <c r="G497" s="137" t="e">
        <f>VLOOKUP($B497,#REF!,MATCH(G$2,#REF!,0),0)</f>
        <v>#REF!</v>
      </c>
      <c r="H497" s="139">
        <f>7561.01*0</f>
        <v>0</v>
      </c>
      <c r="I497" s="139"/>
      <c r="J497" s="139"/>
      <c r="K497" s="139"/>
      <c r="L497" s="139"/>
      <c r="M497" s="139"/>
      <c r="N497" s="139"/>
      <c r="O497" s="139"/>
      <c r="P497" s="139"/>
      <c r="Q497" s="139"/>
      <c r="R497" s="371" t="e">
        <f t="shared" ref="R497:AA497" si="471">$G497*H497</f>
        <v>#REF!</v>
      </c>
      <c r="S497" s="371" t="e">
        <f t="shared" si="471"/>
        <v>#REF!</v>
      </c>
      <c r="T497" s="371" t="e">
        <f t="shared" si="471"/>
        <v>#REF!</v>
      </c>
      <c r="U497" s="371" t="e">
        <f t="shared" si="471"/>
        <v>#REF!</v>
      </c>
      <c r="V497" s="371" t="e">
        <f t="shared" si="471"/>
        <v>#REF!</v>
      </c>
      <c r="W497" s="371" t="e">
        <f t="shared" si="471"/>
        <v>#REF!</v>
      </c>
      <c r="X497" s="371" t="e">
        <f t="shared" si="471"/>
        <v>#REF!</v>
      </c>
      <c r="Y497" s="371" t="e">
        <f t="shared" si="471"/>
        <v>#REF!</v>
      </c>
      <c r="Z497" s="371" t="e">
        <f t="shared" si="471"/>
        <v>#REF!</v>
      </c>
      <c r="AA497" s="371" t="e">
        <f t="shared" si="471"/>
        <v>#REF!</v>
      </c>
      <c r="AB497" s="26"/>
    </row>
    <row r="498" s="1" customFormat="1" ht="28.8" outlineLevel="2" spans="1:28">
      <c r="A498" s="52">
        <f>MAX($A$6:A497)+1</f>
        <v>414</v>
      </c>
      <c r="B498" s="374" t="s">
        <v>578</v>
      </c>
      <c r="C498" s="51" t="e">
        <f>VLOOKUP($B498,#REF!,MATCH(C$2,#REF!,0),0)</f>
        <v>#REF!</v>
      </c>
      <c r="D498" s="136"/>
      <c r="E498" s="136"/>
      <c r="F498" s="136" t="e">
        <f>VLOOKUP($B498,#REF!,MATCH(F$2,#REF!,0),0)</f>
        <v>#REF!</v>
      </c>
      <c r="G498" s="137" t="e">
        <f>VLOOKUP($B498,#REF!,MATCH(G$2,#REF!,0),0)</f>
        <v>#REF!</v>
      </c>
      <c r="H498" s="139">
        <f>0*1</f>
        <v>0</v>
      </c>
      <c r="I498" s="139"/>
      <c r="J498" s="139"/>
      <c r="K498" s="139"/>
      <c r="L498" s="139"/>
      <c r="M498" s="139"/>
      <c r="N498" s="139"/>
      <c r="O498" s="139"/>
      <c r="P498" s="139"/>
      <c r="Q498" s="139"/>
      <c r="R498" s="371" t="e">
        <f t="shared" ref="R498:AA498" si="472">$G498*H498</f>
        <v>#REF!</v>
      </c>
      <c r="S498" s="371" t="e">
        <f t="shared" si="472"/>
        <v>#REF!</v>
      </c>
      <c r="T498" s="371" t="e">
        <f t="shared" si="472"/>
        <v>#REF!</v>
      </c>
      <c r="U498" s="371" t="e">
        <f t="shared" si="472"/>
        <v>#REF!</v>
      </c>
      <c r="V498" s="371" t="e">
        <f t="shared" si="472"/>
        <v>#REF!</v>
      </c>
      <c r="W498" s="371" t="e">
        <f t="shared" si="472"/>
        <v>#REF!</v>
      </c>
      <c r="X498" s="371" t="e">
        <f t="shared" si="472"/>
        <v>#REF!</v>
      </c>
      <c r="Y498" s="371" t="e">
        <f t="shared" si="472"/>
        <v>#REF!</v>
      </c>
      <c r="Z498" s="371" t="e">
        <f t="shared" si="472"/>
        <v>#REF!</v>
      </c>
      <c r="AA498" s="371" t="e">
        <f t="shared" si="472"/>
        <v>#REF!</v>
      </c>
      <c r="AB498" s="26"/>
    </row>
    <row r="499" s="1" customFormat="1" outlineLevel="2" spans="1:28">
      <c r="A499" s="52">
        <f>MAX($A$6:A498)+1</f>
        <v>415</v>
      </c>
      <c r="B499" s="374" t="s">
        <v>579</v>
      </c>
      <c r="C499" s="51" t="e">
        <f>VLOOKUP($B499,#REF!,MATCH(C$2,#REF!,0),0)</f>
        <v>#REF!</v>
      </c>
      <c r="D499" s="136"/>
      <c r="E499" s="136"/>
      <c r="F499" s="136" t="e">
        <f>VLOOKUP($B499,#REF!,MATCH(F$2,#REF!,0),0)</f>
        <v>#REF!</v>
      </c>
      <c r="G499" s="137" t="e">
        <f>VLOOKUP($B499,#REF!,MATCH(G$2,#REF!,0),0)</f>
        <v>#REF!</v>
      </c>
      <c r="H499" s="139">
        <f>0*1</f>
        <v>0</v>
      </c>
      <c r="I499" s="139"/>
      <c r="J499" s="139"/>
      <c r="K499" s="139"/>
      <c r="L499" s="139"/>
      <c r="M499" s="139"/>
      <c r="N499" s="139"/>
      <c r="O499" s="139"/>
      <c r="P499" s="139"/>
      <c r="Q499" s="139"/>
      <c r="R499" s="371" t="e">
        <f t="shared" ref="R499:AA499" si="473">$G499*H499</f>
        <v>#REF!</v>
      </c>
      <c r="S499" s="371" t="e">
        <f t="shared" si="473"/>
        <v>#REF!</v>
      </c>
      <c r="T499" s="371" t="e">
        <f t="shared" si="473"/>
        <v>#REF!</v>
      </c>
      <c r="U499" s="371" t="e">
        <f t="shared" si="473"/>
        <v>#REF!</v>
      </c>
      <c r="V499" s="371" t="e">
        <f t="shared" si="473"/>
        <v>#REF!</v>
      </c>
      <c r="W499" s="371" t="e">
        <f t="shared" si="473"/>
        <v>#REF!</v>
      </c>
      <c r="X499" s="371" t="e">
        <f t="shared" si="473"/>
        <v>#REF!</v>
      </c>
      <c r="Y499" s="371" t="e">
        <f t="shared" si="473"/>
        <v>#REF!</v>
      </c>
      <c r="Z499" s="371" t="e">
        <f t="shared" si="473"/>
        <v>#REF!</v>
      </c>
      <c r="AA499" s="371" t="e">
        <f t="shared" si="473"/>
        <v>#REF!</v>
      </c>
      <c r="AB499" s="26"/>
    </row>
    <row r="500" s="122" customFormat="1" outlineLevel="2" spans="1:28">
      <c r="A500" s="130"/>
      <c r="B500" s="154" t="s">
        <v>580</v>
      </c>
      <c r="C500" s="154"/>
      <c r="D500" s="154"/>
      <c r="E500" s="154"/>
      <c r="F500" s="130"/>
      <c r="G500" s="134"/>
      <c r="H500" s="134"/>
      <c r="I500" s="134"/>
      <c r="J500" s="134"/>
      <c r="K500" s="134"/>
      <c r="L500" s="134"/>
      <c r="M500" s="134"/>
      <c r="N500" s="134"/>
      <c r="O500" s="134"/>
      <c r="P500" s="134"/>
      <c r="Q500" s="134"/>
      <c r="R500" s="367"/>
      <c r="S500" s="367"/>
      <c r="T500" s="367"/>
      <c r="U500" s="367"/>
      <c r="V500" s="371"/>
      <c r="W500" s="367"/>
      <c r="X500" s="367"/>
      <c r="Y500" s="367"/>
      <c r="Z500" s="367"/>
      <c r="AA500" s="367"/>
      <c r="AB500" s="130"/>
    </row>
    <row r="501" s="1" customFormat="1" ht="28.8" outlineLevel="2" spans="1:28">
      <c r="A501" s="52">
        <f>MAX($A$6:A500)+1</f>
        <v>416</v>
      </c>
      <c r="B501" s="51" t="s">
        <v>581</v>
      </c>
      <c r="C501" s="51" t="e">
        <f>VLOOKUP($B501,#REF!,MATCH(C$2,#REF!,0),0)</f>
        <v>#REF!</v>
      </c>
      <c r="D501" s="136"/>
      <c r="E501" s="136"/>
      <c r="F501" s="136" t="e">
        <f>VLOOKUP($B501,#REF!,MATCH(F$2,#REF!,0),0)</f>
        <v>#REF!</v>
      </c>
      <c r="G501" s="137" t="e">
        <f>VLOOKUP($B501,#REF!,MATCH(G$2,#REF!,0),0)</f>
        <v>#REF!</v>
      </c>
      <c r="H501" s="139">
        <f>0*2162.01</f>
        <v>0</v>
      </c>
      <c r="I501" s="139">
        <f>9779.94*0</f>
        <v>0</v>
      </c>
      <c r="J501" s="139">
        <f>5557.97*0</f>
        <v>0</v>
      </c>
      <c r="K501" s="139">
        <f>5557.97*0</f>
        <v>0</v>
      </c>
      <c r="L501" s="139"/>
      <c r="M501" s="139">
        <f t="shared" ref="M501:O501" si="474">1028*0</f>
        <v>0</v>
      </c>
      <c r="N501" s="139">
        <f t="shared" si="474"/>
        <v>0</v>
      </c>
      <c r="O501" s="139">
        <f t="shared" si="474"/>
        <v>0</v>
      </c>
      <c r="P501" s="139"/>
      <c r="Q501" s="139"/>
      <c r="R501" s="371" t="e">
        <f>$G501*H501</f>
        <v>#REF!</v>
      </c>
      <c r="S501" s="371" t="e">
        <f t="shared" ref="S501:AA501" si="475">$G501*I501</f>
        <v>#REF!</v>
      </c>
      <c r="T501" s="371" t="e">
        <f t="shared" si="475"/>
        <v>#REF!</v>
      </c>
      <c r="U501" s="371" t="e">
        <f t="shared" si="475"/>
        <v>#REF!</v>
      </c>
      <c r="V501" s="371" t="e">
        <f t="shared" si="475"/>
        <v>#REF!</v>
      </c>
      <c r="W501" s="371" t="e">
        <f t="shared" si="475"/>
        <v>#REF!</v>
      </c>
      <c r="X501" s="371" t="e">
        <f t="shared" si="475"/>
        <v>#REF!</v>
      </c>
      <c r="Y501" s="371" t="e">
        <f t="shared" si="475"/>
        <v>#REF!</v>
      </c>
      <c r="Z501" s="371" t="e">
        <f t="shared" si="475"/>
        <v>#REF!</v>
      </c>
      <c r="AA501" s="371" t="e">
        <f t="shared" si="475"/>
        <v>#REF!</v>
      </c>
      <c r="AB501" s="26"/>
    </row>
    <row r="502" s="1" customFormat="1" outlineLevel="2" spans="1:28">
      <c r="A502" s="52">
        <f>MAX($A$6:A501)+1</f>
        <v>417</v>
      </c>
      <c r="B502" s="374" t="s">
        <v>582</v>
      </c>
      <c r="C502" s="51" t="e">
        <f>VLOOKUP($B502,#REF!,MATCH(C$2,#REF!,0),0)</f>
        <v>#REF!</v>
      </c>
      <c r="D502" s="136"/>
      <c r="E502" s="136"/>
      <c r="F502" s="136" t="e">
        <f>VLOOKUP($B502,#REF!,MATCH(F$2,#REF!,0),0)</f>
        <v>#REF!</v>
      </c>
      <c r="G502" s="137" t="e">
        <f>VLOOKUP($B502,#REF!,MATCH(G$2,#REF!,0),0)</f>
        <v>#REF!</v>
      </c>
      <c r="H502" s="139">
        <f>2162.01*0</f>
        <v>0</v>
      </c>
      <c r="I502" s="139">
        <f>9779.94*0</f>
        <v>0</v>
      </c>
      <c r="J502" s="139">
        <f>5557.97*0</f>
        <v>0</v>
      </c>
      <c r="K502" s="139">
        <f>5557.97*0</f>
        <v>0</v>
      </c>
      <c r="L502" s="139"/>
      <c r="M502" s="139">
        <f t="shared" ref="M502:O502" si="476">1028*0</f>
        <v>0</v>
      </c>
      <c r="N502" s="139">
        <f t="shared" si="476"/>
        <v>0</v>
      </c>
      <c r="O502" s="139">
        <f t="shared" si="476"/>
        <v>0</v>
      </c>
      <c r="P502" s="139"/>
      <c r="Q502" s="139"/>
      <c r="R502" s="371" t="e">
        <f t="shared" ref="R502:AA502" si="477">$G502*H502</f>
        <v>#REF!</v>
      </c>
      <c r="S502" s="371" t="e">
        <f t="shared" si="477"/>
        <v>#REF!</v>
      </c>
      <c r="T502" s="371" t="e">
        <f t="shared" si="477"/>
        <v>#REF!</v>
      </c>
      <c r="U502" s="371" t="e">
        <f t="shared" si="477"/>
        <v>#REF!</v>
      </c>
      <c r="V502" s="371" t="e">
        <f t="shared" si="477"/>
        <v>#REF!</v>
      </c>
      <c r="W502" s="371" t="e">
        <f t="shared" si="477"/>
        <v>#REF!</v>
      </c>
      <c r="X502" s="371" t="e">
        <f t="shared" si="477"/>
        <v>#REF!</v>
      </c>
      <c r="Y502" s="371" t="e">
        <f t="shared" si="477"/>
        <v>#REF!</v>
      </c>
      <c r="Z502" s="371" t="e">
        <f t="shared" si="477"/>
        <v>#REF!</v>
      </c>
      <c r="AA502" s="371" t="e">
        <f t="shared" si="477"/>
        <v>#REF!</v>
      </c>
      <c r="AB502" s="26"/>
    </row>
    <row r="503" s="1" customFormat="1" outlineLevel="2" spans="1:28">
      <c r="A503" s="52">
        <f>MAX($A$6:A502)+1</f>
        <v>418</v>
      </c>
      <c r="B503" s="374" t="s">
        <v>583</v>
      </c>
      <c r="C503" s="51" t="e">
        <f>VLOOKUP($B503,#REF!,MATCH(C$2,#REF!,0),0)</f>
        <v>#REF!</v>
      </c>
      <c r="D503" s="136"/>
      <c r="E503" s="136"/>
      <c r="F503" s="136" t="e">
        <f>VLOOKUP($B503,#REF!,MATCH(F$2,#REF!,0),0)</f>
        <v>#REF!</v>
      </c>
      <c r="G503" s="137" t="e">
        <f>VLOOKUP($B503,#REF!,MATCH(G$2,#REF!,0),0)</f>
        <v>#REF!</v>
      </c>
      <c r="H503" s="139">
        <f>2162.01*0</f>
        <v>0</v>
      </c>
      <c r="I503" s="139">
        <f>9779.94*0</f>
        <v>0</v>
      </c>
      <c r="J503" s="139">
        <f>5557.97*0</f>
        <v>0</v>
      </c>
      <c r="K503" s="139">
        <f>5557.97*0</f>
        <v>0</v>
      </c>
      <c r="L503" s="139"/>
      <c r="M503" s="139">
        <f t="shared" ref="M503:O503" si="478">1028*0</f>
        <v>0</v>
      </c>
      <c r="N503" s="139">
        <f t="shared" si="478"/>
        <v>0</v>
      </c>
      <c r="O503" s="139">
        <f t="shared" si="478"/>
        <v>0</v>
      </c>
      <c r="P503" s="139"/>
      <c r="Q503" s="139"/>
      <c r="R503" s="371" t="e">
        <f t="shared" ref="R503:AA503" si="479">$G503*H503</f>
        <v>#REF!</v>
      </c>
      <c r="S503" s="371" t="e">
        <f t="shared" si="479"/>
        <v>#REF!</v>
      </c>
      <c r="T503" s="371" t="e">
        <f t="shared" si="479"/>
        <v>#REF!</v>
      </c>
      <c r="U503" s="371" t="e">
        <f t="shared" si="479"/>
        <v>#REF!</v>
      </c>
      <c r="V503" s="371" t="e">
        <f t="shared" si="479"/>
        <v>#REF!</v>
      </c>
      <c r="W503" s="371" t="e">
        <f t="shared" si="479"/>
        <v>#REF!</v>
      </c>
      <c r="X503" s="371" t="e">
        <f t="shared" si="479"/>
        <v>#REF!</v>
      </c>
      <c r="Y503" s="371" t="e">
        <f t="shared" si="479"/>
        <v>#REF!</v>
      </c>
      <c r="Z503" s="371" t="e">
        <f t="shared" si="479"/>
        <v>#REF!</v>
      </c>
      <c r="AA503" s="371" t="e">
        <f t="shared" si="479"/>
        <v>#REF!</v>
      </c>
      <c r="AB503" s="26"/>
    </row>
    <row r="504" s="122" customFormat="1" outlineLevel="2" spans="1:28">
      <c r="A504" s="130"/>
      <c r="B504" s="154" t="s">
        <v>584</v>
      </c>
      <c r="C504" s="154"/>
      <c r="D504" s="154"/>
      <c r="E504" s="154"/>
      <c r="F504" s="130"/>
      <c r="G504" s="134"/>
      <c r="H504" s="134"/>
      <c r="I504" s="134"/>
      <c r="J504" s="134"/>
      <c r="K504" s="134"/>
      <c r="L504" s="134"/>
      <c r="M504" s="134"/>
      <c r="N504" s="134"/>
      <c r="O504" s="134"/>
      <c r="P504" s="134"/>
      <c r="Q504" s="134"/>
      <c r="R504" s="367"/>
      <c r="S504" s="367"/>
      <c r="T504" s="367"/>
      <c r="U504" s="367"/>
      <c r="V504" s="371"/>
      <c r="W504" s="367"/>
      <c r="X504" s="367"/>
      <c r="Y504" s="367"/>
      <c r="Z504" s="367"/>
      <c r="AA504" s="367"/>
      <c r="AB504" s="130"/>
    </row>
    <row r="505" ht="28.8" outlineLevel="2" spans="1:28">
      <c r="A505" s="52">
        <f>MAX($A$6:A504)+1</f>
        <v>419</v>
      </c>
      <c r="B505" s="51" t="s">
        <v>585</v>
      </c>
      <c r="C505" s="51" t="e">
        <f>VLOOKUP($B505,#REF!,MATCH(C$2,#REF!,0),0)</f>
        <v>#REF!</v>
      </c>
      <c r="D505" s="136"/>
      <c r="E505" s="136"/>
      <c r="F505" s="136" t="e">
        <f>VLOOKUP($B505,#REF!,MATCH(F$2,#REF!,0),0)</f>
        <v>#REF!</v>
      </c>
      <c r="G505" s="137" t="e">
        <f>VLOOKUP($B505,#REF!,MATCH(G$2,#REF!,0),0)</f>
        <v>#REF!</v>
      </c>
      <c r="H505" s="48"/>
      <c r="I505" s="48"/>
      <c r="J505" s="48"/>
      <c r="K505" s="48"/>
      <c r="L505" s="48"/>
      <c r="M505" s="48">
        <v>1</v>
      </c>
      <c r="N505" s="48">
        <v>1</v>
      </c>
      <c r="O505" s="48">
        <v>1</v>
      </c>
      <c r="P505" s="48"/>
      <c r="Q505" s="48"/>
      <c r="R505" s="371" t="e">
        <f>$G505*H505</f>
        <v>#REF!</v>
      </c>
      <c r="S505" s="371" t="e">
        <f t="shared" ref="S505:AA505" si="480">$G505*I505</f>
        <v>#REF!</v>
      </c>
      <c r="T505" s="371" t="e">
        <f t="shared" si="480"/>
        <v>#REF!</v>
      </c>
      <c r="U505" s="371" t="e">
        <f t="shared" si="480"/>
        <v>#REF!</v>
      </c>
      <c r="V505" s="371" t="e">
        <f t="shared" si="480"/>
        <v>#REF!</v>
      </c>
      <c r="W505" s="371" t="e">
        <f t="shared" si="480"/>
        <v>#REF!</v>
      </c>
      <c r="X505" s="371" t="e">
        <f t="shared" si="480"/>
        <v>#REF!</v>
      </c>
      <c r="Y505" s="371" t="e">
        <f t="shared" si="480"/>
        <v>#REF!</v>
      </c>
      <c r="Z505" s="371" t="e">
        <f t="shared" si="480"/>
        <v>#REF!</v>
      </c>
      <c r="AA505" s="371" t="e">
        <f t="shared" si="480"/>
        <v>#REF!</v>
      </c>
      <c r="AB505" s="50"/>
    </row>
    <row r="506" outlineLevel="2" spans="1:28">
      <c r="A506" s="52">
        <f>MAX($A$6:A505)+1</f>
        <v>420</v>
      </c>
      <c r="B506" s="51" t="s">
        <v>576</v>
      </c>
      <c r="C506" s="51" t="e">
        <f>VLOOKUP($B506,#REF!,MATCH(C$2,#REF!,0),0)</f>
        <v>#REF!</v>
      </c>
      <c r="D506" s="136"/>
      <c r="E506" s="136"/>
      <c r="F506" s="136" t="e">
        <f>VLOOKUP($B506,#REF!,MATCH(F$2,#REF!,0),0)</f>
        <v>#REF!</v>
      </c>
      <c r="G506" s="137" t="e">
        <f>VLOOKUP($B506,#REF!,MATCH(G$2,#REF!,0),0)</f>
        <v>#REF!</v>
      </c>
      <c r="H506" s="48"/>
      <c r="I506" s="48"/>
      <c r="J506" s="48"/>
      <c r="K506" s="48"/>
      <c r="L506" s="48"/>
      <c r="M506" s="48">
        <v>1</v>
      </c>
      <c r="N506" s="48">
        <v>1</v>
      </c>
      <c r="O506" s="48">
        <v>1</v>
      </c>
      <c r="P506" s="48"/>
      <c r="Q506" s="48"/>
      <c r="R506" s="371" t="e">
        <f t="shared" ref="R506:R511" si="481">$G506*H506</f>
        <v>#REF!</v>
      </c>
      <c r="S506" s="371" t="e">
        <f t="shared" ref="S506:S511" si="482">$G506*I506</f>
        <v>#REF!</v>
      </c>
      <c r="T506" s="371" t="e">
        <f t="shared" ref="T506:T511" si="483">$G506*J506</f>
        <v>#REF!</v>
      </c>
      <c r="U506" s="371" t="e">
        <f t="shared" ref="U506:U511" si="484">$G506*K506</f>
        <v>#REF!</v>
      </c>
      <c r="V506" s="371" t="e">
        <f t="shared" ref="V506:V511" si="485">$G506*L506</f>
        <v>#REF!</v>
      </c>
      <c r="W506" s="371" t="e">
        <f t="shared" ref="W506:W511" si="486">$G506*M506</f>
        <v>#REF!</v>
      </c>
      <c r="X506" s="371" t="e">
        <f t="shared" ref="X506:X511" si="487">$G506*N506</f>
        <v>#REF!</v>
      </c>
      <c r="Y506" s="371" t="e">
        <f t="shared" ref="Y506:Y511" si="488">$G506*O506</f>
        <v>#REF!</v>
      </c>
      <c r="Z506" s="371" t="e">
        <f t="shared" ref="Z506:Z511" si="489">$G506*P506</f>
        <v>#REF!</v>
      </c>
      <c r="AA506" s="371" t="e">
        <f t="shared" ref="AA506:AA511" si="490">$G506*Q506</f>
        <v>#REF!</v>
      </c>
      <c r="AB506" s="50"/>
    </row>
    <row r="507" ht="28.8" outlineLevel="2" spans="1:28">
      <c r="A507" s="52">
        <f>MAX($A$6:A506)+1</f>
        <v>421</v>
      </c>
      <c r="B507" s="51" t="s">
        <v>586</v>
      </c>
      <c r="C507" s="51" t="e">
        <f>VLOOKUP($B507,#REF!,MATCH(C$2,#REF!,0),0)</f>
        <v>#REF!</v>
      </c>
      <c r="D507" s="136"/>
      <c r="E507" s="136"/>
      <c r="F507" s="136" t="e">
        <f>VLOOKUP($B507,#REF!,MATCH(F$2,#REF!,0),0)</f>
        <v>#REF!</v>
      </c>
      <c r="G507" s="137" t="e">
        <f>VLOOKUP($B507,#REF!,MATCH(G$2,#REF!,0),0)</f>
        <v>#REF!</v>
      </c>
      <c r="H507" s="48"/>
      <c r="I507" s="48"/>
      <c r="J507" s="48"/>
      <c r="K507" s="48"/>
      <c r="L507" s="48"/>
      <c r="M507" s="48">
        <v>1</v>
      </c>
      <c r="N507" s="48">
        <v>1</v>
      </c>
      <c r="O507" s="48">
        <v>1</v>
      </c>
      <c r="P507" s="48"/>
      <c r="Q507" s="48"/>
      <c r="R507" s="371" t="e">
        <f t="shared" si="481"/>
        <v>#REF!</v>
      </c>
      <c r="S507" s="371" t="e">
        <f t="shared" si="482"/>
        <v>#REF!</v>
      </c>
      <c r="T507" s="371" t="e">
        <f t="shared" si="483"/>
        <v>#REF!</v>
      </c>
      <c r="U507" s="371" t="e">
        <f t="shared" si="484"/>
        <v>#REF!</v>
      </c>
      <c r="V507" s="371" t="e">
        <f t="shared" si="485"/>
        <v>#REF!</v>
      </c>
      <c r="W507" s="371" t="e">
        <f t="shared" si="486"/>
        <v>#REF!</v>
      </c>
      <c r="X507" s="371" t="e">
        <f t="shared" si="487"/>
        <v>#REF!</v>
      </c>
      <c r="Y507" s="371" t="e">
        <f t="shared" si="488"/>
        <v>#REF!</v>
      </c>
      <c r="Z507" s="371" t="e">
        <f t="shared" si="489"/>
        <v>#REF!</v>
      </c>
      <c r="AA507" s="371" t="e">
        <f t="shared" si="490"/>
        <v>#REF!</v>
      </c>
      <c r="AB507" s="50"/>
    </row>
    <row r="508" ht="28.8" outlineLevel="2" spans="1:28">
      <c r="A508" s="52">
        <f>MAX($A$6:A507)+1</f>
        <v>422</v>
      </c>
      <c r="B508" s="51" t="s">
        <v>587</v>
      </c>
      <c r="C508" s="51" t="e">
        <f>VLOOKUP($B508,#REF!,MATCH(C$2,#REF!,0),0)</f>
        <v>#REF!</v>
      </c>
      <c r="D508" s="136"/>
      <c r="E508" s="136"/>
      <c r="F508" s="136" t="e">
        <f>VLOOKUP($B508,#REF!,MATCH(F$2,#REF!,0),0)</f>
        <v>#REF!</v>
      </c>
      <c r="G508" s="137" t="e">
        <f>VLOOKUP($B508,#REF!,MATCH(G$2,#REF!,0),0)</f>
        <v>#REF!</v>
      </c>
      <c r="H508" s="48"/>
      <c r="I508" s="48"/>
      <c r="J508" s="48"/>
      <c r="K508" s="48"/>
      <c r="L508" s="48"/>
      <c r="M508" s="48">
        <v>1</v>
      </c>
      <c r="N508" s="48">
        <v>1</v>
      </c>
      <c r="O508" s="48">
        <v>1</v>
      </c>
      <c r="P508" s="48"/>
      <c r="Q508" s="48"/>
      <c r="R508" s="371" t="e">
        <f t="shared" si="481"/>
        <v>#REF!</v>
      </c>
      <c r="S508" s="371" t="e">
        <f t="shared" si="482"/>
        <v>#REF!</v>
      </c>
      <c r="T508" s="371" t="e">
        <f t="shared" si="483"/>
        <v>#REF!</v>
      </c>
      <c r="U508" s="371" t="e">
        <f t="shared" si="484"/>
        <v>#REF!</v>
      </c>
      <c r="V508" s="371" t="e">
        <f t="shared" si="485"/>
        <v>#REF!</v>
      </c>
      <c r="W508" s="371" t="e">
        <f t="shared" si="486"/>
        <v>#REF!</v>
      </c>
      <c r="X508" s="371" t="e">
        <f t="shared" si="487"/>
        <v>#REF!</v>
      </c>
      <c r="Y508" s="371" t="e">
        <f t="shared" si="488"/>
        <v>#REF!</v>
      </c>
      <c r="Z508" s="371" t="e">
        <f t="shared" si="489"/>
        <v>#REF!</v>
      </c>
      <c r="AA508" s="371" t="e">
        <f t="shared" si="490"/>
        <v>#REF!</v>
      </c>
      <c r="AB508" s="50"/>
    </row>
    <row r="509" outlineLevel="2" spans="1:28">
      <c r="A509" s="52">
        <f>MAX($A$6:A508)+1</f>
        <v>423</v>
      </c>
      <c r="B509" s="51" t="s">
        <v>424</v>
      </c>
      <c r="C509" s="51" t="e">
        <f>VLOOKUP($B509,#REF!,MATCH(C$2,#REF!,0),0)</f>
        <v>#REF!</v>
      </c>
      <c r="D509" s="136"/>
      <c r="E509" s="136"/>
      <c r="F509" s="136" t="e">
        <f>VLOOKUP($B509,#REF!,MATCH(F$2,#REF!,0),0)</f>
        <v>#REF!</v>
      </c>
      <c r="G509" s="137" t="e">
        <f>VLOOKUP($B509,#REF!,MATCH(G$2,#REF!,0),0)</f>
        <v>#REF!</v>
      </c>
      <c r="H509" s="48"/>
      <c r="I509" s="48"/>
      <c r="J509" s="48"/>
      <c r="K509" s="48"/>
      <c r="L509" s="48"/>
      <c r="M509" s="48">
        <v>1</v>
      </c>
      <c r="N509" s="48">
        <v>1</v>
      </c>
      <c r="O509" s="48">
        <v>1</v>
      </c>
      <c r="P509" s="48"/>
      <c r="Q509" s="48"/>
      <c r="R509" s="371" t="e">
        <f t="shared" si="481"/>
        <v>#REF!</v>
      </c>
      <c r="S509" s="371" t="e">
        <f t="shared" si="482"/>
        <v>#REF!</v>
      </c>
      <c r="T509" s="371" t="e">
        <f t="shared" si="483"/>
        <v>#REF!</v>
      </c>
      <c r="U509" s="371" t="e">
        <f t="shared" si="484"/>
        <v>#REF!</v>
      </c>
      <c r="V509" s="371" t="e">
        <f t="shared" si="485"/>
        <v>#REF!</v>
      </c>
      <c r="W509" s="371" t="e">
        <f t="shared" si="486"/>
        <v>#REF!</v>
      </c>
      <c r="X509" s="371" t="e">
        <f t="shared" si="487"/>
        <v>#REF!</v>
      </c>
      <c r="Y509" s="371" t="e">
        <f t="shared" si="488"/>
        <v>#REF!</v>
      </c>
      <c r="Z509" s="371" t="e">
        <f t="shared" si="489"/>
        <v>#REF!</v>
      </c>
      <c r="AA509" s="371" t="e">
        <f t="shared" si="490"/>
        <v>#REF!</v>
      </c>
      <c r="AB509" s="50"/>
    </row>
    <row r="510" ht="28.8" outlineLevel="2" spans="1:28">
      <c r="A510" s="52">
        <f>MAX($A$6:A509)+1</f>
        <v>424</v>
      </c>
      <c r="B510" s="51" t="s">
        <v>588</v>
      </c>
      <c r="C510" s="51" t="e">
        <f>VLOOKUP($B510,#REF!,MATCH(C$2,#REF!,0),0)</f>
        <v>#REF!</v>
      </c>
      <c r="D510" s="136"/>
      <c r="E510" s="136"/>
      <c r="F510" s="136" t="e">
        <f>VLOOKUP($B510,#REF!,MATCH(F$2,#REF!,0),0)</f>
        <v>#REF!</v>
      </c>
      <c r="G510" s="137" t="e">
        <f>VLOOKUP($B510,#REF!,MATCH(G$2,#REF!,0),0)</f>
        <v>#REF!</v>
      </c>
      <c r="H510" s="48"/>
      <c r="I510" s="48"/>
      <c r="J510" s="48"/>
      <c r="K510" s="48"/>
      <c r="L510" s="48"/>
      <c r="M510" s="48">
        <v>1</v>
      </c>
      <c r="N510" s="48">
        <v>1</v>
      </c>
      <c r="O510" s="48">
        <v>1</v>
      </c>
      <c r="P510" s="48"/>
      <c r="Q510" s="48"/>
      <c r="R510" s="371" t="e">
        <f t="shared" si="481"/>
        <v>#REF!</v>
      </c>
      <c r="S510" s="371" t="e">
        <f t="shared" si="482"/>
        <v>#REF!</v>
      </c>
      <c r="T510" s="371" t="e">
        <f t="shared" si="483"/>
        <v>#REF!</v>
      </c>
      <c r="U510" s="371" t="e">
        <f t="shared" si="484"/>
        <v>#REF!</v>
      </c>
      <c r="V510" s="371" t="e">
        <f t="shared" si="485"/>
        <v>#REF!</v>
      </c>
      <c r="W510" s="371" t="e">
        <f t="shared" si="486"/>
        <v>#REF!</v>
      </c>
      <c r="X510" s="371" t="e">
        <f t="shared" si="487"/>
        <v>#REF!</v>
      </c>
      <c r="Y510" s="371" t="e">
        <f t="shared" si="488"/>
        <v>#REF!</v>
      </c>
      <c r="Z510" s="371" t="e">
        <f t="shared" si="489"/>
        <v>#REF!</v>
      </c>
      <c r="AA510" s="371" t="e">
        <f t="shared" si="490"/>
        <v>#REF!</v>
      </c>
      <c r="AB510" s="50"/>
    </row>
    <row r="511" outlineLevel="2" spans="1:28">
      <c r="A511" s="52">
        <f>MAX($A$6:A510)+1</f>
        <v>425</v>
      </c>
      <c r="B511" s="51" t="s">
        <v>425</v>
      </c>
      <c r="C511" s="51" t="e">
        <f>VLOOKUP($B511,#REF!,MATCH(C$2,#REF!,0),0)</f>
        <v>#REF!</v>
      </c>
      <c r="D511" s="136"/>
      <c r="E511" s="136"/>
      <c r="F511" s="136" t="e">
        <f>VLOOKUP($B511,#REF!,MATCH(F$2,#REF!,0),0)</f>
        <v>#REF!</v>
      </c>
      <c r="G511" s="137" t="e">
        <f>VLOOKUP($B511,#REF!,MATCH(G$2,#REF!,0),0)</f>
        <v>#REF!</v>
      </c>
      <c r="H511" s="48"/>
      <c r="I511" s="48"/>
      <c r="J511" s="48"/>
      <c r="K511" s="48"/>
      <c r="L511" s="48"/>
      <c r="M511" s="48">
        <v>1</v>
      </c>
      <c r="N511" s="48">
        <v>1</v>
      </c>
      <c r="O511" s="48">
        <v>1</v>
      </c>
      <c r="P511" s="48"/>
      <c r="Q511" s="48"/>
      <c r="R511" s="371" t="e">
        <f t="shared" si="481"/>
        <v>#REF!</v>
      </c>
      <c r="S511" s="371" t="e">
        <f t="shared" si="482"/>
        <v>#REF!</v>
      </c>
      <c r="T511" s="371" t="e">
        <f t="shared" si="483"/>
        <v>#REF!</v>
      </c>
      <c r="U511" s="371" t="e">
        <f t="shared" si="484"/>
        <v>#REF!</v>
      </c>
      <c r="V511" s="371" t="e">
        <f t="shared" si="485"/>
        <v>#REF!</v>
      </c>
      <c r="W511" s="371" t="e">
        <f t="shared" si="486"/>
        <v>#REF!</v>
      </c>
      <c r="X511" s="371" t="e">
        <f t="shared" si="487"/>
        <v>#REF!</v>
      </c>
      <c r="Y511" s="371" t="e">
        <f t="shared" si="488"/>
        <v>#REF!</v>
      </c>
      <c r="Z511" s="371" t="e">
        <f t="shared" si="489"/>
        <v>#REF!</v>
      </c>
      <c r="AA511" s="371" t="e">
        <f t="shared" si="490"/>
        <v>#REF!</v>
      </c>
      <c r="AB511" s="50"/>
    </row>
    <row r="512" s="122" customFormat="1" outlineLevel="2" spans="1:28">
      <c r="A512" s="130"/>
      <c r="B512" s="154" t="s">
        <v>584</v>
      </c>
      <c r="C512" s="154"/>
      <c r="D512" s="154"/>
      <c r="E512" s="154"/>
      <c r="F512" s="130"/>
      <c r="G512" s="134"/>
      <c r="H512" s="134"/>
      <c r="I512" s="134"/>
      <c r="J512" s="134"/>
      <c r="K512" s="134"/>
      <c r="L512" s="134"/>
      <c r="M512" s="134"/>
      <c r="N512" s="134"/>
      <c r="O512" s="134"/>
      <c r="P512" s="134"/>
      <c r="Q512" s="134"/>
      <c r="R512" s="367"/>
      <c r="S512" s="367"/>
      <c r="T512" s="367"/>
      <c r="U512" s="367"/>
      <c r="V512" s="371"/>
      <c r="W512" s="367"/>
      <c r="X512" s="367"/>
      <c r="Y512" s="367"/>
      <c r="Z512" s="367"/>
      <c r="AA512" s="367"/>
      <c r="AB512" s="130"/>
    </row>
    <row r="513" ht="28.8" outlineLevel="2" spans="1:28">
      <c r="A513" s="52">
        <f>MAX($A$6:A512)+1</f>
        <v>426</v>
      </c>
      <c r="B513" s="51" t="s">
        <v>587</v>
      </c>
      <c r="C513" s="51" t="e">
        <f>VLOOKUP($B513,#REF!,MATCH(C$2,#REF!,0),0)</f>
        <v>#REF!</v>
      </c>
      <c r="D513" s="136"/>
      <c r="E513" s="136"/>
      <c r="F513" s="136" t="e">
        <f>VLOOKUP($B513,#REF!,MATCH(F$2,#REF!,0),0)</f>
        <v>#REF!</v>
      </c>
      <c r="G513" s="137" t="e">
        <f>VLOOKUP($B513,#REF!,MATCH(G$2,#REF!,0),0)</f>
        <v>#REF!</v>
      </c>
      <c r="H513" s="48">
        <v>1</v>
      </c>
      <c r="I513" s="48">
        <v>34.66</v>
      </c>
      <c r="J513" s="48">
        <v>1</v>
      </c>
      <c r="K513" s="48">
        <v>1</v>
      </c>
      <c r="L513" s="48"/>
      <c r="M513" s="48">
        <v>1</v>
      </c>
      <c r="N513" s="48">
        <v>1</v>
      </c>
      <c r="O513" s="48">
        <v>1</v>
      </c>
      <c r="P513" s="48"/>
      <c r="Q513" s="48"/>
      <c r="R513" s="371" t="e">
        <f>$G513*H513</f>
        <v>#REF!</v>
      </c>
      <c r="S513" s="371" t="e">
        <f t="shared" ref="S513:AA513" si="491">$G513*I513</f>
        <v>#REF!</v>
      </c>
      <c r="T513" s="371" t="e">
        <f t="shared" si="491"/>
        <v>#REF!</v>
      </c>
      <c r="U513" s="371" t="e">
        <f t="shared" si="491"/>
        <v>#REF!</v>
      </c>
      <c r="V513" s="371" t="e">
        <f t="shared" si="491"/>
        <v>#REF!</v>
      </c>
      <c r="W513" s="371" t="e">
        <f t="shared" si="491"/>
        <v>#REF!</v>
      </c>
      <c r="X513" s="371" t="e">
        <f t="shared" si="491"/>
        <v>#REF!</v>
      </c>
      <c r="Y513" s="371" t="e">
        <f t="shared" si="491"/>
        <v>#REF!</v>
      </c>
      <c r="Z513" s="371" t="e">
        <f t="shared" si="491"/>
        <v>#REF!</v>
      </c>
      <c r="AA513" s="371" t="e">
        <f t="shared" si="491"/>
        <v>#REF!</v>
      </c>
      <c r="AB513" s="50"/>
    </row>
    <row r="514" outlineLevel="2" spans="1:28">
      <c r="A514" s="52">
        <f>MAX($A$6:A513)+1</f>
        <v>427</v>
      </c>
      <c r="B514" s="51" t="s">
        <v>589</v>
      </c>
      <c r="C514" s="51" t="e">
        <f>VLOOKUP($B514,#REF!,MATCH(C$2,#REF!,0),0)</f>
        <v>#REF!</v>
      </c>
      <c r="D514" s="136"/>
      <c r="E514" s="136"/>
      <c r="F514" s="136" t="e">
        <f>VLOOKUP($B514,#REF!,MATCH(F$2,#REF!,0),0)</f>
        <v>#REF!</v>
      </c>
      <c r="G514" s="137" t="e">
        <f>VLOOKUP($B514,#REF!,MATCH(G$2,#REF!,0),0)</f>
        <v>#REF!</v>
      </c>
      <c r="H514" s="48">
        <v>1</v>
      </c>
      <c r="I514" s="48">
        <v>34.66</v>
      </c>
      <c r="J514" s="48">
        <v>1</v>
      </c>
      <c r="K514" s="48">
        <v>1</v>
      </c>
      <c r="L514" s="48"/>
      <c r="M514" s="48">
        <v>1</v>
      </c>
      <c r="N514" s="48">
        <v>1</v>
      </c>
      <c r="O514" s="48">
        <v>1</v>
      </c>
      <c r="P514" s="48"/>
      <c r="Q514" s="48"/>
      <c r="R514" s="371" t="e">
        <f t="shared" ref="R514:AA514" si="492">$G514*H514</f>
        <v>#REF!</v>
      </c>
      <c r="S514" s="371" t="e">
        <f t="shared" si="492"/>
        <v>#REF!</v>
      </c>
      <c r="T514" s="371" t="e">
        <f t="shared" si="492"/>
        <v>#REF!</v>
      </c>
      <c r="U514" s="371" t="e">
        <f t="shared" si="492"/>
        <v>#REF!</v>
      </c>
      <c r="V514" s="371" t="e">
        <f t="shared" si="492"/>
        <v>#REF!</v>
      </c>
      <c r="W514" s="371" t="e">
        <f t="shared" si="492"/>
        <v>#REF!</v>
      </c>
      <c r="X514" s="371" t="e">
        <f t="shared" si="492"/>
        <v>#REF!</v>
      </c>
      <c r="Y514" s="371" t="e">
        <f t="shared" si="492"/>
        <v>#REF!</v>
      </c>
      <c r="Z514" s="371" t="e">
        <f t="shared" si="492"/>
        <v>#REF!</v>
      </c>
      <c r="AA514" s="371" t="e">
        <f t="shared" si="492"/>
        <v>#REF!</v>
      </c>
      <c r="AB514" s="50"/>
    </row>
    <row r="515" ht="28.8" outlineLevel="2" spans="1:28">
      <c r="A515" s="52">
        <f>MAX($A$6:A514)+1</f>
        <v>428</v>
      </c>
      <c r="B515" s="51" t="s">
        <v>590</v>
      </c>
      <c r="C515" s="51" t="e">
        <f>VLOOKUP($B515,#REF!,MATCH(C$2,#REF!,0),0)</f>
        <v>#REF!</v>
      </c>
      <c r="D515" s="136"/>
      <c r="E515" s="136"/>
      <c r="F515" s="136" t="e">
        <f>VLOOKUP($B515,#REF!,MATCH(F$2,#REF!,0),0)</f>
        <v>#REF!</v>
      </c>
      <c r="G515" s="137" t="e">
        <f>VLOOKUP($B515,#REF!,MATCH(G$2,#REF!,0),0)</f>
        <v>#REF!</v>
      </c>
      <c r="H515" s="48">
        <v>1</v>
      </c>
      <c r="I515" s="48">
        <v>34.66</v>
      </c>
      <c r="J515" s="48">
        <v>1</v>
      </c>
      <c r="K515" s="48">
        <v>1</v>
      </c>
      <c r="L515" s="48"/>
      <c r="M515" s="48">
        <v>1</v>
      </c>
      <c r="N515" s="48">
        <v>1</v>
      </c>
      <c r="O515" s="48">
        <v>1</v>
      </c>
      <c r="P515" s="48"/>
      <c r="Q515" s="48"/>
      <c r="R515" s="371" t="e">
        <f t="shared" ref="R515:AA515" si="493">$G515*H515</f>
        <v>#REF!</v>
      </c>
      <c r="S515" s="371" t="e">
        <f t="shared" si="493"/>
        <v>#REF!</v>
      </c>
      <c r="T515" s="371" t="e">
        <f t="shared" si="493"/>
        <v>#REF!</v>
      </c>
      <c r="U515" s="371" t="e">
        <f t="shared" si="493"/>
        <v>#REF!</v>
      </c>
      <c r="V515" s="371" t="e">
        <f t="shared" si="493"/>
        <v>#REF!</v>
      </c>
      <c r="W515" s="371" t="e">
        <f t="shared" si="493"/>
        <v>#REF!</v>
      </c>
      <c r="X515" s="371" t="e">
        <f t="shared" si="493"/>
        <v>#REF!</v>
      </c>
      <c r="Y515" s="371" t="e">
        <f t="shared" si="493"/>
        <v>#REF!</v>
      </c>
      <c r="Z515" s="371" t="e">
        <f t="shared" si="493"/>
        <v>#REF!</v>
      </c>
      <c r="AA515" s="371" t="e">
        <f t="shared" si="493"/>
        <v>#REF!</v>
      </c>
      <c r="AB515" s="50"/>
    </row>
    <row r="516" outlineLevel="2" spans="1:28">
      <c r="A516" s="52">
        <f>MAX($A$6:A515)+1</f>
        <v>429</v>
      </c>
      <c r="B516" s="51" t="s">
        <v>424</v>
      </c>
      <c r="C516" s="51" t="e">
        <f>VLOOKUP($B516,#REF!,MATCH(C$2,#REF!,0),0)</f>
        <v>#REF!</v>
      </c>
      <c r="D516" s="136"/>
      <c r="E516" s="136"/>
      <c r="F516" s="136" t="e">
        <f>VLOOKUP($B516,#REF!,MATCH(F$2,#REF!,0),0)</f>
        <v>#REF!</v>
      </c>
      <c r="G516" s="137" t="e">
        <f>VLOOKUP($B516,#REF!,MATCH(G$2,#REF!,0),0)</f>
        <v>#REF!</v>
      </c>
      <c r="H516" s="48">
        <v>1</v>
      </c>
      <c r="I516" s="48">
        <v>34.66</v>
      </c>
      <c r="J516" s="48">
        <v>1</v>
      </c>
      <c r="K516" s="48">
        <v>1</v>
      </c>
      <c r="L516" s="48"/>
      <c r="M516" s="48">
        <v>1</v>
      </c>
      <c r="N516" s="48">
        <v>1</v>
      </c>
      <c r="O516" s="48">
        <v>1</v>
      </c>
      <c r="P516" s="48"/>
      <c r="Q516" s="48"/>
      <c r="R516" s="371" t="e">
        <f t="shared" ref="R516:AA516" si="494">$G516*H516</f>
        <v>#REF!</v>
      </c>
      <c r="S516" s="371" t="e">
        <f t="shared" si="494"/>
        <v>#REF!</v>
      </c>
      <c r="T516" s="371" t="e">
        <f t="shared" si="494"/>
        <v>#REF!</v>
      </c>
      <c r="U516" s="371" t="e">
        <f t="shared" si="494"/>
        <v>#REF!</v>
      </c>
      <c r="V516" s="371" t="e">
        <f t="shared" si="494"/>
        <v>#REF!</v>
      </c>
      <c r="W516" s="371" t="e">
        <f t="shared" si="494"/>
        <v>#REF!</v>
      </c>
      <c r="X516" s="371" t="e">
        <f t="shared" si="494"/>
        <v>#REF!</v>
      </c>
      <c r="Y516" s="371" t="e">
        <f t="shared" si="494"/>
        <v>#REF!</v>
      </c>
      <c r="Z516" s="371" t="e">
        <f t="shared" si="494"/>
        <v>#REF!</v>
      </c>
      <c r="AA516" s="371" t="e">
        <f t="shared" si="494"/>
        <v>#REF!</v>
      </c>
      <c r="AB516" s="50"/>
    </row>
    <row r="517" ht="28.8" outlineLevel="2" spans="1:28">
      <c r="A517" s="52">
        <f>MAX($A$6:A516)+1</f>
        <v>430</v>
      </c>
      <c r="B517" s="51" t="s">
        <v>588</v>
      </c>
      <c r="C517" s="51" t="e">
        <f>VLOOKUP($B517,#REF!,MATCH(C$2,#REF!,0),0)</f>
        <v>#REF!</v>
      </c>
      <c r="D517" s="136"/>
      <c r="E517" s="136"/>
      <c r="F517" s="136" t="e">
        <f>VLOOKUP($B517,#REF!,MATCH(F$2,#REF!,0),0)</f>
        <v>#REF!</v>
      </c>
      <c r="G517" s="137" t="e">
        <f>VLOOKUP($B517,#REF!,MATCH(G$2,#REF!,0),0)</f>
        <v>#REF!</v>
      </c>
      <c r="H517" s="48">
        <v>1</v>
      </c>
      <c r="I517" s="48">
        <v>34.66</v>
      </c>
      <c r="J517" s="48">
        <v>1</v>
      </c>
      <c r="K517" s="48">
        <v>1</v>
      </c>
      <c r="L517" s="48"/>
      <c r="M517" s="48">
        <v>1</v>
      </c>
      <c r="N517" s="48">
        <v>1</v>
      </c>
      <c r="O517" s="48">
        <v>1</v>
      </c>
      <c r="P517" s="48"/>
      <c r="Q517" s="48"/>
      <c r="R517" s="371" t="e">
        <f t="shared" ref="R517:AA517" si="495">$G517*H517</f>
        <v>#REF!</v>
      </c>
      <c r="S517" s="371" t="e">
        <f t="shared" si="495"/>
        <v>#REF!</v>
      </c>
      <c r="T517" s="371" t="e">
        <f t="shared" si="495"/>
        <v>#REF!</v>
      </c>
      <c r="U517" s="371" t="e">
        <f t="shared" si="495"/>
        <v>#REF!</v>
      </c>
      <c r="V517" s="371" t="e">
        <f t="shared" si="495"/>
        <v>#REF!</v>
      </c>
      <c r="W517" s="371" t="e">
        <f t="shared" si="495"/>
        <v>#REF!</v>
      </c>
      <c r="X517" s="371" t="e">
        <f t="shared" si="495"/>
        <v>#REF!</v>
      </c>
      <c r="Y517" s="371" t="e">
        <f t="shared" si="495"/>
        <v>#REF!</v>
      </c>
      <c r="Z517" s="371" t="e">
        <f t="shared" si="495"/>
        <v>#REF!</v>
      </c>
      <c r="AA517" s="371" t="e">
        <f t="shared" si="495"/>
        <v>#REF!</v>
      </c>
      <c r="AB517" s="50"/>
    </row>
    <row r="518" outlineLevel="2" spans="1:28">
      <c r="A518" s="52">
        <f>MAX($A$6:A517)+1</f>
        <v>431</v>
      </c>
      <c r="B518" s="51" t="s">
        <v>425</v>
      </c>
      <c r="C518" s="51" t="e">
        <f>VLOOKUP($B518,#REF!,MATCH(C$2,#REF!,0),0)</f>
        <v>#REF!</v>
      </c>
      <c r="D518" s="136"/>
      <c r="E518" s="136"/>
      <c r="F518" s="136" t="e">
        <f>VLOOKUP($B518,#REF!,MATCH(F$2,#REF!,0),0)</f>
        <v>#REF!</v>
      </c>
      <c r="G518" s="137" t="e">
        <f>VLOOKUP($B518,#REF!,MATCH(G$2,#REF!,0),0)</f>
        <v>#REF!</v>
      </c>
      <c r="H518" s="48">
        <v>1</v>
      </c>
      <c r="I518" s="48">
        <v>34.66</v>
      </c>
      <c r="J518" s="48">
        <v>1</v>
      </c>
      <c r="K518" s="48">
        <v>1</v>
      </c>
      <c r="L518" s="48"/>
      <c r="M518" s="48">
        <v>1</v>
      </c>
      <c r="N518" s="48">
        <v>1</v>
      </c>
      <c r="O518" s="48">
        <v>1</v>
      </c>
      <c r="P518" s="48"/>
      <c r="Q518" s="48"/>
      <c r="R518" s="371" t="e">
        <f t="shared" ref="R518:AA518" si="496">$G518*H518</f>
        <v>#REF!</v>
      </c>
      <c r="S518" s="371" t="e">
        <f t="shared" si="496"/>
        <v>#REF!</v>
      </c>
      <c r="T518" s="371" t="e">
        <f t="shared" si="496"/>
        <v>#REF!</v>
      </c>
      <c r="U518" s="371" t="e">
        <f t="shared" si="496"/>
        <v>#REF!</v>
      </c>
      <c r="V518" s="371" t="e">
        <f t="shared" si="496"/>
        <v>#REF!</v>
      </c>
      <c r="W518" s="371" t="e">
        <f t="shared" si="496"/>
        <v>#REF!</v>
      </c>
      <c r="X518" s="371" t="e">
        <f t="shared" si="496"/>
        <v>#REF!</v>
      </c>
      <c r="Y518" s="371" t="e">
        <f t="shared" si="496"/>
        <v>#REF!</v>
      </c>
      <c r="Z518" s="371" t="e">
        <f t="shared" si="496"/>
        <v>#REF!</v>
      </c>
      <c r="AA518" s="371" t="e">
        <f t="shared" si="496"/>
        <v>#REF!</v>
      </c>
      <c r="AB518" s="50"/>
    </row>
    <row r="519" s="122" customFormat="1" outlineLevel="2" spans="1:28">
      <c r="A519" s="130"/>
      <c r="B519" s="154" t="s">
        <v>584</v>
      </c>
      <c r="C519" s="154"/>
      <c r="D519" s="154"/>
      <c r="E519" s="154"/>
      <c r="F519" s="130"/>
      <c r="G519" s="134"/>
      <c r="H519" s="134"/>
      <c r="I519" s="134"/>
      <c r="J519" s="134"/>
      <c r="K519" s="134"/>
      <c r="L519" s="134"/>
      <c r="M519" s="134"/>
      <c r="N519" s="134"/>
      <c r="O519" s="134"/>
      <c r="P519" s="134"/>
      <c r="Q519" s="134"/>
      <c r="R519" s="367"/>
      <c r="S519" s="367"/>
      <c r="T519" s="367"/>
      <c r="U519" s="367"/>
      <c r="V519" s="371"/>
      <c r="W519" s="367"/>
      <c r="X519" s="367"/>
      <c r="Y519" s="367"/>
      <c r="Z519" s="367"/>
      <c r="AA519" s="367"/>
      <c r="AB519" s="130"/>
    </row>
    <row r="520" ht="28.8" outlineLevel="2" spans="1:28">
      <c r="A520" s="52">
        <f>MAX($A$6:A519)+1</f>
        <v>432</v>
      </c>
      <c r="B520" s="51" t="s">
        <v>585</v>
      </c>
      <c r="C520" s="51" t="e">
        <f>VLOOKUP($B520,#REF!,MATCH(C$2,#REF!,0),0)</f>
        <v>#REF!</v>
      </c>
      <c r="D520" s="136"/>
      <c r="E520" s="136"/>
      <c r="F520" s="136" t="e">
        <f>VLOOKUP($B520,#REF!,MATCH(F$2,#REF!,0),0)</f>
        <v>#REF!</v>
      </c>
      <c r="G520" s="137" t="e">
        <f>VLOOKUP($B520,#REF!,MATCH(G$2,#REF!,0),0)</f>
        <v>#REF!</v>
      </c>
      <c r="H520" s="48">
        <v>1</v>
      </c>
      <c r="I520" s="48">
        <v>1</v>
      </c>
      <c r="J520" s="48">
        <v>1</v>
      </c>
      <c r="K520" s="48">
        <v>1</v>
      </c>
      <c r="L520" s="48"/>
      <c r="M520" s="48">
        <v>1</v>
      </c>
      <c r="N520" s="48">
        <v>1</v>
      </c>
      <c r="O520" s="48">
        <v>1</v>
      </c>
      <c r="P520" s="48"/>
      <c r="Q520" s="48"/>
      <c r="R520" s="371" t="e">
        <f>$G520*H520</f>
        <v>#REF!</v>
      </c>
      <c r="S520" s="371" t="e">
        <f t="shared" ref="S520:AA520" si="497">$G520*I520</f>
        <v>#REF!</v>
      </c>
      <c r="T520" s="371" t="e">
        <f t="shared" si="497"/>
        <v>#REF!</v>
      </c>
      <c r="U520" s="371" t="e">
        <f t="shared" si="497"/>
        <v>#REF!</v>
      </c>
      <c r="V520" s="371" t="e">
        <f t="shared" si="497"/>
        <v>#REF!</v>
      </c>
      <c r="W520" s="371" t="e">
        <f t="shared" si="497"/>
        <v>#REF!</v>
      </c>
      <c r="X520" s="371" t="e">
        <f t="shared" si="497"/>
        <v>#REF!</v>
      </c>
      <c r="Y520" s="371" t="e">
        <f t="shared" si="497"/>
        <v>#REF!</v>
      </c>
      <c r="Z520" s="371" t="e">
        <f t="shared" si="497"/>
        <v>#REF!</v>
      </c>
      <c r="AA520" s="371" t="e">
        <f t="shared" si="497"/>
        <v>#REF!</v>
      </c>
      <c r="AB520" s="50"/>
    </row>
    <row r="521" ht="28.8" outlineLevel="2" spans="1:28">
      <c r="A521" s="52">
        <f>MAX($A$6:A520)+1</f>
        <v>433</v>
      </c>
      <c r="B521" s="51" t="s">
        <v>587</v>
      </c>
      <c r="C521" s="51" t="e">
        <f>VLOOKUP($B521,#REF!,MATCH(C$2,#REF!,0),0)</f>
        <v>#REF!</v>
      </c>
      <c r="D521" s="136"/>
      <c r="E521" s="136"/>
      <c r="F521" s="136" t="e">
        <f>VLOOKUP($B521,#REF!,MATCH(F$2,#REF!,0),0)</f>
        <v>#REF!</v>
      </c>
      <c r="G521" s="137" t="e">
        <f>VLOOKUP($B521,#REF!,MATCH(G$2,#REF!,0),0)</f>
        <v>#REF!</v>
      </c>
      <c r="H521" s="48">
        <v>1</v>
      </c>
      <c r="I521" s="48">
        <v>1</v>
      </c>
      <c r="J521" s="48">
        <v>1</v>
      </c>
      <c r="K521" s="48">
        <v>1</v>
      </c>
      <c r="L521" s="48"/>
      <c r="M521" s="48">
        <v>1</v>
      </c>
      <c r="N521" s="48">
        <v>1</v>
      </c>
      <c r="O521" s="48">
        <v>1</v>
      </c>
      <c r="P521" s="48"/>
      <c r="Q521" s="48"/>
      <c r="R521" s="371" t="e">
        <f t="shared" ref="R521:AA521" si="498">$G521*H521</f>
        <v>#REF!</v>
      </c>
      <c r="S521" s="371" t="e">
        <f t="shared" si="498"/>
        <v>#REF!</v>
      </c>
      <c r="T521" s="371" t="e">
        <f t="shared" si="498"/>
        <v>#REF!</v>
      </c>
      <c r="U521" s="371" t="e">
        <f t="shared" si="498"/>
        <v>#REF!</v>
      </c>
      <c r="V521" s="371" t="e">
        <f t="shared" si="498"/>
        <v>#REF!</v>
      </c>
      <c r="W521" s="371" t="e">
        <f t="shared" si="498"/>
        <v>#REF!</v>
      </c>
      <c r="X521" s="371" t="e">
        <f t="shared" si="498"/>
        <v>#REF!</v>
      </c>
      <c r="Y521" s="371" t="e">
        <f t="shared" si="498"/>
        <v>#REF!</v>
      </c>
      <c r="Z521" s="371" t="e">
        <f t="shared" si="498"/>
        <v>#REF!</v>
      </c>
      <c r="AA521" s="371" t="e">
        <f t="shared" si="498"/>
        <v>#REF!</v>
      </c>
      <c r="AB521" s="50"/>
    </row>
    <row r="522" outlineLevel="2" spans="1:28">
      <c r="A522" s="52">
        <f>MAX($A$6:A521)+1</f>
        <v>434</v>
      </c>
      <c r="B522" s="51" t="s">
        <v>424</v>
      </c>
      <c r="C522" s="51" t="e">
        <f>VLOOKUP($B522,#REF!,MATCH(C$2,#REF!,0),0)</f>
        <v>#REF!</v>
      </c>
      <c r="D522" s="136"/>
      <c r="E522" s="136"/>
      <c r="F522" s="136" t="e">
        <f>VLOOKUP($B522,#REF!,MATCH(F$2,#REF!,0),0)</f>
        <v>#REF!</v>
      </c>
      <c r="G522" s="137" t="e">
        <f>VLOOKUP($B522,#REF!,MATCH(G$2,#REF!,0),0)</f>
        <v>#REF!</v>
      </c>
      <c r="H522" s="48">
        <v>1</v>
      </c>
      <c r="I522" s="48">
        <v>1</v>
      </c>
      <c r="J522" s="48">
        <v>1</v>
      </c>
      <c r="K522" s="48">
        <v>1</v>
      </c>
      <c r="L522" s="48"/>
      <c r="M522" s="48">
        <v>1</v>
      </c>
      <c r="N522" s="48">
        <v>1</v>
      </c>
      <c r="O522" s="48">
        <v>1</v>
      </c>
      <c r="P522" s="48"/>
      <c r="Q522" s="48"/>
      <c r="R522" s="371" t="e">
        <f t="shared" ref="R522:AA522" si="499">$G522*H522</f>
        <v>#REF!</v>
      </c>
      <c r="S522" s="371" t="e">
        <f t="shared" si="499"/>
        <v>#REF!</v>
      </c>
      <c r="T522" s="371" t="e">
        <f t="shared" si="499"/>
        <v>#REF!</v>
      </c>
      <c r="U522" s="371" t="e">
        <f t="shared" si="499"/>
        <v>#REF!</v>
      </c>
      <c r="V522" s="371" t="e">
        <f t="shared" si="499"/>
        <v>#REF!</v>
      </c>
      <c r="W522" s="371" t="e">
        <f t="shared" si="499"/>
        <v>#REF!</v>
      </c>
      <c r="X522" s="371" t="e">
        <f t="shared" si="499"/>
        <v>#REF!</v>
      </c>
      <c r="Y522" s="371" t="e">
        <f t="shared" si="499"/>
        <v>#REF!</v>
      </c>
      <c r="Z522" s="371" t="e">
        <f t="shared" si="499"/>
        <v>#REF!</v>
      </c>
      <c r="AA522" s="371" t="e">
        <f t="shared" si="499"/>
        <v>#REF!</v>
      </c>
      <c r="AB522" s="50"/>
    </row>
    <row r="523" ht="28.8" outlineLevel="2" spans="1:28">
      <c r="A523" s="52">
        <f>MAX($A$6:A522)+1</f>
        <v>435</v>
      </c>
      <c r="B523" s="51" t="s">
        <v>588</v>
      </c>
      <c r="C523" s="51" t="e">
        <f>VLOOKUP($B523,#REF!,MATCH(C$2,#REF!,0),0)</f>
        <v>#REF!</v>
      </c>
      <c r="D523" s="136"/>
      <c r="E523" s="136"/>
      <c r="F523" s="136" t="e">
        <f>VLOOKUP($B523,#REF!,MATCH(F$2,#REF!,0),0)</f>
        <v>#REF!</v>
      </c>
      <c r="G523" s="137" t="e">
        <f>VLOOKUP($B523,#REF!,MATCH(G$2,#REF!,0),0)</f>
        <v>#REF!</v>
      </c>
      <c r="H523" s="48">
        <v>1</v>
      </c>
      <c r="I523" s="48">
        <v>1</v>
      </c>
      <c r="J523" s="48">
        <v>1</v>
      </c>
      <c r="K523" s="48">
        <v>1</v>
      </c>
      <c r="L523" s="48"/>
      <c r="M523" s="48">
        <v>1</v>
      </c>
      <c r="N523" s="48">
        <v>1</v>
      </c>
      <c r="O523" s="48">
        <v>1</v>
      </c>
      <c r="P523" s="48"/>
      <c r="Q523" s="48"/>
      <c r="R523" s="371" t="e">
        <f t="shared" ref="R523:AA523" si="500">$G523*H523</f>
        <v>#REF!</v>
      </c>
      <c r="S523" s="371" t="e">
        <f t="shared" si="500"/>
        <v>#REF!</v>
      </c>
      <c r="T523" s="371" t="e">
        <f t="shared" si="500"/>
        <v>#REF!</v>
      </c>
      <c r="U523" s="371" t="e">
        <f t="shared" si="500"/>
        <v>#REF!</v>
      </c>
      <c r="V523" s="371" t="e">
        <f t="shared" si="500"/>
        <v>#REF!</v>
      </c>
      <c r="W523" s="371" t="e">
        <f t="shared" si="500"/>
        <v>#REF!</v>
      </c>
      <c r="X523" s="371" t="e">
        <f t="shared" si="500"/>
        <v>#REF!</v>
      </c>
      <c r="Y523" s="371" t="e">
        <f t="shared" si="500"/>
        <v>#REF!</v>
      </c>
      <c r="Z523" s="371" t="e">
        <f t="shared" si="500"/>
        <v>#REF!</v>
      </c>
      <c r="AA523" s="371" t="e">
        <f t="shared" si="500"/>
        <v>#REF!</v>
      </c>
      <c r="AB523" s="50"/>
    </row>
    <row r="524" outlineLevel="2" spans="1:28">
      <c r="A524" s="52">
        <f>MAX($A$6:A523)+1</f>
        <v>436</v>
      </c>
      <c r="B524" s="51" t="s">
        <v>425</v>
      </c>
      <c r="C524" s="51" t="e">
        <f>VLOOKUP($B524,#REF!,MATCH(C$2,#REF!,0),0)</f>
        <v>#REF!</v>
      </c>
      <c r="D524" s="136"/>
      <c r="E524" s="136"/>
      <c r="F524" s="136" t="e">
        <f>VLOOKUP($B524,#REF!,MATCH(F$2,#REF!,0),0)</f>
        <v>#REF!</v>
      </c>
      <c r="G524" s="137" t="e">
        <f>VLOOKUP($B524,#REF!,MATCH(G$2,#REF!,0),0)</f>
        <v>#REF!</v>
      </c>
      <c r="H524" s="48">
        <v>1</v>
      </c>
      <c r="I524" s="48">
        <v>1</v>
      </c>
      <c r="J524" s="48">
        <v>1</v>
      </c>
      <c r="K524" s="48">
        <v>1</v>
      </c>
      <c r="L524" s="48"/>
      <c r="M524" s="48">
        <v>1</v>
      </c>
      <c r="N524" s="48">
        <v>1</v>
      </c>
      <c r="O524" s="48">
        <v>1</v>
      </c>
      <c r="P524" s="48"/>
      <c r="Q524" s="48"/>
      <c r="R524" s="371" t="e">
        <f t="shared" ref="R524:AA524" si="501">$G524*H524</f>
        <v>#REF!</v>
      </c>
      <c r="S524" s="371" t="e">
        <f t="shared" si="501"/>
        <v>#REF!</v>
      </c>
      <c r="T524" s="371" t="e">
        <f t="shared" si="501"/>
        <v>#REF!</v>
      </c>
      <c r="U524" s="371" t="e">
        <f t="shared" si="501"/>
        <v>#REF!</v>
      </c>
      <c r="V524" s="371" t="e">
        <f t="shared" si="501"/>
        <v>#REF!</v>
      </c>
      <c r="W524" s="371" t="e">
        <f t="shared" si="501"/>
        <v>#REF!</v>
      </c>
      <c r="X524" s="371" t="e">
        <f t="shared" si="501"/>
        <v>#REF!</v>
      </c>
      <c r="Y524" s="371" t="e">
        <f t="shared" si="501"/>
        <v>#REF!</v>
      </c>
      <c r="Z524" s="371" t="e">
        <f t="shared" si="501"/>
        <v>#REF!</v>
      </c>
      <c r="AA524" s="371" t="e">
        <f t="shared" si="501"/>
        <v>#REF!</v>
      </c>
      <c r="AB524" s="50"/>
    </row>
    <row r="525" s="122" customFormat="1" outlineLevel="2" spans="1:28">
      <c r="A525" s="130"/>
      <c r="B525" s="154" t="s">
        <v>591</v>
      </c>
      <c r="C525" s="154"/>
      <c r="D525" s="154"/>
      <c r="E525" s="154"/>
      <c r="F525" s="130"/>
      <c r="G525" s="134"/>
      <c r="H525" s="134"/>
      <c r="I525" s="134"/>
      <c r="J525" s="134"/>
      <c r="K525" s="134"/>
      <c r="L525" s="134"/>
      <c r="M525" s="134"/>
      <c r="N525" s="134"/>
      <c r="O525" s="134"/>
      <c r="P525" s="134"/>
      <c r="Q525" s="134"/>
      <c r="R525" s="367"/>
      <c r="S525" s="367"/>
      <c r="T525" s="367"/>
      <c r="U525" s="367"/>
      <c r="V525" s="371"/>
      <c r="W525" s="367"/>
      <c r="X525" s="367"/>
      <c r="Y525" s="367"/>
      <c r="Z525" s="367"/>
      <c r="AA525" s="367"/>
      <c r="AB525" s="130"/>
    </row>
    <row r="526" ht="28.8" outlineLevel="2" spans="1:28">
      <c r="A526" s="52">
        <f>MAX($A$6:A525)+1</f>
        <v>437</v>
      </c>
      <c r="B526" s="51" t="s">
        <v>587</v>
      </c>
      <c r="C526" s="51" t="e">
        <f>VLOOKUP($B526,#REF!,MATCH(C$2,#REF!,0),0)</f>
        <v>#REF!</v>
      </c>
      <c r="D526" s="136"/>
      <c r="E526" s="136"/>
      <c r="F526" s="136" t="e">
        <f>VLOOKUP($B526,#REF!,MATCH(F$2,#REF!,0),0)</f>
        <v>#REF!</v>
      </c>
      <c r="G526" s="137" t="e">
        <f>VLOOKUP($B526,#REF!,MATCH(G$2,#REF!,0),0)</f>
        <v>#REF!</v>
      </c>
      <c r="H526" s="48">
        <v>805.71</v>
      </c>
      <c r="I526" s="48">
        <v>771.06</v>
      </c>
      <c r="J526" s="48">
        <v>400.62</v>
      </c>
      <c r="K526" s="48">
        <v>400.62</v>
      </c>
      <c r="L526" s="48"/>
      <c r="M526" s="48">
        <v>1</v>
      </c>
      <c r="N526" s="48">
        <v>1</v>
      </c>
      <c r="O526" s="48">
        <v>1</v>
      </c>
      <c r="P526" s="48"/>
      <c r="Q526" s="48"/>
      <c r="R526" s="371" t="e">
        <f>$G526*H526</f>
        <v>#REF!</v>
      </c>
      <c r="S526" s="371" t="e">
        <f t="shared" ref="S526:AA526" si="502">$G526*I526</f>
        <v>#REF!</v>
      </c>
      <c r="T526" s="371" t="e">
        <f t="shared" si="502"/>
        <v>#REF!</v>
      </c>
      <c r="U526" s="371" t="e">
        <f t="shared" si="502"/>
        <v>#REF!</v>
      </c>
      <c r="V526" s="371" t="e">
        <f t="shared" si="502"/>
        <v>#REF!</v>
      </c>
      <c r="W526" s="371" t="e">
        <f t="shared" si="502"/>
        <v>#REF!</v>
      </c>
      <c r="X526" s="371" t="e">
        <f t="shared" si="502"/>
        <v>#REF!</v>
      </c>
      <c r="Y526" s="371" t="e">
        <f t="shared" si="502"/>
        <v>#REF!</v>
      </c>
      <c r="Z526" s="371" t="e">
        <f t="shared" si="502"/>
        <v>#REF!</v>
      </c>
      <c r="AA526" s="371" t="e">
        <f t="shared" si="502"/>
        <v>#REF!</v>
      </c>
      <c r="AB526" s="50"/>
    </row>
    <row r="527" s="122" customFormat="1" outlineLevel="2" spans="1:28">
      <c r="A527" s="130"/>
      <c r="B527" s="154" t="s">
        <v>591</v>
      </c>
      <c r="C527" s="154"/>
      <c r="D527" s="154"/>
      <c r="E527" s="154"/>
      <c r="F527" s="130"/>
      <c r="G527" s="134"/>
      <c r="H527" s="134"/>
      <c r="I527" s="134"/>
      <c r="J527" s="134"/>
      <c r="K527" s="134"/>
      <c r="L527" s="134"/>
      <c r="M527" s="134"/>
      <c r="N527" s="134"/>
      <c r="O527" s="134"/>
      <c r="P527" s="134"/>
      <c r="Q527" s="134"/>
      <c r="R527" s="367"/>
      <c r="S527" s="367"/>
      <c r="T527" s="367"/>
      <c r="U527" s="367"/>
      <c r="V527" s="371"/>
      <c r="W527" s="367"/>
      <c r="X527" s="367"/>
      <c r="Y527" s="367"/>
      <c r="Z527" s="367"/>
      <c r="AA527" s="367"/>
      <c r="AB527" s="130"/>
    </row>
    <row r="528" s="1" customFormat="1" ht="28.8" outlineLevel="2" spans="1:28">
      <c r="A528" s="52">
        <f>MAX($A$6:A527)+1</f>
        <v>438</v>
      </c>
      <c r="B528" s="138" t="s">
        <v>592</v>
      </c>
      <c r="C528" s="51" t="e">
        <f>VLOOKUP($B528,#REF!,MATCH(C$2,#REF!,0),0)</f>
        <v>#REF!</v>
      </c>
      <c r="D528" s="136"/>
      <c r="E528" s="136"/>
      <c r="F528" s="136" t="e">
        <f>VLOOKUP($B528,#REF!,MATCH(F$2,#REF!,0),0)</f>
        <v>#REF!</v>
      </c>
      <c r="G528" s="137" t="e">
        <f>VLOOKUP($B528,#REF!,MATCH(G$2,#REF!,0),0)</f>
        <v>#REF!</v>
      </c>
      <c r="H528" s="48">
        <v>1</v>
      </c>
      <c r="I528" s="48">
        <v>1</v>
      </c>
      <c r="J528" s="48">
        <v>1</v>
      </c>
      <c r="K528" s="48">
        <v>1</v>
      </c>
      <c r="L528" s="139"/>
      <c r="M528" s="139">
        <v>1</v>
      </c>
      <c r="N528" s="139">
        <v>1</v>
      </c>
      <c r="O528" s="139">
        <v>1</v>
      </c>
      <c r="P528" s="139"/>
      <c r="Q528" s="139"/>
      <c r="R528" s="371" t="e">
        <f t="shared" ref="R528:R530" si="503">$G528*H528</f>
        <v>#REF!</v>
      </c>
      <c r="S528" s="371" t="e">
        <f t="shared" ref="S528:AA528" si="504">$G528*I528</f>
        <v>#REF!</v>
      </c>
      <c r="T528" s="371" t="e">
        <f t="shared" si="504"/>
        <v>#REF!</v>
      </c>
      <c r="U528" s="371" t="e">
        <f t="shared" si="504"/>
        <v>#REF!</v>
      </c>
      <c r="V528" s="371" t="e">
        <f t="shared" si="504"/>
        <v>#REF!</v>
      </c>
      <c r="W528" s="371" t="e">
        <f t="shared" si="504"/>
        <v>#REF!</v>
      </c>
      <c r="X528" s="371" t="e">
        <f t="shared" si="504"/>
        <v>#REF!</v>
      </c>
      <c r="Y528" s="371" t="e">
        <f t="shared" si="504"/>
        <v>#REF!</v>
      </c>
      <c r="Z528" s="371" t="e">
        <f t="shared" si="504"/>
        <v>#REF!</v>
      </c>
      <c r="AA528" s="371" t="e">
        <f t="shared" si="504"/>
        <v>#REF!</v>
      </c>
      <c r="AB528" s="26"/>
    </row>
    <row r="529" outlineLevel="2" spans="1:28">
      <c r="A529" s="52">
        <f>MAX($A$6:A528)+1</f>
        <v>439</v>
      </c>
      <c r="B529" s="51" t="s">
        <v>576</v>
      </c>
      <c r="C529" s="51" t="e">
        <f>VLOOKUP($B529,#REF!,MATCH(C$2,#REF!,0),0)</f>
        <v>#REF!</v>
      </c>
      <c r="D529" s="136"/>
      <c r="E529" s="136"/>
      <c r="F529" s="136" t="e">
        <f>VLOOKUP($B529,#REF!,MATCH(F$2,#REF!,0),0)</f>
        <v>#REF!</v>
      </c>
      <c r="G529" s="137" t="e">
        <f>VLOOKUP($B529,#REF!,MATCH(G$2,#REF!,0),0)</f>
        <v>#REF!</v>
      </c>
      <c r="H529" s="48">
        <v>1</v>
      </c>
      <c r="I529" s="48">
        <v>1</v>
      </c>
      <c r="J529" s="48">
        <v>1</v>
      </c>
      <c r="K529" s="48">
        <v>1</v>
      </c>
      <c r="L529" s="48"/>
      <c r="M529" s="48">
        <v>1</v>
      </c>
      <c r="N529" s="48">
        <v>1</v>
      </c>
      <c r="O529" s="48">
        <v>1</v>
      </c>
      <c r="P529" s="48"/>
      <c r="Q529" s="48"/>
      <c r="R529" s="371" t="e">
        <f t="shared" si="503"/>
        <v>#REF!</v>
      </c>
      <c r="S529" s="371" t="e">
        <f t="shared" ref="S529:AA529" si="505">$G529*I529</f>
        <v>#REF!</v>
      </c>
      <c r="T529" s="371" t="e">
        <f t="shared" si="505"/>
        <v>#REF!</v>
      </c>
      <c r="U529" s="371" t="e">
        <f t="shared" si="505"/>
        <v>#REF!</v>
      </c>
      <c r="V529" s="371" t="e">
        <f t="shared" si="505"/>
        <v>#REF!</v>
      </c>
      <c r="W529" s="371" t="e">
        <f t="shared" si="505"/>
        <v>#REF!</v>
      </c>
      <c r="X529" s="371" t="e">
        <f t="shared" si="505"/>
        <v>#REF!</v>
      </c>
      <c r="Y529" s="371" t="e">
        <f t="shared" si="505"/>
        <v>#REF!</v>
      </c>
      <c r="Z529" s="371" t="e">
        <f t="shared" si="505"/>
        <v>#REF!</v>
      </c>
      <c r="AA529" s="371" t="e">
        <f t="shared" si="505"/>
        <v>#REF!</v>
      </c>
      <c r="AB529" s="50"/>
    </row>
    <row r="530" ht="28.8" outlineLevel="2" spans="1:28">
      <c r="A530" s="52">
        <f>MAX($A$6:A529)+1</f>
        <v>440</v>
      </c>
      <c r="B530" s="51" t="s">
        <v>586</v>
      </c>
      <c r="C530" s="51" t="e">
        <f>VLOOKUP($B530,#REF!,MATCH(C$2,#REF!,0),0)</f>
        <v>#REF!</v>
      </c>
      <c r="D530" s="136"/>
      <c r="E530" s="136"/>
      <c r="F530" s="136" t="e">
        <f>VLOOKUP($B530,#REF!,MATCH(F$2,#REF!,0),0)</f>
        <v>#REF!</v>
      </c>
      <c r="G530" s="137" t="e">
        <f>VLOOKUP($B530,#REF!,MATCH(G$2,#REF!,0),0)</f>
        <v>#REF!</v>
      </c>
      <c r="H530" s="48">
        <v>1</v>
      </c>
      <c r="I530" s="48">
        <v>1</v>
      </c>
      <c r="J530" s="48">
        <v>1</v>
      </c>
      <c r="K530" s="48">
        <v>1</v>
      </c>
      <c r="L530" s="48"/>
      <c r="M530" s="48"/>
      <c r="N530" s="48"/>
      <c r="O530" s="48"/>
      <c r="P530" s="48"/>
      <c r="Q530" s="48"/>
      <c r="R530" s="371" t="e">
        <f t="shared" si="503"/>
        <v>#REF!</v>
      </c>
      <c r="S530" s="371" t="e">
        <f t="shared" ref="S530:AA530" si="506">$G530*I530</f>
        <v>#REF!</v>
      </c>
      <c r="T530" s="371" t="e">
        <f t="shared" si="506"/>
        <v>#REF!</v>
      </c>
      <c r="U530" s="371" t="e">
        <f t="shared" si="506"/>
        <v>#REF!</v>
      </c>
      <c r="V530" s="371" t="e">
        <f t="shared" si="506"/>
        <v>#REF!</v>
      </c>
      <c r="W530" s="371" t="e">
        <f t="shared" si="506"/>
        <v>#REF!</v>
      </c>
      <c r="X530" s="371" t="e">
        <f t="shared" si="506"/>
        <v>#REF!</v>
      </c>
      <c r="Y530" s="371" t="e">
        <f t="shared" si="506"/>
        <v>#REF!</v>
      </c>
      <c r="Z530" s="371" t="e">
        <f t="shared" si="506"/>
        <v>#REF!</v>
      </c>
      <c r="AA530" s="371" t="e">
        <f t="shared" si="506"/>
        <v>#REF!</v>
      </c>
      <c r="AB530" s="50"/>
    </row>
    <row r="531" s="122" customFormat="1" outlineLevel="2" spans="1:28">
      <c r="A531" s="130"/>
      <c r="B531" s="154" t="s">
        <v>593</v>
      </c>
      <c r="C531" s="154"/>
      <c r="D531" s="154"/>
      <c r="E531" s="154"/>
      <c r="F531" s="130"/>
      <c r="G531" s="134"/>
      <c r="H531" s="134"/>
      <c r="I531" s="134"/>
      <c r="J531" s="134"/>
      <c r="K531" s="134"/>
      <c r="L531" s="134"/>
      <c r="M531" s="134"/>
      <c r="N531" s="134"/>
      <c r="O531" s="134"/>
      <c r="P531" s="134"/>
      <c r="Q531" s="134"/>
      <c r="R531" s="367"/>
      <c r="S531" s="367"/>
      <c r="T531" s="367"/>
      <c r="U531" s="367"/>
      <c r="V531" s="371"/>
      <c r="W531" s="367"/>
      <c r="X531" s="367"/>
      <c r="Y531" s="367"/>
      <c r="Z531" s="367"/>
      <c r="AA531" s="367"/>
      <c r="AB531" s="130"/>
    </row>
    <row r="532" ht="28.8" outlineLevel="2" spans="1:28">
      <c r="A532" s="52">
        <f>MAX($A$6:A531)+1</f>
        <v>441</v>
      </c>
      <c r="B532" s="51" t="s">
        <v>594</v>
      </c>
      <c r="C532" s="51" t="e">
        <f>VLOOKUP($B532,#REF!,MATCH(C$2,#REF!,0),0)</f>
        <v>#REF!</v>
      </c>
      <c r="D532" s="136"/>
      <c r="E532" s="136"/>
      <c r="F532" s="136" t="e">
        <f>VLOOKUP($B532,#REF!,MATCH(F$2,#REF!,0),0)</f>
        <v>#REF!</v>
      </c>
      <c r="G532" s="137" t="e">
        <f>VLOOKUP($B532,#REF!,MATCH(G$2,#REF!,0),0)</f>
        <v>#REF!</v>
      </c>
      <c r="H532" s="48">
        <v>1</v>
      </c>
      <c r="I532" s="48">
        <v>325.96</v>
      </c>
      <c r="J532" s="48">
        <v>1</v>
      </c>
      <c r="K532" s="48">
        <v>1</v>
      </c>
      <c r="L532" s="48"/>
      <c r="M532" s="48">
        <v>625.48</v>
      </c>
      <c r="N532" s="48">
        <v>1</v>
      </c>
      <c r="O532" s="48">
        <v>625.48</v>
      </c>
      <c r="P532" s="48"/>
      <c r="Q532" s="48"/>
      <c r="R532" s="371" t="e">
        <f>$G532*H532</f>
        <v>#REF!</v>
      </c>
      <c r="S532" s="371" t="e">
        <f t="shared" ref="S532:AA532" si="507">$G532*I532</f>
        <v>#REF!</v>
      </c>
      <c r="T532" s="371" t="e">
        <f t="shared" si="507"/>
        <v>#REF!</v>
      </c>
      <c r="U532" s="371" t="e">
        <f t="shared" si="507"/>
        <v>#REF!</v>
      </c>
      <c r="V532" s="371" t="e">
        <f t="shared" si="507"/>
        <v>#REF!</v>
      </c>
      <c r="W532" s="371" t="e">
        <f t="shared" si="507"/>
        <v>#REF!</v>
      </c>
      <c r="X532" s="371" t="e">
        <f t="shared" si="507"/>
        <v>#REF!</v>
      </c>
      <c r="Y532" s="371" t="e">
        <f t="shared" si="507"/>
        <v>#REF!</v>
      </c>
      <c r="Z532" s="371" t="e">
        <f t="shared" si="507"/>
        <v>#REF!</v>
      </c>
      <c r="AA532" s="371" t="e">
        <f t="shared" si="507"/>
        <v>#REF!</v>
      </c>
      <c r="AB532" s="50"/>
    </row>
    <row r="533" outlineLevel="2" spans="1:28">
      <c r="A533" s="52">
        <f>MAX($A$6:A532)+1</f>
        <v>442</v>
      </c>
      <c r="B533" s="51" t="s">
        <v>589</v>
      </c>
      <c r="C533" s="51" t="e">
        <f>VLOOKUP($B533,#REF!,MATCH(C$2,#REF!,0),0)</f>
        <v>#REF!</v>
      </c>
      <c r="D533" s="136"/>
      <c r="E533" s="136"/>
      <c r="F533" s="136" t="e">
        <f>VLOOKUP($B533,#REF!,MATCH(F$2,#REF!,0),0)</f>
        <v>#REF!</v>
      </c>
      <c r="G533" s="137" t="e">
        <f>VLOOKUP($B533,#REF!,MATCH(G$2,#REF!,0),0)</f>
        <v>#REF!</v>
      </c>
      <c r="H533" s="48">
        <v>1</v>
      </c>
      <c r="I533" s="48">
        <v>325.96</v>
      </c>
      <c r="J533" s="48">
        <v>1</v>
      </c>
      <c r="K533" s="48">
        <v>1</v>
      </c>
      <c r="L533" s="48"/>
      <c r="M533" s="48">
        <v>625.48</v>
      </c>
      <c r="N533" s="48">
        <v>1</v>
      </c>
      <c r="O533" s="48">
        <v>625.48</v>
      </c>
      <c r="P533" s="48"/>
      <c r="Q533" s="48"/>
      <c r="R533" s="371" t="e">
        <f t="shared" ref="R533:AA533" si="508">$G533*H533</f>
        <v>#REF!</v>
      </c>
      <c r="S533" s="371" t="e">
        <f t="shared" si="508"/>
        <v>#REF!</v>
      </c>
      <c r="T533" s="371" t="e">
        <f t="shared" si="508"/>
        <v>#REF!</v>
      </c>
      <c r="U533" s="371" t="e">
        <f t="shared" si="508"/>
        <v>#REF!</v>
      </c>
      <c r="V533" s="371" t="e">
        <f t="shared" si="508"/>
        <v>#REF!</v>
      </c>
      <c r="W533" s="371" t="e">
        <f t="shared" si="508"/>
        <v>#REF!</v>
      </c>
      <c r="X533" s="371" t="e">
        <f t="shared" si="508"/>
        <v>#REF!</v>
      </c>
      <c r="Y533" s="371" t="e">
        <f t="shared" si="508"/>
        <v>#REF!</v>
      </c>
      <c r="Z533" s="371" t="e">
        <f t="shared" si="508"/>
        <v>#REF!</v>
      </c>
      <c r="AA533" s="371" t="e">
        <f t="shared" si="508"/>
        <v>#REF!</v>
      </c>
      <c r="AB533" s="50"/>
    </row>
    <row r="534" ht="28.8" outlineLevel="2" spans="1:28">
      <c r="A534" s="52">
        <f>MAX($A$6:A533)+1</f>
        <v>443</v>
      </c>
      <c r="B534" s="51" t="s">
        <v>590</v>
      </c>
      <c r="C534" s="51" t="e">
        <f>VLOOKUP($B534,#REF!,MATCH(C$2,#REF!,0),0)</f>
        <v>#REF!</v>
      </c>
      <c r="D534" s="136"/>
      <c r="E534" s="136"/>
      <c r="F534" s="136" t="e">
        <f>VLOOKUP($B534,#REF!,MATCH(F$2,#REF!,0),0)</f>
        <v>#REF!</v>
      </c>
      <c r="G534" s="137" t="e">
        <f>VLOOKUP($B534,#REF!,MATCH(G$2,#REF!,0),0)</f>
        <v>#REF!</v>
      </c>
      <c r="H534" s="48">
        <v>1</v>
      </c>
      <c r="I534" s="48">
        <v>325.96</v>
      </c>
      <c r="J534" s="48">
        <v>1</v>
      </c>
      <c r="K534" s="48">
        <v>1</v>
      </c>
      <c r="L534" s="48"/>
      <c r="M534" s="48">
        <v>625.48</v>
      </c>
      <c r="N534" s="48">
        <v>1</v>
      </c>
      <c r="O534" s="48">
        <v>625.48</v>
      </c>
      <c r="P534" s="48"/>
      <c r="Q534" s="48"/>
      <c r="R534" s="371" t="e">
        <f t="shared" ref="R534:AA534" si="509">$G534*H534</f>
        <v>#REF!</v>
      </c>
      <c r="S534" s="371" t="e">
        <f t="shared" si="509"/>
        <v>#REF!</v>
      </c>
      <c r="T534" s="371" t="e">
        <f t="shared" si="509"/>
        <v>#REF!</v>
      </c>
      <c r="U534" s="371" t="e">
        <f t="shared" si="509"/>
        <v>#REF!</v>
      </c>
      <c r="V534" s="371" t="e">
        <f t="shared" si="509"/>
        <v>#REF!</v>
      </c>
      <c r="W534" s="371" t="e">
        <f t="shared" si="509"/>
        <v>#REF!</v>
      </c>
      <c r="X534" s="371" t="e">
        <f t="shared" si="509"/>
        <v>#REF!</v>
      </c>
      <c r="Y534" s="371" t="e">
        <f t="shared" si="509"/>
        <v>#REF!</v>
      </c>
      <c r="Z534" s="371" t="e">
        <f t="shared" si="509"/>
        <v>#REF!</v>
      </c>
      <c r="AA534" s="371" t="e">
        <f t="shared" si="509"/>
        <v>#REF!</v>
      </c>
      <c r="AB534" s="50"/>
    </row>
    <row r="535" outlineLevel="2" spans="1:28">
      <c r="A535" s="52">
        <f>MAX($A$6:A534)+1</f>
        <v>444</v>
      </c>
      <c r="B535" s="51" t="s">
        <v>424</v>
      </c>
      <c r="C535" s="51" t="e">
        <f>VLOOKUP($B535,#REF!,MATCH(C$2,#REF!,0),0)</f>
        <v>#REF!</v>
      </c>
      <c r="D535" s="136"/>
      <c r="E535" s="136"/>
      <c r="F535" s="136" t="e">
        <f>VLOOKUP($B535,#REF!,MATCH(F$2,#REF!,0),0)</f>
        <v>#REF!</v>
      </c>
      <c r="G535" s="137" t="e">
        <f>VLOOKUP($B535,#REF!,MATCH(G$2,#REF!,0),0)</f>
        <v>#REF!</v>
      </c>
      <c r="H535" s="48">
        <v>1</v>
      </c>
      <c r="I535" s="48">
        <v>325.96</v>
      </c>
      <c r="J535" s="48">
        <v>1</v>
      </c>
      <c r="K535" s="48">
        <v>1</v>
      </c>
      <c r="L535" s="48"/>
      <c r="M535" s="48">
        <v>625.48</v>
      </c>
      <c r="N535" s="48">
        <v>1</v>
      </c>
      <c r="O535" s="48">
        <v>625.48</v>
      </c>
      <c r="P535" s="48"/>
      <c r="Q535" s="48"/>
      <c r="R535" s="371" t="e">
        <f t="shared" ref="R535:AA535" si="510">$G535*H535</f>
        <v>#REF!</v>
      </c>
      <c r="S535" s="371" t="e">
        <f t="shared" si="510"/>
        <v>#REF!</v>
      </c>
      <c r="T535" s="371" t="e">
        <f t="shared" si="510"/>
        <v>#REF!</v>
      </c>
      <c r="U535" s="371" t="e">
        <f t="shared" si="510"/>
        <v>#REF!</v>
      </c>
      <c r="V535" s="371" t="e">
        <f t="shared" si="510"/>
        <v>#REF!</v>
      </c>
      <c r="W535" s="371" t="e">
        <f t="shared" si="510"/>
        <v>#REF!</v>
      </c>
      <c r="X535" s="371" t="e">
        <f t="shared" si="510"/>
        <v>#REF!</v>
      </c>
      <c r="Y535" s="371" t="e">
        <f t="shared" si="510"/>
        <v>#REF!</v>
      </c>
      <c r="Z535" s="371" t="e">
        <f t="shared" si="510"/>
        <v>#REF!</v>
      </c>
      <c r="AA535" s="371" t="e">
        <f t="shared" si="510"/>
        <v>#REF!</v>
      </c>
      <c r="AB535" s="50"/>
    </row>
    <row r="536" ht="28.8" outlineLevel="2" spans="1:28">
      <c r="A536" s="52">
        <f>MAX($A$6:A535)+1</f>
        <v>445</v>
      </c>
      <c r="B536" s="51" t="s">
        <v>588</v>
      </c>
      <c r="C536" s="51" t="e">
        <f>VLOOKUP($B536,#REF!,MATCH(C$2,#REF!,0),0)</f>
        <v>#REF!</v>
      </c>
      <c r="D536" s="136"/>
      <c r="E536" s="136"/>
      <c r="F536" s="136" t="e">
        <f>VLOOKUP($B536,#REF!,MATCH(F$2,#REF!,0),0)</f>
        <v>#REF!</v>
      </c>
      <c r="G536" s="137" t="e">
        <f>VLOOKUP($B536,#REF!,MATCH(G$2,#REF!,0),0)</f>
        <v>#REF!</v>
      </c>
      <c r="H536" s="48">
        <v>1</v>
      </c>
      <c r="I536" s="48">
        <v>325.96</v>
      </c>
      <c r="J536" s="48">
        <v>1</v>
      </c>
      <c r="K536" s="48">
        <v>1</v>
      </c>
      <c r="L536" s="48"/>
      <c r="M536" s="48">
        <v>625.48</v>
      </c>
      <c r="N536" s="48">
        <v>1</v>
      </c>
      <c r="O536" s="48">
        <v>625.48</v>
      </c>
      <c r="P536" s="48"/>
      <c r="Q536" s="48"/>
      <c r="R536" s="371" t="e">
        <f t="shared" ref="R536:AA536" si="511">$G536*H536</f>
        <v>#REF!</v>
      </c>
      <c r="S536" s="371" t="e">
        <f t="shared" si="511"/>
        <v>#REF!</v>
      </c>
      <c r="T536" s="371" t="e">
        <f t="shared" si="511"/>
        <v>#REF!</v>
      </c>
      <c r="U536" s="371" t="e">
        <f t="shared" si="511"/>
        <v>#REF!</v>
      </c>
      <c r="V536" s="371" t="e">
        <f t="shared" si="511"/>
        <v>#REF!</v>
      </c>
      <c r="W536" s="371" t="e">
        <f t="shared" si="511"/>
        <v>#REF!</v>
      </c>
      <c r="X536" s="371" t="e">
        <f t="shared" si="511"/>
        <v>#REF!</v>
      </c>
      <c r="Y536" s="371" t="e">
        <f t="shared" si="511"/>
        <v>#REF!</v>
      </c>
      <c r="Z536" s="371" t="e">
        <f t="shared" si="511"/>
        <v>#REF!</v>
      </c>
      <c r="AA536" s="371" t="e">
        <f t="shared" si="511"/>
        <v>#REF!</v>
      </c>
      <c r="AB536" s="50"/>
    </row>
    <row r="537" outlineLevel="2" spans="1:28">
      <c r="A537" s="52">
        <f>MAX($A$6:A536)+1</f>
        <v>446</v>
      </c>
      <c r="B537" s="51" t="s">
        <v>425</v>
      </c>
      <c r="C537" s="51" t="e">
        <f>VLOOKUP($B537,#REF!,MATCH(C$2,#REF!,0),0)</f>
        <v>#REF!</v>
      </c>
      <c r="D537" s="136"/>
      <c r="E537" s="136"/>
      <c r="F537" s="136" t="e">
        <f>VLOOKUP($B537,#REF!,MATCH(F$2,#REF!,0),0)</f>
        <v>#REF!</v>
      </c>
      <c r="G537" s="137" t="e">
        <f>VLOOKUP($B537,#REF!,MATCH(G$2,#REF!,0),0)</f>
        <v>#REF!</v>
      </c>
      <c r="H537" s="48">
        <v>1</v>
      </c>
      <c r="I537" s="48">
        <v>325.96</v>
      </c>
      <c r="J537" s="48">
        <v>1</v>
      </c>
      <c r="K537" s="48">
        <v>1</v>
      </c>
      <c r="L537" s="48"/>
      <c r="M537" s="48">
        <v>625.48</v>
      </c>
      <c r="N537" s="48">
        <v>1</v>
      </c>
      <c r="O537" s="48">
        <v>625.48</v>
      </c>
      <c r="P537" s="48"/>
      <c r="Q537" s="48"/>
      <c r="R537" s="371" t="e">
        <f t="shared" ref="R537:AA537" si="512">$G537*H537</f>
        <v>#REF!</v>
      </c>
      <c r="S537" s="371" t="e">
        <f t="shared" si="512"/>
        <v>#REF!</v>
      </c>
      <c r="T537" s="371" t="e">
        <f t="shared" si="512"/>
        <v>#REF!</v>
      </c>
      <c r="U537" s="371" t="e">
        <f t="shared" si="512"/>
        <v>#REF!</v>
      </c>
      <c r="V537" s="371" t="e">
        <f t="shared" si="512"/>
        <v>#REF!</v>
      </c>
      <c r="W537" s="371" t="e">
        <f t="shared" si="512"/>
        <v>#REF!</v>
      </c>
      <c r="X537" s="371" t="e">
        <f t="shared" si="512"/>
        <v>#REF!</v>
      </c>
      <c r="Y537" s="371" t="e">
        <f t="shared" si="512"/>
        <v>#REF!</v>
      </c>
      <c r="Z537" s="371" t="e">
        <f t="shared" si="512"/>
        <v>#REF!</v>
      </c>
      <c r="AA537" s="371" t="e">
        <f t="shared" si="512"/>
        <v>#REF!</v>
      </c>
      <c r="AB537" s="50"/>
    </row>
    <row r="538" s="122" customFormat="1" outlineLevel="2" spans="1:28">
      <c r="A538" s="130"/>
      <c r="B538" s="154" t="s">
        <v>593</v>
      </c>
      <c r="C538" s="154"/>
      <c r="D538" s="154"/>
      <c r="E538" s="154"/>
      <c r="F538" s="130"/>
      <c r="G538" s="134"/>
      <c r="H538" s="134"/>
      <c r="I538" s="134"/>
      <c r="J538" s="134"/>
      <c r="K538" s="134"/>
      <c r="L538" s="134"/>
      <c r="M538" s="134"/>
      <c r="N538" s="134"/>
      <c r="O538" s="134"/>
      <c r="P538" s="134"/>
      <c r="Q538" s="134"/>
      <c r="R538" s="367"/>
      <c r="S538" s="367"/>
      <c r="T538" s="367"/>
      <c r="U538" s="367"/>
      <c r="V538" s="371"/>
      <c r="W538" s="367"/>
      <c r="X538" s="367"/>
      <c r="Y538" s="367"/>
      <c r="Z538" s="367"/>
      <c r="AA538" s="367"/>
      <c r="AB538" s="130"/>
    </row>
    <row r="539" ht="28.8" outlineLevel="2" spans="1:28">
      <c r="A539" s="52">
        <f>MAX($A$6:A538)+1</f>
        <v>447</v>
      </c>
      <c r="B539" s="51" t="s">
        <v>587</v>
      </c>
      <c r="C539" s="51" t="e">
        <f>VLOOKUP($B539,#REF!,MATCH(C$2,#REF!,0),0)</f>
        <v>#REF!</v>
      </c>
      <c r="D539" s="136"/>
      <c r="E539" s="136"/>
      <c r="F539" s="136" t="e">
        <f>VLOOKUP($B539,#REF!,MATCH(F$2,#REF!,0),0)</f>
        <v>#REF!</v>
      </c>
      <c r="G539" s="137" t="e">
        <f>VLOOKUP($B539,#REF!,MATCH(G$2,#REF!,0),0)</f>
        <v>#REF!</v>
      </c>
      <c r="H539" s="48">
        <v>1</v>
      </c>
      <c r="I539" s="48">
        <v>1</v>
      </c>
      <c r="J539" s="48">
        <v>1</v>
      </c>
      <c r="K539" s="48">
        <v>1</v>
      </c>
      <c r="L539" s="48"/>
      <c r="M539" s="48"/>
      <c r="N539" s="48"/>
      <c r="O539" s="48"/>
      <c r="P539" s="48"/>
      <c r="Q539" s="48"/>
      <c r="R539" s="371" t="e">
        <f>$G539*H539</f>
        <v>#REF!</v>
      </c>
      <c r="S539" s="371" t="e">
        <f t="shared" ref="S539:AA539" si="513">$G539*I539</f>
        <v>#REF!</v>
      </c>
      <c r="T539" s="371" t="e">
        <f t="shared" si="513"/>
        <v>#REF!</v>
      </c>
      <c r="U539" s="371" t="e">
        <f t="shared" si="513"/>
        <v>#REF!</v>
      </c>
      <c r="V539" s="371" t="e">
        <f t="shared" si="513"/>
        <v>#REF!</v>
      </c>
      <c r="W539" s="371" t="e">
        <f t="shared" si="513"/>
        <v>#REF!</v>
      </c>
      <c r="X539" s="371" t="e">
        <f t="shared" si="513"/>
        <v>#REF!</v>
      </c>
      <c r="Y539" s="371" t="e">
        <f t="shared" si="513"/>
        <v>#REF!</v>
      </c>
      <c r="Z539" s="371" t="e">
        <f t="shared" si="513"/>
        <v>#REF!</v>
      </c>
      <c r="AA539" s="371" t="e">
        <f t="shared" si="513"/>
        <v>#REF!</v>
      </c>
      <c r="AB539" s="50"/>
    </row>
    <row r="540" outlineLevel="2" spans="1:28">
      <c r="A540" s="52">
        <f>MAX($A$6:A539)+1</f>
        <v>448</v>
      </c>
      <c r="B540" s="51" t="s">
        <v>424</v>
      </c>
      <c r="C540" s="51" t="e">
        <f>VLOOKUP($B540,#REF!,MATCH(C$2,#REF!,0),0)</f>
        <v>#REF!</v>
      </c>
      <c r="D540" s="136"/>
      <c r="E540" s="136"/>
      <c r="F540" s="136" t="e">
        <f>VLOOKUP($B540,#REF!,MATCH(F$2,#REF!,0),0)</f>
        <v>#REF!</v>
      </c>
      <c r="G540" s="137" t="e">
        <f>VLOOKUP($B540,#REF!,MATCH(G$2,#REF!,0),0)</f>
        <v>#REF!</v>
      </c>
      <c r="H540" s="48">
        <v>1</v>
      </c>
      <c r="I540" s="48">
        <v>1</v>
      </c>
      <c r="J540" s="48">
        <v>1</v>
      </c>
      <c r="K540" s="48">
        <v>1</v>
      </c>
      <c r="L540" s="48"/>
      <c r="M540" s="48"/>
      <c r="N540" s="48"/>
      <c r="O540" s="48"/>
      <c r="P540" s="48"/>
      <c r="Q540" s="48"/>
      <c r="R540" s="371" t="e">
        <f t="shared" ref="R540:AA540" si="514">$G540*H540</f>
        <v>#REF!</v>
      </c>
      <c r="S540" s="371" t="e">
        <f t="shared" si="514"/>
        <v>#REF!</v>
      </c>
      <c r="T540" s="371" t="e">
        <f t="shared" si="514"/>
        <v>#REF!</v>
      </c>
      <c r="U540" s="371" t="e">
        <f t="shared" si="514"/>
        <v>#REF!</v>
      </c>
      <c r="V540" s="371" t="e">
        <f t="shared" si="514"/>
        <v>#REF!</v>
      </c>
      <c r="W540" s="371" t="e">
        <f t="shared" si="514"/>
        <v>#REF!</v>
      </c>
      <c r="X540" s="371" t="e">
        <f t="shared" si="514"/>
        <v>#REF!</v>
      </c>
      <c r="Y540" s="371" t="e">
        <f t="shared" si="514"/>
        <v>#REF!</v>
      </c>
      <c r="Z540" s="371" t="e">
        <f t="shared" si="514"/>
        <v>#REF!</v>
      </c>
      <c r="AA540" s="371" t="e">
        <f t="shared" si="514"/>
        <v>#REF!</v>
      </c>
      <c r="AB540" s="50"/>
    </row>
    <row r="541" ht="28.8" outlineLevel="2" spans="1:28">
      <c r="A541" s="52">
        <f>MAX($A$6:A540)+1</f>
        <v>449</v>
      </c>
      <c r="B541" s="51" t="s">
        <v>588</v>
      </c>
      <c r="C541" s="51" t="e">
        <f>VLOOKUP($B541,#REF!,MATCH(C$2,#REF!,0),0)</f>
        <v>#REF!</v>
      </c>
      <c r="D541" s="136"/>
      <c r="E541" s="136"/>
      <c r="F541" s="136" t="e">
        <f>VLOOKUP($B541,#REF!,MATCH(F$2,#REF!,0),0)</f>
        <v>#REF!</v>
      </c>
      <c r="G541" s="137" t="e">
        <f>VLOOKUP($B541,#REF!,MATCH(G$2,#REF!,0),0)</f>
        <v>#REF!</v>
      </c>
      <c r="H541" s="48">
        <v>1</v>
      </c>
      <c r="I541" s="48">
        <v>1</v>
      </c>
      <c r="J541" s="48">
        <v>1</v>
      </c>
      <c r="K541" s="48">
        <v>1</v>
      </c>
      <c r="L541" s="48"/>
      <c r="M541" s="48"/>
      <c r="N541" s="48"/>
      <c r="O541" s="48"/>
      <c r="P541" s="48"/>
      <c r="Q541" s="48"/>
      <c r="R541" s="371" t="e">
        <f t="shared" ref="R541:AA541" si="515">$G541*H541</f>
        <v>#REF!</v>
      </c>
      <c r="S541" s="371" t="e">
        <f t="shared" si="515"/>
        <v>#REF!</v>
      </c>
      <c r="T541" s="371" t="e">
        <f t="shared" si="515"/>
        <v>#REF!</v>
      </c>
      <c r="U541" s="371" t="e">
        <f t="shared" si="515"/>
        <v>#REF!</v>
      </c>
      <c r="V541" s="371" t="e">
        <f t="shared" si="515"/>
        <v>#REF!</v>
      </c>
      <c r="W541" s="371" t="e">
        <f t="shared" si="515"/>
        <v>#REF!</v>
      </c>
      <c r="X541" s="371" t="e">
        <f t="shared" si="515"/>
        <v>#REF!</v>
      </c>
      <c r="Y541" s="371" t="e">
        <f t="shared" si="515"/>
        <v>#REF!</v>
      </c>
      <c r="Z541" s="371" t="e">
        <f t="shared" si="515"/>
        <v>#REF!</v>
      </c>
      <c r="AA541" s="371" t="e">
        <f t="shared" si="515"/>
        <v>#REF!</v>
      </c>
      <c r="AB541" s="50"/>
    </row>
    <row r="542" outlineLevel="2" spans="1:28">
      <c r="A542" s="52">
        <f>MAX($A$6:A541)+1</f>
        <v>450</v>
      </c>
      <c r="B542" s="51" t="s">
        <v>425</v>
      </c>
      <c r="C542" s="51" t="e">
        <f>VLOOKUP($B542,#REF!,MATCH(C$2,#REF!,0),0)</f>
        <v>#REF!</v>
      </c>
      <c r="D542" s="136"/>
      <c r="E542" s="136"/>
      <c r="F542" s="136" t="e">
        <f>VLOOKUP($B542,#REF!,MATCH(F$2,#REF!,0),0)</f>
        <v>#REF!</v>
      </c>
      <c r="G542" s="137" t="e">
        <f>VLOOKUP($B542,#REF!,MATCH(G$2,#REF!,0),0)</f>
        <v>#REF!</v>
      </c>
      <c r="H542" s="48">
        <v>1</v>
      </c>
      <c r="I542" s="48">
        <v>1</v>
      </c>
      <c r="J542" s="48">
        <v>1</v>
      </c>
      <c r="K542" s="48">
        <v>1</v>
      </c>
      <c r="L542" s="48"/>
      <c r="M542" s="48"/>
      <c r="N542" s="48"/>
      <c r="O542" s="48"/>
      <c r="P542" s="48"/>
      <c r="Q542" s="48"/>
      <c r="R542" s="371" t="e">
        <f t="shared" ref="R542:AA542" si="516">$G542*H542</f>
        <v>#REF!</v>
      </c>
      <c r="S542" s="371" t="e">
        <f t="shared" si="516"/>
        <v>#REF!</v>
      </c>
      <c r="T542" s="371" t="e">
        <f t="shared" si="516"/>
        <v>#REF!</v>
      </c>
      <c r="U542" s="371" t="e">
        <f t="shared" si="516"/>
        <v>#REF!</v>
      </c>
      <c r="V542" s="371" t="e">
        <f t="shared" si="516"/>
        <v>#REF!</v>
      </c>
      <c r="W542" s="371" t="e">
        <f t="shared" si="516"/>
        <v>#REF!</v>
      </c>
      <c r="X542" s="371" t="e">
        <f t="shared" si="516"/>
        <v>#REF!</v>
      </c>
      <c r="Y542" s="371" t="e">
        <f t="shared" si="516"/>
        <v>#REF!</v>
      </c>
      <c r="Z542" s="371" t="e">
        <f t="shared" si="516"/>
        <v>#REF!</v>
      </c>
      <c r="AA542" s="371" t="e">
        <f t="shared" si="516"/>
        <v>#REF!</v>
      </c>
      <c r="AB542" s="50"/>
    </row>
    <row r="543" s="122" customFormat="1" outlineLevel="2" spans="1:28">
      <c r="A543" s="130"/>
      <c r="B543" s="154" t="s">
        <v>595</v>
      </c>
      <c r="C543" s="154"/>
      <c r="D543" s="154"/>
      <c r="E543" s="154"/>
      <c r="F543" s="130"/>
      <c r="G543" s="134"/>
      <c r="H543" s="134"/>
      <c r="I543" s="134"/>
      <c r="J543" s="134"/>
      <c r="K543" s="134"/>
      <c r="L543" s="134"/>
      <c r="M543" s="134"/>
      <c r="N543" s="134"/>
      <c r="O543" s="134"/>
      <c r="P543" s="134"/>
      <c r="Q543" s="134"/>
      <c r="R543" s="367"/>
      <c r="S543" s="367"/>
      <c r="T543" s="367"/>
      <c r="U543" s="367"/>
      <c r="V543" s="371"/>
      <c r="W543" s="367"/>
      <c r="X543" s="367"/>
      <c r="Y543" s="367"/>
      <c r="Z543" s="367"/>
      <c r="AA543" s="367"/>
      <c r="AB543" s="130"/>
    </row>
    <row r="544" ht="28.8" outlineLevel="2" spans="1:28">
      <c r="A544" s="52">
        <f>MAX($A$6:A543)+1</f>
        <v>451</v>
      </c>
      <c r="B544" s="138" t="s">
        <v>592</v>
      </c>
      <c r="C544" s="51" t="e">
        <f>VLOOKUP($B544,#REF!,MATCH(C$2,#REF!,0),0)</f>
        <v>#REF!</v>
      </c>
      <c r="D544" s="136"/>
      <c r="E544" s="136"/>
      <c r="F544" s="136" t="e">
        <f>VLOOKUP($B544,#REF!,MATCH(F$2,#REF!,0),0)</f>
        <v>#REF!</v>
      </c>
      <c r="G544" s="137" t="e">
        <f>VLOOKUP($B544,#REF!,MATCH(G$2,#REF!,0),0)</f>
        <v>#REF!</v>
      </c>
      <c r="H544" s="48"/>
      <c r="I544" s="48"/>
      <c r="J544" s="48"/>
      <c r="K544" s="48"/>
      <c r="L544" s="48"/>
      <c r="M544" s="48">
        <v>1</v>
      </c>
      <c r="N544" s="48">
        <v>1</v>
      </c>
      <c r="O544" s="48">
        <v>1</v>
      </c>
      <c r="P544" s="48"/>
      <c r="Q544" s="48"/>
      <c r="R544" s="371" t="e">
        <f>$G544*H544</f>
        <v>#REF!</v>
      </c>
      <c r="S544" s="371" t="e">
        <f t="shared" ref="S544:AA544" si="517">$G544*I544</f>
        <v>#REF!</v>
      </c>
      <c r="T544" s="371" t="e">
        <f t="shared" si="517"/>
        <v>#REF!</v>
      </c>
      <c r="U544" s="371" t="e">
        <f t="shared" si="517"/>
        <v>#REF!</v>
      </c>
      <c r="V544" s="371" t="e">
        <f t="shared" si="517"/>
        <v>#REF!</v>
      </c>
      <c r="W544" s="371" t="e">
        <f t="shared" si="517"/>
        <v>#REF!</v>
      </c>
      <c r="X544" s="371" t="e">
        <f t="shared" si="517"/>
        <v>#REF!</v>
      </c>
      <c r="Y544" s="371" t="e">
        <f t="shared" si="517"/>
        <v>#REF!</v>
      </c>
      <c r="Z544" s="371" t="e">
        <f t="shared" si="517"/>
        <v>#REF!</v>
      </c>
      <c r="AA544" s="371" t="e">
        <f t="shared" si="517"/>
        <v>#REF!</v>
      </c>
      <c r="AB544" s="50"/>
    </row>
    <row r="545" outlineLevel="2" spans="1:28">
      <c r="A545" s="52">
        <f>MAX($A$6:A544)+1</f>
        <v>452</v>
      </c>
      <c r="B545" s="51" t="s">
        <v>576</v>
      </c>
      <c r="C545" s="51" t="e">
        <f>VLOOKUP($B545,#REF!,MATCH(C$2,#REF!,0),0)</f>
        <v>#REF!</v>
      </c>
      <c r="D545" s="136"/>
      <c r="E545" s="136"/>
      <c r="F545" s="136" t="e">
        <f>VLOOKUP($B545,#REF!,MATCH(F$2,#REF!,0),0)</f>
        <v>#REF!</v>
      </c>
      <c r="G545" s="137" t="e">
        <f>VLOOKUP($B545,#REF!,MATCH(G$2,#REF!,0),0)</f>
        <v>#REF!</v>
      </c>
      <c r="H545" s="48"/>
      <c r="I545" s="48"/>
      <c r="J545" s="48"/>
      <c r="K545" s="48"/>
      <c r="L545" s="48"/>
      <c r="M545" s="48">
        <v>1</v>
      </c>
      <c r="N545" s="48">
        <v>1</v>
      </c>
      <c r="O545" s="48">
        <v>1</v>
      </c>
      <c r="P545" s="48"/>
      <c r="Q545" s="48"/>
      <c r="R545" s="371" t="e">
        <f t="shared" ref="R545:AA545" si="518">$G545*H545</f>
        <v>#REF!</v>
      </c>
      <c r="S545" s="371" t="e">
        <f t="shared" si="518"/>
        <v>#REF!</v>
      </c>
      <c r="T545" s="371" t="e">
        <f t="shared" si="518"/>
        <v>#REF!</v>
      </c>
      <c r="U545" s="371" t="e">
        <f t="shared" si="518"/>
        <v>#REF!</v>
      </c>
      <c r="V545" s="371" t="e">
        <f t="shared" si="518"/>
        <v>#REF!</v>
      </c>
      <c r="W545" s="371" t="e">
        <f t="shared" si="518"/>
        <v>#REF!</v>
      </c>
      <c r="X545" s="371" t="e">
        <f t="shared" si="518"/>
        <v>#REF!</v>
      </c>
      <c r="Y545" s="371" t="e">
        <f t="shared" si="518"/>
        <v>#REF!</v>
      </c>
      <c r="Z545" s="371" t="e">
        <f t="shared" si="518"/>
        <v>#REF!</v>
      </c>
      <c r="AA545" s="371" t="e">
        <f t="shared" si="518"/>
        <v>#REF!</v>
      </c>
      <c r="AB545" s="50"/>
    </row>
    <row r="546" outlineLevel="2" spans="1:28">
      <c r="A546" s="52">
        <f>MAX($A$6:A545)+1</f>
        <v>453</v>
      </c>
      <c r="B546" s="51" t="s">
        <v>596</v>
      </c>
      <c r="C546" s="51" t="e">
        <f>VLOOKUP($B546,#REF!,MATCH(C$2,#REF!,0),0)</f>
        <v>#REF!</v>
      </c>
      <c r="D546" s="136"/>
      <c r="E546" s="136"/>
      <c r="F546" s="136" t="e">
        <f>VLOOKUP($B546,#REF!,MATCH(F$2,#REF!,0),0)</f>
        <v>#REF!</v>
      </c>
      <c r="G546" s="137" t="e">
        <f>VLOOKUP($B546,#REF!,MATCH(G$2,#REF!,0),0)</f>
        <v>#REF!</v>
      </c>
      <c r="H546" s="48"/>
      <c r="I546" s="48"/>
      <c r="J546" s="48"/>
      <c r="K546" s="48"/>
      <c r="L546" s="48"/>
      <c r="M546" s="48">
        <v>1</v>
      </c>
      <c r="N546" s="48">
        <v>1</v>
      </c>
      <c r="O546" s="48">
        <v>1</v>
      </c>
      <c r="P546" s="48"/>
      <c r="Q546" s="48"/>
      <c r="R546" s="371" t="e">
        <f t="shared" ref="R546:AA546" si="519">$G546*H546</f>
        <v>#REF!</v>
      </c>
      <c r="S546" s="371" t="e">
        <f t="shared" si="519"/>
        <v>#REF!</v>
      </c>
      <c r="T546" s="371" t="e">
        <f t="shared" si="519"/>
        <v>#REF!</v>
      </c>
      <c r="U546" s="371" t="e">
        <f t="shared" si="519"/>
        <v>#REF!</v>
      </c>
      <c r="V546" s="371" t="e">
        <f t="shared" si="519"/>
        <v>#REF!</v>
      </c>
      <c r="W546" s="371" t="e">
        <f t="shared" si="519"/>
        <v>#REF!</v>
      </c>
      <c r="X546" s="371" t="e">
        <f t="shared" si="519"/>
        <v>#REF!</v>
      </c>
      <c r="Y546" s="371" t="e">
        <f t="shared" si="519"/>
        <v>#REF!</v>
      </c>
      <c r="Z546" s="371" t="e">
        <f t="shared" si="519"/>
        <v>#REF!</v>
      </c>
      <c r="AA546" s="371" t="e">
        <f t="shared" si="519"/>
        <v>#REF!</v>
      </c>
      <c r="AB546" s="50"/>
    </row>
    <row r="547" outlineLevel="2" spans="1:28">
      <c r="A547" s="52">
        <f>MAX($A$6:A546)+1</f>
        <v>454</v>
      </c>
      <c r="B547" s="51" t="s">
        <v>424</v>
      </c>
      <c r="C547" s="51" t="e">
        <f>VLOOKUP($B547,#REF!,MATCH(C$2,#REF!,0),0)</f>
        <v>#REF!</v>
      </c>
      <c r="D547" s="136"/>
      <c r="E547" s="136"/>
      <c r="F547" s="136" t="e">
        <f>VLOOKUP($B547,#REF!,MATCH(F$2,#REF!,0),0)</f>
        <v>#REF!</v>
      </c>
      <c r="G547" s="137" t="e">
        <f>VLOOKUP($B547,#REF!,MATCH(G$2,#REF!,0),0)</f>
        <v>#REF!</v>
      </c>
      <c r="H547" s="48"/>
      <c r="I547" s="48"/>
      <c r="J547" s="48"/>
      <c r="K547" s="48"/>
      <c r="L547" s="48"/>
      <c r="M547" s="48">
        <v>1</v>
      </c>
      <c r="N547" s="48">
        <v>1</v>
      </c>
      <c r="O547" s="48">
        <v>1</v>
      </c>
      <c r="P547" s="48"/>
      <c r="Q547" s="48"/>
      <c r="R547" s="371" t="e">
        <f t="shared" ref="R547:AA547" si="520">$G547*H547</f>
        <v>#REF!</v>
      </c>
      <c r="S547" s="371" t="e">
        <f t="shared" si="520"/>
        <v>#REF!</v>
      </c>
      <c r="T547" s="371" t="e">
        <f t="shared" si="520"/>
        <v>#REF!</v>
      </c>
      <c r="U547" s="371" t="e">
        <f t="shared" si="520"/>
        <v>#REF!</v>
      </c>
      <c r="V547" s="371" t="e">
        <f t="shared" si="520"/>
        <v>#REF!</v>
      </c>
      <c r="W547" s="371" t="e">
        <f t="shared" si="520"/>
        <v>#REF!</v>
      </c>
      <c r="X547" s="371" t="e">
        <f t="shared" si="520"/>
        <v>#REF!</v>
      </c>
      <c r="Y547" s="371" t="e">
        <f t="shared" si="520"/>
        <v>#REF!</v>
      </c>
      <c r="Z547" s="371" t="e">
        <f t="shared" si="520"/>
        <v>#REF!</v>
      </c>
      <c r="AA547" s="371" t="e">
        <f t="shared" si="520"/>
        <v>#REF!</v>
      </c>
      <c r="AB547" s="50"/>
    </row>
    <row r="548" ht="28.8" outlineLevel="2" spans="1:28">
      <c r="A548" s="52">
        <f>MAX($A$6:A547)+1</f>
        <v>455</v>
      </c>
      <c r="B548" s="51" t="s">
        <v>588</v>
      </c>
      <c r="C548" s="51" t="e">
        <f>VLOOKUP($B548,#REF!,MATCH(C$2,#REF!,0),0)</f>
        <v>#REF!</v>
      </c>
      <c r="D548" s="136"/>
      <c r="E548" s="136"/>
      <c r="F548" s="136" t="e">
        <f>VLOOKUP($B548,#REF!,MATCH(F$2,#REF!,0),0)</f>
        <v>#REF!</v>
      </c>
      <c r="G548" s="137" t="e">
        <f>VLOOKUP($B548,#REF!,MATCH(G$2,#REF!,0),0)</f>
        <v>#REF!</v>
      </c>
      <c r="H548" s="48"/>
      <c r="I548" s="48"/>
      <c r="J548" s="48"/>
      <c r="K548" s="48"/>
      <c r="L548" s="48"/>
      <c r="M548" s="48">
        <v>1</v>
      </c>
      <c r="N548" s="48">
        <v>1</v>
      </c>
      <c r="O548" s="48">
        <v>1</v>
      </c>
      <c r="P548" s="48"/>
      <c r="Q548" s="48"/>
      <c r="R548" s="371" t="e">
        <f t="shared" ref="R548:AA548" si="521">$G548*H548</f>
        <v>#REF!</v>
      </c>
      <c r="S548" s="371" t="e">
        <f t="shared" si="521"/>
        <v>#REF!</v>
      </c>
      <c r="T548" s="371" t="e">
        <f t="shared" si="521"/>
        <v>#REF!</v>
      </c>
      <c r="U548" s="371" t="e">
        <f t="shared" si="521"/>
        <v>#REF!</v>
      </c>
      <c r="V548" s="371" t="e">
        <f t="shared" si="521"/>
        <v>#REF!</v>
      </c>
      <c r="W548" s="371" t="e">
        <f t="shared" si="521"/>
        <v>#REF!</v>
      </c>
      <c r="X548" s="371" t="e">
        <f t="shared" si="521"/>
        <v>#REF!</v>
      </c>
      <c r="Y548" s="371" t="e">
        <f t="shared" si="521"/>
        <v>#REF!</v>
      </c>
      <c r="Z548" s="371" t="e">
        <f t="shared" si="521"/>
        <v>#REF!</v>
      </c>
      <c r="AA548" s="371" t="e">
        <f t="shared" si="521"/>
        <v>#REF!</v>
      </c>
      <c r="AB548" s="50"/>
    </row>
    <row r="549" outlineLevel="2" spans="1:28">
      <c r="A549" s="52">
        <f>MAX($A$6:A548)+1</f>
        <v>456</v>
      </c>
      <c r="B549" s="51" t="s">
        <v>425</v>
      </c>
      <c r="C549" s="51" t="e">
        <f>VLOOKUP($B549,#REF!,MATCH(C$2,#REF!,0),0)</f>
        <v>#REF!</v>
      </c>
      <c r="D549" s="136"/>
      <c r="E549" s="136"/>
      <c r="F549" s="136" t="e">
        <f>VLOOKUP($B549,#REF!,MATCH(F$2,#REF!,0),0)</f>
        <v>#REF!</v>
      </c>
      <c r="G549" s="137" t="e">
        <f>VLOOKUP($B549,#REF!,MATCH(G$2,#REF!,0),0)</f>
        <v>#REF!</v>
      </c>
      <c r="H549" s="48"/>
      <c r="I549" s="48"/>
      <c r="J549" s="48"/>
      <c r="K549" s="48"/>
      <c r="L549" s="48"/>
      <c r="M549" s="48">
        <v>1</v>
      </c>
      <c r="N549" s="48">
        <v>1</v>
      </c>
      <c r="O549" s="48">
        <v>1</v>
      </c>
      <c r="P549" s="48"/>
      <c r="Q549" s="48"/>
      <c r="R549" s="371" t="e">
        <f t="shared" ref="R549:AA549" si="522">$G549*H549</f>
        <v>#REF!</v>
      </c>
      <c r="S549" s="371" t="e">
        <f t="shared" si="522"/>
        <v>#REF!</v>
      </c>
      <c r="T549" s="371" t="e">
        <f t="shared" si="522"/>
        <v>#REF!</v>
      </c>
      <c r="U549" s="371" t="e">
        <f t="shared" si="522"/>
        <v>#REF!</v>
      </c>
      <c r="V549" s="371" t="e">
        <f t="shared" si="522"/>
        <v>#REF!</v>
      </c>
      <c r="W549" s="371" t="e">
        <f t="shared" si="522"/>
        <v>#REF!</v>
      </c>
      <c r="X549" s="371" t="e">
        <f t="shared" si="522"/>
        <v>#REF!</v>
      </c>
      <c r="Y549" s="371" t="e">
        <f t="shared" si="522"/>
        <v>#REF!</v>
      </c>
      <c r="Z549" s="371" t="e">
        <f t="shared" si="522"/>
        <v>#REF!</v>
      </c>
      <c r="AA549" s="371" t="e">
        <f t="shared" si="522"/>
        <v>#REF!</v>
      </c>
      <c r="AB549" s="50"/>
    </row>
    <row r="550" s="122" customFormat="1" outlineLevel="2" spans="1:28">
      <c r="A550" s="130"/>
      <c r="B550" s="154" t="s">
        <v>593</v>
      </c>
      <c r="C550" s="154"/>
      <c r="D550" s="154"/>
      <c r="E550" s="154"/>
      <c r="F550" s="130"/>
      <c r="G550" s="134"/>
      <c r="H550" s="134"/>
      <c r="I550" s="134"/>
      <c r="J550" s="134"/>
      <c r="K550" s="134"/>
      <c r="L550" s="134"/>
      <c r="M550" s="134"/>
      <c r="N550" s="134"/>
      <c r="O550" s="134"/>
      <c r="P550" s="134"/>
      <c r="Q550" s="134"/>
      <c r="R550" s="367"/>
      <c r="S550" s="367"/>
      <c r="T550" s="367"/>
      <c r="U550" s="367"/>
      <c r="V550" s="371"/>
      <c r="W550" s="367"/>
      <c r="X550" s="367"/>
      <c r="Y550" s="367"/>
      <c r="Z550" s="367"/>
      <c r="AA550" s="367"/>
      <c r="AB550" s="130"/>
    </row>
    <row r="551" ht="28.8" outlineLevel="2" spans="1:28">
      <c r="A551" s="52">
        <f>MAX($A$6:A550)+1</f>
        <v>457</v>
      </c>
      <c r="B551" s="51" t="s">
        <v>597</v>
      </c>
      <c r="C551" s="51" t="e">
        <f>VLOOKUP($B551,#REF!,MATCH(C$2,#REF!,0),0)</f>
        <v>#REF!</v>
      </c>
      <c r="D551" s="136"/>
      <c r="E551" s="136"/>
      <c r="F551" s="136" t="e">
        <f>VLOOKUP($B551,#REF!,MATCH(F$2,#REF!,0),0)</f>
        <v>#REF!</v>
      </c>
      <c r="G551" s="137" t="e">
        <f>VLOOKUP($B551,#REF!,MATCH(G$2,#REF!,0),0)</f>
        <v>#REF!</v>
      </c>
      <c r="H551" s="48"/>
      <c r="I551" s="48"/>
      <c r="J551" s="48"/>
      <c r="K551" s="48"/>
      <c r="L551" s="48"/>
      <c r="M551" s="48">
        <v>1</v>
      </c>
      <c r="N551" s="48">
        <v>1</v>
      </c>
      <c r="O551" s="48">
        <v>1</v>
      </c>
      <c r="P551" s="48"/>
      <c r="Q551" s="48"/>
      <c r="R551" s="371" t="e">
        <f>$G551*H551</f>
        <v>#REF!</v>
      </c>
      <c r="S551" s="371" t="e">
        <f t="shared" ref="S551:AA551" si="523">$G551*I551</f>
        <v>#REF!</v>
      </c>
      <c r="T551" s="371" t="e">
        <f t="shared" si="523"/>
        <v>#REF!</v>
      </c>
      <c r="U551" s="371" t="e">
        <f t="shared" si="523"/>
        <v>#REF!</v>
      </c>
      <c r="V551" s="371" t="e">
        <f t="shared" si="523"/>
        <v>#REF!</v>
      </c>
      <c r="W551" s="371" t="e">
        <f t="shared" si="523"/>
        <v>#REF!</v>
      </c>
      <c r="X551" s="371" t="e">
        <f t="shared" si="523"/>
        <v>#REF!</v>
      </c>
      <c r="Y551" s="371" t="e">
        <f t="shared" si="523"/>
        <v>#REF!</v>
      </c>
      <c r="Z551" s="371" t="e">
        <f t="shared" si="523"/>
        <v>#REF!</v>
      </c>
      <c r="AA551" s="371" t="e">
        <f t="shared" si="523"/>
        <v>#REF!</v>
      </c>
      <c r="AB551" s="50"/>
    </row>
    <row r="552" outlineLevel="2" spans="1:28">
      <c r="A552" s="52">
        <f>MAX($A$6:A551)+1</f>
        <v>458</v>
      </c>
      <c r="B552" s="51" t="s">
        <v>576</v>
      </c>
      <c r="C552" s="51" t="e">
        <f>VLOOKUP($B552,#REF!,MATCH(C$2,#REF!,0),0)</f>
        <v>#REF!</v>
      </c>
      <c r="D552" s="136"/>
      <c r="E552" s="136"/>
      <c r="F552" s="136" t="e">
        <f>VLOOKUP($B552,#REF!,MATCH(F$2,#REF!,0),0)</f>
        <v>#REF!</v>
      </c>
      <c r="G552" s="137" t="e">
        <f>VLOOKUP($B552,#REF!,MATCH(G$2,#REF!,0),0)</f>
        <v>#REF!</v>
      </c>
      <c r="H552" s="48"/>
      <c r="I552" s="48"/>
      <c r="J552" s="48"/>
      <c r="K552" s="48"/>
      <c r="L552" s="48"/>
      <c r="M552" s="48">
        <v>1</v>
      </c>
      <c r="N552" s="48">
        <v>1</v>
      </c>
      <c r="O552" s="48">
        <v>1</v>
      </c>
      <c r="P552" s="48"/>
      <c r="Q552" s="48"/>
      <c r="R552" s="371" t="e">
        <f t="shared" ref="R552:R557" si="524">$G552*H552</f>
        <v>#REF!</v>
      </c>
      <c r="S552" s="371" t="e">
        <f t="shared" ref="S552:S557" si="525">$G552*I552</f>
        <v>#REF!</v>
      </c>
      <c r="T552" s="371" t="e">
        <f t="shared" ref="T552:T557" si="526">$G552*J552</f>
        <v>#REF!</v>
      </c>
      <c r="U552" s="371" t="e">
        <f t="shared" ref="U552:U557" si="527">$G552*K552</f>
        <v>#REF!</v>
      </c>
      <c r="V552" s="371" t="e">
        <f t="shared" ref="V552:V557" si="528">$G552*L552</f>
        <v>#REF!</v>
      </c>
      <c r="W552" s="371" t="e">
        <f t="shared" ref="W552:W557" si="529">$G552*M552</f>
        <v>#REF!</v>
      </c>
      <c r="X552" s="371" t="e">
        <f t="shared" ref="X552:X557" si="530">$G552*N552</f>
        <v>#REF!</v>
      </c>
      <c r="Y552" s="371" t="e">
        <f t="shared" ref="Y552:Y557" si="531">$G552*O552</f>
        <v>#REF!</v>
      </c>
      <c r="Z552" s="371" t="e">
        <f t="shared" ref="Z552:Z557" si="532">$G552*P552</f>
        <v>#REF!</v>
      </c>
      <c r="AA552" s="371" t="e">
        <f t="shared" ref="AA552:AA557" si="533">$G552*Q552</f>
        <v>#REF!</v>
      </c>
      <c r="AB552" s="50"/>
    </row>
    <row r="553" ht="28.8" outlineLevel="2" spans="1:28">
      <c r="A553" s="52">
        <f>MAX($A$6:A552)+1</f>
        <v>459</v>
      </c>
      <c r="B553" s="51" t="s">
        <v>586</v>
      </c>
      <c r="C553" s="51" t="e">
        <f>VLOOKUP($B553,#REF!,MATCH(C$2,#REF!,0),0)</f>
        <v>#REF!</v>
      </c>
      <c r="D553" s="136"/>
      <c r="E553" s="136"/>
      <c r="F553" s="136" t="e">
        <f>VLOOKUP($B553,#REF!,MATCH(F$2,#REF!,0),0)</f>
        <v>#REF!</v>
      </c>
      <c r="G553" s="137" t="e">
        <f>VLOOKUP($B553,#REF!,MATCH(G$2,#REF!,0),0)</f>
        <v>#REF!</v>
      </c>
      <c r="H553" s="48"/>
      <c r="I553" s="48"/>
      <c r="J553" s="48"/>
      <c r="K553" s="48"/>
      <c r="L553" s="48"/>
      <c r="M553" s="48">
        <v>1</v>
      </c>
      <c r="N553" s="48">
        <v>1</v>
      </c>
      <c r="O553" s="48">
        <v>1</v>
      </c>
      <c r="P553" s="48"/>
      <c r="Q553" s="48"/>
      <c r="R553" s="371" t="e">
        <f t="shared" si="524"/>
        <v>#REF!</v>
      </c>
      <c r="S553" s="371" t="e">
        <f t="shared" si="525"/>
        <v>#REF!</v>
      </c>
      <c r="T553" s="371" t="e">
        <f t="shared" si="526"/>
        <v>#REF!</v>
      </c>
      <c r="U553" s="371" t="e">
        <f t="shared" si="527"/>
        <v>#REF!</v>
      </c>
      <c r="V553" s="371" t="e">
        <f t="shared" si="528"/>
        <v>#REF!</v>
      </c>
      <c r="W553" s="371" t="e">
        <f t="shared" si="529"/>
        <v>#REF!</v>
      </c>
      <c r="X553" s="371" t="e">
        <f t="shared" si="530"/>
        <v>#REF!</v>
      </c>
      <c r="Y553" s="371" t="e">
        <f t="shared" si="531"/>
        <v>#REF!</v>
      </c>
      <c r="Z553" s="371" t="e">
        <f t="shared" si="532"/>
        <v>#REF!</v>
      </c>
      <c r="AA553" s="371" t="e">
        <f t="shared" si="533"/>
        <v>#REF!</v>
      </c>
      <c r="AB553" s="50"/>
    </row>
    <row r="554" ht="28.8" outlineLevel="2" spans="1:28">
      <c r="A554" s="52">
        <f>MAX($A$6:A553)+1</f>
        <v>460</v>
      </c>
      <c r="B554" s="51" t="s">
        <v>587</v>
      </c>
      <c r="C554" s="51" t="e">
        <f>VLOOKUP($B554,#REF!,MATCH(C$2,#REF!,0),0)</f>
        <v>#REF!</v>
      </c>
      <c r="D554" s="136"/>
      <c r="E554" s="136"/>
      <c r="F554" s="136" t="e">
        <f>VLOOKUP($B554,#REF!,MATCH(F$2,#REF!,0),0)</f>
        <v>#REF!</v>
      </c>
      <c r="G554" s="137" t="e">
        <f>VLOOKUP($B554,#REF!,MATCH(G$2,#REF!,0),0)</f>
        <v>#REF!</v>
      </c>
      <c r="H554" s="48"/>
      <c r="I554" s="48"/>
      <c r="J554" s="48"/>
      <c r="K554" s="48"/>
      <c r="L554" s="48"/>
      <c r="M554" s="48">
        <v>1</v>
      </c>
      <c r="N554" s="48">
        <v>1</v>
      </c>
      <c r="O554" s="48">
        <v>1</v>
      </c>
      <c r="P554" s="48"/>
      <c r="Q554" s="48"/>
      <c r="R554" s="371" t="e">
        <f t="shared" si="524"/>
        <v>#REF!</v>
      </c>
      <c r="S554" s="371" t="e">
        <f t="shared" si="525"/>
        <v>#REF!</v>
      </c>
      <c r="T554" s="371" t="e">
        <f t="shared" si="526"/>
        <v>#REF!</v>
      </c>
      <c r="U554" s="371" t="e">
        <f t="shared" si="527"/>
        <v>#REF!</v>
      </c>
      <c r="V554" s="371" t="e">
        <f t="shared" si="528"/>
        <v>#REF!</v>
      </c>
      <c r="W554" s="371" t="e">
        <f t="shared" si="529"/>
        <v>#REF!</v>
      </c>
      <c r="X554" s="371" t="e">
        <f t="shared" si="530"/>
        <v>#REF!</v>
      </c>
      <c r="Y554" s="371" t="e">
        <f t="shared" si="531"/>
        <v>#REF!</v>
      </c>
      <c r="Z554" s="371" t="e">
        <f t="shared" si="532"/>
        <v>#REF!</v>
      </c>
      <c r="AA554" s="371" t="e">
        <f t="shared" si="533"/>
        <v>#REF!</v>
      </c>
      <c r="AB554" s="50"/>
    </row>
    <row r="555" outlineLevel="2" spans="1:28">
      <c r="A555" s="52">
        <f>MAX($A$6:A554)+1</f>
        <v>461</v>
      </c>
      <c r="B555" s="51" t="s">
        <v>424</v>
      </c>
      <c r="C555" s="51" t="e">
        <f>VLOOKUP($B555,#REF!,MATCH(C$2,#REF!,0),0)</f>
        <v>#REF!</v>
      </c>
      <c r="D555" s="136"/>
      <c r="E555" s="136"/>
      <c r="F555" s="136" t="e">
        <f>VLOOKUP($B555,#REF!,MATCH(F$2,#REF!,0),0)</f>
        <v>#REF!</v>
      </c>
      <c r="G555" s="137" t="e">
        <f>VLOOKUP($B555,#REF!,MATCH(G$2,#REF!,0),0)</f>
        <v>#REF!</v>
      </c>
      <c r="H555" s="48"/>
      <c r="I555" s="48"/>
      <c r="J555" s="48"/>
      <c r="K555" s="48"/>
      <c r="L555" s="48"/>
      <c r="M555" s="48">
        <v>1</v>
      </c>
      <c r="N555" s="48">
        <v>1</v>
      </c>
      <c r="O555" s="48">
        <v>1</v>
      </c>
      <c r="P555" s="48"/>
      <c r="Q555" s="48"/>
      <c r="R555" s="371" t="e">
        <f t="shared" si="524"/>
        <v>#REF!</v>
      </c>
      <c r="S555" s="371" t="e">
        <f t="shared" si="525"/>
        <v>#REF!</v>
      </c>
      <c r="T555" s="371" t="e">
        <f t="shared" si="526"/>
        <v>#REF!</v>
      </c>
      <c r="U555" s="371" t="e">
        <f t="shared" si="527"/>
        <v>#REF!</v>
      </c>
      <c r="V555" s="371" t="e">
        <f t="shared" si="528"/>
        <v>#REF!</v>
      </c>
      <c r="W555" s="371" t="e">
        <f t="shared" si="529"/>
        <v>#REF!</v>
      </c>
      <c r="X555" s="371" t="e">
        <f t="shared" si="530"/>
        <v>#REF!</v>
      </c>
      <c r="Y555" s="371" t="e">
        <f t="shared" si="531"/>
        <v>#REF!</v>
      </c>
      <c r="Z555" s="371" t="e">
        <f t="shared" si="532"/>
        <v>#REF!</v>
      </c>
      <c r="AA555" s="371" t="e">
        <f t="shared" si="533"/>
        <v>#REF!</v>
      </c>
      <c r="AB555" s="50"/>
    </row>
    <row r="556" ht="28.8" outlineLevel="2" spans="1:28">
      <c r="A556" s="52">
        <f>MAX($A$6:A555)+1</f>
        <v>462</v>
      </c>
      <c r="B556" s="51" t="s">
        <v>588</v>
      </c>
      <c r="C556" s="51" t="e">
        <f>VLOOKUP($B556,#REF!,MATCH(C$2,#REF!,0),0)</f>
        <v>#REF!</v>
      </c>
      <c r="D556" s="136"/>
      <c r="E556" s="136"/>
      <c r="F556" s="136" t="e">
        <f>VLOOKUP($B556,#REF!,MATCH(F$2,#REF!,0),0)</f>
        <v>#REF!</v>
      </c>
      <c r="G556" s="137" t="e">
        <f>VLOOKUP($B556,#REF!,MATCH(G$2,#REF!,0),0)</f>
        <v>#REF!</v>
      </c>
      <c r="H556" s="48"/>
      <c r="I556" s="48"/>
      <c r="J556" s="48"/>
      <c r="K556" s="48"/>
      <c r="L556" s="48"/>
      <c r="M556" s="48">
        <v>1</v>
      </c>
      <c r="N556" s="48">
        <v>1</v>
      </c>
      <c r="O556" s="48">
        <v>1</v>
      </c>
      <c r="P556" s="48"/>
      <c r="Q556" s="48"/>
      <c r="R556" s="371" t="e">
        <f t="shared" si="524"/>
        <v>#REF!</v>
      </c>
      <c r="S556" s="371" t="e">
        <f t="shared" si="525"/>
        <v>#REF!</v>
      </c>
      <c r="T556" s="371" t="e">
        <f t="shared" si="526"/>
        <v>#REF!</v>
      </c>
      <c r="U556" s="371" t="e">
        <f t="shared" si="527"/>
        <v>#REF!</v>
      </c>
      <c r="V556" s="371" t="e">
        <f t="shared" si="528"/>
        <v>#REF!</v>
      </c>
      <c r="W556" s="371" t="e">
        <f t="shared" si="529"/>
        <v>#REF!</v>
      </c>
      <c r="X556" s="371" t="e">
        <f t="shared" si="530"/>
        <v>#REF!</v>
      </c>
      <c r="Y556" s="371" t="e">
        <f t="shared" si="531"/>
        <v>#REF!</v>
      </c>
      <c r="Z556" s="371" t="e">
        <f t="shared" si="532"/>
        <v>#REF!</v>
      </c>
      <c r="AA556" s="371" t="e">
        <f t="shared" si="533"/>
        <v>#REF!</v>
      </c>
      <c r="AB556" s="50"/>
    </row>
    <row r="557" outlineLevel="2" spans="1:28">
      <c r="A557" s="52">
        <f>MAX($A$6:A556)+1</f>
        <v>463</v>
      </c>
      <c r="B557" s="51" t="s">
        <v>425</v>
      </c>
      <c r="C557" s="51" t="e">
        <f>VLOOKUP($B557,#REF!,MATCH(C$2,#REF!,0),0)</f>
        <v>#REF!</v>
      </c>
      <c r="D557" s="136"/>
      <c r="E557" s="136"/>
      <c r="F557" s="136" t="e">
        <f>VLOOKUP($B557,#REF!,MATCH(F$2,#REF!,0),0)</f>
        <v>#REF!</v>
      </c>
      <c r="G557" s="137" t="e">
        <f>VLOOKUP($B557,#REF!,MATCH(G$2,#REF!,0),0)</f>
        <v>#REF!</v>
      </c>
      <c r="H557" s="48"/>
      <c r="I557" s="48"/>
      <c r="J557" s="48"/>
      <c r="K557" s="48"/>
      <c r="L557" s="48"/>
      <c r="M557" s="48">
        <v>1</v>
      </c>
      <c r="N557" s="48">
        <v>1</v>
      </c>
      <c r="O557" s="48">
        <v>1</v>
      </c>
      <c r="P557" s="48"/>
      <c r="Q557" s="48"/>
      <c r="R557" s="371" t="e">
        <f t="shared" si="524"/>
        <v>#REF!</v>
      </c>
      <c r="S557" s="371" t="e">
        <f t="shared" si="525"/>
        <v>#REF!</v>
      </c>
      <c r="T557" s="371" t="e">
        <f t="shared" si="526"/>
        <v>#REF!</v>
      </c>
      <c r="U557" s="371" t="e">
        <f t="shared" si="527"/>
        <v>#REF!</v>
      </c>
      <c r="V557" s="371" t="e">
        <f t="shared" si="528"/>
        <v>#REF!</v>
      </c>
      <c r="W557" s="371" t="e">
        <f t="shared" si="529"/>
        <v>#REF!</v>
      </c>
      <c r="X557" s="371" t="e">
        <f t="shared" si="530"/>
        <v>#REF!</v>
      </c>
      <c r="Y557" s="371" t="e">
        <f t="shared" si="531"/>
        <v>#REF!</v>
      </c>
      <c r="Z557" s="371" t="e">
        <f t="shared" si="532"/>
        <v>#REF!</v>
      </c>
      <c r="AA557" s="371" t="e">
        <f t="shared" si="533"/>
        <v>#REF!</v>
      </c>
      <c r="AB557" s="50"/>
    </row>
    <row r="558" s="122" customFormat="1" outlineLevel="2" spans="1:28">
      <c r="A558" s="130"/>
      <c r="B558" s="154" t="s">
        <v>598</v>
      </c>
      <c r="C558" s="154"/>
      <c r="D558" s="154"/>
      <c r="E558" s="154"/>
      <c r="F558" s="130"/>
      <c r="G558" s="134"/>
      <c r="H558" s="134"/>
      <c r="I558" s="134"/>
      <c r="J558" s="134"/>
      <c r="K558" s="134"/>
      <c r="L558" s="134"/>
      <c r="M558" s="134"/>
      <c r="N558" s="134"/>
      <c r="O558" s="134"/>
      <c r="P558" s="134"/>
      <c r="Q558" s="134"/>
      <c r="R558" s="367"/>
      <c r="S558" s="367"/>
      <c r="T558" s="367"/>
      <c r="U558" s="367"/>
      <c r="V558" s="371"/>
      <c r="W558" s="367"/>
      <c r="X558" s="367"/>
      <c r="Y558" s="367"/>
      <c r="Z558" s="367"/>
      <c r="AA558" s="367"/>
      <c r="AB558" s="130"/>
    </row>
    <row r="559" ht="28.8" outlineLevel="2" spans="1:28">
      <c r="A559" s="52">
        <f>MAX($A$6:A558)+1</f>
        <v>464</v>
      </c>
      <c r="B559" s="51" t="s">
        <v>599</v>
      </c>
      <c r="C559" s="51" t="e">
        <f>VLOOKUP($B559,#REF!,MATCH(C$2,#REF!,0),0)</f>
        <v>#REF!</v>
      </c>
      <c r="D559" s="136"/>
      <c r="E559" s="136"/>
      <c r="F559" s="136" t="e">
        <f>VLOOKUP($B559,#REF!,MATCH(F$2,#REF!,0),0)</f>
        <v>#REF!</v>
      </c>
      <c r="G559" s="137" t="e">
        <f>VLOOKUP($B559,#REF!,MATCH(G$2,#REF!,0),0)</f>
        <v>#REF!</v>
      </c>
      <c r="H559" s="48">
        <v>1</v>
      </c>
      <c r="I559" s="48">
        <v>1</v>
      </c>
      <c r="J559" s="48">
        <v>1</v>
      </c>
      <c r="K559" s="48">
        <v>1</v>
      </c>
      <c r="L559" s="48"/>
      <c r="M559" s="48"/>
      <c r="N559" s="48"/>
      <c r="O559" s="48"/>
      <c r="P559" s="48"/>
      <c r="Q559" s="48"/>
      <c r="R559" s="371" t="e">
        <f>$G559*H559</f>
        <v>#REF!</v>
      </c>
      <c r="S559" s="371" t="e">
        <f t="shared" ref="S559:AA559" si="534">$G559*I559</f>
        <v>#REF!</v>
      </c>
      <c r="T559" s="371" t="e">
        <f t="shared" si="534"/>
        <v>#REF!</v>
      </c>
      <c r="U559" s="371" t="e">
        <f t="shared" si="534"/>
        <v>#REF!</v>
      </c>
      <c r="V559" s="371" t="e">
        <f t="shared" si="534"/>
        <v>#REF!</v>
      </c>
      <c r="W559" s="371" t="e">
        <f t="shared" si="534"/>
        <v>#REF!</v>
      </c>
      <c r="X559" s="371" t="e">
        <f t="shared" si="534"/>
        <v>#REF!</v>
      </c>
      <c r="Y559" s="371" t="e">
        <f t="shared" si="534"/>
        <v>#REF!</v>
      </c>
      <c r="Z559" s="371" t="e">
        <f t="shared" si="534"/>
        <v>#REF!</v>
      </c>
      <c r="AA559" s="371" t="e">
        <f t="shared" si="534"/>
        <v>#REF!</v>
      </c>
      <c r="AB559" s="50"/>
    </row>
    <row r="560" ht="28.8" outlineLevel="2" spans="1:28">
      <c r="A560" s="52">
        <f>MAX($A$6:A559)+1</f>
        <v>465</v>
      </c>
      <c r="B560" s="51" t="s">
        <v>437</v>
      </c>
      <c r="C560" s="51" t="e">
        <f>VLOOKUP($B560,#REF!,MATCH(C$2,#REF!,0),0)</f>
        <v>#REF!</v>
      </c>
      <c r="D560" s="136"/>
      <c r="E560" s="136"/>
      <c r="F560" s="136" t="e">
        <f>VLOOKUP($B560,#REF!,MATCH(F$2,#REF!,0),0)</f>
        <v>#REF!</v>
      </c>
      <c r="G560" s="137" t="e">
        <f>VLOOKUP($B560,#REF!,MATCH(G$2,#REF!,0),0)</f>
        <v>#REF!</v>
      </c>
      <c r="H560" s="48">
        <v>1</v>
      </c>
      <c r="I560" s="48">
        <v>1</v>
      </c>
      <c r="J560" s="48">
        <v>1</v>
      </c>
      <c r="K560" s="48">
        <v>1</v>
      </c>
      <c r="L560" s="48"/>
      <c r="M560" s="48"/>
      <c r="N560" s="48"/>
      <c r="O560" s="48"/>
      <c r="P560" s="48"/>
      <c r="Q560" s="48"/>
      <c r="R560" s="371" t="e">
        <f t="shared" ref="R560:R565" si="535">$G560*H560</f>
        <v>#REF!</v>
      </c>
      <c r="S560" s="371" t="e">
        <f t="shared" ref="S560:S565" si="536">$G560*I560</f>
        <v>#REF!</v>
      </c>
      <c r="T560" s="371" t="e">
        <f t="shared" ref="T560:T565" si="537">$G560*J560</f>
        <v>#REF!</v>
      </c>
      <c r="U560" s="371" t="e">
        <f t="shared" ref="U560:U565" si="538">$G560*K560</f>
        <v>#REF!</v>
      </c>
      <c r="V560" s="371" t="e">
        <f t="shared" ref="V560:V565" si="539">$G560*L560</f>
        <v>#REF!</v>
      </c>
      <c r="W560" s="371" t="e">
        <f t="shared" ref="W560:W565" si="540">$G560*M560</f>
        <v>#REF!</v>
      </c>
      <c r="X560" s="371" t="e">
        <f t="shared" ref="X560:X565" si="541">$G560*N560</f>
        <v>#REF!</v>
      </c>
      <c r="Y560" s="371" t="e">
        <f t="shared" ref="Y560:Y565" si="542">$G560*O560</f>
        <v>#REF!</v>
      </c>
      <c r="Z560" s="371" t="e">
        <f t="shared" ref="Z560:Z565" si="543">$G560*P560</f>
        <v>#REF!</v>
      </c>
      <c r="AA560" s="371" t="e">
        <f t="shared" ref="AA560:AA565" si="544">$G560*Q560</f>
        <v>#REF!</v>
      </c>
      <c r="AB560" s="50"/>
    </row>
    <row r="561" ht="28.8" outlineLevel="2" spans="1:28">
      <c r="A561" s="52">
        <f>MAX($A$6:A560)+1</f>
        <v>466</v>
      </c>
      <c r="B561" s="51" t="s">
        <v>599</v>
      </c>
      <c r="C561" s="51" t="e">
        <f>VLOOKUP($B561,#REF!,MATCH(C$2,#REF!,0),0)</f>
        <v>#REF!</v>
      </c>
      <c r="D561" s="136"/>
      <c r="E561" s="136"/>
      <c r="F561" s="136" t="e">
        <f>VLOOKUP($B561,#REF!,MATCH(F$2,#REF!,0),0)</f>
        <v>#REF!</v>
      </c>
      <c r="G561" s="137" t="e">
        <f>VLOOKUP($B561,#REF!,MATCH(G$2,#REF!,0),0)</f>
        <v>#REF!</v>
      </c>
      <c r="H561" s="48">
        <v>1</v>
      </c>
      <c r="I561" s="48">
        <v>1</v>
      </c>
      <c r="J561" s="48">
        <v>1</v>
      </c>
      <c r="K561" s="48">
        <v>1</v>
      </c>
      <c r="L561" s="48"/>
      <c r="M561" s="48"/>
      <c r="N561" s="48"/>
      <c r="O561" s="48"/>
      <c r="P561" s="48"/>
      <c r="Q561" s="48"/>
      <c r="R561" s="371" t="e">
        <f t="shared" si="535"/>
        <v>#REF!</v>
      </c>
      <c r="S561" s="371" t="e">
        <f t="shared" si="536"/>
        <v>#REF!</v>
      </c>
      <c r="T561" s="371" t="e">
        <f t="shared" si="537"/>
        <v>#REF!</v>
      </c>
      <c r="U561" s="371" t="e">
        <f t="shared" si="538"/>
        <v>#REF!</v>
      </c>
      <c r="V561" s="371" t="e">
        <f t="shared" si="539"/>
        <v>#REF!</v>
      </c>
      <c r="W561" s="371" t="e">
        <f t="shared" si="540"/>
        <v>#REF!</v>
      </c>
      <c r="X561" s="371" t="e">
        <f t="shared" si="541"/>
        <v>#REF!</v>
      </c>
      <c r="Y561" s="371" t="e">
        <f t="shared" si="542"/>
        <v>#REF!</v>
      </c>
      <c r="Z561" s="371" t="e">
        <f t="shared" si="543"/>
        <v>#REF!</v>
      </c>
      <c r="AA561" s="371" t="e">
        <f t="shared" si="544"/>
        <v>#REF!</v>
      </c>
      <c r="AB561" s="50"/>
    </row>
    <row r="562" ht="28.8" outlineLevel="2" spans="1:28">
      <c r="A562" s="52">
        <f>MAX($A$6:A561)+1</f>
        <v>467</v>
      </c>
      <c r="B562" s="51" t="s">
        <v>600</v>
      </c>
      <c r="C562" s="51" t="e">
        <f>VLOOKUP($B562,#REF!,MATCH(C$2,#REF!,0),0)</f>
        <v>#REF!</v>
      </c>
      <c r="D562" s="136"/>
      <c r="E562" s="136"/>
      <c r="F562" s="136" t="e">
        <f>VLOOKUP($B562,#REF!,MATCH(F$2,#REF!,0),0)</f>
        <v>#REF!</v>
      </c>
      <c r="G562" s="137" t="e">
        <f>VLOOKUP($B562,#REF!,MATCH(G$2,#REF!,0),0)</f>
        <v>#REF!</v>
      </c>
      <c r="H562" s="48">
        <v>7558.01</v>
      </c>
      <c r="I562" s="48"/>
      <c r="J562" s="48"/>
      <c r="K562" s="48"/>
      <c r="L562" s="48"/>
      <c r="M562" s="48"/>
      <c r="N562" s="48"/>
      <c r="O562" s="48"/>
      <c r="P562" s="48"/>
      <c r="Q562" s="48"/>
      <c r="R562" s="371" t="e">
        <f t="shared" si="535"/>
        <v>#REF!</v>
      </c>
      <c r="S562" s="371" t="e">
        <f t="shared" si="536"/>
        <v>#REF!</v>
      </c>
      <c r="T562" s="371" t="e">
        <f t="shared" si="537"/>
        <v>#REF!</v>
      </c>
      <c r="U562" s="371" t="e">
        <f t="shared" si="538"/>
        <v>#REF!</v>
      </c>
      <c r="V562" s="371" t="e">
        <f t="shared" si="539"/>
        <v>#REF!</v>
      </c>
      <c r="W562" s="371" t="e">
        <f t="shared" si="540"/>
        <v>#REF!</v>
      </c>
      <c r="X562" s="371" t="e">
        <f t="shared" si="541"/>
        <v>#REF!</v>
      </c>
      <c r="Y562" s="371" t="e">
        <f t="shared" si="542"/>
        <v>#REF!</v>
      </c>
      <c r="Z562" s="371" t="e">
        <f t="shared" si="543"/>
        <v>#REF!</v>
      </c>
      <c r="AA562" s="371" t="e">
        <f t="shared" si="544"/>
        <v>#REF!</v>
      </c>
      <c r="AB562" s="50"/>
    </row>
    <row r="563" ht="28.8" outlineLevel="2" spans="1:28">
      <c r="A563" s="52">
        <f>MAX($A$6:A562)+1</f>
        <v>468</v>
      </c>
      <c r="B563" s="51" t="s">
        <v>601</v>
      </c>
      <c r="C563" s="51" t="e">
        <f>VLOOKUP($B563,#REF!,MATCH(C$2,#REF!,0),0)</f>
        <v>#REF!</v>
      </c>
      <c r="D563" s="136"/>
      <c r="E563" s="136"/>
      <c r="F563" s="136" t="e">
        <f>VLOOKUP($B563,#REF!,MATCH(F$2,#REF!,0),0)</f>
        <v>#REF!</v>
      </c>
      <c r="G563" s="137" t="e">
        <f>VLOOKUP($B563,#REF!,MATCH(G$2,#REF!,0),0)</f>
        <v>#REF!</v>
      </c>
      <c r="H563" s="48">
        <v>1</v>
      </c>
      <c r="I563" s="48"/>
      <c r="J563" s="48"/>
      <c r="K563" s="48"/>
      <c r="L563" s="48"/>
      <c r="M563" s="48"/>
      <c r="N563" s="48"/>
      <c r="O563" s="48"/>
      <c r="P563" s="48"/>
      <c r="Q563" s="48"/>
      <c r="R563" s="371" t="e">
        <f t="shared" si="535"/>
        <v>#REF!</v>
      </c>
      <c r="S563" s="371" t="e">
        <f t="shared" si="536"/>
        <v>#REF!</v>
      </c>
      <c r="T563" s="371" t="e">
        <f t="shared" si="537"/>
        <v>#REF!</v>
      </c>
      <c r="U563" s="371" t="e">
        <f t="shared" si="538"/>
        <v>#REF!</v>
      </c>
      <c r="V563" s="371" t="e">
        <f t="shared" si="539"/>
        <v>#REF!</v>
      </c>
      <c r="W563" s="371" t="e">
        <f t="shared" si="540"/>
        <v>#REF!</v>
      </c>
      <c r="X563" s="371" t="e">
        <f t="shared" si="541"/>
        <v>#REF!</v>
      </c>
      <c r="Y563" s="371" t="e">
        <f t="shared" si="542"/>
        <v>#REF!</v>
      </c>
      <c r="Z563" s="371" t="e">
        <f t="shared" si="543"/>
        <v>#REF!</v>
      </c>
      <c r="AA563" s="371" t="e">
        <f t="shared" si="544"/>
        <v>#REF!</v>
      </c>
      <c r="AB563" s="50"/>
    </row>
    <row r="564" ht="28.8" outlineLevel="2" spans="1:28">
      <c r="A564" s="52">
        <f>MAX($A$6:A563)+1</f>
        <v>469</v>
      </c>
      <c r="B564" s="51" t="s">
        <v>602</v>
      </c>
      <c r="C564" s="51" t="e">
        <f>VLOOKUP($B564,#REF!,MATCH(C$2,#REF!,0),0)</f>
        <v>#REF!</v>
      </c>
      <c r="D564" s="136"/>
      <c r="E564" s="136"/>
      <c r="F564" s="136" t="e">
        <f>VLOOKUP($B564,#REF!,MATCH(F$2,#REF!,0),0)</f>
        <v>#REF!</v>
      </c>
      <c r="G564" s="137" t="e">
        <f>VLOOKUP($B564,#REF!,MATCH(G$2,#REF!,0),0)</f>
        <v>#REF!</v>
      </c>
      <c r="H564" s="48">
        <v>1</v>
      </c>
      <c r="I564" s="48"/>
      <c r="J564" s="48"/>
      <c r="K564" s="48"/>
      <c r="L564" s="48"/>
      <c r="M564" s="48"/>
      <c r="N564" s="48"/>
      <c r="O564" s="48"/>
      <c r="P564" s="48"/>
      <c r="Q564" s="48"/>
      <c r="R564" s="371" t="e">
        <f t="shared" si="535"/>
        <v>#REF!</v>
      </c>
      <c r="S564" s="371" t="e">
        <f t="shared" si="536"/>
        <v>#REF!</v>
      </c>
      <c r="T564" s="371" t="e">
        <f t="shared" si="537"/>
        <v>#REF!</v>
      </c>
      <c r="U564" s="371" t="e">
        <f t="shared" si="538"/>
        <v>#REF!</v>
      </c>
      <c r="V564" s="371" t="e">
        <f t="shared" si="539"/>
        <v>#REF!</v>
      </c>
      <c r="W564" s="371" t="e">
        <f t="shared" si="540"/>
        <v>#REF!</v>
      </c>
      <c r="X564" s="371" t="e">
        <f t="shared" si="541"/>
        <v>#REF!</v>
      </c>
      <c r="Y564" s="371" t="e">
        <f t="shared" si="542"/>
        <v>#REF!</v>
      </c>
      <c r="Z564" s="371" t="e">
        <f t="shared" si="543"/>
        <v>#REF!</v>
      </c>
      <c r="AA564" s="371" t="e">
        <f t="shared" si="544"/>
        <v>#REF!</v>
      </c>
      <c r="AB564" s="50"/>
    </row>
    <row r="565" ht="28.8" outlineLevel="2" spans="1:28">
      <c r="A565" s="52">
        <f>MAX($A$6:A564)+1</f>
        <v>470</v>
      </c>
      <c r="B565" s="51" t="s">
        <v>603</v>
      </c>
      <c r="C565" s="51" t="e">
        <f>VLOOKUP($B565,#REF!,MATCH(C$2,#REF!,0),0)</f>
        <v>#REF!</v>
      </c>
      <c r="D565" s="136"/>
      <c r="E565" s="136"/>
      <c r="F565" s="136" t="e">
        <f>VLOOKUP($B565,#REF!,MATCH(F$2,#REF!,0),0)</f>
        <v>#REF!</v>
      </c>
      <c r="G565" s="137" t="e">
        <f>VLOOKUP($B565,#REF!,MATCH(G$2,#REF!,0),0)</f>
        <v>#REF!</v>
      </c>
      <c r="H565" s="48">
        <v>1</v>
      </c>
      <c r="I565" s="48"/>
      <c r="J565" s="48"/>
      <c r="K565" s="48"/>
      <c r="L565" s="48"/>
      <c r="M565" s="48"/>
      <c r="N565" s="48"/>
      <c r="O565" s="48"/>
      <c r="P565" s="48"/>
      <c r="Q565" s="48"/>
      <c r="R565" s="371" t="e">
        <f t="shared" si="535"/>
        <v>#REF!</v>
      </c>
      <c r="S565" s="371" t="e">
        <f t="shared" si="536"/>
        <v>#REF!</v>
      </c>
      <c r="T565" s="371" t="e">
        <f t="shared" si="537"/>
        <v>#REF!</v>
      </c>
      <c r="U565" s="371" t="e">
        <f t="shared" si="538"/>
        <v>#REF!</v>
      </c>
      <c r="V565" s="371" t="e">
        <f t="shared" si="539"/>
        <v>#REF!</v>
      </c>
      <c r="W565" s="371" t="e">
        <f t="shared" si="540"/>
        <v>#REF!</v>
      </c>
      <c r="X565" s="371" t="e">
        <f t="shared" si="541"/>
        <v>#REF!</v>
      </c>
      <c r="Y565" s="371" t="e">
        <f t="shared" si="542"/>
        <v>#REF!</v>
      </c>
      <c r="Z565" s="371" t="e">
        <f t="shared" si="543"/>
        <v>#REF!</v>
      </c>
      <c r="AA565" s="371" t="e">
        <f t="shared" si="544"/>
        <v>#REF!</v>
      </c>
      <c r="AB565" s="50"/>
    </row>
    <row r="566" s="122" customFormat="1" outlineLevel="2" spans="1:28">
      <c r="A566" s="130"/>
      <c r="B566" s="154" t="s">
        <v>604</v>
      </c>
      <c r="C566" s="154"/>
      <c r="D566" s="154"/>
      <c r="E566" s="154"/>
      <c r="F566" s="130"/>
      <c r="G566" s="134"/>
      <c r="H566" s="134"/>
      <c r="I566" s="134"/>
      <c r="J566" s="134"/>
      <c r="K566" s="134"/>
      <c r="L566" s="134"/>
      <c r="M566" s="134"/>
      <c r="N566" s="134"/>
      <c r="O566" s="134"/>
      <c r="P566" s="134"/>
      <c r="Q566" s="134"/>
      <c r="R566" s="367"/>
      <c r="S566" s="367"/>
      <c r="T566" s="367"/>
      <c r="U566" s="367"/>
      <c r="V566" s="371"/>
      <c r="W566" s="367"/>
      <c r="X566" s="367"/>
      <c r="Y566" s="367"/>
      <c r="Z566" s="367"/>
      <c r="AA566" s="367"/>
      <c r="AB566" s="130"/>
    </row>
    <row r="567" ht="28.8" outlineLevel="2" spans="1:28">
      <c r="A567" s="52">
        <f>MAX($A$6:A566)+1</f>
        <v>471</v>
      </c>
      <c r="B567" s="51" t="s">
        <v>605</v>
      </c>
      <c r="C567" s="51" t="e">
        <f>VLOOKUP($B567,#REF!,MATCH(C$2,#REF!,0),0)</f>
        <v>#REF!</v>
      </c>
      <c r="D567" s="136"/>
      <c r="E567" s="136"/>
      <c r="F567" s="136" t="e">
        <f>VLOOKUP($B567,#REF!,MATCH(F$2,#REF!,0),0)</f>
        <v>#REF!</v>
      </c>
      <c r="G567" s="137" t="e">
        <f>VLOOKUP($B567,#REF!,MATCH(G$2,#REF!,0),0)</f>
        <v>#REF!</v>
      </c>
      <c r="H567" s="48"/>
      <c r="I567" s="48"/>
      <c r="J567" s="48"/>
      <c r="K567" s="48"/>
      <c r="L567" s="48"/>
      <c r="M567" s="48"/>
      <c r="N567" s="48">
        <v>625.48</v>
      </c>
      <c r="O567" s="48"/>
      <c r="P567" s="48"/>
      <c r="Q567" s="48"/>
      <c r="R567" s="371" t="e">
        <f>$G567*H567</f>
        <v>#REF!</v>
      </c>
      <c r="S567" s="371" t="e">
        <f t="shared" ref="S567:AA567" si="545">$G567*I567</f>
        <v>#REF!</v>
      </c>
      <c r="T567" s="371" t="e">
        <f t="shared" si="545"/>
        <v>#REF!</v>
      </c>
      <c r="U567" s="371" t="e">
        <f t="shared" si="545"/>
        <v>#REF!</v>
      </c>
      <c r="V567" s="371" t="e">
        <f t="shared" si="545"/>
        <v>#REF!</v>
      </c>
      <c r="W567" s="371" t="e">
        <f t="shared" si="545"/>
        <v>#REF!</v>
      </c>
      <c r="X567" s="371" t="e">
        <f t="shared" si="545"/>
        <v>#REF!</v>
      </c>
      <c r="Y567" s="371" t="e">
        <f t="shared" si="545"/>
        <v>#REF!</v>
      </c>
      <c r="Z567" s="371" t="e">
        <f t="shared" si="545"/>
        <v>#REF!</v>
      </c>
      <c r="AA567" s="371" t="e">
        <f t="shared" si="545"/>
        <v>#REF!</v>
      </c>
      <c r="AB567" s="50"/>
    </row>
    <row r="568" ht="28.8" outlineLevel="2" spans="1:28">
      <c r="A568" s="52">
        <f>MAX($A$6:A567)+1</f>
        <v>472</v>
      </c>
      <c r="B568" s="51" t="s">
        <v>437</v>
      </c>
      <c r="C568" s="51" t="e">
        <f>VLOOKUP($B568,#REF!,MATCH(C$2,#REF!,0),0)</f>
        <v>#REF!</v>
      </c>
      <c r="D568" s="136"/>
      <c r="E568" s="136"/>
      <c r="F568" s="136" t="e">
        <f>VLOOKUP($B568,#REF!,MATCH(F$2,#REF!,0),0)</f>
        <v>#REF!</v>
      </c>
      <c r="G568" s="137" t="e">
        <f>VLOOKUP($B568,#REF!,MATCH(G$2,#REF!,0),0)</f>
        <v>#REF!</v>
      </c>
      <c r="H568" s="48"/>
      <c r="I568" s="48"/>
      <c r="J568" s="48"/>
      <c r="K568" s="48"/>
      <c r="L568" s="48"/>
      <c r="M568" s="48"/>
      <c r="N568" s="48"/>
      <c r="O568" s="48"/>
      <c r="P568" s="48"/>
      <c r="Q568" s="48"/>
      <c r="R568" s="371" t="e">
        <f t="shared" ref="R568:R580" si="546">$G568*H568</f>
        <v>#REF!</v>
      </c>
      <c r="S568" s="371" t="e">
        <f t="shared" ref="S568:S580" si="547">$G568*I568</f>
        <v>#REF!</v>
      </c>
      <c r="T568" s="371" t="e">
        <f t="shared" ref="T568:T580" si="548">$G568*J568</f>
        <v>#REF!</v>
      </c>
      <c r="U568" s="371" t="e">
        <f t="shared" ref="U568:U580" si="549">$G568*K568</f>
        <v>#REF!</v>
      </c>
      <c r="V568" s="371" t="e">
        <f t="shared" ref="V568:V580" si="550">$G568*L568</f>
        <v>#REF!</v>
      </c>
      <c r="W568" s="371" t="e">
        <f t="shared" ref="W568:W580" si="551">$G568*M568</f>
        <v>#REF!</v>
      </c>
      <c r="X568" s="371" t="e">
        <f t="shared" ref="X568:X580" si="552">$G568*N568</f>
        <v>#REF!</v>
      </c>
      <c r="Y568" s="371" t="e">
        <f t="shared" ref="Y568:Y580" si="553">$G568*O568</f>
        <v>#REF!</v>
      </c>
      <c r="Z568" s="371" t="e">
        <f t="shared" ref="Z568:Z580" si="554">$G568*P568</f>
        <v>#REF!</v>
      </c>
      <c r="AA568" s="371" t="e">
        <f t="shared" ref="AA568:AA580" si="555">$G568*Q568</f>
        <v>#REF!</v>
      </c>
      <c r="AB568" s="50"/>
    </row>
    <row r="569" ht="28.8" outlineLevel="2" spans="1:28">
      <c r="A569" s="52">
        <f>MAX($A$6:A568)+1</f>
        <v>473</v>
      </c>
      <c r="B569" s="51" t="s">
        <v>586</v>
      </c>
      <c r="C569" s="51" t="e">
        <f>VLOOKUP($B569,#REF!,MATCH(C$2,#REF!,0),0)</f>
        <v>#REF!</v>
      </c>
      <c r="D569" s="136"/>
      <c r="E569" s="136"/>
      <c r="F569" s="136" t="e">
        <f>VLOOKUP($B569,#REF!,MATCH(F$2,#REF!,0),0)</f>
        <v>#REF!</v>
      </c>
      <c r="G569" s="137" t="e">
        <f>VLOOKUP($B569,#REF!,MATCH(G$2,#REF!,0),0)</f>
        <v>#REF!</v>
      </c>
      <c r="H569" s="48"/>
      <c r="I569" s="48"/>
      <c r="J569" s="48"/>
      <c r="K569" s="48"/>
      <c r="L569" s="48"/>
      <c r="M569" s="48"/>
      <c r="N569" s="48"/>
      <c r="O569" s="48"/>
      <c r="P569" s="48"/>
      <c r="Q569" s="48"/>
      <c r="R569" s="371" t="e">
        <f t="shared" si="546"/>
        <v>#REF!</v>
      </c>
      <c r="S569" s="371" t="e">
        <f t="shared" si="547"/>
        <v>#REF!</v>
      </c>
      <c r="T569" s="371" t="e">
        <f t="shared" si="548"/>
        <v>#REF!</v>
      </c>
      <c r="U569" s="371" t="e">
        <f t="shared" si="549"/>
        <v>#REF!</v>
      </c>
      <c r="V569" s="371" t="e">
        <f t="shared" si="550"/>
        <v>#REF!</v>
      </c>
      <c r="W569" s="371" t="e">
        <f t="shared" si="551"/>
        <v>#REF!</v>
      </c>
      <c r="X569" s="371" t="e">
        <f t="shared" si="552"/>
        <v>#REF!</v>
      </c>
      <c r="Y569" s="371" t="e">
        <f t="shared" si="553"/>
        <v>#REF!</v>
      </c>
      <c r="Z569" s="371" t="e">
        <f t="shared" si="554"/>
        <v>#REF!</v>
      </c>
      <c r="AA569" s="371" t="e">
        <f t="shared" si="555"/>
        <v>#REF!</v>
      </c>
      <c r="AB569" s="50"/>
    </row>
    <row r="570" outlineLevel="2" spans="1:28">
      <c r="A570" s="52">
        <f>MAX($A$6:A569)+1</f>
        <v>474</v>
      </c>
      <c r="B570" s="51" t="s">
        <v>576</v>
      </c>
      <c r="C570" s="51" t="e">
        <f>VLOOKUP($B570,#REF!,MATCH(C$2,#REF!,0),0)</f>
        <v>#REF!</v>
      </c>
      <c r="D570" s="136"/>
      <c r="E570" s="136"/>
      <c r="F570" s="136" t="e">
        <f>VLOOKUP($B570,#REF!,MATCH(F$2,#REF!,0),0)</f>
        <v>#REF!</v>
      </c>
      <c r="G570" s="137" t="e">
        <f>VLOOKUP($B570,#REF!,MATCH(G$2,#REF!,0),0)</f>
        <v>#REF!</v>
      </c>
      <c r="H570" s="48"/>
      <c r="I570" s="48"/>
      <c r="J570" s="48"/>
      <c r="K570" s="48"/>
      <c r="L570" s="48"/>
      <c r="M570" s="48"/>
      <c r="N570" s="48">
        <v>625.48</v>
      </c>
      <c r="O570" s="48"/>
      <c r="P570" s="48"/>
      <c r="Q570" s="48"/>
      <c r="R570" s="371" t="e">
        <f t="shared" si="546"/>
        <v>#REF!</v>
      </c>
      <c r="S570" s="371" t="e">
        <f t="shared" si="547"/>
        <v>#REF!</v>
      </c>
      <c r="T570" s="371" t="e">
        <f t="shared" si="548"/>
        <v>#REF!</v>
      </c>
      <c r="U570" s="371" t="e">
        <f t="shared" si="549"/>
        <v>#REF!</v>
      </c>
      <c r="V570" s="371" t="e">
        <f t="shared" si="550"/>
        <v>#REF!</v>
      </c>
      <c r="W570" s="371" t="e">
        <f t="shared" si="551"/>
        <v>#REF!</v>
      </c>
      <c r="X570" s="371" t="e">
        <f t="shared" si="552"/>
        <v>#REF!</v>
      </c>
      <c r="Y570" s="371" t="e">
        <f t="shared" si="553"/>
        <v>#REF!</v>
      </c>
      <c r="Z570" s="371" t="e">
        <f t="shared" si="554"/>
        <v>#REF!</v>
      </c>
      <c r="AA570" s="371" t="e">
        <f t="shared" si="555"/>
        <v>#REF!</v>
      </c>
      <c r="AB570" s="50"/>
    </row>
    <row r="571" outlineLevel="2" spans="1:28">
      <c r="A571" s="52">
        <f>MAX($A$6:A570)+1</f>
        <v>475</v>
      </c>
      <c r="B571" s="51" t="s">
        <v>424</v>
      </c>
      <c r="C571" s="51" t="e">
        <f>VLOOKUP($B571,#REF!,MATCH(C$2,#REF!,0),0)</f>
        <v>#REF!</v>
      </c>
      <c r="D571" s="136"/>
      <c r="E571" s="136"/>
      <c r="F571" s="136" t="e">
        <f>VLOOKUP($B571,#REF!,MATCH(F$2,#REF!,0),0)</f>
        <v>#REF!</v>
      </c>
      <c r="G571" s="137" t="e">
        <f>VLOOKUP($B571,#REF!,MATCH(G$2,#REF!,0),0)</f>
        <v>#REF!</v>
      </c>
      <c r="H571" s="48"/>
      <c r="I571" s="48"/>
      <c r="J571" s="48"/>
      <c r="K571" s="48"/>
      <c r="L571" s="48"/>
      <c r="M571" s="48"/>
      <c r="N571" s="48">
        <v>625.48</v>
      </c>
      <c r="O571" s="48"/>
      <c r="P571" s="48"/>
      <c r="Q571" s="48"/>
      <c r="R571" s="371" t="e">
        <f t="shared" si="546"/>
        <v>#REF!</v>
      </c>
      <c r="S571" s="371" t="e">
        <f t="shared" si="547"/>
        <v>#REF!</v>
      </c>
      <c r="T571" s="371" t="e">
        <f t="shared" si="548"/>
        <v>#REF!</v>
      </c>
      <c r="U571" s="371" t="e">
        <f t="shared" si="549"/>
        <v>#REF!</v>
      </c>
      <c r="V571" s="371" t="e">
        <f t="shared" si="550"/>
        <v>#REF!</v>
      </c>
      <c r="W571" s="371" t="e">
        <f t="shared" si="551"/>
        <v>#REF!</v>
      </c>
      <c r="X571" s="371" t="e">
        <f t="shared" si="552"/>
        <v>#REF!</v>
      </c>
      <c r="Y571" s="371" t="e">
        <f t="shared" si="553"/>
        <v>#REF!</v>
      </c>
      <c r="Z571" s="371" t="e">
        <f t="shared" si="554"/>
        <v>#REF!</v>
      </c>
      <c r="AA571" s="371" t="e">
        <f t="shared" si="555"/>
        <v>#REF!</v>
      </c>
      <c r="AB571" s="50"/>
    </row>
    <row r="572" outlineLevel="2" spans="1:28">
      <c r="A572" s="52">
        <f>MAX($A$6:A571)+1</f>
        <v>476</v>
      </c>
      <c r="B572" s="51" t="s">
        <v>606</v>
      </c>
      <c r="C572" s="51" t="e">
        <f>VLOOKUP($B572,#REF!,MATCH(C$2,#REF!,0),0)</f>
        <v>#REF!</v>
      </c>
      <c r="D572" s="136"/>
      <c r="E572" s="136"/>
      <c r="F572" s="136" t="e">
        <f>VLOOKUP($B572,#REF!,MATCH(F$2,#REF!,0),0)</f>
        <v>#REF!</v>
      </c>
      <c r="G572" s="137" t="e">
        <f>VLOOKUP($B572,#REF!,MATCH(G$2,#REF!,0),0)</f>
        <v>#REF!</v>
      </c>
      <c r="H572" s="48"/>
      <c r="I572" s="48"/>
      <c r="J572" s="48"/>
      <c r="K572" s="48"/>
      <c r="L572" s="48"/>
      <c r="M572" s="48"/>
      <c r="N572" s="48">
        <v>625.48</v>
      </c>
      <c r="O572" s="48"/>
      <c r="P572" s="48"/>
      <c r="Q572" s="48"/>
      <c r="R572" s="371" t="e">
        <f t="shared" si="546"/>
        <v>#REF!</v>
      </c>
      <c r="S572" s="371" t="e">
        <f t="shared" si="547"/>
        <v>#REF!</v>
      </c>
      <c r="T572" s="371" t="e">
        <f t="shared" si="548"/>
        <v>#REF!</v>
      </c>
      <c r="U572" s="371" t="e">
        <f t="shared" si="549"/>
        <v>#REF!</v>
      </c>
      <c r="V572" s="371" t="e">
        <f t="shared" si="550"/>
        <v>#REF!</v>
      </c>
      <c r="W572" s="371" t="e">
        <f t="shared" si="551"/>
        <v>#REF!</v>
      </c>
      <c r="X572" s="371" t="e">
        <f t="shared" si="552"/>
        <v>#REF!</v>
      </c>
      <c r="Y572" s="371" t="e">
        <f t="shared" si="553"/>
        <v>#REF!</v>
      </c>
      <c r="Z572" s="371" t="e">
        <f t="shared" si="554"/>
        <v>#REF!</v>
      </c>
      <c r="AA572" s="371" t="e">
        <f t="shared" si="555"/>
        <v>#REF!</v>
      </c>
      <c r="AB572" s="50"/>
    </row>
    <row r="573" ht="28.8" outlineLevel="2" spans="1:28">
      <c r="A573" s="52">
        <f>MAX($A$6:A572)+1</f>
        <v>477</v>
      </c>
      <c r="B573" s="51" t="s">
        <v>586</v>
      </c>
      <c r="C573" s="51" t="e">
        <f>VLOOKUP($B573,#REF!,MATCH(C$2,#REF!,0),0)</f>
        <v>#REF!</v>
      </c>
      <c r="D573" s="136"/>
      <c r="E573" s="136"/>
      <c r="F573" s="136" t="e">
        <f>VLOOKUP($B573,#REF!,MATCH(F$2,#REF!,0),0)</f>
        <v>#REF!</v>
      </c>
      <c r="G573" s="137" t="e">
        <f>VLOOKUP($B573,#REF!,MATCH(G$2,#REF!,0),0)</f>
        <v>#REF!</v>
      </c>
      <c r="H573" s="48"/>
      <c r="I573" s="48"/>
      <c r="J573" s="48"/>
      <c r="K573" s="48"/>
      <c r="L573" s="48"/>
      <c r="M573" s="48"/>
      <c r="N573" s="48">
        <v>625.48</v>
      </c>
      <c r="O573" s="48"/>
      <c r="P573" s="48"/>
      <c r="Q573" s="48"/>
      <c r="R573" s="371" t="e">
        <f t="shared" si="546"/>
        <v>#REF!</v>
      </c>
      <c r="S573" s="371" t="e">
        <f t="shared" si="547"/>
        <v>#REF!</v>
      </c>
      <c r="T573" s="371" t="e">
        <f t="shared" si="548"/>
        <v>#REF!</v>
      </c>
      <c r="U573" s="371" t="e">
        <f t="shared" si="549"/>
        <v>#REF!</v>
      </c>
      <c r="V573" s="371" t="e">
        <f t="shared" si="550"/>
        <v>#REF!</v>
      </c>
      <c r="W573" s="371" t="e">
        <f t="shared" si="551"/>
        <v>#REF!</v>
      </c>
      <c r="X573" s="371" t="e">
        <f t="shared" si="552"/>
        <v>#REF!</v>
      </c>
      <c r="Y573" s="371" t="e">
        <f t="shared" si="553"/>
        <v>#REF!</v>
      </c>
      <c r="Z573" s="371" t="e">
        <f t="shared" si="554"/>
        <v>#REF!</v>
      </c>
      <c r="AA573" s="371" t="e">
        <f t="shared" si="555"/>
        <v>#REF!</v>
      </c>
      <c r="AB573" s="50"/>
    </row>
    <row r="574" ht="28.8" outlineLevel="2" spans="1:28">
      <c r="A574" s="52">
        <f>MAX($A$6:A573)+1</f>
        <v>478</v>
      </c>
      <c r="B574" s="51" t="s">
        <v>587</v>
      </c>
      <c r="C574" s="51" t="e">
        <f>VLOOKUP($B574,#REF!,MATCH(C$2,#REF!,0),0)</f>
        <v>#REF!</v>
      </c>
      <c r="D574" s="136"/>
      <c r="E574" s="136"/>
      <c r="F574" s="136" t="e">
        <f>VLOOKUP($B574,#REF!,MATCH(F$2,#REF!,0),0)</f>
        <v>#REF!</v>
      </c>
      <c r="G574" s="137" t="e">
        <f>VLOOKUP($B574,#REF!,MATCH(G$2,#REF!,0),0)</f>
        <v>#REF!</v>
      </c>
      <c r="H574" s="48"/>
      <c r="I574" s="48"/>
      <c r="J574" s="48"/>
      <c r="K574" s="48"/>
      <c r="L574" s="48"/>
      <c r="M574" s="48"/>
      <c r="N574" s="48">
        <v>625.48</v>
      </c>
      <c r="O574" s="48"/>
      <c r="P574" s="48"/>
      <c r="Q574" s="48"/>
      <c r="R574" s="371" t="e">
        <f t="shared" si="546"/>
        <v>#REF!</v>
      </c>
      <c r="S574" s="371" t="e">
        <f t="shared" si="547"/>
        <v>#REF!</v>
      </c>
      <c r="T574" s="371" t="e">
        <f t="shared" si="548"/>
        <v>#REF!</v>
      </c>
      <c r="U574" s="371" t="e">
        <f t="shared" si="549"/>
        <v>#REF!</v>
      </c>
      <c r="V574" s="371" t="e">
        <f t="shared" si="550"/>
        <v>#REF!</v>
      </c>
      <c r="W574" s="371" t="e">
        <f t="shared" si="551"/>
        <v>#REF!</v>
      </c>
      <c r="X574" s="371" t="e">
        <f t="shared" si="552"/>
        <v>#REF!</v>
      </c>
      <c r="Y574" s="371" t="e">
        <f t="shared" si="553"/>
        <v>#REF!</v>
      </c>
      <c r="Z574" s="371" t="e">
        <f t="shared" si="554"/>
        <v>#REF!</v>
      </c>
      <c r="AA574" s="371" t="e">
        <f t="shared" si="555"/>
        <v>#REF!</v>
      </c>
      <c r="AB574" s="50"/>
    </row>
    <row r="575" ht="28.8" outlineLevel="2" spans="1:28">
      <c r="A575" s="52">
        <f>MAX($A$6:A574)+1</f>
        <v>479</v>
      </c>
      <c r="B575" s="51" t="s">
        <v>590</v>
      </c>
      <c r="C575" s="51" t="e">
        <f>VLOOKUP($B575,#REF!,MATCH(C$2,#REF!,0),0)</f>
        <v>#REF!</v>
      </c>
      <c r="D575" s="136"/>
      <c r="E575" s="136"/>
      <c r="F575" s="136" t="e">
        <f>VLOOKUP($B575,#REF!,MATCH(F$2,#REF!,0),0)</f>
        <v>#REF!</v>
      </c>
      <c r="G575" s="137" t="e">
        <f>VLOOKUP($B575,#REF!,MATCH(G$2,#REF!,0),0)</f>
        <v>#REF!</v>
      </c>
      <c r="H575" s="48"/>
      <c r="I575" s="48"/>
      <c r="J575" s="48"/>
      <c r="K575" s="48"/>
      <c r="L575" s="48"/>
      <c r="M575" s="48"/>
      <c r="N575" s="48">
        <v>625.48</v>
      </c>
      <c r="O575" s="48"/>
      <c r="P575" s="48"/>
      <c r="Q575" s="48"/>
      <c r="R575" s="371" t="e">
        <f t="shared" si="546"/>
        <v>#REF!</v>
      </c>
      <c r="S575" s="371" t="e">
        <f t="shared" si="547"/>
        <v>#REF!</v>
      </c>
      <c r="T575" s="371" t="e">
        <f t="shared" si="548"/>
        <v>#REF!</v>
      </c>
      <c r="U575" s="371" t="e">
        <f t="shared" si="549"/>
        <v>#REF!</v>
      </c>
      <c r="V575" s="371" t="e">
        <f t="shared" si="550"/>
        <v>#REF!</v>
      </c>
      <c r="W575" s="371" t="e">
        <f t="shared" si="551"/>
        <v>#REF!</v>
      </c>
      <c r="X575" s="371" t="e">
        <f t="shared" si="552"/>
        <v>#REF!</v>
      </c>
      <c r="Y575" s="371" t="e">
        <f t="shared" si="553"/>
        <v>#REF!</v>
      </c>
      <c r="Z575" s="371" t="e">
        <f t="shared" si="554"/>
        <v>#REF!</v>
      </c>
      <c r="AA575" s="371" t="e">
        <f t="shared" si="555"/>
        <v>#REF!</v>
      </c>
      <c r="AB575" s="50"/>
    </row>
    <row r="576" outlineLevel="2" spans="1:28">
      <c r="A576" s="52">
        <f>MAX($A$6:A575)+1</f>
        <v>480</v>
      </c>
      <c r="B576" s="51" t="s">
        <v>424</v>
      </c>
      <c r="C576" s="51" t="e">
        <f>VLOOKUP($B576,#REF!,MATCH(C$2,#REF!,0),0)</f>
        <v>#REF!</v>
      </c>
      <c r="D576" s="136"/>
      <c r="E576" s="136"/>
      <c r="F576" s="136" t="e">
        <f>VLOOKUP($B576,#REF!,MATCH(F$2,#REF!,0),0)</f>
        <v>#REF!</v>
      </c>
      <c r="G576" s="137" t="e">
        <f>VLOOKUP($B576,#REF!,MATCH(G$2,#REF!,0),0)</f>
        <v>#REF!</v>
      </c>
      <c r="H576" s="48"/>
      <c r="I576" s="48"/>
      <c r="J576" s="48"/>
      <c r="K576" s="48"/>
      <c r="L576" s="48"/>
      <c r="M576" s="48"/>
      <c r="N576" s="48">
        <v>625.48</v>
      </c>
      <c r="O576" s="48"/>
      <c r="P576" s="48"/>
      <c r="Q576" s="48"/>
      <c r="R576" s="371" t="e">
        <f t="shared" si="546"/>
        <v>#REF!</v>
      </c>
      <c r="S576" s="371" t="e">
        <f t="shared" si="547"/>
        <v>#REF!</v>
      </c>
      <c r="T576" s="371" t="e">
        <f t="shared" si="548"/>
        <v>#REF!</v>
      </c>
      <c r="U576" s="371" t="e">
        <f t="shared" si="549"/>
        <v>#REF!</v>
      </c>
      <c r="V576" s="371" t="e">
        <f t="shared" si="550"/>
        <v>#REF!</v>
      </c>
      <c r="W576" s="371" t="e">
        <f t="shared" si="551"/>
        <v>#REF!</v>
      </c>
      <c r="X576" s="371" t="e">
        <f t="shared" si="552"/>
        <v>#REF!</v>
      </c>
      <c r="Y576" s="371" t="e">
        <f t="shared" si="553"/>
        <v>#REF!</v>
      </c>
      <c r="Z576" s="371" t="e">
        <f t="shared" si="554"/>
        <v>#REF!</v>
      </c>
      <c r="AA576" s="371" t="e">
        <f t="shared" si="555"/>
        <v>#REF!</v>
      </c>
      <c r="AB576" s="50"/>
    </row>
    <row r="577" ht="28.8" outlineLevel="2" spans="1:28">
      <c r="A577" s="52">
        <f>MAX($A$6:A576)+1</f>
        <v>481</v>
      </c>
      <c r="B577" s="51" t="s">
        <v>588</v>
      </c>
      <c r="C577" s="51" t="e">
        <f>VLOOKUP($B577,#REF!,MATCH(C$2,#REF!,0),0)</f>
        <v>#REF!</v>
      </c>
      <c r="D577" s="136"/>
      <c r="E577" s="136"/>
      <c r="F577" s="136" t="e">
        <f>VLOOKUP($B577,#REF!,MATCH(F$2,#REF!,0),0)</f>
        <v>#REF!</v>
      </c>
      <c r="G577" s="137" t="e">
        <f>VLOOKUP($B577,#REF!,MATCH(G$2,#REF!,0),0)</f>
        <v>#REF!</v>
      </c>
      <c r="H577" s="48"/>
      <c r="I577" s="48"/>
      <c r="J577" s="48"/>
      <c r="K577" s="48"/>
      <c r="L577" s="48"/>
      <c r="M577" s="48"/>
      <c r="N577" s="48">
        <v>625.48</v>
      </c>
      <c r="O577" s="48"/>
      <c r="P577" s="48"/>
      <c r="Q577" s="48"/>
      <c r="R577" s="371" t="e">
        <f t="shared" si="546"/>
        <v>#REF!</v>
      </c>
      <c r="S577" s="371" t="e">
        <f t="shared" si="547"/>
        <v>#REF!</v>
      </c>
      <c r="T577" s="371" t="e">
        <f t="shared" si="548"/>
        <v>#REF!</v>
      </c>
      <c r="U577" s="371" t="e">
        <f t="shared" si="549"/>
        <v>#REF!</v>
      </c>
      <c r="V577" s="371" t="e">
        <f t="shared" si="550"/>
        <v>#REF!</v>
      </c>
      <c r="W577" s="371" t="e">
        <f t="shared" si="551"/>
        <v>#REF!</v>
      </c>
      <c r="X577" s="371" t="e">
        <f t="shared" si="552"/>
        <v>#REF!</v>
      </c>
      <c r="Y577" s="371" t="e">
        <f t="shared" si="553"/>
        <v>#REF!</v>
      </c>
      <c r="Z577" s="371" t="e">
        <f t="shared" si="554"/>
        <v>#REF!</v>
      </c>
      <c r="AA577" s="371" t="e">
        <f t="shared" si="555"/>
        <v>#REF!</v>
      </c>
      <c r="AB577" s="50"/>
    </row>
    <row r="578" outlineLevel="2" spans="1:28">
      <c r="A578" s="52">
        <f>MAX($A$6:A577)+1</f>
        <v>482</v>
      </c>
      <c r="B578" s="51" t="s">
        <v>425</v>
      </c>
      <c r="C578" s="51" t="e">
        <f>VLOOKUP($B578,#REF!,MATCH(C$2,#REF!,0),0)</f>
        <v>#REF!</v>
      </c>
      <c r="D578" s="136"/>
      <c r="E578" s="136"/>
      <c r="F578" s="136" t="e">
        <f>VLOOKUP($B578,#REF!,MATCH(F$2,#REF!,0),0)</f>
        <v>#REF!</v>
      </c>
      <c r="G578" s="137" t="e">
        <f>VLOOKUP($B578,#REF!,MATCH(G$2,#REF!,0),0)</f>
        <v>#REF!</v>
      </c>
      <c r="H578" s="48"/>
      <c r="I578" s="48"/>
      <c r="J578" s="48"/>
      <c r="K578" s="48"/>
      <c r="L578" s="48"/>
      <c r="M578" s="48"/>
      <c r="N578" s="48">
        <v>625.48</v>
      </c>
      <c r="O578" s="48"/>
      <c r="P578" s="48"/>
      <c r="Q578" s="48"/>
      <c r="R578" s="371" t="e">
        <f t="shared" si="546"/>
        <v>#REF!</v>
      </c>
      <c r="S578" s="371" t="e">
        <f t="shared" si="547"/>
        <v>#REF!</v>
      </c>
      <c r="T578" s="371" t="e">
        <f t="shared" si="548"/>
        <v>#REF!</v>
      </c>
      <c r="U578" s="371" t="e">
        <f t="shared" si="549"/>
        <v>#REF!</v>
      </c>
      <c r="V578" s="371" t="e">
        <f t="shared" si="550"/>
        <v>#REF!</v>
      </c>
      <c r="W578" s="371" t="e">
        <f t="shared" si="551"/>
        <v>#REF!</v>
      </c>
      <c r="X578" s="371" t="e">
        <f t="shared" si="552"/>
        <v>#REF!</v>
      </c>
      <c r="Y578" s="371" t="e">
        <f t="shared" si="553"/>
        <v>#REF!</v>
      </c>
      <c r="Z578" s="371" t="e">
        <f t="shared" si="554"/>
        <v>#REF!</v>
      </c>
      <c r="AA578" s="371" t="e">
        <f t="shared" si="555"/>
        <v>#REF!</v>
      </c>
      <c r="AB578" s="50"/>
    </row>
    <row r="579" ht="28.8" outlineLevel="2" spans="1:28">
      <c r="A579" s="52">
        <f>MAX($A$6:A578)+1</f>
        <v>483</v>
      </c>
      <c r="B579" s="51" t="s">
        <v>594</v>
      </c>
      <c r="C579" s="51" t="e">
        <f>VLOOKUP($B579,#REF!,MATCH(C$2,#REF!,0),0)</f>
        <v>#REF!</v>
      </c>
      <c r="D579" s="136"/>
      <c r="E579" s="136"/>
      <c r="F579" s="136" t="e">
        <f>VLOOKUP($B579,#REF!,MATCH(F$2,#REF!,0),0)</f>
        <v>#REF!</v>
      </c>
      <c r="G579" s="137" t="e">
        <f>VLOOKUP($B579,#REF!,MATCH(G$2,#REF!,0),0)</f>
        <v>#REF!</v>
      </c>
      <c r="H579" s="48"/>
      <c r="I579" s="48">
        <v>7235.05</v>
      </c>
      <c r="J579" s="48">
        <v>4368.09</v>
      </c>
      <c r="K579" s="48">
        <v>4368.09</v>
      </c>
      <c r="L579" s="48"/>
      <c r="M579" s="48">
        <v>229.78</v>
      </c>
      <c r="N579" s="48">
        <v>229.78</v>
      </c>
      <c r="O579" s="48">
        <v>229.78</v>
      </c>
      <c r="P579" s="48"/>
      <c r="Q579" s="48"/>
      <c r="R579" s="371" t="e">
        <f t="shared" si="546"/>
        <v>#REF!</v>
      </c>
      <c r="S579" s="371" t="e">
        <f t="shared" si="547"/>
        <v>#REF!</v>
      </c>
      <c r="T579" s="371" t="e">
        <f t="shared" si="548"/>
        <v>#REF!</v>
      </c>
      <c r="U579" s="371" t="e">
        <f t="shared" si="549"/>
        <v>#REF!</v>
      </c>
      <c r="V579" s="371" t="e">
        <f t="shared" si="550"/>
        <v>#REF!</v>
      </c>
      <c r="W579" s="371" t="e">
        <f t="shared" si="551"/>
        <v>#REF!</v>
      </c>
      <c r="X579" s="371" t="e">
        <f t="shared" si="552"/>
        <v>#REF!</v>
      </c>
      <c r="Y579" s="371" t="e">
        <f t="shared" si="553"/>
        <v>#REF!</v>
      </c>
      <c r="Z579" s="371" t="e">
        <f t="shared" si="554"/>
        <v>#REF!</v>
      </c>
      <c r="AA579" s="371" t="e">
        <f t="shared" si="555"/>
        <v>#REF!</v>
      </c>
      <c r="AB579" s="50"/>
    </row>
    <row r="580" ht="28.8" outlineLevel="2" spans="1:28">
      <c r="A580" s="52">
        <f>MAX($A$6:A579)+1</f>
        <v>484</v>
      </c>
      <c r="B580" s="51" t="s">
        <v>594</v>
      </c>
      <c r="C580" s="51" t="e">
        <f>VLOOKUP($B580,#REF!,MATCH(C$2,#REF!,0),0)</f>
        <v>#REF!</v>
      </c>
      <c r="D580" s="136"/>
      <c r="E580" s="136"/>
      <c r="F580" s="136" t="e">
        <f>VLOOKUP($B580,#REF!,MATCH(F$2,#REF!,0),0)</f>
        <v>#REF!</v>
      </c>
      <c r="G580" s="137" t="e">
        <f>VLOOKUP($B580,#REF!,MATCH(G$2,#REF!,0),0)</f>
        <v>#REF!</v>
      </c>
      <c r="H580" s="48">
        <v>612.59</v>
      </c>
      <c r="I580" s="48">
        <v>582.78</v>
      </c>
      <c r="J580" s="48">
        <v>365.48</v>
      </c>
      <c r="K580" s="48">
        <v>365.48</v>
      </c>
      <c r="L580" s="48"/>
      <c r="M580" s="48"/>
      <c r="N580" s="48"/>
      <c r="O580" s="48"/>
      <c r="P580" s="48"/>
      <c r="Q580" s="48"/>
      <c r="R580" s="371" t="e">
        <f t="shared" si="546"/>
        <v>#REF!</v>
      </c>
      <c r="S580" s="371" t="e">
        <f t="shared" si="547"/>
        <v>#REF!</v>
      </c>
      <c r="T580" s="371" t="e">
        <f t="shared" si="548"/>
        <v>#REF!</v>
      </c>
      <c r="U580" s="371" t="e">
        <f t="shared" si="549"/>
        <v>#REF!</v>
      </c>
      <c r="V580" s="371" t="e">
        <f t="shared" si="550"/>
        <v>#REF!</v>
      </c>
      <c r="W580" s="371" t="e">
        <f t="shared" si="551"/>
        <v>#REF!</v>
      </c>
      <c r="X580" s="371" t="e">
        <f t="shared" si="552"/>
        <v>#REF!</v>
      </c>
      <c r="Y580" s="371" t="e">
        <f t="shared" si="553"/>
        <v>#REF!</v>
      </c>
      <c r="Z580" s="371" t="e">
        <f t="shared" si="554"/>
        <v>#REF!</v>
      </c>
      <c r="AA580" s="371" t="e">
        <f t="shared" si="555"/>
        <v>#REF!</v>
      </c>
      <c r="AB580" s="50"/>
    </row>
    <row r="581" s="122" customFormat="1" outlineLevel="2" spans="1:28">
      <c r="A581" s="130"/>
      <c r="B581" s="154" t="s">
        <v>607</v>
      </c>
      <c r="C581" s="154"/>
      <c r="D581" s="154"/>
      <c r="E581" s="154"/>
      <c r="F581" s="130"/>
      <c r="G581" s="134"/>
      <c r="H581" s="134"/>
      <c r="I581" s="134"/>
      <c r="J581" s="134"/>
      <c r="K581" s="134"/>
      <c r="L581" s="134"/>
      <c r="M581" s="134"/>
      <c r="N581" s="134"/>
      <c r="O581" s="134"/>
      <c r="P581" s="134"/>
      <c r="Q581" s="134"/>
      <c r="R581" s="367"/>
      <c r="S581" s="367"/>
      <c r="T581" s="367"/>
      <c r="U581" s="367"/>
      <c r="V581" s="371"/>
      <c r="W581" s="367"/>
      <c r="X581" s="367"/>
      <c r="Y581" s="367"/>
      <c r="Z581" s="367"/>
      <c r="AA581" s="367"/>
      <c r="AB581" s="130"/>
    </row>
    <row r="582" ht="28.8" outlineLevel="2" spans="1:28">
      <c r="A582" s="52">
        <f>MAX($A$6:A581)+1</f>
        <v>485</v>
      </c>
      <c r="B582" s="51" t="s">
        <v>608</v>
      </c>
      <c r="C582" s="51" t="e">
        <f>VLOOKUP($B582,#REF!,MATCH(C$2,#REF!,0),0)</f>
        <v>#REF!</v>
      </c>
      <c r="D582" s="136"/>
      <c r="E582" s="136"/>
      <c r="F582" s="136" t="e">
        <f>VLOOKUP($B582,#REF!,MATCH(F$2,#REF!,0),0)</f>
        <v>#REF!</v>
      </c>
      <c r="G582" s="137" t="e">
        <f>VLOOKUP($B582,#REF!,MATCH(G$2,#REF!,0),0)</f>
        <v>#REF!</v>
      </c>
      <c r="H582" s="48"/>
      <c r="I582" s="48">
        <v>804.19</v>
      </c>
      <c r="J582" s="48">
        <v>274.68</v>
      </c>
      <c r="K582" s="48">
        <v>274.68</v>
      </c>
      <c r="L582" s="48"/>
      <c r="M582" s="48"/>
      <c r="N582" s="48"/>
      <c r="O582" s="48"/>
      <c r="P582" s="48"/>
      <c r="Q582" s="48"/>
      <c r="R582" s="371" t="e">
        <f>$G582*H582</f>
        <v>#REF!</v>
      </c>
      <c r="S582" s="371" t="e">
        <f t="shared" ref="S582:AA582" si="556">$G582*I582</f>
        <v>#REF!</v>
      </c>
      <c r="T582" s="371" t="e">
        <f t="shared" si="556"/>
        <v>#REF!</v>
      </c>
      <c r="U582" s="371" t="e">
        <f t="shared" si="556"/>
        <v>#REF!</v>
      </c>
      <c r="V582" s="371" t="e">
        <f t="shared" si="556"/>
        <v>#REF!</v>
      </c>
      <c r="W582" s="371" t="e">
        <f t="shared" si="556"/>
        <v>#REF!</v>
      </c>
      <c r="X582" s="371" t="e">
        <f t="shared" si="556"/>
        <v>#REF!</v>
      </c>
      <c r="Y582" s="371" t="e">
        <f t="shared" si="556"/>
        <v>#REF!</v>
      </c>
      <c r="Z582" s="371" t="e">
        <f t="shared" si="556"/>
        <v>#REF!</v>
      </c>
      <c r="AA582" s="371" t="e">
        <f t="shared" si="556"/>
        <v>#REF!</v>
      </c>
      <c r="AB582" s="50"/>
    </row>
    <row r="583" outlineLevel="2" spans="1:28">
      <c r="A583" s="52">
        <f>MAX($A$6:A582)+1</f>
        <v>486</v>
      </c>
      <c r="B583" s="51" t="s">
        <v>576</v>
      </c>
      <c r="C583" s="51" t="e">
        <f>VLOOKUP($B583,#REF!,MATCH(C$2,#REF!,0),0)</f>
        <v>#REF!</v>
      </c>
      <c r="D583" s="136"/>
      <c r="E583" s="136"/>
      <c r="F583" s="136" t="e">
        <f>VLOOKUP($B583,#REF!,MATCH(F$2,#REF!,0),0)</f>
        <v>#REF!</v>
      </c>
      <c r="G583" s="137" t="e">
        <f>VLOOKUP($B583,#REF!,MATCH(G$2,#REF!,0),0)</f>
        <v>#REF!</v>
      </c>
      <c r="H583" s="48"/>
      <c r="I583" s="48">
        <v>804.19</v>
      </c>
      <c r="J583" s="48">
        <v>274.68</v>
      </c>
      <c r="K583" s="48">
        <v>274.68</v>
      </c>
      <c r="L583" s="48"/>
      <c r="M583" s="48"/>
      <c r="N583" s="48"/>
      <c r="O583" s="48"/>
      <c r="P583" s="48"/>
      <c r="Q583" s="48"/>
      <c r="R583" s="371" t="e">
        <f t="shared" ref="R583:AA583" si="557">$G583*H583</f>
        <v>#REF!</v>
      </c>
      <c r="S583" s="371" t="e">
        <f t="shared" si="557"/>
        <v>#REF!</v>
      </c>
      <c r="T583" s="371" t="e">
        <f t="shared" si="557"/>
        <v>#REF!</v>
      </c>
      <c r="U583" s="371" t="e">
        <f t="shared" si="557"/>
        <v>#REF!</v>
      </c>
      <c r="V583" s="371" t="e">
        <f t="shared" si="557"/>
        <v>#REF!</v>
      </c>
      <c r="W583" s="371" t="e">
        <f t="shared" si="557"/>
        <v>#REF!</v>
      </c>
      <c r="X583" s="371" t="e">
        <f t="shared" si="557"/>
        <v>#REF!</v>
      </c>
      <c r="Y583" s="371" t="e">
        <f t="shared" si="557"/>
        <v>#REF!</v>
      </c>
      <c r="Z583" s="371" t="e">
        <f t="shared" si="557"/>
        <v>#REF!</v>
      </c>
      <c r="AA583" s="371" t="e">
        <f t="shared" si="557"/>
        <v>#REF!</v>
      </c>
      <c r="AB583" s="50"/>
    </row>
    <row r="584" ht="28.8" outlineLevel="2" spans="1:28">
      <c r="A584" s="52">
        <f>MAX($A$6:A583)+1</f>
        <v>487</v>
      </c>
      <c r="B584" s="51" t="s">
        <v>609</v>
      </c>
      <c r="C584" s="51" t="e">
        <f>VLOOKUP($B584,#REF!,MATCH(C$2,#REF!,0),0)</f>
        <v>#REF!</v>
      </c>
      <c r="D584" s="136"/>
      <c r="E584" s="136"/>
      <c r="F584" s="136" t="e">
        <f>VLOOKUP($B584,#REF!,MATCH(F$2,#REF!,0),0)</f>
        <v>#REF!</v>
      </c>
      <c r="G584" s="137" t="e">
        <f>VLOOKUP($B584,#REF!,MATCH(G$2,#REF!,0),0)</f>
        <v>#REF!</v>
      </c>
      <c r="H584" s="48"/>
      <c r="I584" s="48"/>
      <c r="J584" s="48"/>
      <c r="K584" s="48"/>
      <c r="L584" s="48"/>
      <c r="M584" s="48"/>
      <c r="N584" s="48"/>
      <c r="O584" s="48"/>
      <c r="P584" s="48"/>
      <c r="Q584" s="48"/>
      <c r="R584" s="371" t="e">
        <f t="shared" ref="R584:AA584" si="558">$G584*H584</f>
        <v>#REF!</v>
      </c>
      <c r="S584" s="371" t="e">
        <f t="shared" si="558"/>
        <v>#REF!</v>
      </c>
      <c r="T584" s="371" t="e">
        <f t="shared" si="558"/>
        <v>#REF!</v>
      </c>
      <c r="U584" s="371" t="e">
        <f t="shared" si="558"/>
        <v>#REF!</v>
      </c>
      <c r="V584" s="371" t="e">
        <f t="shared" si="558"/>
        <v>#REF!</v>
      </c>
      <c r="W584" s="371" t="e">
        <f t="shared" si="558"/>
        <v>#REF!</v>
      </c>
      <c r="X584" s="371" t="e">
        <f t="shared" si="558"/>
        <v>#REF!</v>
      </c>
      <c r="Y584" s="371" t="e">
        <f t="shared" si="558"/>
        <v>#REF!</v>
      </c>
      <c r="Z584" s="371" t="e">
        <f t="shared" si="558"/>
        <v>#REF!</v>
      </c>
      <c r="AA584" s="371" t="e">
        <f t="shared" si="558"/>
        <v>#REF!</v>
      </c>
      <c r="AB584" s="50"/>
    </row>
    <row r="585" ht="28.8" outlineLevel="2" spans="1:28">
      <c r="A585" s="52">
        <f>MAX($A$6:A584)+1</f>
        <v>488</v>
      </c>
      <c r="B585" s="51" t="s">
        <v>610</v>
      </c>
      <c r="C585" s="51" t="e">
        <f>VLOOKUP($B585,#REF!,MATCH(C$2,#REF!,0),0)</f>
        <v>#REF!</v>
      </c>
      <c r="D585" s="136"/>
      <c r="E585" s="136"/>
      <c r="F585" s="136" t="e">
        <f>VLOOKUP($B585,#REF!,MATCH(F$2,#REF!,0),0)</f>
        <v>#REF!</v>
      </c>
      <c r="G585" s="137" t="e">
        <f>VLOOKUP($B585,#REF!,MATCH(G$2,#REF!,0),0)</f>
        <v>#REF!</v>
      </c>
      <c r="H585" s="48">
        <v>804.19</v>
      </c>
      <c r="I585" s="48"/>
      <c r="J585" s="48"/>
      <c r="K585" s="48"/>
      <c r="L585" s="48"/>
      <c r="M585" s="48"/>
      <c r="N585" s="48"/>
      <c r="O585" s="48"/>
      <c r="P585" s="48"/>
      <c r="Q585" s="48"/>
      <c r="R585" s="371" t="e">
        <f t="shared" ref="R585:AA585" si="559">$G585*H585</f>
        <v>#REF!</v>
      </c>
      <c r="S585" s="371" t="e">
        <f t="shared" si="559"/>
        <v>#REF!</v>
      </c>
      <c r="T585" s="371" t="e">
        <f t="shared" si="559"/>
        <v>#REF!</v>
      </c>
      <c r="U585" s="371" t="e">
        <f t="shared" si="559"/>
        <v>#REF!</v>
      </c>
      <c r="V585" s="371" t="e">
        <f t="shared" si="559"/>
        <v>#REF!</v>
      </c>
      <c r="W585" s="371" t="e">
        <f t="shared" si="559"/>
        <v>#REF!</v>
      </c>
      <c r="X585" s="371" t="e">
        <f t="shared" si="559"/>
        <v>#REF!</v>
      </c>
      <c r="Y585" s="371" t="e">
        <f t="shared" si="559"/>
        <v>#REF!</v>
      </c>
      <c r="Z585" s="371" t="e">
        <f t="shared" si="559"/>
        <v>#REF!</v>
      </c>
      <c r="AA585" s="371" t="e">
        <f t="shared" si="559"/>
        <v>#REF!</v>
      </c>
      <c r="AB585" s="50"/>
    </row>
    <row r="586" s="122" customFormat="1" outlineLevel="2" spans="1:28">
      <c r="A586" s="130"/>
      <c r="B586" s="154" t="s">
        <v>611</v>
      </c>
      <c r="C586" s="154"/>
      <c r="D586" s="154"/>
      <c r="E586" s="154"/>
      <c r="F586" s="130"/>
      <c r="G586" s="134"/>
      <c r="H586" s="134"/>
      <c r="I586" s="134"/>
      <c r="J586" s="134"/>
      <c r="K586" s="134"/>
      <c r="L586" s="134"/>
      <c r="M586" s="134"/>
      <c r="N586" s="134"/>
      <c r="O586" s="134"/>
      <c r="P586" s="134"/>
      <c r="Q586" s="134"/>
      <c r="R586" s="367"/>
      <c r="S586" s="367"/>
      <c r="T586" s="367"/>
      <c r="U586" s="367"/>
      <c r="V586" s="371"/>
      <c r="W586" s="367"/>
      <c r="X586" s="367"/>
      <c r="Y586" s="367"/>
      <c r="Z586" s="367"/>
      <c r="AA586" s="367"/>
      <c r="AB586" s="130"/>
    </row>
    <row r="587" ht="28.8" outlineLevel="2" spans="1:28">
      <c r="A587" s="52">
        <f>MAX($A$6:A586)+1</f>
        <v>489</v>
      </c>
      <c r="B587" s="51" t="s">
        <v>610</v>
      </c>
      <c r="C587" s="51" t="e">
        <f>VLOOKUP($B587,#REF!,MATCH(C$2,#REF!,0),0)</f>
        <v>#REF!</v>
      </c>
      <c r="D587" s="136"/>
      <c r="E587" s="136"/>
      <c r="F587" s="136" t="e">
        <f>VLOOKUP($B587,#REF!,MATCH(F$2,#REF!,0),0)</f>
        <v>#REF!</v>
      </c>
      <c r="G587" s="137" t="e">
        <f>VLOOKUP($B587,#REF!,MATCH(G$2,#REF!,0),0)</f>
        <v>#REF!</v>
      </c>
      <c r="H587" s="48">
        <v>1</v>
      </c>
      <c r="I587" s="48"/>
      <c r="J587" s="48"/>
      <c r="K587" s="48"/>
      <c r="L587" s="48"/>
      <c r="M587" s="48"/>
      <c r="N587" s="48"/>
      <c r="O587" s="48"/>
      <c r="P587" s="48"/>
      <c r="Q587" s="48"/>
      <c r="R587" s="371" t="e">
        <f>$G587*H587</f>
        <v>#REF!</v>
      </c>
      <c r="S587" s="371" t="e">
        <f t="shared" ref="S587:AA587" si="560">$G587*I587</f>
        <v>#REF!</v>
      </c>
      <c r="T587" s="371" t="e">
        <f t="shared" si="560"/>
        <v>#REF!</v>
      </c>
      <c r="U587" s="371" t="e">
        <f t="shared" si="560"/>
        <v>#REF!</v>
      </c>
      <c r="V587" s="371" t="e">
        <f t="shared" si="560"/>
        <v>#REF!</v>
      </c>
      <c r="W587" s="371" t="e">
        <f t="shared" si="560"/>
        <v>#REF!</v>
      </c>
      <c r="X587" s="371" t="e">
        <f t="shared" si="560"/>
        <v>#REF!</v>
      </c>
      <c r="Y587" s="371" t="e">
        <f t="shared" si="560"/>
        <v>#REF!</v>
      </c>
      <c r="Z587" s="371" t="e">
        <f t="shared" si="560"/>
        <v>#REF!</v>
      </c>
      <c r="AA587" s="371" t="e">
        <f t="shared" si="560"/>
        <v>#REF!</v>
      </c>
      <c r="AB587" s="50"/>
    </row>
    <row r="588" ht="28.8" outlineLevel="2" spans="1:28">
      <c r="A588" s="52">
        <f>MAX($A$6:A587)+1</f>
        <v>490</v>
      </c>
      <c r="B588" s="51" t="s">
        <v>609</v>
      </c>
      <c r="C588" s="51" t="e">
        <f>VLOOKUP($B588,#REF!,MATCH(C$2,#REF!,0),0)</f>
        <v>#REF!</v>
      </c>
      <c r="D588" s="136"/>
      <c r="E588" s="136"/>
      <c r="F588" s="136" t="e">
        <f>VLOOKUP($B588,#REF!,MATCH(F$2,#REF!,0),0)</f>
        <v>#REF!</v>
      </c>
      <c r="G588" s="137" t="e">
        <f>VLOOKUP($B588,#REF!,MATCH(G$2,#REF!,0),0)</f>
        <v>#REF!</v>
      </c>
      <c r="H588" s="48"/>
      <c r="I588" s="48">
        <v>0</v>
      </c>
      <c r="J588" s="48"/>
      <c r="K588" s="48"/>
      <c r="L588" s="48"/>
      <c r="M588" s="48"/>
      <c r="N588" s="48"/>
      <c r="O588" s="48"/>
      <c r="P588" s="48"/>
      <c r="Q588" s="48"/>
      <c r="R588" s="371" t="e">
        <f t="shared" ref="R588:AA588" si="561">$G588*H588</f>
        <v>#REF!</v>
      </c>
      <c r="S588" s="371" t="e">
        <f t="shared" si="561"/>
        <v>#REF!</v>
      </c>
      <c r="T588" s="371" t="e">
        <f t="shared" si="561"/>
        <v>#REF!</v>
      </c>
      <c r="U588" s="371" t="e">
        <f t="shared" si="561"/>
        <v>#REF!</v>
      </c>
      <c r="V588" s="371" t="e">
        <f t="shared" si="561"/>
        <v>#REF!</v>
      </c>
      <c r="W588" s="371" t="e">
        <f t="shared" si="561"/>
        <v>#REF!</v>
      </c>
      <c r="X588" s="371" t="e">
        <f t="shared" si="561"/>
        <v>#REF!</v>
      </c>
      <c r="Y588" s="371" t="e">
        <f t="shared" si="561"/>
        <v>#REF!</v>
      </c>
      <c r="Z588" s="371" t="e">
        <f t="shared" si="561"/>
        <v>#REF!</v>
      </c>
      <c r="AA588" s="371" t="e">
        <f t="shared" si="561"/>
        <v>#REF!</v>
      </c>
      <c r="AB588" s="50"/>
    </row>
    <row r="589" ht="28.8" outlineLevel="2" spans="1:28">
      <c r="A589" s="52">
        <f>MAX($A$6:A588)+1</f>
        <v>491</v>
      </c>
      <c r="B589" s="51" t="s">
        <v>587</v>
      </c>
      <c r="C589" s="51" t="e">
        <f>VLOOKUP($B589,#REF!,MATCH(C$2,#REF!,0),0)</f>
        <v>#REF!</v>
      </c>
      <c r="D589" s="136"/>
      <c r="E589" s="136"/>
      <c r="F589" s="136" t="e">
        <f>VLOOKUP($B589,#REF!,MATCH(F$2,#REF!,0),0)</f>
        <v>#REF!</v>
      </c>
      <c r="G589" s="137" t="e">
        <f>VLOOKUP($B589,#REF!,MATCH(G$2,#REF!,0),0)</f>
        <v>#REF!</v>
      </c>
      <c r="H589" s="48">
        <v>1</v>
      </c>
      <c r="I589" s="48"/>
      <c r="J589" s="48"/>
      <c r="K589" s="48"/>
      <c r="L589" s="48"/>
      <c r="M589" s="48"/>
      <c r="N589" s="48"/>
      <c r="O589" s="48"/>
      <c r="P589" s="48"/>
      <c r="Q589" s="48"/>
      <c r="R589" s="371" t="e">
        <f t="shared" ref="R589:AA589" si="562">$G589*H589</f>
        <v>#REF!</v>
      </c>
      <c r="S589" s="371" t="e">
        <f t="shared" si="562"/>
        <v>#REF!</v>
      </c>
      <c r="T589" s="371" t="e">
        <f t="shared" si="562"/>
        <v>#REF!</v>
      </c>
      <c r="U589" s="371" t="e">
        <f t="shared" si="562"/>
        <v>#REF!</v>
      </c>
      <c r="V589" s="371" t="e">
        <f t="shared" si="562"/>
        <v>#REF!</v>
      </c>
      <c r="W589" s="371" t="e">
        <f t="shared" si="562"/>
        <v>#REF!</v>
      </c>
      <c r="X589" s="371" t="e">
        <f t="shared" si="562"/>
        <v>#REF!</v>
      </c>
      <c r="Y589" s="371" t="e">
        <f t="shared" si="562"/>
        <v>#REF!</v>
      </c>
      <c r="Z589" s="371" t="e">
        <f t="shared" si="562"/>
        <v>#REF!</v>
      </c>
      <c r="AA589" s="371" t="e">
        <f t="shared" si="562"/>
        <v>#REF!</v>
      </c>
      <c r="AB589" s="50"/>
    </row>
    <row r="590" outlineLevel="2" spans="1:28">
      <c r="A590" s="52">
        <f>MAX($A$6:A589)+1</f>
        <v>492</v>
      </c>
      <c r="B590" s="51" t="s">
        <v>424</v>
      </c>
      <c r="C590" s="51" t="e">
        <f>VLOOKUP($B590,#REF!,MATCH(C$2,#REF!,0),0)</f>
        <v>#REF!</v>
      </c>
      <c r="D590" s="136"/>
      <c r="E590" s="136"/>
      <c r="F590" s="136" t="e">
        <f>VLOOKUP($B590,#REF!,MATCH(F$2,#REF!,0),0)</f>
        <v>#REF!</v>
      </c>
      <c r="G590" s="137" t="e">
        <f>VLOOKUP($B590,#REF!,MATCH(G$2,#REF!,0),0)</f>
        <v>#REF!</v>
      </c>
      <c r="H590" s="48">
        <v>1</v>
      </c>
      <c r="I590" s="48"/>
      <c r="J590" s="48"/>
      <c r="K590" s="48"/>
      <c r="L590" s="48"/>
      <c r="M590" s="48"/>
      <c r="N590" s="48"/>
      <c r="O590" s="48"/>
      <c r="P590" s="48"/>
      <c r="Q590" s="48"/>
      <c r="R590" s="371" t="e">
        <f t="shared" ref="R590:AA590" si="563">$G590*H590</f>
        <v>#REF!</v>
      </c>
      <c r="S590" s="371" t="e">
        <f t="shared" si="563"/>
        <v>#REF!</v>
      </c>
      <c r="T590" s="371" t="e">
        <f t="shared" si="563"/>
        <v>#REF!</v>
      </c>
      <c r="U590" s="371" t="e">
        <f t="shared" si="563"/>
        <v>#REF!</v>
      </c>
      <c r="V590" s="371" t="e">
        <f t="shared" si="563"/>
        <v>#REF!</v>
      </c>
      <c r="W590" s="371" t="e">
        <f t="shared" si="563"/>
        <v>#REF!</v>
      </c>
      <c r="X590" s="371" t="e">
        <f t="shared" si="563"/>
        <v>#REF!</v>
      </c>
      <c r="Y590" s="371" t="e">
        <f t="shared" si="563"/>
        <v>#REF!</v>
      </c>
      <c r="Z590" s="371" t="e">
        <f t="shared" si="563"/>
        <v>#REF!</v>
      </c>
      <c r="AA590" s="371" t="e">
        <f t="shared" si="563"/>
        <v>#REF!</v>
      </c>
      <c r="AB590" s="50"/>
    </row>
    <row r="591" ht="28.8" outlineLevel="2" spans="1:28">
      <c r="A591" s="52">
        <f>MAX($A$6:A590)+1</f>
        <v>493</v>
      </c>
      <c r="B591" s="51" t="s">
        <v>588</v>
      </c>
      <c r="C591" s="51" t="e">
        <f>VLOOKUP($B591,#REF!,MATCH(C$2,#REF!,0),0)</f>
        <v>#REF!</v>
      </c>
      <c r="D591" s="136"/>
      <c r="E591" s="136"/>
      <c r="F591" s="136" t="e">
        <f>VLOOKUP($B591,#REF!,MATCH(F$2,#REF!,0),0)</f>
        <v>#REF!</v>
      </c>
      <c r="G591" s="137" t="e">
        <f>VLOOKUP($B591,#REF!,MATCH(G$2,#REF!,0),0)</f>
        <v>#REF!</v>
      </c>
      <c r="H591" s="48">
        <v>1</v>
      </c>
      <c r="I591" s="48"/>
      <c r="J591" s="48"/>
      <c r="K591" s="48"/>
      <c r="L591" s="48"/>
      <c r="M591" s="48"/>
      <c r="N591" s="48"/>
      <c r="O591" s="48"/>
      <c r="P591" s="48"/>
      <c r="Q591" s="48"/>
      <c r="R591" s="371" t="e">
        <f t="shared" ref="R591:AA591" si="564">$G591*H591</f>
        <v>#REF!</v>
      </c>
      <c r="S591" s="371" t="e">
        <f t="shared" si="564"/>
        <v>#REF!</v>
      </c>
      <c r="T591" s="371" t="e">
        <f t="shared" si="564"/>
        <v>#REF!</v>
      </c>
      <c r="U591" s="371" t="e">
        <f t="shared" si="564"/>
        <v>#REF!</v>
      </c>
      <c r="V591" s="371" t="e">
        <f t="shared" si="564"/>
        <v>#REF!</v>
      </c>
      <c r="W591" s="371" t="e">
        <f t="shared" si="564"/>
        <v>#REF!</v>
      </c>
      <c r="X591" s="371" t="e">
        <f t="shared" si="564"/>
        <v>#REF!</v>
      </c>
      <c r="Y591" s="371" t="e">
        <f t="shared" si="564"/>
        <v>#REF!</v>
      </c>
      <c r="Z591" s="371" t="e">
        <f t="shared" si="564"/>
        <v>#REF!</v>
      </c>
      <c r="AA591" s="371" t="e">
        <f t="shared" si="564"/>
        <v>#REF!</v>
      </c>
      <c r="AB591" s="50"/>
    </row>
    <row r="592" outlineLevel="2" spans="1:28">
      <c r="A592" s="52">
        <f>MAX($A$6:A591)+1</f>
        <v>494</v>
      </c>
      <c r="B592" s="51" t="s">
        <v>415</v>
      </c>
      <c r="C592" s="51" t="e">
        <f>VLOOKUP($B592,#REF!,MATCH(C$2,#REF!,0),0)</f>
        <v>#REF!</v>
      </c>
      <c r="D592" s="136"/>
      <c r="E592" s="136"/>
      <c r="F592" s="136" t="e">
        <f>VLOOKUP($B592,#REF!,MATCH(F$2,#REF!,0),0)</f>
        <v>#REF!</v>
      </c>
      <c r="G592" s="137" t="e">
        <f>VLOOKUP($B592,#REF!,MATCH(G$2,#REF!,0),0)</f>
        <v>#REF!</v>
      </c>
      <c r="H592" s="48">
        <v>102.96</v>
      </c>
      <c r="I592" s="48">
        <v>102.96</v>
      </c>
      <c r="J592" s="48">
        <v>196.86</v>
      </c>
      <c r="K592" s="48">
        <v>196.86</v>
      </c>
      <c r="L592" s="48"/>
      <c r="M592" s="48">
        <v>1</v>
      </c>
      <c r="N592" s="48">
        <v>1</v>
      </c>
      <c r="O592" s="48">
        <v>1</v>
      </c>
      <c r="P592" s="48"/>
      <c r="Q592" s="48"/>
      <c r="R592" s="371" t="e">
        <f t="shared" ref="R592:AA592" si="565">$G592*H592</f>
        <v>#REF!</v>
      </c>
      <c r="S592" s="371" t="e">
        <f t="shared" si="565"/>
        <v>#REF!</v>
      </c>
      <c r="T592" s="371" t="e">
        <f t="shared" si="565"/>
        <v>#REF!</v>
      </c>
      <c r="U592" s="371" t="e">
        <f t="shared" si="565"/>
        <v>#REF!</v>
      </c>
      <c r="V592" s="371" t="e">
        <f t="shared" si="565"/>
        <v>#REF!</v>
      </c>
      <c r="W592" s="371" t="e">
        <f t="shared" si="565"/>
        <v>#REF!</v>
      </c>
      <c r="X592" s="371" t="e">
        <f t="shared" si="565"/>
        <v>#REF!</v>
      </c>
      <c r="Y592" s="371" t="e">
        <f t="shared" si="565"/>
        <v>#REF!</v>
      </c>
      <c r="Z592" s="371" t="e">
        <f t="shared" si="565"/>
        <v>#REF!</v>
      </c>
      <c r="AA592" s="371" t="e">
        <f t="shared" si="565"/>
        <v>#REF!</v>
      </c>
      <c r="AB592" s="50"/>
    </row>
    <row r="593" s="122" customFormat="1" outlineLevel="2" spans="1:28">
      <c r="A593" s="130"/>
      <c r="B593" s="154" t="s">
        <v>612</v>
      </c>
      <c r="C593" s="154"/>
      <c r="D593" s="154"/>
      <c r="E593" s="154"/>
      <c r="F593" s="130"/>
      <c r="G593" s="134"/>
      <c r="H593" s="134"/>
      <c r="I593" s="134"/>
      <c r="J593" s="134"/>
      <c r="K593" s="134"/>
      <c r="L593" s="134"/>
      <c r="M593" s="134"/>
      <c r="N593" s="134"/>
      <c r="O593" s="134"/>
      <c r="P593" s="134"/>
      <c r="Q593" s="134"/>
      <c r="R593" s="367"/>
      <c r="S593" s="367"/>
      <c r="T593" s="367"/>
      <c r="U593" s="367"/>
      <c r="V593" s="371"/>
      <c r="W593" s="367"/>
      <c r="X593" s="367"/>
      <c r="Y593" s="367"/>
      <c r="Z593" s="367"/>
      <c r="AA593" s="367"/>
      <c r="AB593" s="130"/>
    </row>
    <row r="594" ht="28.8" outlineLevel="2" spans="1:28">
      <c r="A594" s="52">
        <f>MAX($A$6:A593)+1</f>
        <v>495</v>
      </c>
      <c r="B594" s="51" t="s">
        <v>587</v>
      </c>
      <c r="C594" s="51" t="e">
        <f>VLOOKUP($B594,#REF!,MATCH(C$2,#REF!,0),0)</f>
        <v>#REF!</v>
      </c>
      <c r="D594" s="136"/>
      <c r="E594" s="136"/>
      <c r="F594" s="136" t="e">
        <f>VLOOKUP($B594,#REF!,MATCH(F$2,#REF!,0),0)</f>
        <v>#REF!</v>
      </c>
      <c r="G594" s="137" t="e">
        <f>VLOOKUP($B594,#REF!,MATCH(G$2,#REF!,0),0)</f>
        <v>#REF!</v>
      </c>
      <c r="H594" s="48">
        <v>1</v>
      </c>
      <c r="I594" s="48"/>
      <c r="J594" s="48"/>
      <c r="K594" s="48"/>
      <c r="L594" s="48"/>
      <c r="M594" s="48"/>
      <c r="N594" s="48"/>
      <c r="O594" s="48"/>
      <c r="P594" s="48"/>
      <c r="Q594" s="48"/>
      <c r="R594" s="371" t="e">
        <f>$G594*H594</f>
        <v>#REF!</v>
      </c>
      <c r="S594" s="371" t="e">
        <f t="shared" ref="S594:AA594" si="566">$G594*I594</f>
        <v>#REF!</v>
      </c>
      <c r="T594" s="371" t="e">
        <f t="shared" si="566"/>
        <v>#REF!</v>
      </c>
      <c r="U594" s="371" t="e">
        <f t="shared" si="566"/>
        <v>#REF!</v>
      </c>
      <c r="V594" s="371" t="e">
        <f t="shared" si="566"/>
        <v>#REF!</v>
      </c>
      <c r="W594" s="371" t="e">
        <f t="shared" si="566"/>
        <v>#REF!</v>
      </c>
      <c r="X594" s="371" t="e">
        <f t="shared" si="566"/>
        <v>#REF!</v>
      </c>
      <c r="Y594" s="371" t="e">
        <f t="shared" si="566"/>
        <v>#REF!</v>
      </c>
      <c r="Z594" s="371" t="e">
        <f t="shared" si="566"/>
        <v>#REF!</v>
      </c>
      <c r="AA594" s="371" t="e">
        <f t="shared" si="566"/>
        <v>#REF!</v>
      </c>
      <c r="AB594" s="50"/>
    </row>
    <row r="595" outlineLevel="2" spans="1:28">
      <c r="A595" s="52">
        <f>MAX($A$6:A594)+1</f>
        <v>496</v>
      </c>
      <c r="B595" s="51" t="s">
        <v>576</v>
      </c>
      <c r="C595" s="51" t="e">
        <f>VLOOKUP($B595,#REF!,MATCH(C$2,#REF!,0),0)</f>
        <v>#REF!</v>
      </c>
      <c r="D595" s="136"/>
      <c r="E595" s="136"/>
      <c r="F595" s="136" t="e">
        <f>VLOOKUP($B595,#REF!,MATCH(F$2,#REF!,0),0)</f>
        <v>#REF!</v>
      </c>
      <c r="G595" s="137" t="e">
        <f>VLOOKUP($B595,#REF!,MATCH(G$2,#REF!,0),0)</f>
        <v>#REF!</v>
      </c>
      <c r="H595" s="48">
        <v>1</v>
      </c>
      <c r="I595" s="48"/>
      <c r="J595" s="48"/>
      <c r="K595" s="48"/>
      <c r="L595" s="48"/>
      <c r="M595" s="48"/>
      <c r="N595" s="48"/>
      <c r="O595" s="48"/>
      <c r="P595" s="48"/>
      <c r="Q595" s="48"/>
      <c r="R595" s="371" t="e">
        <f t="shared" ref="R595:AA595" si="567">$G595*H595</f>
        <v>#REF!</v>
      </c>
      <c r="S595" s="371" t="e">
        <f t="shared" si="567"/>
        <v>#REF!</v>
      </c>
      <c r="T595" s="371" t="e">
        <f t="shared" si="567"/>
        <v>#REF!</v>
      </c>
      <c r="U595" s="371" t="e">
        <f t="shared" si="567"/>
        <v>#REF!</v>
      </c>
      <c r="V595" s="371" t="e">
        <f t="shared" si="567"/>
        <v>#REF!</v>
      </c>
      <c r="W595" s="371" t="e">
        <f t="shared" si="567"/>
        <v>#REF!</v>
      </c>
      <c r="X595" s="371" t="e">
        <f t="shared" si="567"/>
        <v>#REF!</v>
      </c>
      <c r="Y595" s="371" t="e">
        <f t="shared" si="567"/>
        <v>#REF!</v>
      </c>
      <c r="Z595" s="371" t="e">
        <f t="shared" si="567"/>
        <v>#REF!</v>
      </c>
      <c r="AA595" s="371" t="e">
        <f t="shared" si="567"/>
        <v>#REF!</v>
      </c>
      <c r="AB595" s="50"/>
    </row>
    <row r="596" outlineLevel="2" spans="1:28">
      <c r="A596" s="52">
        <f>MAX($A$6:A595)+1</f>
        <v>497</v>
      </c>
      <c r="B596" s="51" t="s">
        <v>424</v>
      </c>
      <c r="C596" s="51" t="e">
        <f>VLOOKUP($B596,#REF!,MATCH(C$2,#REF!,0),0)</f>
        <v>#REF!</v>
      </c>
      <c r="D596" s="136"/>
      <c r="E596" s="136"/>
      <c r="F596" s="136" t="e">
        <f>VLOOKUP($B596,#REF!,MATCH(F$2,#REF!,0),0)</f>
        <v>#REF!</v>
      </c>
      <c r="G596" s="137" t="e">
        <f>VLOOKUP($B596,#REF!,MATCH(G$2,#REF!,0),0)</f>
        <v>#REF!</v>
      </c>
      <c r="H596" s="48">
        <v>1</v>
      </c>
      <c r="I596" s="48"/>
      <c r="J596" s="48"/>
      <c r="K596" s="48"/>
      <c r="L596" s="48"/>
      <c r="M596" s="48"/>
      <c r="N596" s="48"/>
      <c r="O596" s="48"/>
      <c r="P596" s="48"/>
      <c r="Q596" s="48"/>
      <c r="R596" s="371" t="e">
        <f t="shared" ref="R596:AA596" si="568">$G596*H596</f>
        <v>#REF!</v>
      </c>
      <c r="S596" s="371" t="e">
        <f t="shared" si="568"/>
        <v>#REF!</v>
      </c>
      <c r="T596" s="371" t="e">
        <f t="shared" si="568"/>
        <v>#REF!</v>
      </c>
      <c r="U596" s="371" t="e">
        <f t="shared" si="568"/>
        <v>#REF!</v>
      </c>
      <c r="V596" s="371" t="e">
        <f t="shared" si="568"/>
        <v>#REF!</v>
      </c>
      <c r="W596" s="371" t="e">
        <f t="shared" si="568"/>
        <v>#REF!</v>
      </c>
      <c r="X596" s="371" t="e">
        <f t="shared" si="568"/>
        <v>#REF!</v>
      </c>
      <c r="Y596" s="371" t="e">
        <f t="shared" si="568"/>
        <v>#REF!</v>
      </c>
      <c r="Z596" s="371" t="e">
        <f t="shared" si="568"/>
        <v>#REF!</v>
      </c>
      <c r="AA596" s="371" t="e">
        <f t="shared" si="568"/>
        <v>#REF!</v>
      </c>
      <c r="AB596" s="50"/>
    </row>
    <row r="597" ht="28.8" outlineLevel="2" spans="1:28">
      <c r="A597" s="52">
        <f>MAX($A$6:A596)+1</f>
        <v>498</v>
      </c>
      <c r="B597" s="51" t="s">
        <v>588</v>
      </c>
      <c r="C597" s="51" t="e">
        <f>VLOOKUP($B597,#REF!,MATCH(C$2,#REF!,0),0)</f>
        <v>#REF!</v>
      </c>
      <c r="D597" s="136"/>
      <c r="E597" s="136"/>
      <c r="F597" s="136" t="e">
        <f>VLOOKUP($B597,#REF!,MATCH(F$2,#REF!,0),0)</f>
        <v>#REF!</v>
      </c>
      <c r="G597" s="137" t="e">
        <f>VLOOKUP($B597,#REF!,MATCH(G$2,#REF!,0),0)</f>
        <v>#REF!</v>
      </c>
      <c r="H597" s="48">
        <v>1</v>
      </c>
      <c r="I597" s="48"/>
      <c r="J597" s="48"/>
      <c r="K597" s="48"/>
      <c r="L597" s="48"/>
      <c r="M597" s="48"/>
      <c r="N597" s="48"/>
      <c r="O597" s="48"/>
      <c r="P597" s="48"/>
      <c r="Q597" s="48"/>
      <c r="R597" s="371" t="e">
        <f t="shared" ref="R597:AA597" si="569">$G597*H597</f>
        <v>#REF!</v>
      </c>
      <c r="S597" s="371" t="e">
        <f t="shared" si="569"/>
        <v>#REF!</v>
      </c>
      <c r="T597" s="371" t="e">
        <f t="shared" si="569"/>
        <v>#REF!</v>
      </c>
      <c r="U597" s="371" t="e">
        <f t="shared" si="569"/>
        <v>#REF!</v>
      </c>
      <c r="V597" s="371" t="e">
        <f t="shared" si="569"/>
        <v>#REF!</v>
      </c>
      <c r="W597" s="371" t="e">
        <f t="shared" si="569"/>
        <v>#REF!</v>
      </c>
      <c r="X597" s="371" t="e">
        <f t="shared" si="569"/>
        <v>#REF!</v>
      </c>
      <c r="Y597" s="371" t="e">
        <f t="shared" si="569"/>
        <v>#REF!</v>
      </c>
      <c r="Z597" s="371" t="e">
        <f t="shared" si="569"/>
        <v>#REF!</v>
      </c>
      <c r="AA597" s="371" t="e">
        <f t="shared" si="569"/>
        <v>#REF!</v>
      </c>
      <c r="AB597" s="50"/>
    </row>
    <row r="598" outlineLevel="2" spans="1:28">
      <c r="A598" s="52">
        <f>MAX($A$6:A597)+1</f>
        <v>499</v>
      </c>
      <c r="B598" s="51" t="s">
        <v>425</v>
      </c>
      <c r="C598" s="51" t="e">
        <f>VLOOKUP($B598,#REF!,MATCH(C$2,#REF!,0),0)</f>
        <v>#REF!</v>
      </c>
      <c r="D598" s="136"/>
      <c r="E598" s="136"/>
      <c r="F598" s="136" t="e">
        <f>VLOOKUP($B598,#REF!,MATCH(F$2,#REF!,0),0)</f>
        <v>#REF!</v>
      </c>
      <c r="G598" s="137" t="e">
        <f>VLOOKUP($B598,#REF!,MATCH(G$2,#REF!,0),0)</f>
        <v>#REF!</v>
      </c>
      <c r="H598" s="48">
        <v>1</v>
      </c>
      <c r="I598" s="48"/>
      <c r="J598" s="48"/>
      <c r="K598" s="48"/>
      <c r="L598" s="48"/>
      <c r="M598" s="48"/>
      <c r="N598" s="48"/>
      <c r="O598" s="48"/>
      <c r="P598" s="48"/>
      <c r="Q598" s="48"/>
      <c r="R598" s="371" t="e">
        <f t="shared" ref="R598:AA598" si="570">$G598*H598</f>
        <v>#REF!</v>
      </c>
      <c r="S598" s="371" t="e">
        <f t="shared" si="570"/>
        <v>#REF!</v>
      </c>
      <c r="T598" s="371" t="e">
        <f t="shared" si="570"/>
        <v>#REF!</v>
      </c>
      <c r="U598" s="371" t="e">
        <f t="shared" si="570"/>
        <v>#REF!</v>
      </c>
      <c r="V598" s="371" t="e">
        <f t="shared" si="570"/>
        <v>#REF!</v>
      </c>
      <c r="W598" s="371" t="e">
        <f t="shared" si="570"/>
        <v>#REF!</v>
      </c>
      <c r="X598" s="371" t="e">
        <f t="shared" si="570"/>
        <v>#REF!</v>
      </c>
      <c r="Y598" s="371" t="e">
        <f t="shared" si="570"/>
        <v>#REF!</v>
      </c>
      <c r="Z598" s="371" t="e">
        <f t="shared" si="570"/>
        <v>#REF!</v>
      </c>
      <c r="AA598" s="371" t="e">
        <f t="shared" si="570"/>
        <v>#REF!</v>
      </c>
      <c r="AB598" s="50"/>
    </row>
    <row r="599" s="122" customFormat="1" outlineLevel="2" spans="1:28">
      <c r="A599" s="130"/>
      <c r="B599" s="154" t="s">
        <v>613</v>
      </c>
      <c r="C599" s="154"/>
      <c r="D599" s="154"/>
      <c r="E599" s="154"/>
      <c r="F599" s="130"/>
      <c r="G599" s="134"/>
      <c r="H599" s="134"/>
      <c r="I599" s="134"/>
      <c r="J599" s="134"/>
      <c r="K599" s="134"/>
      <c r="L599" s="134"/>
      <c r="M599" s="134"/>
      <c r="N599" s="134"/>
      <c r="O599" s="134"/>
      <c r="P599" s="134"/>
      <c r="Q599" s="134"/>
      <c r="R599" s="367"/>
      <c r="S599" s="367"/>
      <c r="T599" s="367"/>
      <c r="U599" s="367"/>
      <c r="V599" s="371"/>
      <c r="W599" s="367"/>
      <c r="X599" s="367"/>
      <c r="Y599" s="367"/>
      <c r="Z599" s="367"/>
      <c r="AA599" s="367"/>
      <c r="AB599" s="130"/>
    </row>
    <row r="600" ht="28.8" outlineLevel="2" spans="1:28">
      <c r="A600" s="52">
        <f>MAX($A$6:A599)+1</f>
        <v>500</v>
      </c>
      <c r="B600" s="51" t="s">
        <v>597</v>
      </c>
      <c r="C600" s="51" t="e">
        <f>VLOOKUP($B600,#REF!,MATCH(C$2,#REF!,0),0)</f>
        <v>#REF!</v>
      </c>
      <c r="D600" s="136"/>
      <c r="E600" s="136"/>
      <c r="F600" s="136" t="e">
        <f>VLOOKUP($B600,#REF!,MATCH(F$2,#REF!,0),0)</f>
        <v>#REF!</v>
      </c>
      <c r="G600" s="137" t="e">
        <f>VLOOKUP($B600,#REF!,MATCH(G$2,#REF!,0),0)</f>
        <v>#REF!</v>
      </c>
      <c r="H600" s="48"/>
      <c r="I600" s="48">
        <v>19.57</v>
      </c>
      <c r="J600" s="48">
        <v>1</v>
      </c>
      <c r="K600" s="48">
        <v>1</v>
      </c>
      <c r="L600" s="48"/>
      <c r="M600" s="48"/>
      <c r="N600" s="48"/>
      <c r="O600" s="48"/>
      <c r="P600" s="48"/>
      <c r="Q600" s="48"/>
      <c r="R600" s="371" t="e">
        <f>$G600*H600</f>
        <v>#REF!</v>
      </c>
      <c r="S600" s="371" t="e">
        <f t="shared" ref="S600:AA600" si="571">$G600*I600</f>
        <v>#REF!</v>
      </c>
      <c r="T600" s="371" t="e">
        <f t="shared" si="571"/>
        <v>#REF!</v>
      </c>
      <c r="U600" s="371" t="e">
        <f t="shared" si="571"/>
        <v>#REF!</v>
      </c>
      <c r="V600" s="371" t="e">
        <f t="shared" si="571"/>
        <v>#REF!</v>
      </c>
      <c r="W600" s="371" t="e">
        <f t="shared" si="571"/>
        <v>#REF!</v>
      </c>
      <c r="X600" s="371" t="e">
        <f t="shared" si="571"/>
        <v>#REF!</v>
      </c>
      <c r="Y600" s="371" t="e">
        <f t="shared" si="571"/>
        <v>#REF!</v>
      </c>
      <c r="Z600" s="371" t="e">
        <f t="shared" si="571"/>
        <v>#REF!</v>
      </c>
      <c r="AA600" s="371" t="e">
        <f t="shared" si="571"/>
        <v>#REF!</v>
      </c>
      <c r="AB600" s="50"/>
    </row>
    <row r="601" ht="28.8" outlineLevel="2" spans="1:28">
      <c r="A601" s="52">
        <f>MAX($A$6:A600)+1</f>
        <v>501</v>
      </c>
      <c r="B601" s="51" t="s">
        <v>587</v>
      </c>
      <c r="C601" s="51" t="e">
        <f>VLOOKUP($B601,#REF!,MATCH(C$2,#REF!,0),0)</f>
        <v>#REF!</v>
      </c>
      <c r="D601" s="136"/>
      <c r="E601" s="136"/>
      <c r="F601" s="136" t="e">
        <f>VLOOKUP($B601,#REF!,MATCH(F$2,#REF!,0),0)</f>
        <v>#REF!</v>
      </c>
      <c r="G601" s="137" t="e">
        <f>VLOOKUP($B601,#REF!,MATCH(G$2,#REF!,0),0)</f>
        <v>#REF!</v>
      </c>
      <c r="H601" s="48"/>
      <c r="I601" s="48">
        <v>19.57</v>
      </c>
      <c r="J601" s="48">
        <v>1</v>
      </c>
      <c r="K601" s="48">
        <v>1</v>
      </c>
      <c r="L601" s="48"/>
      <c r="M601" s="48"/>
      <c r="N601" s="48"/>
      <c r="O601" s="48"/>
      <c r="P601" s="48"/>
      <c r="Q601" s="48"/>
      <c r="R601" s="371" t="e">
        <f t="shared" ref="R601:R606" si="572">$G601*H601</f>
        <v>#REF!</v>
      </c>
      <c r="S601" s="371" t="e">
        <f t="shared" ref="S601:S606" si="573">$G601*I601</f>
        <v>#REF!</v>
      </c>
      <c r="T601" s="371" t="e">
        <f t="shared" ref="T601:T606" si="574">$G601*J601</f>
        <v>#REF!</v>
      </c>
      <c r="U601" s="371" t="e">
        <f t="shared" ref="U601:U606" si="575">$G601*K601</f>
        <v>#REF!</v>
      </c>
      <c r="V601" s="371" t="e">
        <f t="shared" ref="V601:V606" si="576">$G601*L601</f>
        <v>#REF!</v>
      </c>
      <c r="W601" s="371" t="e">
        <f t="shared" ref="W601:W606" si="577">$G601*M601</f>
        <v>#REF!</v>
      </c>
      <c r="X601" s="371" t="e">
        <f t="shared" ref="X601:X606" si="578">$G601*N601</f>
        <v>#REF!</v>
      </c>
      <c r="Y601" s="371" t="e">
        <f t="shared" ref="Y601:Y606" si="579">$G601*O601</f>
        <v>#REF!</v>
      </c>
      <c r="Z601" s="371" t="e">
        <f t="shared" ref="Z601:Z606" si="580">$G601*P601</f>
        <v>#REF!</v>
      </c>
      <c r="AA601" s="371" t="e">
        <f t="shared" ref="AA601:AA606" si="581">$G601*Q601</f>
        <v>#REF!</v>
      </c>
      <c r="AB601" s="50"/>
    </row>
    <row r="602" outlineLevel="2" spans="1:28">
      <c r="A602" s="52">
        <f>MAX($A$6:A601)+1</f>
        <v>502</v>
      </c>
      <c r="B602" s="51" t="s">
        <v>576</v>
      </c>
      <c r="C602" s="51" t="e">
        <f>VLOOKUP($B602,#REF!,MATCH(C$2,#REF!,0),0)</f>
        <v>#REF!</v>
      </c>
      <c r="D602" s="136"/>
      <c r="E602" s="136"/>
      <c r="F602" s="136" t="e">
        <f>VLOOKUP($B602,#REF!,MATCH(F$2,#REF!,0),0)</f>
        <v>#REF!</v>
      </c>
      <c r="G602" s="137" t="e">
        <f>VLOOKUP($B602,#REF!,MATCH(G$2,#REF!,0),0)</f>
        <v>#REF!</v>
      </c>
      <c r="H602" s="48"/>
      <c r="I602" s="48">
        <v>19.57</v>
      </c>
      <c r="J602" s="48">
        <v>1</v>
      </c>
      <c r="K602" s="48">
        <v>1</v>
      </c>
      <c r="L602" s="48"/>
      <c r="M602" s="48"/>
      <c r="N602" s="48"/>
      <c r="O602" s="48"/>
      <c r="P602" s="48"/>
      <c r="Q602" s="48"/>
      <c r="R602" s="371" t="e">
        <f t="shared" si="572"/>
        <v>#REF!</v>
      </c>
      <c r="S602" s="371" t="e">
        <f t="shared" si="573"/>
        <v>#REF!</v>
      </c>
      <c r="T602" s="371" t="e">
        <f t="shared" si="574"/>
        <v>#REF!</v>
      </c>
      <c r="U602" s="371" t="e">
        <f t="shared" si="575"/>
        <v>#REF!</v>
      </c>
      <c r="V602" s="371" t="e">
        <f t="shared" si="576"/>
        <v>#REF!</v>
      </c>
      <c r="W602" s="371" t="e">
        <f t="shared" si="577"/>
        <v>#REF!</v>
      </c>
      <c r="X602" s="371" t="e">
        <f t="shared" si="578"/>
        <v>#REF!</v>
      </c>
      <c r="Y602" s="371" t="e">
        <f t="shared" si="579"/>
        <v>#REF!</v>
      </c>
      <c r="Z602" s="371" t="e">
        <f t="shared" si="580"/>
        <v>#REF!</v>
      </c>
      <c r="AA602" s="371" t="e">
        <f t="shared" si="581"/>
        <v>#REF!</v>
      </c>
      <c r="AB602" s="50"/>
    </row>
    <row r="603" outlineLevel="2" spans="1:28">
      <c r="A603" s="52">
        <f>MAX($A$6:A602)+1</f>
        <v>503</v>
      </c>
      <c r="B603" s="51" t="s">
        <v>424</v>
      </c>
      <c r="C603" s="51" t="e">
        <f>VLOOKUP($B603,#REF!,MATCH(C$2,#REF!,0),0)</f>
        <v>#REF!</v>
      </c>
      <c r="D603" s="136"/>
      <c r="E603" s="136"/>
      <c r="F603" s="136" t="e">
        <f>VLOOKUP($B603,#REF!,MATCH(F$2,#REF!,0),0)</f>
        <v>#REF!</v>
      </c>
      <c r="G603" s="137" t="e">
        <f>VLOOKUP($B603,#REF!,MATCH(G$2,#REF!,0),0)</f>
        <v>#REF!</v>
      </c>
      <c r="H603" s="48"/>
      <c r="I603" s="48">
        <v>19.57</v>
      </c>
      <c r="J603" s="48">
        <v>1</v>
      </c>
      <c r="K603" s="48">
        <v>1</v>
      </c>
      <c r="L603" s="48"/>
      <c r="M603" s="48"/>
      <c r="N603" s="48"/>
      <c r="O603" s="48"/>
      <c r="P603" s="48"/>
      <c r="Q603" s="48"/>
      <c r="R603" s="371" t="e">
        <f t="shared" si="572"/>
        <v>#REF!</v>
      </c>
      <c r="S603" s="371" t="e">
        <f t="shared" si="573"/>
        <v>#REF!</v>
      </c>
      <c r="T603" s="371" t="e">
        <f t="shared" si="574"/>
        <v>#REF!</v>
      </c>
      <c r="U603" s="371" t="e">
        <f t="shared" si="575"/>
        <v>#REF!</v>
      </c>
      <c r="V603" s="371" t="e">
        <f t="shared" si="576"/>
        <v>#REF!</v>
      </c>
      <c r="W603" s="371" t="e">
        <f t="shared" si="577"/>
        <v>#REF!</v>
      </c>
      <c r="X603" s="371" t="e">
        <f t="shared" si="578"/>
        <v>#REF!</v>
      </c>
      <c r="Y603" s="371" t="e">
        <f t="shared" si="579"/>
        <v>#REF!</v>
      </c>
      <c r="Z603" s="371" t="e">
        <f t="shared" si="580"/>
        <v>#REF!</v>
      </c>
      <c r="AA603" s="371" t="e">
        <f t="shared" si="581"/>
        <v>#REF!</v>
      </c>
      <c r="AB603" s="50"/>
    </row>
    <row r="604" ht="28.8" outlineLevel="2" spans="1:28">
      <c r="A604" s="52">
        <f>MAX($A$6:A603)+1</f>
        <v>504</v>
      </c>
      <c r="B604" s="51" t="s">
        <v>588</v>
      </c>
      <c r="C604" s="51" t="e">
        <f>VLOOKUP($B604,#REF!,MATCH(C$2,#REF!,0),0)</f>
        <v>#REF!</v>
      </c>
      <c r="D604" s="136"/>
      <c r="E604" s="136"/>
      <c r="F604" s="136" t="e">
        <f>VLOOKUP($B604,#REF!,MATCH(F$2,#REF!,0),0)</f>
        <v>#REF!</v>
      </c>
      <c r="G604" s="137" t="e">
        <f>VLOOKUP($B604,#REF!,MATCH(G$2,#REF!,0),0)</f>
        <v>#REF!</v>
      </c>
      <c r="H604" s="48"/>
      <c r="I604" s="48">
        <v>19.57</v>
      </c>
      <c r="J604" s="48">
        <v>1</v>
      </c>
      <c r="K604" s="48">
        <v>1</v>
      </c>
      <c r="L604" s="48"/>
      <c r="M604" s="48"/>
      <c r="N604" s="48"/>
      <c r="O604" s="48"/>
      <c r="P604" s="48"/>
      <c r="Q604" s="48"/>
      <c r="R604" s="371" t="e">
        <f t="shared" si="572"/>
        <v>#REF!</v>
      </c>
      <c r="S604" s="371" t="e">
        <f t="shared" si="573"/>
        <v>#REF!</v>
      </c>
      <c r="T604" s="371" t="e">
        <f t="shared" si="574"/>
        <v>#REF!</v>
      </c>
      <c r="U604" s="371" t="e">
        <f t="shared" si="575"/>
        <v>#REF!</v>
      </c>
      <c r="V604" s="371" t="e">
        <f t="shared" si="576"/>
        <v>#REF!</v>
      </c>
      <c r="W604" s="371" t="e">
        <f t="shared" si="577"/>
        <v>#REF!</v>
      </c>
      <c r="X604" s="371" t="e">
        <f t="shared" si="578"/>
        <v>#REF!</v>
      </c>
      <c r="Y604" s="371" t="e">
        <f t="shared" si="579"/>
        <v>#REF!</v>
      </c>
      <c r="Z604" s="371" t="e">
        <f t="shared" si="580"/>
        <v>#REF!</v>
      </c>
      <c r="AA604" s="371" t="e">
        <f t="shared" si="581"/>
        <v>#REF!</v>
      </c>
      <c r="AB604" s="50"/>
    </row>
    <row r="605" outlineLevel="2" spans="1:28">
      <c r="A605" s="52">
        <f>MAX($A$6:A604)+1</f>
        <v>505</v>
      </c>
      <c r="B605" s="51" t="s">
        <v>425</v>
      </c>
      <c r="C605" s="51" t="e">
        <f>VLOOKUP($B605,#REF!,MATCH(C$2,#REF!,0),0)</f>
        <v>#REF!</v>
      </c>
      <c r="D605" s="136"/>
      <c r="E605" s="136"/>
      <c r="F605" s="136" t="e">
        <f>VLOOKUP($B605,#REF!,MATCH(F$2,#REF!,0),0)</f>
        <v>#REF!</v>
      </c>
      <c r="G605" s="137" t="e">
        <f>VLOOKUP($B605,#REF!,MATCH(G$2,#REF!,0),0)</f>
        <v>#REF!</v>
      </c>
      <c r="H605" s="48"/>
      <c r="I605" s="48">
        <v>19.57</v>
      </c>
      <c r="J605" s="48">
        <v>1</v>
      </c>
      <c r="K605" s="48">
        <v>1</v>
      </c>
      <c r="L605" s="48"/>
      <c r="M605" s="48"/>
      <c r="N605" s="48"/>
      <c r="O605" s="48"/>
      <c r="P605" s="48"/>
      <c r="Q605" s="48"/>
      <c r="R605" s="371" t="e">
        <f t="shared" si="572"/>
        <v>#REF!</v>
      </c>
      <c r="S605" s="371" t="e">
        <f t="shared" si="573"/>
        <v>#REF!</v>
      </c>
      <c r="T605" s="371" t="e">
        <f t="shared" si="574"/>
        <v>#REF!</v>
      </c>
      <c r="U605" s="371" t="e">
        <f t="shared" si="575"/>
        <v>#REF!</v>
      </c>
      <c r="V605" s="371" t="e">
        <f t="shared" si="576"/>
        <v>#REF!</v>
      </c>
      <c r="W605" s="371" t="e">
        <f t="shared" si="577"/>
        <v>#REF!</v>
      </c>
      <c r="X605" s="371" t="e">
        <f t="shared" si="578"/>
        <v>#REF!</v>
      </c>
      <c r="Y605" s="371" t="e">
        <f t="shared" si="579"/>
        <v>#REF!</v>
      </c>
      <c r="Z605" s="371" t="e">
        <f t="shared" si="580"/>
        <v>#REF!</v>
      </c>
      <c r="AA605" s="371" t="e">
        <f t="shared" si="581"/>
        <v>#REF!</v>
      </c>
      <c r="AB605" s="50"/>
    </row>
    <row r="606" ht="28.8" outlineLevel="2" spans="1:28">
      <c r="A606" s="52">
        <f>MAX($A$6:A605)+1</f>
        <v>506</v>
      </c>
      <c r="B606" s="51" t="s">
        <v>594</v>
      </c>
      <c r="C606" s="51" t="e">
        <f>VLOOKUP($B606,#REF!,MATCH(C$2,#REF!,0),0)</f>
        <v>#REF!</v>
      </c>
      <c r="D606" s="136"/>
      <c r="E606" s="136"/>
      <c r="F606" s="136" t="e">
        <f>VLOOKUP($B606,#REF!,MATCH(F$2,#REF!,0),0)</f>
        <v>#REF!</v>
      </c>
      <c r="G606" s="137" t="e">
        <f>VLOOKUP($B606,#REF!,MATCH(G$2,#REF!,0),0)</f>
        <v>#REF!</v>
      </c>
      <c r="H606" s="48">
        <v>1</v>
      </c>
      <c r="I606" s="48">
        <v>507.09</v>
      </c>
      <c r="J606" s="48">
        <v>388.7</v>
      </c>
      <c r="K606" s="48">
        <v>388.7</v>
      </c>
      <c r="L606" s="48"/>
      <c r="M606" s="48"/>
      <c r="N606" s="48"/>
      <c r="O606" s="48"/>
      <c r="P606" s="48"/>
      <c r="Q606" s="48"/>
      <c r="R606" s="371" t="e">
        <f t="shared" si="572"/>
        <v>#REF!</v>
      </c>
      <c r="S606" s="371" t="e">
        <f t="shared" si="573"/>
        <v>#REF!</v>
      </c>
      <c r="T606" s="371" t="e">
        <f t="shared" si="574"/>
        <v>#REF!</v>
      </c>
      <c r="U606" s="371" t="e">
        <f t="shared" si="575"/>
        <v>#REF!</v>
      </c>
      <c r="V606" s="371" t="e">
        <f t="shared" si="576"/>
        <v>#REF!</v>
      </c>
      <c r="W606" s="371" t="e">
        <f t="shared" si="577"/>
        <v>#REF!</v>
      </c>
      <c r="X606" s="371" t="e">
        <f t="shared" si="578"/>
        <v>#REF!</v>
      </c>
      <c r="Y606" s="371" t="e">
        <f t="shared" si="579"/>
        <v>#REF!</v>
      </c>
      <c r="Z606" s="371" t="e">
        <f t="shared" si="580"/>
        <v>#REF!</v>
      </c>
      <c r="AA606" s="371" t="e">
        <f t="shared" si="581"/>
        <v>#REF!</v>
      </c>
      <c r="AB606" s="50"/>
    </row>
    <row r="607" s="122" customFormat="1" outlineLevel="2" spans="1:28">
      <c r="A607" s="130"/>
      <c r="B607" s="154" t="s">
        <v>614</v>
      </c>
      <c r="C607" s="154"/>
      <c r="D607" s="154"/>
      <c r="E607" s="154"/>
      <c r="F607" s="130"/>
      <c r="G607" s="134"/>
      <c r="H607" s="134"/>
      <c r="I607" s="134"/>
      <c r="J607" s="134"/>
      <c r="K607" s="134"/>
      <c r="L607" s="134"/>
      <c r="M607" s="134"/>
      <c r="N607" s="134"/>
      <c r="O607" s="134"/>
      <c r="P607" s="134"/>
      <c r="Q607" s="134"/>
      <c r="R607" s="367"/>
      <c r="S607" s="367"/>
      <c r="T607" s="367"/>
      <c r="U607" s="367"/>
      <c r="V607" s="371"/>
      <c r="W607" s="367"/>
      <c r="X607" s="367"/>
      <c r="Y607" s="367"/>
      <c r="Z607" s="367"/>
      <c r="AA607" s="367"/>
      <c r="AB607" s="130"/>
    </row>
    <row r="608" ht="28.8" outlineLevel="2" spans="1:28">
      <c r="A608" s="52">
        <f>MAX($A$6:A607)+1</f>
        <v>507</v>
      </c>
      <c r="B608" s="51" t="s">
        <v>597</v>
      </c>
      <c r="C608" s="51" t="e">
        <f>VLOOKUP($B608,#REF!,MATCH(C$2,#REF!,0),0)</f>
        <v>#REF!</v>
      </c>
      <c r="D608" s="136"/>
      <c r="E608" s="136"/>
      <c r="F608" s="136" t="e">
        <f>VLOOKUP($B608,#REF!,MATCH(F$2,#REF!,0),0)</f>
        <v>#REF!</v>
      </c>
      <c r="G608" s="137" t="e">
        <f>VLOOKUP($B608,#REF!,MATCH(G$2,#REF!,0),0)</f>
        <v>#REF!</v>
      </c>
      <c r="H608" s="48"/>
      <c r="I608" s="48">
        <v>1</v>
      </c>
      <c r="J608" s="48">
        <v>1</v>
      </c>
      <c r="K608" s="48">
        <v>1</v>
      </c>
      <c r="L608" s="48"/>
      <c r="M608" s="48"/>
      <c r="N608" s="48"/>
      <c r="O608" s="48"/>
      <c r="P608" s="48"/>
      <c r="Q608" s="48"/>
      <c r="R608" s="371" t="e">
        <f>$G608*H608</f>
        <v>#REF!</v>
      </c>
      <c r="S608" s="371" t="e">
        <f t="shared" ref="S608:AA608" si="582">$G608*I608</f>
        <v>#REF!</v>
      </c>
      <c r="T608" s="371" t="e">
        <f t="shared" si="582"/>
        <v>#REF!</v>
      </c>
      <c r="U608" s="371" t="e">
        <f t="shared" si="582"/>
        <v>#REF!</v>
      </c>
      <c r="V608" s="371" t="e">
        <f t="shared" si="582"/>
        <v>#REF!</v>
      </c>
      <c r="W608" s="371" t="e">
        <f t="shared" si="582"/>
        <v>#REF!</v>
      </c>
      <c r="X608" s="371" t="e">
        <f t="shared" si="582"/>
        <v>#REF!</v>
      </c>
      <c r="Y608" s="371" t="e">
        <f t="shared" si="582"/>
        <v>#REF!</v>
      </c>
      <c r="Z608" s="371" t="e">
        <f t="shared" si="582"/>
        <v>#REF!</v>
      </c>
      <c r="AA608" s="371" t="e">
        <f t="shared" si="582"/>
        <v>#REF!</v>
      </c>
      <c r="AB608" s="50"/>
    </row>
    <row r="609" outlineLevel="2" spans="1:28">
      <c r="A609" s="52">
        <f>MAX($A$6:A608)+1</f>
        <v>508</v>
      </c>
      <c r="B609" s="51" t="s">
        <v>576</v>
      </c>
      <c r="C609" s="51" t="e">
        <f>VLOOKUP($B609,#REF!,MATCH(C$2,#REF!,0),0)</f>
        <v>#REF!</v>
      </c>
      <c r="D609" s="136"/>
      <c r="E609" s="136"/>
      <c r="F609" s="136" t="e">
        <f>VLOOKUP($B609,#REF!,MATCH(F$2,#REF!,0),0)</f>
        <v>#REF!</v>
      </c>
      <c r="G609" s="137" t="e">
        <f>VLOOKUP($B609,#REF!,MATCH(G$2,#REF!,0),0)</f>
        <v>#REF!</v>
      </c>
      <c r="H609" s="48"/>
      <c r="I609" s="48">
        <v>1</v>
      </c>
      <c r="J609" s="48">
        <v>1</v>
      </c>
      <c r="K609" s="48">
        <v>1</v>
      </c>
      <c r="L609" s="48"/>
      <c r="M609" s="48"/>
      <c r="N609" s="48"/>
      <c r="O609" s="48"/>
      <c r="P609" s="48"/>
      <c r="Q609" s="48"/>
      <c r="R609" s="371" t="e">
        <f t="shared" ref="R609:AA609" si="583">$G609*H609</f>
        <v>#REF!</v>
      </c>
      <c r="S609" s="371" t="e">
        <f t="shared" si="583"/>
        <v>#REF!</v>
      </c>
      <c r="T609" s="371" t="e">
        <f t="shared" si="583"/>
        <v>#REF!</v>
      </c>
      <c r="U609" s="371" t="e">
        <f t="shared" si="583"/>
        <v>#REF!</v>
      </c>
      <c r="V609" s="371" t="e">
        <f t="shared" si="583"/>
        <v>#REF!</v>
      </c>
      <c r="W609" s="371" t="e">
        <f t="shared" si="583"/>
        <v>#REF!</v>
      </c>
      <c r="X609" s="371" t="e">
        <f t="shared" si="583"/>
        <v>#REF!</v>
      </c>
      <c r="Y609" s="371" t="e">
        <f t="shared" si="583"/>
        <v>#REF!</v>
      </c>
      <c r="Z609" s="371" t="e">
        <f t="shared" si="583"/>
        <v>#REF!</v>
      </c>
      <c r="AA609" s="371" t="e">
        <f t="shared" si="583"/>
        <v>#REF!</v>
      </c>
      <c r="AB609" s="50"/>
    </row>
    <row r="610" s="122" customFormat="1" outlineLevel="2" spans="1:28">
      <c r="A610" s="130"/>
      <c r="B610" s="154" t="s">
        <v>615</v>
      </c>
      <c r="C610" s="154"/>
      <c r="D610" s="154"/>
      <c r="E610" s="154"/>
      <c r="F610" s="130"/>
      <c r="G610" s="134"/>
      <c r="H610" s="134"/>
      <c r="I610" s="134"/>
      <c r="J610" s="134"/>
      <c r="K610" s="134"/>
      <c r="L610" s="134"/>
      <c r="M610" s="134"/>
      <c r="N610" s="134"/>
      <c r="O610" s="134"/>
      <c r="P610" s="134"/>
      <c r="Q610" s="134"/>
      <c r="R610" s="367"/>
      <c r="S610" s="367"/>
      <c r="T610" s="367"/>
      <c r="U610" s="367"/>
      <c r="V610" s="371"/>
      <c r="W610" s="367"/>
      <c r="X610" s="367"/>
      <c r="Y610" s="367"/>
      <c r="Z610" s="367"/>
      <c r="AA610" s="367"/>
      <c r="AB610" s="130"/>
    </row>
    <row r="611" ht="28.8" outlineLevel="2" spans="1:28">
      <c r="A611" s="52">
        <f>MAX($A$6:A610)+1</f>
        <v>509</v>
      </c>
      <c r="B611" s="51" t="s">
        <v>597</v>
      </c>
      <c r="C611" s="51" t="e">
        <f>VLOOKUP($B611,#REF!,MATCH(C$2,#REF!,0),0)</f>
        <v>#REF!</v>
      </c>
      <c r="D611" s="136"/>
      <c r="E611" s="136"/>
      <c r="F611" s="136" t="e">
        <f>VLOOKUP($B611,#REF!,MATCH(F$2,#REF!,0),0)</f>
        <v>#REF!</v>
      </c>
      <c r="G611" s="137" t="e">
        <f>VLOOKUP($B611,#REF!,MATCH(G$2,#REF!,0),0)</f>
        <v>#REF!</v>
      </c>
      <c r="H611" s="48"/>
      <c r="I611" s="48"/>
      <c r="J611" s="48"/>
      <c r="K611" s="48"/>
      <c r="L611" s="48"/>
      <c r="M611" s="48">
        <v>1</v>
      </c>
      <c r="N611" s="48">
        <v>1</v>
      </c>
      <c r="O611" s="48">
        <v>1</v>
      </c>
      <c r="P611" s="48"/>
      <c r="Q611" s="48"/>
      <c r="R611" s="371" t="e">
        <f>$G611*H611</f>
        <v>#REF!</v>
      </c>
      <c r="S611" s="371" t="e">
        <f t="shared" ref="S611:AA611" si="584">$G611*I611</f>
        <v>#REF!</v>
      </c>
      <c r="T611" s="371" t="e">
        <f t="shared" si="584"/>
        <v>#REF!</v>
      </c>
      <c r="U611" s="371" t="e">
        <f t="shared" si="584"/>
        <v>#REF!</v>
      </c>
      <c r="V611" s="371" t="e">
        <f t="shared" si="584"/>
        <v>#REF!</v>
      </c>
      <c r="W611" s="371" t="e">
        <f t="shared" si="584"/>
        <v>#REF!</v>
      </c>
      <c r="X611" s="371" t="e">
        <f t="shared" si="584"/>
        <v>#REF!</v>
      </c>
      <c r="Y611" s="371" t="e">
        <f t="shared" si="584"/>
        <v>#REF!</v>
      </c>
      <c r="Z611" s="371" t="e">
        <f t="shared" si="584"/>
        <v>#REF!</v>
      </c>
      <c r="AA611" s="371" t="e">
        <f t="shared" si="584"/>
        <v>#REF!</v>
      </c>
      <c r="AB611" s="50"/>
    </row>
    <row r="612" outlineLevel="2" spans="1:28">
      <c r="A612" s="52">
        <f>MAX($A$6:A611)+1</f>
        <v>510</v>
      </c>
      <c r="B612" s="51" t="s">
        <v>576</v>
      </c>
      <c r="C612" s="51" t="e">
        <f>VLOOKUP($B612,#REF!,MATCH(C$2,#REF!,0),0)</f>
        <v>#REF!</v>
      </c>
      <c r="D612" s="136"/>
      <c r="E612" s="136"/>
      <c r="F612" s="136" t="e">
        <f>VLOOKUP($B612,#REF!,MATCH(F$2,#REF!,0),0)</f>
        <v>#REF!</v>
      </c>
      <c r="G612" s="137" t="e">
        <f>VLOOKUP($B612,#REF!,MATCH(G$2,#REF!,0),0)</f>
        <v>#REF!</v>
      </c>
      <c r="H612" s="48"/>
      <c r="I612" s="48"/>
      <c r="J612" s="48"/>
      <c r="K612" s="48"/>
      <c r="L612" s="48"/>
      <c r="M612" s="48">
        <v>1</v>
      </c>
      <c r="N612" s="48">
        <v>1</v>
      </c>
      <c r="O612" s="48">
        <v>1</v>
      </c>
      <c r="P612" s="48"/>
      <c r="Q612" s="48"/>
      <c r="R612" s="371" t="e">
        <f t="shared" ref="R612:AA612" si="585">$G612*H612</f>
        <v>#REF!</v>
      </c>
      <c r="S612" s="371" t="e">
        <f t="shared" si="585"/>
        <v>#REF!</v>
      </c>
      <c r="T612" s="371" t="e">
        <f t="shared" si="585"/>
        <v>#REF!</v>
      </c>
      <c r="U612" s="371" t="e">
        <f t="shared" si="585"/>
        <v>#REF!</v>
      </c>
      <c r="V612" s="371" t="e">
        <f t="shared" si="585"/>
        <v>#REF!</v>
      </c>
      <c r="W612" s="371" t="e">
        <f t="shared" si="585"/>
        <v>#REF!</v>
      </c>
      <c r="X612" s="371" t="e">
        <f t="shared" si="585"/>
        <v>#REF!</v>
      </c>
      <c r="Y612" s="371" t="e">
        <f t="shared" si="585"/>
        <v>#REF!</v>
      </c>
      <c r="Z612" s="371" t="e">
        <f t="shared" si="585"/>
        <v>#REF!</v>
      </c>
      <c r="AA612" s="371" t="e">
        <f t="shared" si="585"/>
        <v>#REF!</v>
      </c>
      <c r="AB612" s="50"/>
    </row>
    <row r="613" ht="28.8" outlineLevel="2" spans="1:28">
      <c r="A613" s="52">
        <f>MAX($A$6:A612)+1</f>
        <v>511</v>
      </c>
      <c r="B613" s="51" t="s">
        <v>587</v>
      </c>
      <c r="C613" s="51" t="e">
        <f>VLOOKUP($B613,#REF!,MATCH(C$2,#REF!,0),0)</f>
        <v>#REF!</v>
      </c>
      <c r="D613" s="136"/>
      <c r="E613" s="136"/>
      <c r="F613" s="136" t="e">
        <f>VLOOKUP($B613,#REF!,MATCH(F$2,#REF!,0),0)</f>
        <v>#REF!</v>
      </c>
      <c r="G613" s="137" t="e">
        <f>VLOOKUP($B613,#REF!,MATCH(G$2,#REF!,0),0)</f>
        <v>#REF!</v>
      </c>
      <c r="H613" s="48"/>
      <c r="I613" s="48"/>
      <c r="J613" s="48"/>
      <c r="K613" s="48"/>
      <c r="L613" s="48"/>
      <c r="M613" s="48">
        <v>1</v>
      </c>
      <c r="N613" s="48">
        <v>1</v>
      </c>
      <c r="O613" s="48">
        <v>1</v>
      </c>
      <c r="P613" s="48"/>
      <c r="Q613" s="48"/>
      <c r="R613" s="371" t="e">
        <f t="shared" ref="R613:AA613" si="586">$G613*H613</f>
        <v>#REF!</v>
      </c>
      <c r="S613" s="371" t="e">
        <f t="shared" si="586"/>
        <v>#REF!</v>
      </c>
      <c r="T613" s="371" t="e">
        <f t="shared" si="586"/>
        <v>#REF!</v>
      </c>
      <c r="U613" s="371" t="e">
        <f t="shared" si="586"/>
        <v>#REF!</v>
      </c>
      <c r="V613" s="371" t="e">
        <f t="shared" si="586"/>
        <v>#REF!</v>
      </c>
      <c r="W613" s="371" t="e">
        <f t="shared" si="586"/>
        <v>#REF!</v>
      </c>
      <c r="X613" s="371" t="e">
        <f t="shared" si="586"/>
        <v>#REF!</v>
      </c>
      <c r="Y613" s="371" t="e">
        <f t="shared" si="586"/>
        <v>#REF!</v>
      </c>
      <c r="Z613" s="371" t="e">
        <f t="shared" si="586"/>
        <v>#REF!</v>
      </c>
      <c r="AA613" s="371" t="e">
        <f t="shared" si="586"/>
        <v>#REF!</v>
      </c>
      <c r="AB613" s="50"/>
    </row>
    <row r="614" outlineLevel="2" spans="1:28">
      <c r="A614" s="52">
        <f>MAX($A$6:A613)+1</f>
        <v>512</v>
      </c>
      <c r="B614" s="51" t="s">
        <v>424</v>
      </c>
      <c r="C614" s="51" t="e">
        <f>VLOOKUP($B614,#REF!,MATCH(C$2,#REF!,0),0)</f>
        <v>#REF!</v>
      </c>
      <c r="D614" s="136"/>
      <c r="E614" s="136"/>
      <c r="F614" s="136" t="e">
        <f>VLOOKUP($B614,#REF!,MATCH(F$2,#REF!,0),0)</f>
        <v>#REF!</v>
      </c>
      <c r="G614" s="137" t="e">
        <f>VLOOKUP($B614,#REF!,MATCH(G$2,#REF!,0),0)</f>
        <v>#REF!</v>
      </c>
      <c r="H614" s="48"/>
      <c r="I614" s="48"/>
      <c r="J614" s="48"/>
      <c r="K614" s="48"/>
      <c r="L614" s="48"/>
      <c r="M614" s="48">
        <v>1</v>
      </c>
      <c r="N614" s="48">
        <v>1</v>
      </c>
      <c r="O614" s="48">
        <v>1</v>
      </c>
      <c r="P614" s="48"/>
      <c r="Q614" s="48"/>
      <c r="R614" s="371" t="e">
        <f t="shared" ref="R614:AA614" si="587">$G614*H614</f>
        <v>#REF!</v>
      </c>
      <c r="S614" s="371" t="e">
        <f t="shared" si="587"/>
        <v>#REF!</v>
      </c>
      <c r="T614" s="371" t="e">
        <f t="shared" si="587"/>
        <v>#REF!</v>
      </c>
      <c r="U614" s="371" t="e">
        <f t="shared" si="587"/>
        <v>#REF!</v>
      </c>
      <c r="V614" s="371" t="e">
        <f t="shared" si="587"/>
        <v>#REF!</v>
      </c>
      <c r="W614" s="371" t="e">
        <f t="shared" si="587"/>
        <v>#REF!</v>
      </c>
      <c r="X614" s="371" t="e">
        <f t="shared" si="587"/>
        <v>#REF!</v>
      </c>
      <c r="Y614" s="371" t="e">
        <f t="shared" si="587"/>
        <v>#REF!</v>
      </c>
      <c r="Z614" s="371" t="e">
        <f t="shared" si="587"/>
        <v>#REF!</v>
      </c>
      <c r="AA614" s="371" t="e">
        <f t="shared" si="587"/>
        <v>#REF!</v>
      </c>
      <c r="AB614" s="50"/>
    </row>
    <row r="615" ht="28.8" outlineLevel="2" spans="1:28">
      <c r="A615" s="52">
        <f>MAX($A$6:A614)+1</f>
        <v>513</v>
      </c>
      <c r="B615" s="51" t="s">
        <v>588</v>
      </c>
      <c r="C615" s="51" t="e">
        <f>VLOOKUP($B615,#REF!,MATCH(C$2,#REF!,0),0)</f>
        <v>#REF!</v>
      </c>
      <c r="D615" s="136"/>
      <c r="E615" s="136"/>
      <c r="F615" s="136" t="e">
        <f>VLOOKUP($B615,#REF!,MATCH(F$2,#REF!,0),0)</f>
        <v>#REF!</v>
      </c>
      <c r="G615" s="137" t="e">
        <f>VLOOKUP($B615,#REF!,MATCH(G$2,#REF!,0),0)</f>
        <v>#REF!</v>
      </c>
      <c r="H615" s="48"/>
      <c r="I615" s="48"/>
      <c r="J615" s="48"/>
      <c r="K615" s="48"/>
      <c r="L615" s="48"/>
      <c r="M615" s="48">
        <v>1</v>
      </c>
      <c r="N615" s="48">
        <v>1</v>
      </c>
      <c r="O615" s="48">
        <v>1</v>
      </c>
      <c r="P615" s="48"/>
      <c r="Q615" s="48"/>
      <c r="R615" s="371" t="e">
        <f t="shared" ref="R615:AA615" si="588">$G615*H615</f>
        <v>#REF!</v>
      </c>
      <c r="S615" s="371" t="e">
        <f t="shared" si="588"/>
        <v>#REF!</v>
      </c>
      <c r="T615" s="371" t="e">
        <f t="shared" si="588"/>
        <v>#REF!</v>
      </c>
      <c r="U615" s="371" t="e">
        <f t="shared" si="588"/>
        <v>#REF!</v>
      </c>
      <c r="V615" s="371" t="e">
        <f t="shared" si="588"/>
        <v>#REF!</v>
      </c>
      <c r="W615" s="371" t="e">
        <f t="shared" si="588"/>
        <v>#REF!</v>
      </c>
      <c r="X615" s="371" t="e">
        <f t="shared" si="588"/>
        <v>#REF!</v>
      </c>
      <c r="Y615" s="371" t="e">
        <f t="shared" si="588"/>
        <v>#REF!</v>
      </c>
      <c r="Z615" s="371" t="e">
        <f t="shared" si="588"/>
        <v>#REF!</v>
      </c>
      <c r="AA615" s="371" t="e">
        <f t="shared" si="588"/>
        <v>#REF!</v>
      </c>
      <c r="AB615" s="50"/>
    </row>
    <row r="616" outlineLevel="2" spans="1:28">
      <c r="A616" s="52">
        <f>MAX($A$6:A615)+1</f>
        <v>514</v>
      </c>
      <c r="B616" s="51" t="s">
        <v>425</v>
      </c>
      <c r="C616" s="51" t="e">
        <f>VLOOKUP($B616,#REF!,MATCH(C$2,#REF!,0),0)</f>
        <v>#REF!</v>
      </c>
      <c r="D616" s="136"/>
      <c r="E616" s="136"/>
      <c r="F616" s="136" t="e">
        <f>VLOOKUP($B616,#REF!,MATCH(F$2,#REF!,0),0)</f>
        <v>#REF!</v>
      </c>
      <c r="G616" s="137" t="e">
        <f>VLOOKUP($B616,#REF!,MATCH(G$2,#REF!,0),0)</f>
        <v>#REF!</v>
      </c>
      <c r="H616" s="48"/>
      <c r="I616" s="48"/>
      <c r="J616" s="48"/>
      <c r="K616" s="48"/>
      <c r="L616" s="48"/>
      <c r="M616" s="48">
        <v>1</v>
      </c>
      <c r="N616" s="48">
        <v>1</v>
      </c>
      <c r="O616" s="48">
        <v>1</v>
      </c>
      <c r="P616" s="48"/>
      <c r="Q616" s="48"/>
      <c r="R616" s="371" t="e">
        <f t="shared" ref="R616:AA616" si="589">$G616*H616</f>
        <v>#REF!</v>
      </c>
      <c r="S616" s="371" t="e">
        <f t="shared" si="589"/>
        <v>#REF!</v>
      </c>
      <c r="T616" s="371" t="e">
        <f t="shared" si="589"/>
        <v>#REF!</v>
      </c>
      <c r="U616" s="371" t="e">
        <f t="shared" si="589"/>
        <v>#REF!</v>
      </c>
      <c r="V616" s="371" t="e">
        <f t="shared" si="589"/>
        <v>#REF!</v>
      </c>
      <c r="W616" s="371" t="e">
        <f t="shared" si="589"/>
        <v>#REF!</v>
      </c>
      <c r="X616" s="371" t="e">
        <f t="shared" si="589"/>
        <v>#REF!</v>
      </c>
      <c r="Y616" s="371" t="e">
        <f t="shared" si="589"/>
        <v>#REF!</v>
      </c>
      <c r="Z616" s="371" t="e">
        <f t="shared" si="589"/>
        <v>#REF!</v>
      </c>
      <c r="AA616" s="371" t="e">
        <f t="shared" si="589"/>
        <v>#REF!</v>
      </c>
      <c r="AB616" s="50"/>
    </row>
    <row r="617" s="122" customFormat="1" outlineLevel="2" spans="1:28">
      <c r="A617" s="130"/>
      <c r="B617" s="154" t="s">
        <v>616</v>
      </c>
      <c r="C617" s="154"/>
      <c r="D617" s="154"/>
      <c r="E617" s="154"/>
      <c r="F617" s="130"/>
      <c r="G617" s="134"/>
      <c r="H617" s="134"/>
      <c r="I617" s="134"/>
      <c r="J617" s="134"/>
      <c r="K617" s="134"/>
      <c r="L617" s="134"/>
      <c r="M617" s="134"/>
      <c r="N617" s="134"/>
      <c r="O617" s="134"/>
      <c r="P617" s="134"/>
      <c r="Q617" s="134"/>
      <c r="R617" s="367"/>
      <c r="S617" s="367"/>
      <c r="T617" s="367"/>
      <c r="U617" s="367"/>
      <c r="V617" s="371"/>
      <c r="W617" s="367"/>
      <c r="X617" s="367"/>
      <c r="Y617" s="367"/>
      <c r="Z617" s="367"/>
      <c r="AA617" s="367"/>
      <c r="AB617" s="130"/>
    </row>
    <row r="618" ht="28.8" outlineLevel="2" spans="1:28">
      <c r="A618" s="52">
        <f>MAX($A$6:A617)+1</f>
        <v>515</v>
      </c>
      <c r="B618" s="51" t="s">
        <v>597</v>
      </c>
      <c r="C618" s="51" t="e">
        <f>VLOOKUP($B618,#REF!,MATCH(C$2,#REF!,0),0)</f>
        <v>#REF!</v>
      </c>
      <c r="D618" s="136"/>
      <c r="E618" s="136"/>
      <c r="F618" s="136" t="e">
        <f>VLOOKUP($B618,#REF!,MATCH(F$2,#REF!,0),0)</f>
        <v>#REF!</v>
      </c>
      <c r="G618" s="137" t="e">
        <f>VLOOKUP($B618,#REF!,MATCH(G$2,#REF!,0),0)</f>
        <v>#REF!</v>
      </c>
      <c r="H618" s="48"/>
      <c r="I618" s="48"/>
      <c r="J618" s="48"/>
      <c r="K618" s="48"/>
      <c r="L618" s="48"/>
      <c r="M618" s="48">
        <v>1</v>
      </c>
      <c r="N618" s="48">
        <v>1</v>
      </c>
      <c r="O618" s="48">
        <v>1</v>
      </c>
      <c r="P618" s="48"/>
      <c r="Q618" s="48"/>
      <c r="R618" s="371" t="e">
        <f>$G618*H618</f>
        <v>#REF!</v>
      </c>
      <c r="S618" s="371" t="e">
        <f t="shared" ref="S618:AA618" si="590">$G618*I618</f>
        <v>#REF!</v>
      </c>
      <c r="T618" s="371" t="e">
        <f t="shared" si="590"/>
        <v>#REF!</v>
      </c>
      <c r="U618" s="371" t="e">
        <f t="shared" si="590"/>
        <v>#REF!</v>
      </c>
      <c r="V618" s="371" t="e">
        <f t="shared" si="590"/>
        <v>#REF!</v>
      </c>
      <c r="W618" s="371" t="e">
        <f t="shared" si="590"/>
        <v>#REF!</v>
      </c>
      <c r="X618" s="371" t="e">
        <f t="shared" si="590"/>
        <v>#REF!</v>
      </c>
      <c r="Y618" s="371" t="e">
        <f t="shared" si="590"/>
        <v>#REF!</v>
      </c>
      <c r="Z618" s="371" t="e">
        <f t="shared" si="590"/>
        <v>#REF!</v>
      </c>
      <c r="AA618" s="371" t="e">
        <f t="shared" si="590"/>
        <v>#REF!</v>
      </c>
      <c r="AB618" s="50"/>
    </row>
    <row r="619" ht="28.8" outlineLevel="2" spans="1:28">
      <c r="A619" s="52">
        <f>MAX($A$6:A618)+1</f>
        <v>516</v>
      </c>
      <c r="B619" s="51" t="s">
        <v>617</v>
      </c>
      <c r="C619" s="51" t="e">
        <f>VLOOKUP($B619,#REF!,MATCH(C$2,#REF!,0),0)</f>
        <v>#REF!</v>
      </c>
      <c r="D619" s="136"/>
      <c r="E619" s="136"/>
      <c r="F619" s="136" t="e">
        <f>VLOOKUP($B619,#REF!,MATCH(F$2,#REF!,0),0)</f>
        <v>#REF!</v>
      </c>
      <c r="G619" s="137" t="e">
        <f>VLOOKUP($B619,#REF!,MATCH(G$2,#REF!,0),0)</f>
        <v>#REF!</v>
      </c>
      <c r="H619" s="48"/>
      <c r="I619" s="48"/>
      <c r="J619" s="48"/>
      <c r="K619" s="48"/>
      <c r="L619" s="48"/>
      <c r="M619" s="48"/>
      <c r="N619" s="48"/>
      <c r="O619" s="48"/>
      <c r="P619" s="48"/>
      <c r="Q619" s="48"/>
      <c r="R619" s="371" t="e">
        <f t="shared" ref="R619:R624" si="591">$G619*H619</f>
        <v>#REF!</v>
      </c>
      <c r="S619" s="371" t="e">
        <f t="shared" ref="S619:S624" si="592">$G619*I619</f>
        <v>#REF!</v>
      </c>
      <c r="T619" s="371" t="e">
        <f t="shared" ref="T619:T624" si="593">$G619*J619</f>
        <v>#REF!</v>
      </c>
      <c r="U619" s="371" t="e">
        <f t="shared" ref="U619:U624" si="594">$G619*K619</f>
        <v>#REF!</v>
      </c>
      <c r="V619" s="371" t="e">
        <f t="shared" ref="V619:V624" si="595">$G619*L619</f>
        <v>#REF!</v>
      </c>
      <c r="W619" s="371" t="e">
        <f t="shared" ref="W619:W624" si="596">$G619*M619</f>
        <v>#REF!</v>
      </c>
      <c r="X619" s="371" t="e">
        <f t="shared" ref="X619:X624" si="597">$G619*N619</f>
        <v>#REF!</v>
      </c>
      <c r="Y619" s="371" t="e">
        <f t="shared" ref="Y619:Y624" si="598">$G619*O619</f>
        <v>#REF!</v>
      </c>
      <c r="Z619" s="371" t="e">
        <f t="shared" ref="Z619:Z624" si="599">$G619*P619</f>
        <v>#REF!</v>
      </c>
      <c r="AA619" s="371" t="e">
        <f t="shared" ref="AA619:AA624" si="600">$G619*Q619</f>
        <v>#REF!</v>
      </c>
      <c r="AB619" s="50"/>
    </row>
    <row r="620" outlineLevel="2" spans="1:28">
      <c r="A620" s="52">
        <f>MAX($A$6:A619)+1</f>
        <v>517</v>
      </c>
      <c r="B620" s="51" t="s">
        <v>576</v>
      </c>
      <c r="C620" s="51" t="e">
        <f>VLOOKUP($B620,#REF!,MATCH(C$2,#REF!,0),0)</f>
        <v>#REF!</v>
      </c>
      <c r="D620" s="136"/>
      <c r="E620" s="136"/>
      <c r="F620" s="136" t="e">
        <f>VLOOKUP($B620,#REF!,MATCH(F$2,#REF!,0),0)</f>
        <v>#REF!</v>
      </c>
      <c r="G620" s="137" t="e">
        <f>VLOOKUP($B620,#REF!,MATCH(G$2,#REF!,0),0)</f>
        <v>#REF!</v>
      </c>
      <c r="H620" s="48"/>
      <c r="I620" s="48"/>
      <c r="J620" s="48"/>
      <c r="K620" s="48"/>
      <c r="L620" s="48"/>
      <c r="M620" s="48">
        <v>1</v>
      </c>
      <c r="N620" s="48">
        <v>1</v>
      </c>
      <c r="O620" s="48">
        <v>1</v>
      </c>
      <c r="P620" s="48"/>
      <c r="Q620" s="48"/>
      <c r="R620" s="371" t="e">
        <f t="shared" si="591"/>
        <v>#REF!</v>
      </c>
      <c r="S620" s="371" t="e">
        <f t="shared" si="592"/>
        <v>#REF!</v>
      </c>
      <c r="T620" s="371" t="e">
        <f t="shared" si="593"/>
        <v>#REF!</v>
      </c>
      <c r="U620" s="371" t="e">
        <f t="shared" si="594"/>
        <v>#REF!</v>
      </c>
      <c r="V620" s="371" t="e">
        <f t="shared" si="595"/>
        <v>#REF!</v>
      </c>
      <c r="W620" s="371" t="e">
        <f t="shared" si="596"/>
        <v>#REF!</v>
      </c>
      <c r="X620" s="371" t="e">
        <f t="shared" si="597"/>
        <v>#REF!</v>
      </c>
      <c r="Y620" s="371" t="e">
        <f t="shared" si="598"/>
        <v>#REF!</v>
      </c>
      <c r="Z620" s="371" t="e">
        <f t="shared" si="599"/>
        <v>#REF!</v>
      </c>
      <c r="AA620" s="371" t="e">
        <f t="shared" si="600"/>
        <v>#REF!</v>
      </c>
      <c r="AB620" s="50"/>
    </row>
    <row r="621" outlineLevel="2" spans="1:28">
      <c r="A621" s="52">
        <f>MAX($A$6:A620)+1</f>
        <v>518</v>
      </c>
      <c r="B621" s="51" t="s">
        <v>596</v>
      </c>
      <c r="C621" s="51" t="e">
        <f>VLOOKUP($B621,#REF!,MATCH(C$2,#REF!,0),0)</f>
        <v>#REF!</v>
      </c>
      <c r="D621" s="136"/>
      <c r="E621" s="136"/>
      <c r="F621" s="136" t="e">
        <f>VLOOKUP($B621,#REF!,MATCH(F$2,#REF!,0),0)</f>
        <v>#REF!</v>
      </c>
      <c r="G621" s="137" t="e">
        <f>VLOOKUP($B621,#REF!,MATCH(G$2,#REF!,0),0)</f>
        <v>#REF!</v>
      </c>
      <c r="H621" s="48"/>
      <c r="I621" s="48"/>
      <c r="J621" s="48"/>
      <c r="K621" s="48"/>
      <c r="L621" s="48"/>
      <c r="M621" s="48">
        <v>1</v>
      </c>
      <c r="N621" s="48">
        <v>1</v>
      </c>
      <c r="O621" s="48">
        <v>1</v>
      </c>
      <c r="P621" s="48"/>
      <c r="Q621" s="48"/>
      <c r="R621" s="371" t="e">
        <f t="shared" si="591"/>
        <v>#REF!</v>
      </c>
      <c r="S621" s="371" t="e">
        <f t="shared" si="592"/>
        <v>#REF!</v>
      </c>
      <c r="T621" s="371" t="e">
        <f t="shared" si="593"/>
        <v>#REF!</v>
      </c>
      <c r="U621" s="371" t="e">
        <f t="shared" si="594"/>
        <v>#REF!</v>
      </c>
      <c r="V621" s="371" t="e">
        <f t="shared" si="595"/>
        <v>#REF!</v>
      </c>
      <c r="W621" s="371" t="e">
        <f t="shared" si="596"/>
        <v>#REF!</v>
      </c>
      <c r="X621" s="371" t="e">
        <f t="shared" si="597"/>
        <v>#REF!</v>
      </c>
      <c r="Y621" s="371" t="e">
        <f t="shared" si="598"/>
        <v>#REF!</v>
      </c>
      <c r="Z621" s="371" t="e">
        <f t="shared" si="599"/>
        <v>#REF!</v>
      </c>
      <c r="AA621" s="371" t="e">
        <f t="shared" si="600"/>
        <v>#REF!</v>
      </c>
      <c r="AB621" s="50"/>
    </row>
    <row r="622" outlineLevel="2" spans="1:28">
      <c r="A622" s="52">
        <f>MAX($A$6:A621)+1</f>
        <v>519</v>
      </c>
      <c r="B622" s="51" t="s">
        <v>424</v>
      </c>
      <c r="C622" s="51" t="e">
        <f>VLOOKUP($B622,#REF!,MATCH(C$2,#REF!,0),0)</f>
        <v>#REF!</v>
      </c>
      <c r="D622" s="136"/>
      <c r="E622" s="136"/>
      <c r="F622" s="136" t="e">
        <f>VLOOKUP($B622,#REF!,MATCH(F$2,#REF!,0),0)</f>
        <v>#REF!</v>
      </c>
      <c r="G622" s="137" t="e">
        <f>VLOOKUP($B622,#REF!,MATCH(G$2,#REF!,0),0)</f>
        <v>#REF!</v>
      </c>
      <c r="H622" s="48"/>
      <c r="I622" s="48"/>
      <c r="J622" s="48"/>
      <c r="K622" s="48"/>
      <c r="L622" s="48"/>
      <c r="M622" s="48">
        <v>1</v>
      </c>
      <c r="N622" s="48">
        <v>1</v>
      </c>
      <c r="O622" s="48">
        <v>1</v>
      </c>
      <c r="P622" s="48"/>
      <c r="Q622" s="48"/>
      <c r="R622" s="371" t="e">
        <f t="shared" si="591"/>
        <v>#REF!</v>
      </c>
      <c r="S622" s="371" t="e">
        <f t="shared" si="592"/>
        <v>#REF!</v>
      </c>
      <c r="T622" s="371" t="e">
        <f t="shared" si="593"/>
        <v>#REF!</v>
      </c>
      <c r="U622" s="371" t="e">
        <f t="shared" si="594"/>
        <v>#REF!</v>
      </c>
      <c r="V622" s="371" t="e">
        <f t="shared" si="595"/>
        <v>#REF!</v>
      </c>
      <c r="W622" s="371" t="e">
        <f t="shared" si="596"/>
        <v>#REF!</v>
      </c>
      <c r="X622" s="371" t="e">
        <f t="shared" si="597"/>
        <v>#REF!</v>
      </c>
      <c r="Y622" s="371" t="e">
        <f t="shared" si="598"/>
        <v>#REF!</v>
      </c>
      <c r="Z622" s="371" t="e">
        <f t="shared" si="599"/>
        <v>#REF!</v>
      </c>
      <c r="AA622" s="371" t="e">
        <f t="shared" si="600"/>
        <v>#REF!</v>
      </c>
      <c r="AB622" s="50"/>
    </row>
    <row r="623" ht="28.8" outlineLevel="2" spans="1:28">
      <c r="A623" s="52">
        <f>MAX($A$6:A622)+1</f>
        <v>520</v>
      </c>
      <c r="B623" s="51" t="s">
        <v>588</v>
      </c>
      <c r="C623" s="51" t="e">
        <f>VLOOKUP($B623,#REF!,MATCH(C$2,#REF!,0),0)</f>
        <v>#REF!</v>
      </c>
      <c r="D623" s="136"/>
      <c r="E623" s="136"/>
      <c r="F623" s="136" t="e">
        <f>VLOOKUP($B623,#REF!,MATCH(F$2,#REF!,0),0)</f>
        <v>#REF!</v>
      </c>
      <c r="G623" s="137" t="e">
        <f>VLOOKUP($B623,#REF!,MATCH(G$2,#REF!,0),0)</f>
        <v>#REF!</v>
      </c>
      <c r="H623" s="48"/>
      <c r="I623" s="48"/>
      <c r="J623" s="48"/>
      <c r="K623" s="48"/>
      <c r="L623" s="48"/>
      <c r="M623" s="48">
        <v>1</v>
      </c>
      <c r="N623" s="48">
        <v>1</v>
      </c>
      <c r="O623" s="48">
        <v>1</v>
      </c>
      <c r="P623" s="48"/>
      <c r="Q623" s="48"/>
      <c r="R623" s="371" t="e">
        <f t="shared" si="591"/>
        <v>#REF!</v>
      </c>
      <c r="S623" s="371" t="e">
        <f t="shared" si="592"/>
        <v>#REF!</v>
      </c>
      <c r="T623" s="371" t="e">
        <f t="shared" si="593"/>
        <v>#REF!</v>
      </c>
      <c r="U623" s="371" t="e">
        <f t="shared" si="594"/>
        <v>#REF!</v>
      </c>
      <c r="V623" s="371" t="e">
        <f t="shared" si="595"/>
        <v>#REF!</v>
      </c>
      <c r="W623" s="371" t="e">
        <f t="shared" si="596"/>
        <v>#REF!</v>
      </c>
      <c r="X623" s="371" t="e">
        <f t="shared" si="597"/>
        <v>#REF!</v>
      </c>
      <c r="Y623" s="371" t="e">
        <f t="shared" si="598"/>
        <v>#REF!</v>
      </c>
      <c r="Z623" s="371" t="e">
        <f t="shared" si="599"/>
        <v>#REF!</v>
      </c>
      <c r="AA623" s="371" t="e">
        <f t="shared" si="600"/>
        <v>#REF!</v>
      </c>
      <c r="AB623" s="50"/>
    </row>
    <row r="624" outlineLevel="2" spans="1:28">
      <c r="A624" s="52">
        <f>MAX($A$6:A623)+1</f>
        <v>521</v>
      </c>
      <c r="B624" s="51" t="s">
        <v>425</v>
      </c>
      <c r="C624" s="51" t="e">
        <f>VLOOKUP($B624,#REF!,MATCH(C$2,#REF!,0),0)</f>
        <v>#REF!</v>
      </c>
      <c r="D624" s="136"/>
      <c r="E624" s="136"/>
      <c r="F624" s="136" t="e">
        <f>VLOOKUP($B624,#REF!,MATCH(F$2,#REF!,0),0)</f>
        <v>#REF!</v>
      </c>
      <c r="G624" s="137" t="e">
        <f>VLOOKUP($B624,#REF!,MATCH(G$2,#REF!,0),0)</f>
        <v>#REF!</v>
      </c>
      <c r="H624" s="48"/>
      <c r="I624" s="48"/>
      <c r="J624" s="48"/>
      <c r="K624" s="48"/>
      <c r="L624" s="48"/>
      <c r="M624" s="48">
        <v>1</v>
      </c>
      <c r="N624" s="48">
        <v>1</v>
      </c>
      <c r="O624" s="48">
        <v>1</v>
      </c>
      <c r="P624" s="48"/>
      <c r="Q624" s="48"/>
      <c r="R624" s="371" t="e">
        <f t="shared" si="591"/>
        <v>#REF!</v>
      </c>
      <c r="S624" s="371" t="e">
        <f t="shared" si="592"/>
        <v>#REF!</v>
      </c>
      <c r="T624" s="371" t="e">
        <f t="shared" si="593"/>
        <v>#REF!</v>
      </c>
      <c r="U624" s="371" t="e">
        <f t="shared" si="594"/>
        <v>#REF!</v>
      </c>
      <c r="V624" s="371" t="e">
        <f t="shared" si="595"/>
        <v>#REF!</v>
      </c>
      <c r="W624" s="371" t="e">
        <f t="shared" si="596"/>
        <v>#REF!</v>
      </c>
      <c r="X624" s="371" t="e">
        <f t="shared" si="597"/>
        <v>#REF!</v>
      </c>
      <c r="Y624" s="371" t="e">
        <f t="shared" si="598"/>
        <v>#REF!</v>
      </c>
      <c r="Z624" s="371" t="e">
        <f t="shared" si="599"/>
        <v>#REF!</v>
      </c>
      <c r="AA624" s="371" t="e">
        <f t="shared" si="600"/>
        <v>#REF!</v>
      </c>
      <c r="AB624" s="50"/>
    </row>
    <row r="625" s="122" customFormat="1" outlineLevel="2" spans="1:28">
      <c r="A625" s="130"/>
      <c r="B625" s="154" t="s">
        <v>618</v>
      </c>
      <c r="C625" s="154"/>
      <c r="D625" s="154"/>
      <c r="E625" s="154"/>
      <c r="F625" s="130"/>
      <c r="G625" s="134"/>
      <c r="H625" s="134"/>
      <c r="I625" s="134"/>
      <c r="J625" s="134"/>
      <c r="K625" s="134"/>
      <c r="L625" s="134"/>
      <c r="M625" s="134"/>
      <c r="N625" s="134"/>
      <c r="O625" s="134"/>
      <c r="P625" s="134"/>
      <c r="Q625" s="134"/>
      <c r="R625" s="367"/>
      <c r="S625" s="367"/>
      <c r="T625" s="367"/>
      <c r="U625" s="367"/>
      <c r="V625" s="371"/>
      <c r="W625" s="367"/>
      <c r="X625" s="367"/>
      <c r="Y625" s="367"/>
      <c r="Z625" s="367"/>
      <c r="AA625" s="367"/>
      <c r="AB625" s="130"/>
    </row>
    <row r="626" ht="28.8" outlineLevel="2" spans="1:28">
      <c r="A626" s="52">
        <f>MAX($A$6:A625)+1</f>
        <v>522</v>
      </c>
      <c r="B626" s="51" t="s">
        <v>587</v>
      </c>
      <c r="C626" s="51" t="e">
        <f>VLOOKUP($B626,#REF!,MATCH(C$2,#REF!,0),0)</f>
        <v>#REF!</v>
      </c>
      <c r="D626" s="136"/>
      <c r="E626" s="136"/>
      <c r="F626" s="136" t="e">
        <f>VLOOKUP($B626,#REF!,MATCH(F$2,#REF!,0),0)</f>
        <v>#REF!</v>
      </c>
      <c r="G626" s="137" t="e">
        <f>VLOOKUP($B626,#REF!,MATCH(G$2,#REF!,0),0)</f>
        <v>#REF!</v>
      </c>
      <c r="H626" s="48"/>
      <c r="I626" s="48"/>
      <c r="J626" s="48"/>
      <c r="K626" s="48"/>
      <c r="L626" s="48">
        <v>16.7</v>
      </c>
      <c r="M626" s="48">
        <v>1</v>
      </c>
      <c r="N626" s="48">
        <v>1</v>
      </c>
      <c r="O626" s="48">
        <v>1</v>
      </c>
      <c r="P626" s="48"/>
      <c r="Q626" s="48"/>
      <c r="R626" s="371" t="e">
        <f>$G626*H626</f>
        <v>#REF!</v>
      </c>
      <c r="S626" s="371" t="e">
        <f t="shared" ref="S626:AA626" si="601">$G626*I626</f>
        <v>#REF!</v>
      </c>
      <c r="T626" s="371" t="e">
        <f t="shared" si="601"/>
        <v>#REF!</v>
      </c>
      <c r="U626" s="371" t="e">
        <f t="shared" si="601"/>
        <v>#REF!</v>
      </c>
      <c r="V626" s="371" t="e">
        <f t="shared" si="601"/>
        <v>#REF!</v>
      </c>
      <c r="W626" s="371" t="e">
        <f t="shared" si="601"/>
        <v>#REF!</v>
      </c>
      <c r="X626" s="371" t="e">
        <f t="shared" si="601"/>
        <v>#REF!</v>
      </c>
      <c r="Y626" s="371" t="e">
        <f t="shared" si="601"/>
        <v>#REF!</v>
      </c>
      <c r="Z626" s="371" t="e">
        <f t="shared" si="601"/>
        <v>#REF!</v>
      </c>
      <c r="AA626" s="371" t="e">
        <f t="shared" si="601"/>
        <v>#REF!</v>
      </c>
      <c r="AB626" s="50"/>
    </row>
    <row r="627" outlineLevel="2" spans="1:28">
      <c r="A627" s="52">
        <f>MAX($A$6:A626)+1</f>
        <v>523</v>
      </c>
      <c r="B627" s="51" t="s">
        <v>133</v>
      </c>
      <c r="C627" s="51" t="e">
        <f>VLOOKUP($B627,#REF!,MATCH(C$2,#REF!,0),0)</f>
        <v>#REF!</v>
      </c>
      <c r="D627" s="136"/>
      <c r="E627" s="136"/>
      <c r="F627" s="136" t="e">
        <f>VLOOKUP($B627,#REF!,MATCH(F$2,#REF!,0),0)</f>
        <v>#REF!</v>
      </c>
      <c r="G627" s="137" t="e">
        <f>VLOOKUP($B627,#REF!,MATCH(G$2,#REF!,0),0)</f>
        <v>#REF!</v>
      </c>
      <c r="H627" s="48"/>
      <c r="I627" s="48"/>
      <c r="J627" s="48"/>
      <c r="K627" s="48"/>
      <c r="L627" s="48"/>
      <c r="M627" s="48"/>
      <c r="N627" s="48"/>
      <c r="O627" s="48"/>
      <c r="P627" s="48"/>
      <c r="Q627" s="48"/>
      <c r="R627" s="371" t="e">
        <f t="shared" ref="R627:AA627" si="602">$G627*H627</f>
        <v>#REF!</v>
      </c>
      <c r="S627" s="371" t="e">
        <f t="shared" si="602"/>
        <v>#REF!</v>
      </c>
      <c r="T627" s="371" t="e">
        <f t="shared" si="602"/>
        <v>#REF!</v>
      </c>
      <c r="U627" s="371" t="e">
        <f t="shared" si="602"/>
        <v>#REF!</v>
      </c>
      <c r="V627" s="371" t="e">
        <f t="shared" si="602"/>
        <v>#REF!</v>
      </c>
      <c r="W627" s="371" t="e">
        <f t="shared" si="602"/>
        <v>#REF!</v>
      </c>
      <c r="X627" s="371" t="e">
        <f t="shared" si="602"/>
        <v>#REF!</v>
      </c>
      <c r="Y627" s="371" t="e">
        <f t="shared" si="602"/>
        <v>#REF!</v>
      </c>
      <c r="Z627" s="371" t="e">
        <f t="shared" si="602"/>
        <v>#REF!</v>
      </c>
      <c r="AA627" s="371" t="e">
        <f t="shared" si="602"/>
        <v>#REF!</v>
      </c>
      <c r="AB627" s="50"/>
    </row>
    <row r="628" outlineLevel="2" spans="1:28">
      <c r="A628" s="52">
        <f>MAX($A$6:A627)+1</f>
        <v>524</v>
      </c>
      <c r="B628" s="51" t="s">
        <v>424</v>
      </c>
      <c r="C628" s="51" t="e">
        <f>VLOOKUP($B628,#REF!,MATCH(C$2,#REF!,0),0)</f>
        <v>#REF!</v>
      </c>
      <c r="D628" s="136"/>
      <c r="E628" s="136"/>
      <c r="F628" s="136" t="e">
        <f>VLOOKUP($B628,#REF!,MATCH(F$2,#REF!,0),0)</f>
        <v>#REF!</v>
      </c>
      <c r="G628" s="137" t="e">
        <f>VLOOKUP($B628,#REF!,MATCH(G$2,#REF!,0),0)</f>
        <v>#REF!</v>
      </c>
      <c r="H628" s="48"/>
      <c r="I628" s="48"/>
      <c r="J628" s="48"/>
      <c r="K628" s="48"/>
      <c r="L628" s="48">
        <v>16.7</v>
      </c>
      <c r="M628" s="48">
        <v>1</v>
      </c>
      <c r="N628" s="48">
        <v>1</v>
      </c>
      <c r="O628" s="48">
        <v>1</v>
      </c>
      <c r="P628" s="48"/>
      <c r="Q628" s="48"/>
      <c r="R628" s="371" t="e">
        <f t="shared" ref="R628:AA628" si="603">$G628*H628</f>
        <v>#REF!</v>
      </c>
      <c r="S628" s="371" t="e">
        <f t="shared" si="603"/>
        <v>#REF!</v>
      </c>
      <c r="T628" s="371" t="e">
        <f t="shared" si="603"/>
        <v>#REF!</v>
      </c>
      <c r="U628" s="371" t="e">
        <f t="shared" si="603"/>
        <v>#REF!</v>
      </c>
      <c r="V628" s="371" t="e">
        <f t="shared" si="603"/>
        <v>#REF!</v>
      </c>
      <c r="W628" s="371" t="e">
        <f t="shared" si="603"/>
        <v>#REF!</v>
      </c>
      <c r="X628" s="371" t="e">
        <f t="shared" si="603"/>
        <v>#REF!</v>
      </c>
      <c r="Y628" s="371" t="e">
        <f t="shared" si="603"/>
        <v>#REF!</v>
      </c>
      <c r="Z628" s="371" t="e">
        <f t="shared" si="603"/>
        <v>#REF!</v>
      </c>
      <c r="AA628" s="371" t="e">
        <f t="shared" si="603"/>
        <v>#REF!</v>
      </c>
      <c r="AB628" s="50"/>
    </row>
    <row r="629" ht="28.8" outlineLevel="2" spans="1:28">
      <c r="A629" s="52">
        <f>MAX($A$6:A628)+1</f>
        <v>525</v>
      </c>
      <c r="B629" s="51" t="s">
        <v>588</v>
      </c>
      <c r="C629" s="51" t="e">
        <f>VLOOKUP($B629,#REF!,MATCH(C$2,#REF!,0),0)</f>
        <v>#REF!</v>
      </c>
      <c r="D629" s="136"/>
      <c r="E629" s="136"/>
      <c r="F629" s="136" t="e">
        <f>VLOOKUP($B629,#REF!,MATCH(F$2,#REF!,0),0)</f>
        <v>#REF!</v>
      </c>
      <c r="G629" s="137" t="e">
        <f>VLOOKUP($B629,#REF!,MATCH(G$2,#REF!,0),0)</f>
        <v>#REF!</v>
      </c>
      <c r="H629" s="48"/>
      <c r="I629" s="48"/>
      <c r="J629" s="48"/>
      <c r="K629" s="48"/>
      <c r="L629" s="48">
        <v>16.7</v>
      </c>
      <c r="M629" s="48">
        <v>1</v>
      </c>
      <c r="N629" s="48">
        <v>1</v>
      </c>
      <c r="O629" s="48">
        <v>1</v>
      </c>
      <c r="P629" s="48"/>
      <c r="Q629" s="48"/>
      <c r="R629" s="371" t="e">
        <f t="shared" ref="R629:AA629" si="604">$G629*H629</f>
        <v>#REF!</v>
      </c>
      <c r="S629" s="371" t="e">
        <f t="shared" si="604"/>
        <v>#REF!</v>
      </c>
      <c r="T629" s="371" t="e">
        <f t="shared" si="604"/>
        <v>#REF!</v>
      </c>
      <c r="U629" s="371" t="e">
        <f t="shared" si="604"/>
        <v>#REF!</v>
      </c>
      <c r="V629" s="371" t="e">
        <f t="shared" si="604"/>
        <v>#REF!</v>
      </c>
      <c r="W629" s="371" t="e">
        <f t="shared" si="604"/>
        <v>#REF!</v>
      </c>
      <c r="X629" s="371" t="e">
        <f t="shared" si="604"/>
        <v>#REF!</v>
      </c>
      <c r="Y629" s="371" t="e">
        <f t="shared" si="604"/>
        <v>#REF!</v>
      </c>
      <c r="Z629" s="371" t="e">
        <f t="shared" si="604"/>
        <v>#REF!</v>
      </c>
      <c r="AA629" s="371" t="e">
        <f t="shared" si="604"/>
        <v>#REF!</v>
      </c>
      <c r="AB629" s="50"/>
    </row>
    <row r="630" outlineLevel="2" spans="1:28">
      <c r="A630" s="52">
        <f>MAX($A$6:A629)+1</f>
        <v>526</v>
      </c>
      <c r="B630" s="51" t="s">
        <v>425</v>
      </c>
      <c r="C630" s="51" t="e">
        <f>VLOOKUP($B630,#REF!,MATCH(C$2,#REF!,0),0)</f>
        <v>#REF!</v>
      </c>
      <c r="D630" s="136"/>
      <c r="E630" s="136"/>
      <c r="F630" s="136" t="e">
        <f>VLOOKUP($B630,#REF!,MATCH(F$2,#REF!,0),0)</f>
        <v>#REF!</v>
      </c>
      <c r="G630" s="137" t="e">
        <f>VLOOKUP($B630,#REF!,MATCH(G$2,#REF!,0),0)</f>
        <v>#REF!</v>
      </c>
      <c r="H630" s="48"/>
      <c r="I630" s="48"/>
      <c r="J630" s="48"/>
      <c r="K630" s="48"/>
      <c r="L630" s="48">
        <v>16.7</v>
      </c>
      <c r="M630" s="48">
        <v>1</v>
      </c>
      <c r="N630" s="48">
        <v>1</v>
      </c>
      <c r="O630" s="48">
        <v>1</v>
      </c>
      <c r="P630" s="48"/>
      <c r="Q630" s="48"/>
      <c r="R630" s="371" t="e">
        <f t="shared" ref="R630:AA630" si="605">$G630*H630</f>
        <v>#REF!</v>
      </c>
      <c r="S630" s="371" t="e">
        <f t="shared" si="605"/>
        <v>#REF!</v>
      </c>
      <c r="T630" s="371" t="e">
        <f t="shared" si="605"/>
        <v>#REF!</v>
      </c>
      <c r="U630" s="371" t="e">
        <f t="shared" si="605"/>
        <v>#REF!</v>
      </c>
      <c r="V630" s="371" t="e">
        <f t="shared" si="605"/>
        <v>#REF!</v>
      </c>
      <c r="W630" s="371" t="e">
        <f t="shared" si="605"/>
        <v>#REF!</v>
      </c>
      <c r="X630" s="371" t="e">
        <f t="shared" si="605"/>
        <v>#REF!</v>
      </c>
      <c r="Y630" s="371" t="e">
        <f t="shared" si="605"/>
        <v>#REF!</v>
      </c>
      <c r="Z630" s="371" t="e">
        <f t="shared" si="605"/>
        <v>#REF!</v>
      </c>
      <c r="AA630" s="371" t="e">
        <f t="shared" si="605"/>
        <v>#REF!</v>
      </c>
      <c r="AB630" s="50"/>
    </row>
    <row r="631" s="122" customFormat="1" outlineLevel="2" spans="1:28">
      <c r="A631" s="130"/>
      <c r="B631" s="154" t="s">
        <v>619</v>
      </c>
      <c r="C631" s="154"/>
      <c r="D631" s="154"/>
      <c r="E631" s="154"/>
      <c r="F631" s="130"/>
      <c r="G631" s="134"/>
      <c r="H631" s="134"/>
      <c r="I631" s="134"/>
      <c r="J631" s="134"/>
      <c r="K631" s="134"/>
      <c r="L631" s="134"/>
      <c r="M631" s="134"/>
      <c r="N631" s="134"/>
      <c r="O631" s="134"/>
      <c r="P631" s="134"/>
      <c r="Q631" s="134"/>
      <c r="R631" s="367"/>
      <c r="S631" s="367"/>
      <c r="T631" s="367"/>
      <c r="U631" s="367"/>
      <c r="V631" s="371"/>
      <c r="W631" s="367"/>
      <c r="X631" s="367"/>
      <c r="Y631" s="367"/>
      <c r="Z631" s="367"/>
      <c r="AA631" s="367"/>
      <c r="AB631" s="130"/>
    </row>
    <row r="632" ht="28.8" outlineLevel="2" spans="1:28">
      <c r="A632" s="52">
        <f>MAX($A$6:A631)+1</f>
        <v>527</v>
      </c>
      <c r="B632" s="51" t="s">
        <v>620</v>
      </c>
      <c r="C632" s="51" t="e">
        <f>VLOOKUP($B632,#REF!,MATCH(C$2,#REF!,0),0)</f>
        <v>#REF!</v>
      </c>
      <c r="D632" s="136"/>
      <c r="E632" s="136"/>
      <c r="F632" s="136" t="e">
        <f>VLOOKUP($B632,#REF!,MATCH(F$2,#REF!,0),0)</f>
        <v>#REF!</v>
      </c>
      <c r="G632" s="137" t="e">
        <f>VLOOKUP($B632,#REF!,MATCH(G$2,#REF!,0),0)</f>
        <v>#REF!</v>
      </c>
      <c r="H632" s="48">
        <v>76.81</v>
      </c>
      <c r="I632" s="48">
        <v>76.81</v>
      </c>
      <c r="J632" s="48">
        <v>1</v>
      </c>
      <c r="K632" s="48">
        <v>1</v>
      </c>
      <c r="L632" s="48"/>
      <c r="M632" s="48"/>
      <c r="N632" s="48"/>
      <c r="O632" s="48"/>
      <c r="P632" s="48"/>
      <c r="Q632" s="48"/>
      <c r="R632" s="371" t="e">
        <f>$G632*H632</f>
        <v>#REF!</v>
      </c>
      <c r="S632" s="371" t="e">
        <f t="shared" ref="S632:AA632" si="606">$G632*I632</f>
        <v>#REF!</v>
      </c>
      <c r="T632" s="371" t="e">
        <f t="shared" si="606"/>
        <v>#REF!</v>
      </c>
      <c r="U632" s="371" t="e">
        <f t="shared" si="606"/>
        <v>#REF!</v>
      </c>
      <c r="V632" s="371" t="e">
        <f t="shared" si="606"/>
        <v>#REF!</v>
      </c>
      <c r="W632" s="371" t="e">
        <f t="shared" si="606"/>
        <v>#REF!</v>
      </c>
      <c r="X632" s="371" t="e">
        <f t="shared" si="606"/>
        <v>#REF!</v>
      </c>
      <c r="Y632" s="371" t="e">
        <f t="shared" si="606"/>
        <v>#REF!</v>
      </c>
      <c r="Z632" s="371" t="e">
        <f t="shared" si="606"/>
        <v>#REF!</v>
      </c>
      <c r="AA632" s="371" t="e">
        <f t="shared" si="606"/>
        <v>#REF!</v>
      </c>
      <c r="AB632" s="50"/>
    </row>
    <row r="633" ht="28.8" outlineLevel="2" spans="1:28">
      <c r="A633" s="52">
        <f>MAX($A$6:A632)+1</f>
        <v>528</v>
      </c>
      <c r="B633" s="51" t="s">
        <v>621</v>
      </c>
      <c r="C633" s="51" t="e">
        <f>VLOOKUP($B633,#REF!,MATCH(C$2,#REF!,0),0)</f>
        <v>#REF!</v>
      </c>
      <c r="D633" s="136"/>
      <c r="E633" s="136"/>
      <c r="F633" s="136" t="e">
        <f>VLOOKUP($B633,#REF!,MATCH(F$2,#REF!,0),0)</f>
        <v>#REF!</v>
      </c>
      <c r="G633" s="137" t="e">
        <f>VLOOKUP($B633,#REF!,MATCH(G$2,#REF!,0),0)</f>
        <v>#REF!</v>
      </c>
      <c r="H633" s="48">
        <v>23.36</v>
      </c>
      <c r="I633" s="48">
        <v>23.36</v>
      </c>
      <c r="J633" s="48">
        <v>1</v>
      </c>
      <c r="K633" s="48">
        <v>1</v>
      </c>
      <c r="L633" s="48"/>
      <c r="M633" s="48"/>
      <c r="N633" s="48"/>
      <c r="O633" s="48"/>
      <c r="P633" s="48"/>
      <c r="Q633" s="48"/>
      <c r="R633" s="371" t="e">
        <f t="shared" ref="R633:AA633" si="607">$G633*H633</f>
        <v>#REF!</v>
      </c>
      <c r="S633" s="371" t="e">
        <f t="shared" si="607"/>
        <v>#REF!</v>
      </c>
      <c r="T633" s="371" t="e">
        <f t="shared" si="607"/>
        <v>#REF!</v>
      </c>
      <c r="U633" s="371" t="e">
        <f t="shared" si="607"/>
        <v>#REF!</v>
      </c>
      <c r="V633" s="371" t="e">
        <f t="shared" si="607"/>
        <v>#REF!</v>
      </c>
      <c r="W633" s="371" t="e">
        <f t="shared" si="607"/>
        <v>#REF!</v>
      </c>
      <c r="X633" s="371" t="e">
        <f t="shared" si="607"/>
        <v>#REF!</v>
      </c>
      <c r="Y633" s="371" t="e">
        <f t="shared" si="607"/>
        <v>#REF!</v>
      </c>
      <c r="Z633" s="371" t="e">
        <f t="shared" si="607"/>
        <v>#REF!</v>
      </c>
      <c r="AA633" s="371" t="e">
        <f t="shared" si="607"/>
        <v>#REF!</v>
      </c>
      <c r="AB633" s="50"/>
    </row>
    <row r="634" s="122" customFormat="1" outlineLevel="2" spans="1:28">
      <c r="A634" s="130"/>
      <c r="B634" s="154" t="s">
        <v>622</v>
      </c>
      <c r="C634" s="154"/>
      <c r="D634" s="154"/>
      <c r="E634" s="154"/>
      <c r="F634" s="130"/>
      <c r="G634" s="134"/>
      <c r="H634" s="134"/>
      <c r="I634" s="134"/>
      <c r="J634" s="134"/>
      <c r="K634" s="134"/>
      <c r="L634" s="134"/>
      <c r="M634" s="134"/>
      <c r="N634" s="134"/>
      <c r="O634" s="134"/>
      <c r="P634" s="134"/>
      <c r="Q634" s="134"/>
      <c r="R634" s="367"/>
      <c r="S634" s="367"/>
      <c r="T634" s="367"/>
      <c r="U634" s="367"/>
      <c r="V634" s="371">
        <f>$G634*L634</f>
        <v>0</v>
      </c>
      <c r="W634" s="367"/>
      <c r="X634" s="367"/>
      <c r="Y634" s="367"/>
      <c r="Z634" s="367"/>
      <c r="AA634" s="367"/>
      <c r="AB634" s="130"/>
    </row>
    <row r="635" outlineLevel="2" spans="1:28">
      <c r="A635" s="52">
        <f>MAX($A$6:A634)+1</f>
        <v>529</v>
      </c>
      <c r="B635" s="51" t="s">
        <v>623</v>
      </c>
      <c r="C635" s="51" t="e">
        <f>VLOOKUP($B635,#REF!,MATCH(C$2,#REF!,0),0)</f>
        <v>#REF!</v>
      </c>
      <c r="D635" s="136"/>
      <c r="E635" s="136"/>
      <c r="F635" s="136" t="e">
        <f>VLOOKUP($B635,#REF!,MATCH(F$2,#REF!,0),0)</f>
        <v>#REF!</v>
      </c>
      <c r="G635" s="137" t="e">
        <f>VLOOKUP($B635,#REF!,MATCH(G$2,#REF!,0),0)</f>
        <v>#REF!</v>
      </c>
      <c r="H635" s="48">
        <v>55.79</v>
      </c>
      <c r="I635" s="48">
        <v>55.79</v>
      </c>
      <c r="J635" s="48">
        <v>1</v>
      </c>
      <c r="K635" s="48">
        <v>1</v>
      </c>
      <c r="L635" s="48"/>
      <c r="M635" s="48"/>
      <c r="N635" s="48"/>
      <c r="O635" s="48"/>
      <c r="P635" s="48"/>
      <c r="Q635" s="48"/>
      <c r="R635" s="371" t="e">
        <f t="shared" ref="R635:R637" si="608">$G635*H635</f>
        <v>#REF!</v>
      </c>
      <c r="S635" s="371" t="e">
        <f t="shared" ref="S635:AA635" si="609">$G635*I635</f>
        <v>#REF!</v>
      </c>
      <c r="T635" s="371" t="e">
        <f t="shared" si="609"/>
        <v>#REF!</v>
      </c>
      <c r="U635" s="371" t="e">
        <f t="shared" si="609"/>
        <v>#REF!</v>
      </c>
      <c r="V635" s="371" t="e">
        <f t="shared" si="609"/>
        <v>#REF!</v>
      </c>
      <c r="W635" s="371" t="e">
        <f t="shared" si="609"/>
        <v>#REF!</v>
      </c>
      <c r="X635" s="371" t="e">
        <f t="shared" si="609"/>
        <v>#REF!</v>
      </c>
      <c r="Y635" s="371" t="e">
        <f t="shared" si="609"/>
        <v>#REF!</v>
      </c>
      <c r="Z635" s="371" t="e">
        <f t="shared" si="609"/>
        <v>#REF!</v>
      </c>
      <c r="AA635" s="371" t="e">
        <f t="shared" si="609"/>
        <v>#REF!</v>
      </c>
      <c r="AB635" s="50"/>
    </row>
    <row r="636" outlineLevel="2" spans="1:28">
      <c r="A636" s="52">
        <f>MAX($A$6:A635)+1</f>
        <v>530</v>
      </c>
      <c r="B636" s="51" t="s">
        <v>576</v>
      </c>
      <c r="C636" s="51" t="e">
        <f>VLOOKUP($B636,#REF!,MATCH(C$2,#REF!,0),0)</f>
        <v>#REF!</v>
      </c>
      <c r="D636" s="136"/>
      <c r="E636" s="136"/>
      <c r="F636" s="136" t="e">
        <f>VLOOKUP($B636,#REF!,MATCH(F$2,#REF!,0),0)</f>
        <v>#REF!</v>
      </c>
      <c r="G636" s="137" t="e">
        <f>VLOOKUP($B636,#REF!,MATCH(G$2,#REF!,0),0)</f>
        <v>#REF!</v>
      </c>
      <c r="H636" s="48">
        <v>55.79</v>
      </c>
      <c r="I636" s="48">
        <v>55.79</v>
      </c>
      <c r="J636" s="48">
        <v>1</v>
      </c>
      <c r="K636" s="48">
        <v>1</v>
      </c>
      <c r="L636" s="48"/>
      <c r="M636" s="48"/>
      <c r="N636" s="48"/>
      <c r="O636" s="48"/>
      <c r="P636" s="48"/>
      <c r="Q636" s="48"/>
      <c r="R636" s="371" t="e">
        <f t="shared" si="608"/>
        <v>#REF!</v>
      </c>
      <c r="S636" s="371" t="e">
        <f t="shared" ref="S636:AA636" si="610">$G636*I636</f>
        <v>#REF!</v>
      </c>
      <c r="T636" s="371" t="e">
        <f t="shared" si="610"/>
        <v>#REF!</v>
      </c>
      <c r="U636" s="371" t="e">
        <f t="shared" si="610"/>
        <v>#REF!</v>
      </c>
      <c r="V636" s="371" t="e">
        <f t="shared" si="610"/>
        <v>#REF!</v>
      </c>
      <c r="W636" s="371" t="e">
        <f t="shared" si="610"/>
        <v>#REF!</v>
      </c>
      <c r="X636" s="371" t="e">
        <f t="shared" si="610"/>
        <v>#REF!</v>
      </c>
      <c r="Y636" s="371" t="e">
        <f t="shared" si="610"/>
        <v>#REF!</v>
      </c>
      <c r="Z636" s="371" t="e">
        <f t="shared" si="610"/>
        <v>#REF!</v>
      </c>
      <c r="AA636" s="371" t="e">
        <f t="shared" si="610"/>
        <v>#REF!</v>
      </c>
      <c r="AB636" s="50"/>
    </row>
    <row r="637" outlineLevel="2" spans="1:28">
      <c r="A637" s="52">
        <f>MAX($A$6:A636)+1</f>
        <v>531</v>
      </c>
      <c r="B637" s="51" t="s">
        <v>624</v>
      </c>
      <c r="C637" s="51" t="e">
        <f>VLOOKUP($B637,#REF!,MATCH(C$2,#REF!,0),0)</f>
        <v>#REF!</v>
      </c>
      <c r="D637" s="136"/>
      <c r="E637" s="136"/>
      <c r="F637" s="136" t="e">
        <f>VLOOKUP($B637,#REF!,MATCH(F$2,#REF!,0),0)</f>
        <v>#REF!</v>
      </c>
      <c r="G637" s="137" t="e">
        <f>VLOOKUP($B637,#REF!,MATCH(G$2,#REF!,0),0)</f>
        <v>#REF!</v>
      </c>
      <c r="H637" s="48">
        <v>55.79</v>
      </c>
      <c r="I637" s="48">
        <v>55.79</v>
      </c>
      <c r="J637" s="48">
        <v>1</v>
      </c>
      <c r="K637" s="48">
        <v>1</v>
      </c>
      <c r="L637" s="48"/>
      <c r="M637" s="48"/>
      <c r="N637" s="48"/>
      <c r="O637" s="48"/>
      <c r="P637" s="48"/>
      <c r="Q637" s="48"/>
      <c r="R637" s="371" t="e">
        <f t="shared" si="608"/>
        <v>#REF!</v>
      </c>
      <c r="S637" s="371" t="e">
        <f t="shared" ref="S637:AA637" si="611">$G637*I637</f>
        <v>#REF!</v>
      </c>
      <c r="T637" s="371" t="e">
        <f t="shared" si="611"/>
        <v>#REF!</v>
      </c>
      <c r="U637" s="371" t="e">
        <f t="shared" si="611"/>
        <v>#REF!</v>
      </c>
      <c r="V637" s="371" t="e">
        <f t="shared" si="611"/>
        <v>#REF!</v>
      </c>
      <c r="W637" s="371" t="e">
        <f t="shared" si="611"/>
        <v>#REF!</v>
      </c>
      <c r="X637" s="371" t="e">
        <f t="shared" si="611"/>
        <v>#REF!</v>
      </c>
      <c r="Y637" s="371" t="e">
        <f t="shared" si="611"/>
        <v>#REF!</v>
      </c>
      <c r="Z637" s="371" t="e">
        <f t="shared" si="611"/>
        <v>#REF!</v>
      </c>
      <c r="AA637" s="371" t="e">
        <f t="shared" si="611"/>
        <v>#REF!</v>
      </c>
      <c r="AB637" s="50"/>
    </row>
    <row r="638" s="122" customFormat="1" outlineLevel="2" spans="1:28">
      <c r="A638" s="130"/>
      <c r="B638" s="154" t="s">
        <v>625</v>
      </c>
      <c r="C638" s="154"/>
      <c r="D638" s="154"/>
      <c r="E638" s="154"/>
      <c r="F638" s="130"/>
      <c r="G638" s="134"/>
      <c r="H638" s="134"/>
      <c r="I638" s="134"/>
      <c r="J638" s="134"/>
      <c r="K638" s="134"/>
      <c r="L638" s="134"/>
      <c r="M638" s="134"/>
      <c r="N638" s="134"/>
      <c r="O638" s="134"/>
      <c r="P638" s="134"/>
      <c r="Q638" s="134"/>
      <c r="R638" s="367"/>
      <c r="S638" s="367"/>
      <c r="T638" s="367"/>
      <c r="U638" s="367"/>
      <c r="V638" s="371"/>
      <c r="W638" s="367"/>
      <c r="X638" s="367"/>
      <c r="Y638" s="367"/>
      <c r="Z638" s="367"/>
      <c r="AA638" s="367"/>
      <c r="AB638" s="130"/>
    </row>
    <row r="639" ht="28.8" outlineLevel="2" spans="1:28">
      <c r="A639" s="52">
        <f>MAX($A$6:A638)+1</f>
        <v>532</v>
      </c>
      <c r="B639" s="51" t="s">
        <v>413</v>
      </c>
      <c r="C639" s="51" t="e">
        <f>VLOOKUP($B639,#REF!,MATCH(C$2,#REF!,0),0)</f>
        <v>#REF!</v>
      </c>
      <c r="D639" s="136"/>
      <c r="E639" s="136"/>
      <c r="F639" s="136" t="e">
        <f>VLOOKUP($B639,#REF!,MATCH(F$2,#REF!,0),0)</f>
        <v>#REF!</v>
      </c>
      <c r="G639" s="137" t="e">
        <f>VLOOKUP($B639,#REF!,MATCH(G$2,#REF!,0),0)</f>
        <v>#REF!</v>
      </c>
      <c r="H639" s="48">
        <v>1</v>
      </c>
      <c r="I639" s="48">
        <v>1</v>
      </c>
      <c r="J639" s="48"/>
      <c r="K639" s="48"/>
      <c r="L639" s="48"/>
      <c r="M639" s="48"/>
      <c r="N639" s="48"/>
      <c r="O639" s="48"/>
      <c r="P639" s="48"/>
      <c r="Q639" s="48"/>
      <c r="R639" s="371" t="e">
        <f>$G639*H639</f>
        <v>#REF!</v>
      </c>
      <c r="S639" s="371" t="e">
        <f t="shared" ref="S639:AA639" si="612">$G639*I639</f>
        <v>#REF!</v>
      </c>
      <c r="T639" s="371" t="e">
        <f t="shared" si="612"/>
        <v>#REF!</v>
      </c>
      <c r="U639" s="371" t="e">
        <f t="shared" si="612"/>
        <v>#REF!</v>
      </c>
      <c r="V639" s="371" t="e">
        <f t="shared" si="612"/>
        <v>#REF!</v>
      </c>
      <c r="W639" s="371" t="e">
        <f t="shared" si="612"/>
        <v>#REF!</v>
      </c>
      <c r="X639" s="371" t="e">
        <f t="shared" si="612"/>
        <v>#REF!</v>
      </c>
      <c r="Y639" s="371" t="e">
        <f t="shared" si="612"/>
        <v>#REF!</v>
      </c>
      <c r="Z639" s="371" t="e">
        <f t="shared" si="612"/>
        <v>#REF!</v>
      </c>
      <c r="AA639" s="371" t="e">
        <f t="shared" si="612"/>
        <v>#REF!</v>
      </c>
      <c r="AB639" s="50"/>
    </row>
    <row r="640" outlineLevel="2" spans="1:28">
      <c r="A640" s="52">
        <f>MAX($A$6:A639)+1</f>
        <v>533</v>
      </c>
      <c r="B640" s="51" t="s">
        <v>626</v>
      </c>
      <c r="C640" s="51" t="e">
        <f>VLOOKUP($B640,#REF!,MATCH(C$2,#REF!,0),0)</f>
        <v>#REF!</v>
      </c>
      <c r="D640" s="136"/>
      <c r="E640" s="136"/>
      <c r="F640" s="136" t="e">
        <f>VLOOKUP($B640,#REF!,MATCH(F$2,#REF!,0),0)</f>
        <v>#REF!</v>
      </c>
      <c r="G640" s="137" t="e">
        <f>VLOOKUP($B640,#REF!,MATCH(G$2,#REF!,0),0)</f>
        <v>#REF!</v>
      </c>
      <c r="H640" s="48">
        <v>1</v>
      </c>
      <c r="I640" s="48">
        <v>1</v>
      </c>
      <c r="J640" s="48"/>
      <c r="K640" s="48"/>
      <c r="L640" s="48"/>
      <c r="M640" s="48"/>
      <c r="N640" s="48"/>
      <c r="O640" s="48"/>
      <c r="P640" s="48"/>
      <c r="Q640" s="48"/>
      <c r="R640" s="371" t="e">
        <f t="shared" ref="R640:AA640" si="613">$G640*H640</f>
        <v>#REF!</v>
      </c>
      <c r="S640" s="371" t="e">
        <f t="shared" si="613"/>
        <v>#REF!</v>
      </c>
      <c r="T640" s="371" t="e">
        <f t="shared" si="613"/>
        <v>#REF!</v>
      </c>
      <c r="U640" s="371" t="e">
        <f t="shared" si="613"/>
        <v>#REF!</v>
      </c>
      <c r="V640" s="371" t="e">
        <f t="shared" si="613"/>
        <v>#REF!</v>
      </c>
      <c r="W640" s="371" t="e">
        <f t="shared" si="613"/>
        <v>#REF!</v>
      </c>
      <c r="X640" s="371" t="e">
        <f t="shared" si="613"/>
        <v>#REF!</v>
      </c>
      <c r="Y640" s="371" t="e">
        <f t="shared" si="613"/>
        <v>#REF!</v>
      </c>
      <c r="Z640" s="371" t="e">
        <f t="shared" si="613"/>
        <v>#REF!</v>
      </c>
      <c r="AA640" s="371" t="e">
        <f t="shared" si="613"/>
        <v>#REF!</v>
      </c>
      <c r="AB640" s="50"/>
    </row>
    <row r="641" outlineLevel="2" spans="1:28">
      <c r="A641" s="52">
        <f>MAX($A$6:A640)+1</f>
        <v>534</v>
      </c>
      <c r="B641" s="51" t="s">
        <v>627</v>
      </c>
      <c r="C641" s="51" t="e">
        <f>VLOOKUP($B641,#REF!,MATCH(C$2,#REF!,0),0)</f>
        <v>#REF!</v>
      </c>
      <c r="D641" s="136"/>
      <c r="E641" s="136"/>
      <c r="F641" s="136" t="e">
        <f>VLOOKUP($B641,#REF!,MATCH(F$2,#REF!,0),0)</f>
        <v>#REF!</v>
      </c>
      <c r="G641" s="137" t="e">
        <f>VLOOKUP($B641,#REF!,MATCH(G$2,#REF!,0),0)</f>
        <v>#REF!</v>
      </c>
      <c r="H641" s="48">
        <v>1</v>
      </c>
      <c r="I641" s="48">
        <v>1</v>
      </c>
      <c r="J641" s="48"/>
      <c r="K641" s="48"/>
      <c r="L641" s="48"/>
      <c r="M641" s="48"/>
      <c r="N641" s="48"/>
      <c r="O641" s="48"/>
      <c r="P641" s="48"/>
      <c r="Q641" s="48"/>
      <c r="R641" s="371" t="e">
        <f t="shared" ref="R641:AA641" si="614">$G641*H641</f>
        <v>#REF!</v>
      </c>
      <c r="S641" s="371" t="e">
        <f t="shared" si="614"/>
        <v>#REF!</v>
      </c>
      <c r="T641" s="371" t="e">
        <f t="shared" si="614"/>
        <v>#REF!</v>
      </c>
      <c r="U641" s="371" t="e">
        <f t="shared" si="614"/>
        <v>#REF!</v>
      </c>
      <c r="V641" s="371" t="e">
        <f t="shared" si="614"/>
        <v>#REF!</v>
      </c>
      <c r="W641" s="371" t="e">
        <f t="shared" si="614"/>
        <v>#REF!</v>
      </c>
      <c r="X641" s="371" t="e">
        <f t="shared" si="614"/>
        <v>#REF!</v>
      </c>
      <c r="Y641" s="371" t="e">
        <f t="shared" si="614"/>
        <v>#REF!</v>
      </c>
      <c r="Z641" s="371" t="e">
        <f t="shared" si="614"/>
        <v>#REF!</v>
      </c>
      <c r="AA641" s="371" t="e">
        <f t="shared" si="614"/>
        <v>#REF!</v>
      </c>
      <c r="AB641" s="50"/>
    </row>
    <row r="642" ht="28.8" outlineLevel="2" spans="1:28">
      <c r="A642" s="52">
        <f>MAX($A$6:A641)+1</f>
        <v>535</v>
      </c>
      <c r="B642" s="51" t="s">
        <v>628</v>
      </c>
      <c r="C642" s="51" t="e">
        <f>VLOOKUP($B642,#REF!,MATCH(C$2,#REF!,0),0)</f>
        <v>#REF!</v>
      </c>
      <c r="D642" s="136"/>
      <c r="E642" s="136"/>
      <c r="F642" s="136" t="e">
        <f>VLOOKUP($B642,#REF!,MATCH(F$2,#REF!,0),0)</f>
        <v>#REF!</v>
      </c>
      <c r="G642" s="137" t="e">
        <f>VLOOKUP($B642,#REF!,MATCH(G$2,#REF!,0),0)</f>
        <v>#REF!</v>
      </c>
      <c r="H642" s="48">
        <v>1</v>
      </c>
      <c r="I642" s="48">
        <v>1</v>
      </c>
      <c r="J642" s="48"/>
      <c r="K642" s="48"/>
      <c r="L642" s="48"/>
      <c r="M642" s="48"/>
      <c r="N642" s="48"/>
      <c r="O642" s="48"/>
      <c r="P642" s="48"/>
      <c r="Q642" s="48"/>
      <c r="R642" s="371" t="e">
        <f t="shared" ref="R642:AA642" si="615">$G642*H642</f>
        <v>#REF!</v>
      </c>
      <c r="S642" s="371" t="e">
        <f t="shared" si="615"/>
        <v>#REF!</v>
      </c>
      <c r="T642" s="371" t="e">
        <f t="shared" si="615"/>
        <v>#REF!</v>
      </c>
      <c r="U642" s="371" t="e">
        <f t="shared" si="615"/>
        <v>#REF!</v>
      </c>
      <c r="V642" s="371" t="e">
        <f t="shared" si="615"/>
        <v>#REF!</v>
      </c>
      <c r="W642" s="371" t="e">
        <f t="shared" si="615"/>
        <v>#REF!</v>
      </c>
      <c r="X642" s="371" t="e">
        <f t="shared" si="615"/>
        <v>#REF!</v>
      </c>
      <c r="Y642" s="371" t="e">
        <f t="shared" si="615"/>
        <v>#REF!</v>
      </c>
      <c r="Z642" s="371" t="e">
        <f t="shared" si="615"/>
        <v>#REF!</v>
      </c>
      <c r="AA642" s="371" t="e">
        <f t="shared" si="615"/>
        <v>#REF!</v>
      </c>
      <c r="AB642" s="50"/>
    </row>
    <row r="643" s="122" customFormat="1" outlineLevel="2" spans="1:28">
      <c r="A643" s="130"/>
      <c r="B643" s="154" t="s">
        <v>629</v>
      </c>
      <c r="C643" s="154"/>
      <c r="D643" s="154"/>
      <c r="E643" s="154"/>
      <c r="F643" s="130"/>
      <c r="G643" s="134"/>
      <c r="H643" s="134"/>
      <c r="I643" s="134"/>
      <c r="J643" s="134"/>
      <c r="K643" s="134"/>
      <c r="L643" s="134"/>
      <c r="M643" s="134"/>
      <c r="N643" s="134"/>
      <c r="O643" s="134"/>
      <c r="P643" s="134"/>
      <c r="Q643" s="134"/>
      <c r="R643" s="367"/>
      <c r="S643" s="367"/>
      <c r="T643" s="367"/>
      <c r="U643" s="367"/>
      <c r="V643" s="371"/>
      <c r="W643" s="367"/>
      <c r="X643" s="367"/>
      <c r="Y643" s="367"/>
      <c r="Z643" s="367"/>
      <c r="AA643" s="367"/>
      <c r="AB643" s="130"/>
    </row>
    <row r="644" outlineLevel="2" spans="1:28">
      <c r="A644" s="52">
        <f>MAX($A$6:A643)+1</f>
        <v>536</v>
      </c>
      <c r="B644" s="51" t="s">
        <v>589</v>
      </c>
      <c r="C644" s="51" t="e">
        <f>VLOOKUP($B644,#REF!,MATCH(C$2,#REF!,0),0)</f>
        <v>#REF!</v>
      </c>
      <c r="D644" s="136"/>
      <c r="E644" s="136"/>
      <c r="F644" s="136" t="e">
        <f>VLOOKUP($B644,#REF!,MATCH(F$2,#REF!,0),0)</f>
        <v>#REF!</v>
      </c>
      <c r="G644" s="137" t="e">
        <f>VLOOKUP($B644,#REF!,MATCH(G$2,#REF!,0),0)</f>
        <v>#REF!</v>
      </c>
      <c r="H644" s="48"/>
      <c r="I644" s="48"/>
      <c r="J644" s="48"/>
      <c r="K644" s="48"/>
      <c r="L644" s="48"/>
      <c r="M644" s="48">
        <v>1</v>
      </c>
      <c r="N644" s="48">
        <v>1</v>
      </c>
      <c r="O644" s="48">
        <v>1</v>
      </c>
      <c r="P644" s="48"/>
      <c r="Q644" s="48"/>
      <c r="R644" s="371" t="e">
        <f>$G644*H644</f>
        <v>#REF!</v>
      </c>
      <c r="S644" s="371" t="e">
        <f t="shared" ref="S644:AA644" si="616">$G644*I644</f>
        <v>#REF!</v>
      </c>
      <c r="T644" s="371" t="e">
        <f t="shared" si="616"/>
        <v>#REF!</v>
      </c>
      <c r="U644" s="371" t="e">
        <f t="shared" si="616"/>
        <v>#REF!</v>
      </c>
      <c r="V644" s="371" t="e">
        <f t="shared" si="616"/>
        <v>#REF!</v>
      </c>
      <c r="W644" s="371" t="e">
        <f t="shared" si="616"/>
        <v>#REF!</v>
      </c>
      <c r="X644" s="371" t="e">
        <f t="shared" si="616"/>
        <v>#REF!</v>
      </c>
      <c r="Y644" s="371" t="e">
        <f t="shared" si="616"/>
        <v>#REF!</v>
      </c>
      <c r="Z644" s="371" t="e">
        <f t="shared" si="616"/>
        <v>#REF!</v>
      </c>
      <c r="AA644" s="371" t="e">
        <f t="shared" si="616"/>
        <v>#REF!</v>
      </c>
      <c r="AB644" s="50"/>
    </row>
    <row r="645" outlineLevel="2" spans="1:28">
      <c r="A645" s="52">
        <f>MAX($A$6:A644)+1</f>
        <v>537</v>
      </c>
      <c r="B645" s="51" t="s">
        <v>424</v>
      </c>
      <c r="C645" s="51" t="e">
        <f>VLOOKUP($B645,#REF!,MATCH(C$2,#REF!,0),0)</f>
        <v>#REF!</v>
      </c>
      <c r="D645" s="136"/>
      <c r="E645" s="136"/>
      <c r="F645" s="136" t="e">
        <f>VLOOKUP($B645,#REF!,MATCH(F$2,#REF!,0),0)</f>
        <v>#REF!</v>
      </c>
      <c r="G645" s="137" t="e">
        <f>VLOOKUP($B645,#REF!,MATCH(G$2,#REF!,0),0)</f>
        <v>#REF!</v>
      </c>
      <c r="H645" s="48"/>
      <c r="I645" s="48"/>
      <c r="J645" s="48"/>
      <c r="K645" s="48"/>
      <c r="L645" s="48"/>
      <c r="M645" s="48">
        <v>1</v>
      </c>
      <c r="N645" s="48">
        <v>1</v>
      </c>
      <c r="O645" s="48">
        <v>1</v>
      </c>
      <c r="P645" s="48"/>
      <c r="Q645" s="48"/>
      <c r="R645" s="371" t="e">
        <f t="shared" ref="R645:AA645" si="617">$G645*H645</f>
        <v>#REF!</v>
      </c>
      <c r="S645" s="371" t="e">
        <f t="shared" si="617"/>
        <v>#REF!</v>
      </c>
      <c r="T645" s="371" t="e">
        <f t="shared" si="617"/>
        <v>#REF!</v>
      </c>
      <c r="U645" s="371" t="e">
        <f t="shared" si="617"/>
        <v>#REF!</v>
      </c>
      <c r="V645" s="371" t="e">
        <f t="shared" si="617"/>
        <v>#REF!</v>
      </c>
      <c r="W645" s="371" t="e">
        <f t="shared" si="617"/>
        <v>#REF!</v>
      </c>
      <c r="X645" s="371" t="e">
        <f t="shared" si="617"/>
        <v>#REF!</v>
      </c>
      <c r="Y645" s="371" t="e">
        <f t="shared" si="617"/>
        <v>#REF!</v>
      </c>
      <c r="Z645" s="371" t="e">
        <f t="shared" si="617"/>
        <v>#REF!</v>
      </c>
      <c r="AA645" s="371" t="e">
        <f t="shared" si="617"/>
        <v>#REF!</v>
      </c>
      <c r="AB645" s="50"/>
    </row>
    <row r="646" ht="28.8" outlineLevel="2" spans="1:28">
      <c r="A646" s="52">
        <f>MAX($A$6:A645)+1</f>
        <v>538</v>
      </c>
      <c r="B646" s="51" t="s">
        <v>588</v>
      </c>
      <c r="C646" s="51" t="e">
        <f>VLOOKUP($B646,#REF!,MATCH(C$2,#REF!,0),0)</f>
        <v>#REF!</v>
      </c>
      <c r="D646" s="136"/>
      <c r="E646" s="136"/>
      <c r="F646" s="136" t="e">
        <f>VLOOKUP($B646,#REF!,MATCH(F$2,#REF!,0),0)</f>
        <v>#REF!</v>
      </c>
      <c r="G646" s="137" t="e">
        <f>VLOOKUP($B646,#REF!,MATCH(G$2,#REF!,0),0)</f>
        <v>#REF!</v>
      </c>
      <c r="H646" s="48"/>
      <c r="I646" s="48"/>
      <c r="J646" s="48"/>
      <c r="K646" s="48"/>
      <c r="L646" s="48"/>
      <c r="M646" s="48">
        <v>1</v>
      </c>
      <c r="N646" s="48">
        <v>1</v>
      </c>
      <c r="O646" s="48">
        <v>1</v>
      </c>
      <c r="P646" s="48"/>
      <c r="Q646" s="48"/>
      <c r="R646" s="371" t="e">
        <f t="shared" ref="R646:AA646" si="618">$G646*H646</f>
        <v>#REF!</v>
      </c>
      <c r="S646" s="371" t="e">
        <f t="shared" si="618"/>
        <v>#REF!</v>
      </c>
      <c r="T646" s="371" t="e">
        <f t="shared" si="618"/>
        <v>#REF!</v>
      </c>
      <c r="U646" s="371" t="e">
        <f t="shared" si="618"/>
        <v>#REF!</v>
      </c>
      <c r="V646" s="371" t="e">
        <f t="shared" si="618"/>
        <v>#REF!</v>
      </c>
      <c r="W646" s="371" t="e">
        <f t="shared" si="618"/>
        <v>#REF!</v>
      </c>
      <c r="X646" s="371" t="e">
        <f t="shared" si="618"/>
        <v>#REF!</v>
      </c>
      <c r="Y646" s="371" t="e">
        <f t="shared" si="618"/>
        <v>#REF!</v>
      </c>
      <c r="Z646" s="371" t="e">
        <f t="shared" si="618"/>
        <v>#REF!</v>
      </c>
      <c r="AA646" s="371" t="e">
        <f t="shared" si="618"/>
        <v>#REF!</v>
      </c>
      <c r="AB646" s="50"/>
    </row>
    <row r="647" outlineLevel="2" spans="1:28">
      <c r="A647" s="52">
        <f>MAX($A$6:A646)+1</f>
        <v>539</v>
      </c>
      <c r="B647" s="51" t="s">
        <v>425</v>
      </c>
      <c r="C647" s="51" t="e">
        <f>VLOOKUP($B647,#REF!,MATCH(C$2,#REF!,0),0)</f>
        <v>#REF!</v>
      </c>
      <c r="D647" s="136"/>
      <c r="E647" s="136"/>
      <c r="F647" s="136" t="e">
        <f>VLOOKUP($B647,#REF!,MATCH(F$2,#REF!,0),0)</f>
        <v>#REF!</v>
      </c>
      <c r="G647" s="137" t="e">
        <f>VLOOKUP($B647,#REF!,MATCH(G$2,#REF!,0),0)</f>
        <v>#REF!</v>
      </c>
      <c r="H647" s="48"/>
      <c r="I647" s="48"/>
      <c r="J647" s="48"/>
      <c r="K647" s="48"/>
      <c r="L647" s="48"/>
      <c r="M647" s="48">
        <v>1</v>
      </c>
      <c r="N647" s="48">
        <v>1</v>
      </c>
      <c r="O647" s="48">
        <v>1</v>
      </c>
      <c r="P647" s="48"/>
      <c r="Q647" s="48"/>
      <c r="R647" s="371" t="e">
        <f t="shared" ref="R647:AA647" si="619">$G647*H647</f>
        <v>#REF!</v>
      </c>
      <c r="S647" s="371" t="e">
        <f t="shared" si="619"/>
        <v>#REF!</v>
      </c>
      <c r="T647" s="371" t="e">
        <f t="shared" si="619"/>
        <v>#REF!</v>
      </c>
      <c r="U647" s="371" t="e">
        <f t="shared" si="619"/>
        <v>#REF!</v>
      </c>
      <c r="V647" s="371" t="e">
        <f t="shared" si="619"/>
        <v>#REF!</v>
      </c>
      <c r="W647" s="371" t="e">
        <f t="shared" si="619"/>
        <v>#REF!</v>
      </c>
      <c r="X647" s="371" t="e">
        <f t="shared" si="619"/>
        <v>#REF!</v>
      </c>
      <c r="Y647" s="371" t="e">
        <f t="shared" si="619"/>
        <v>#REF!</v>
      </c>
      <c r="Z647" s="371" t="e">
        <f t="shared" si="619"/>
        <v>#REF!</v>
      </c>
      <c r="AA647" s="371" t="e">
        <f t="shared" si="619"/>
        <v>#REF!</v>
      </c>
      <c r="AB647" s="50"/>
    </row>
    <row r="648" ht="28.8" outlineLevel="2" spans="1:28">
      <c r="A648" s="52">
        <f>MAX($A$6:A647)+1</f>
        <v>540</v>
      </c>
      <c r="B648" s="51" t="s">
        <v>417</v>
      </c>
      <c r="C648" s="51" t="e">
        <f>VLOOKUP($B648,#REF!,MATCH(C$2,#REF!,0),0)</f>
        <v>#REF!</v>
      </c>
      <c r="D648" s="136"/>
      <c r="E648" s="136"/>
      <c r="F648" s="136" t="e">
        <f>VLOOKUP($B648,#REF!,MATCH(F$2,#REF!,0),0)</f>
        <v>#REF!</v>
      </c>
      <c r="G648" s="137" t="e">
        <f>VLOOKUP($B648,#REF!,MATCH(G$2,#REF!,0),0)</f>
        <v>#REF!</v>
      </c>
      <c r="H648" s="48">
        <v>1</v>
      </c>
      <c r="I648" s="48">
        <v>1</v>
      </c>
      <c r="J648" s="48">
        <v>1</v>
      </c>
      <c r="K648" s="48">
        <v>1</v>
      </c>
      <c r="L648" s="48"/>
      <c r="M648" s="48"/>
      <c r="N648" s="48"/>
      <c r="O648" s="48"/>
      <c r="P648" s="48"/>
      <c r="Q648" s="48"/>
      <c r="R648" s="371" t="e">
        <f t="shared" ref="R648:AA648" si="620">$G648*H648</f>
        <v>#REF!</v>
      </c>
      <c r="S648" s="371" t="e">
        <f t="shared" si="620"/>
        <v>#REF!</v>
      </c>
      <c r="T648" s="371" t="e">
        <f t="shared" si="620"/>
        <v>#REF!</v>
      </c>
      <c r="U648" s="371" t="e">
        <f t="shared" si="620"/>
        <v>#REF!</v>
      </c>
      <c r="V648" s="371" t="e">
        <f t="shared" si="620"/>
        <v>#REF!</v>
      </c>
      <c r="W648" s="371" t="e">
        <f t="shared" si="620"/>
        <v>#REF!</v>
      </c>
      <c r="X648" s="371" t="e">
        <f t="shared" si="620"/>
        <v>#REF!</v>
      </c>
      <c r="Y648" s="371" t="e">
        <f t="shared" si="620"/>
        <v>#REF!</v>
      </c>
      <c r="Z648" s="371" t="e">
        <f t="shared" si="620"/>
        <v>#REF!</v>
      </c>
      <c r="AA648" s="371" t="e">
        <f t="shared" si="620"/>
        <v>#REF!</v>
      </c>
      <c r="AB648" s="50"/>
    </row>
    <row r="649" ht="28.8" outlineLevel="2" spans="1:28">
      <c r="A649" s="52">
        <f>MAX($A$6:A648)+1</f>
        <v>541</v>
      </c>
      <c r="B649" s="51" t="s">
        <v>437</v>
      </c>
      <c r="C649" s="51" t="e">
        <f>VLOOKUP($B649,#REF!,MATCH(C$2,#REF!,0),0)</f>
        <v>#REF!</v>
      </c>
      <c r="D649" s="136"/>
      <c r="E649" s="136"/>
      <c r="F649" s="136" t="e">
        <f>VLOOKUP($B649,#REF!,MATCH(F$2,#REF!,0),0)</f>
        <v>#REF!</v>
      </c>
      <c r="G649" s="137" t="e">
        <f>VLOOKUP($B649,#REF!,MATCH(G$2,#REF!,0),0)</f>
        <v>#REF!</v>
      </c>
      <c r="H649" s="48">
        <v>1444.11</v>
      </c>
      <c r="I649" s="48">
        <v>1444.11</v>
      </c>
      <c r="J649" s="48">
        <v>838.62</v>
      </c>
      <c r="K649" s="48">
        <v>838.62</v>
      </c>
      <c r="L649" s="48"/>
      <c r="M649" s="48"/>
      <c r="N649" s="48">
        <v>1</v>
      </c>
      <c r="O649" s="48"/>
      <c r="P649" s="48"/>
      <c r="Q649" s="48"/>
      <c r="R649" s="371" t="e">
        <f t="shared" ref="R649:AA649" si="621">$G649*H649</f>
        <v>#REF!</v>
      </c>
      <c r="S649" s="371" t="e">
        <f t="shared" si="621"/>
        <v>#REF!</v>
      </c>
      <c r="T649" s="371" t="e">
        <f t="shared" si="621"/>
        <v>#REF!</v>
      </c>
      <c r="U649" s="371" t="e">
        <f t="shared" si="621"/>
        <v>#REF!</v>
      </c>
      <c r="V649" s="371" t="e">
        <f t="shared" si="621"/>
        <v>#REF!</v>
      </c>
      <c r="W649" s="371" t="e">
        <f t="shared" si="621"/>
        <v>#REF!</v>
      </c>
      <c r="X649" s="371" t="e">
        <f t="shared" si="621"/>
        <v>#REF!</v>
      </c>
      <c r="Y649" s="371" t="e">
        <f t="shared" si="621"/>
        <v>#REF!</v>
      </c>
      <c r="Z649" s="371" t="e">
        <f t="shared" si="621"/>
        <v>#REF!</v>
      </c>
      <c r="AA649" s="371" t="e">
        <f t="shared" si="621"/>
        <v>#REF!</v>
      </c>
      <c r="AB649" s="50"/>
    </row>
    <row r="650" s="29" customFormat="1" ht="28.8" outlineLevel="1" spans="1:28">
      <c r="A650" s="40"/>
      <c r="B650" s="41" t="str">
        <f>目录!H15</f>
        <v>A.05.02墙柱装饰工程</v>
      </c>
      <c r="C650" s="41"/>
      <c r="D650" s="141"/>
      <c r="E650" s="141"/>
      <c r="F650" s="40"/>
      <c r="G650" s="43"/>
      <c r="H650" s="43"/>
      <c r="I650" s="43"/>
      <c r="J650" s="43"/>
      <c r="K650" s="43"/>
      <c r="L650" s="43"/>
      <c r="M650" s="43"/>
      <c r="N650" s="43"/>
      <c r="O650" s="43"/>
      <c r="P650" s="43"/>
      <c r="Q650" s="43"/>
      <c r="R650" s="369" t="e">
        <f t="shared" ref="R650:AA650" si="622">SUM(R651:R758)</f>
        <v>#REF!</v>
      </c>
      <c r="S650" s="369" t="e">
        <f t="shared" si="622"/>
        <v>#REF!</v>
      </c>
      <c r="T650" s="369" t="e">
        <f t="shared" si="622"/>
        <v>#REF!</v>
      </c>
      <c r="U650" s="369" t="e">
        <f t="shared" si="622"/>
        <v>#REF!</v>
      </c>
      <c r="V650" s="369" t="e">
        <f t="shared" si="622"/>
        <v>#REF!</v>
      </c>
      <c r="W650" s="369" t="e">
        <f t="shared" si="622"/>
        <v>#REF!</v>
      </c>
      <c r="X650" s="369" t="e">
        <f t="shared" si="622"/>
        <v>#REF!</v>
      </c>
      <c r="Y650" s="369" t="e">
        <f t="shared" si="622"/>
        <v>#REF!</v>
      </c>
      <c r="Z650" s="369" t="e">
        <f t="shared" si="622"/>
        <v>#REF!</v>
      </c>
      <c r="AA650" s="369" t="e">
        <f t="shared" si="622"/>
        <v>#REF!</v>
      </c>
      <c r="AB650" s="40"/>
    </row>
    <row r="651" s="122" customFormat="1" outlineLevel="2" spans="1:28">
      <c r="A651" s="130"/>
      <c r="B651" s="154" t="s">
        <v>630</v>
      </c>
      <c r="C651" s="154"/>
      <c r="D651" s="154"/>
      <c r="E651" s="154"/>
      <c r="F651" s="130"/>
      <c r="G651" s="134"/>
      <c r="H651" s="134"/>
      <c r="I651" s="134"/>
      <c r="J651" s="134"/>
      <c r="K651" s="134"/>
      <c r="L651" s="134"/>
      <c r="M651" s="134"/>
      <c r="N651" s="134"/>
      <c r="O651" s="134"/>
      <c r="P651" s="134"/>
      <c r="Q651" s="134"/>
      <c r="R651" s="367"/>
      <c r="S651" s="367"/>
      <c r="T651" s="367"/>
      <c r="U651" s="367"/>
      <c r="V651" s="371"/>
      <c r="W651" s="367"/>
      <c r="X651" s="367"/>
      <c r="Y651" s="367"/>
      <c r="Z651" s="367"/>
      <c r="AA651" s="367"/>
      <c r="AB651" s="130"/>
    </row>
    <row r="652" outlineLevel="2" spans="1:28">
      <c r="A652" s="52">
        <f>MAX($A$6:A651)+1</f>
        <v>542</v>
      </c>
      <c r="B652" s="51" t="s">
        <v>354</v>
      </c>
      <c r="C652" s="51" t="e">
        <f>VLOOKUP($B652,#REF!,MATCH(C$2,#REF!,0),0)</f>
        <v>#REF!</v>
      </c>
      <c r="D652" s="136"/>
      <c r="E652" s="136"/>
      <c r="F652" s="136" t="e">
        <f>VLOOKUP($B652,#REF!,MATCH(F$2,#REF!,0),0)</f>
        <v>#REF!</v>
      </c>
      <c r="G652" s="137" t="e">
        <f>VLOOKUP($B652,#REF!,MATCH(G$2,#REF!,0),0)</f>
        <v>#REF!</v>
      </c>
      <c r="H652" s="48">
        <v>1294.147</v>
      </c>
      <c r="I652" s="48">
        <v>1294.147</v>
      </c>
      <c r="J652" s="48">
        <v>660.854648815704</v>
      </c>
      <c r="K652" s="48">
        <v>660.854648815704</v>
      </c>
      <c r="L652" s="48">
        <v>313</v>
      </c>
      <c r="M652" s="48"/>
      <c r="N652" s="48"/>
      <c r="O652" s="48"/>
      <c r="P652" s="48"/>
      <c r="Q652" s="48"/>
      <c r="R652" s="371" t="e">
        <f>$G652*H652</f>
        <v>#REF!</v>
      </c>
      <c r="S652" s="371" t="e">
        <f t="shared" ref="S652:AA652" si="623">$G652*I652</f>
        <v>#REF!</v>
      </c>
      <c r="T652" s="371" t="e">
        <f t="shared" si="623"/>
        <v>#REF!</v>
      </c>
      <c r="U652" s="371" t="e">
        <f t="shared" si="623"/>
        <v>#REF!</v>
      </c>
      <c r="V652" s="371" t="e">
        <f t="shared" si="623"/>
        <v>#REF!</v>
      </c>
      <c r="W652" s="371" t="e">
        <f t="shared" si="623"/>
        <v>#REF!</v>
      </c>
      <c r="X652" s="371" t="e">
        <f t="shared" si="623"/>
        <v>#REF!</v>
      </c>
      <c r="Y652" s="371" t="e">
        <f t="shared" si="623"/>
        <v>#REF!</v>
      </c>
      <c r="Z652" s="371" t="e">
        <f t="shared" si="623"/>
        <v>#REF!</v>
      </c>
      <c r="AA652" s="371" t="e">
        <f t="shared" si="623"/>
        <v>#REF!</v>
      </c>
      <c r="AB652" s="50"/>
    </row>
    <row r="653" ht="28.8" outlineLevel="2" spans="1:28">
      <c r="A653" s="52">
        <f>MAX($A$6:A652)+1</f>
        <v>543</v>
      </c>
      <c r="B653" s="51" t="s">
        <v>631</v>
      </c>
      <c r="C653" s="51" t="e">
        <f>VLOOKUP($B653,#REF!,MATCH(C$2,#REF!,0),0)</f>
        <v>#REF!</v>
      </c>
      <c r="D653" s="136"/>
      <c r="E653" s="136"/>
      <c r="F653" s="136" t="e">
        <f>VLOOKUP($B653,#REF!,MATCH(F$2,#REF!,0),0)</f>
        <v>#REF!</v>
      </c>
      <c r="G653" s="137" t="e">
        <f>VLOOKUP($B653,#REF!,MATCH(G$2,#REF!,0),0)</f>
        <v>#REF!</v>
      </c>
      <c r="H653" s="48">
        <v>1294.147</v>
      </c>
      <c r="I653" s="48">
        <v>1294.147</v>
      </c>
      <c r="J653" s="48">
        <v>660.854648815704</v>
      </c>
      <c r="K653" s="48">
        <v>660.854648815704</v>
      </c>
      <c r="L653" s="48">
        <v>313</v>
      </c>
      <c r="M653" s="48"/>
      <c r="N653" s="48"/>
      <c r="O653" s="48"/>
      <c r="P653" s="48"/>
      <c r="Q653" s="48"/>
      <c r="R653" s="371" t="e">
        <f t="shared" ref="R653:AA653" si="624">$G653*H653</f>
        <v>#REF!</v>
      </c>
      <c r="S653" s="371" t="e">
        <f t="shared" si="624"/>
        <v>#REF!</v>
      </c>
      <c r="T653" s="371" t="e">
        <f t="shared" si="624"/>
        <v>#REF!</v>
      </c>
      <c r="U653" s="371" t="e">
        <f t="shared" si="624"/>
        <v>#REF!</v>
      </c>
      <c r="V653" s="371" t="e">
        <f t="shared" si="624"/>
        <v>#REF!</v>
      </c>
      <c r="W653" s="371" t="e">
        <f t="shared" si="624"/>
        <v>#REF!</v>
      </c>
      <c r="X653" s="371" t="e">
        <f t="shared" si="624"/>
        <v>#REF!</v>
      </c>
      <c r="Y653" s="371" t="e">
        <f t="shared" si="624"/>
        <v>#REF!</v>
      </c>
      <c r="Z653" s="371" t="e">
        <f t="shared" si="624"/>
        <v>#REF!</v>
      </c>
      <c r="AA653" s="371" t="e">
        <f t="shared" si="624"/>
        <v>#REF!</v>
      </c>
      <c r="AB653" s="50"/>
    </row>
    <row r="654" ht="28.8" outlineLevel="2" spans="1:28">
      <c r="A654" s="52">
        <f>MAX($A$6:A653)+1</f>
        <v>544</v>
      </c>
      <c r="B654" s="51" t="s">
        <v>632</v>
      </c>
      <c r="C654" s="51" t="e">
        <f>VLOOKUP($B654,#REF!,MATCH(C$2,#REF!,0),0)</f>
        <v>#REF!</v>
      </c>
      <c r="D654" s="136"/>
      <c r="E654" s="136"/>
      <c r="F654" s="136" t="e">
        <f>VLOOKUP($B654,#REF!,MATCH(F$2,#REF!,0),0)</f>
        <v>#REF!</v>
      </c>
      <c r="G654" s="137" t="e">
        <f>VLOOKUP($B654,#REF!,MATCH(G$2,#REF!,0),0)</f>
        <v>#REF!</v>
      </c>
      <c r="H654" s="48"/>
      <c r="I654" s="48"/>
      <c r="J654" s="48"/>
      <c r="K654" s="48"/>
      <c r="L654" s="48"/>
      <c r="M654" s="48"/>
      <c r="N654" s="48"/>
      <c r="O654" s="48"/>
      <c r="P654" s="48"/>
      <c r="Q654" s="48"/>
      <c r="R654" s="371" t="e">
        <f t="shared" ref="R654:AA654" si="625">$G654*H654</f>
        <v>#REF!</v>
      </c>
      <c r="S654" s="371" t="e">
        <f t="shared" si="625"/>
        <v>#REF!</v>
      </c>
      <c r="T654" s="371" t="e">
        <f t="shared" si="625"/>
        <v>#REF!</v>
      </c>
      <c r="U654" s="371" t="e">
        <f t="shared" si="625"/>
        <v>#REF!</v>
      </c>
      <c r="V654" s="371" t="e">
        <f t="shared" si="625"/>
        <v>#REF!</v>
      </c>
      <c r="W654" s="371" t="e">
        <f t="shared" si="625"/>
        <v>#REF!</v>
      </c>
      <c r="X654" s="371" t="e">
        <f t="shared" si="625"/>
        <v>#REF!</v>
      </c>
      <c r="Y654" s="371" t="e">
        <f t="shared" si="625"/>
        <v>#REF!</v>
      </c>
      <c r="Z654" s="371" t="e">
        <f t="shared" si="625"/>
        <v>#REF!</v>
      </c>
      <c r="AA654" s="371" t="e">
        <f t="shared" si="625"/>
        <v>#REF!</v>
      </c>
      <c r="AB654" s="50"/>
    </row>
    <row r="655" outlineLevel="2" spans="1:28">
      <c r="A655" s="52">
        <f>MAX($A$6:A654)+1</f>
        <v>545</v>
      </c>
      <c r="B655" s="51" t="s">
        <v>633</v>
      </c>
      <c r="C655" s="51" t="e">
        <f>VLOOKUP($B655,#REF!,MATCH(C$2,#REF!,0),0)</f>
        <v>#REF!</v>
      </c>
      <c r="D655" s="136"/>
      <c r="E655" s="136"/>
      <c r="F655" s="136" t="e">
        <f>VLOOKUP($B655,#REF!,MATCH(F$2,#REF!,0),0)</f>
        <v>#REF!</v>
      </c>
      <c r="G655" s="137" t="e">
        <f>VLOOKUP($B655,#REF!,MATCH(G$2,#REF!,0),0)</f>
        <v>#REF!</v>
      </c>
      <c r="H655" s="48">
        <v>1294.147</v>
      </c>
      <c r="I655" s="48">
        <v>1294.147</v>
      </c>
      <c r="J655" s="48">
        <v>660.854648815704</v>
      </c>
      <c r="K655" s="48">
        <v>660.854648815704</v>
      </c>
      <c r="L655" s="48">
        <v>313</v>
      </c>
      <c r="M655" s="48"/>
      <c r="N655" s="48"/>
      <c r="O655" s="48"/>
      <c r="P655" s="48"/>
      <c r="Q655" s="48"/>
      <c r="R655" s="371" t="e">
        <f t="shared" ref="R655:AA655" si="626">$G655*H655</f>
        <v>#REF!</v>
      </c>
      <c r="S655" s="371" t="e">
        <f t="shared" si="626"/>
        <v>#REF!</v>
      </c>
      <c r="T655" s="371" t="e">
        <f t="shared" si="626"/>
        <v>#REF!</v>
      </c>
      <c r="U655" s="371" t="e">
        <f t="shared" si="626"/>
        <v>#REF!</v>
      </c>
      <c r="V655" s="371" t="e">
        <f t="shared" si="626"/>
        <v>#REF!</v>
      </c>
      <c r="W655" s="371" t="e">
        <f t="shared" si="626"/>
        <v>#REF!</v>
      </c>
      <c r="X655" s="371" t="e">
        <f t="shared" si="626"/>
        <v>#REF!</v>
      </c>
      <c r="Y655" s="371" t="e">
        <f t="shared" si="626"/>
        <v>#REF!</v>
      </c>
      <c r="Z655" s="371" t="e">
        <f t="shared" si="626"/>
        <v>#REF!</v>
      </c>
      <c r="AA655" s="371" t="e">
        <f t="shared" si="626"/>
        <v>#REF!</v>
      </c>
      <c r="AB655" s="50"/>
    </row>
    <row r="656" outlineLevel="2" spans="1:28">
      <c r="A656" s="52">
        <f>MAX($A$6:A655)+1</f>
        <v>546</v>
      </c>
      <c r="B656" s="51" t="s">
        <v>634</v>
      </c>
      <c r="C656" s="51" t="e">
        <f>VLOOKUP($B656,#REF!,MATCH(C$2,#REF!,0),0)</f>
        <v>#REF!</v>
      </c>
      <c r="D656" s="136"/>
      <c r="E656" s="136"/>
      <c r="F656" s="136" t="e">
        <f>VLOOKUP($B656,#REF!,MATCH(F$2,#REF!,0),0)</f>
        <v>#REF!</v>
      </c>
      <c r="G656" s="137" t="e">
        <f>VLOOKUP($B656,#REF!,MATCH(G$2,#REF!,0),0)</f>
        <v>#REF!</v>
      </c>
      <c r="H656" s="48">
        <v>1294.147</v>
      </c>
      <c r="I656" s="48">
        <v>1294.147</v>
      </c>
      <c r="J656" s="48">
        <v>660.854648815704</v>
      </c>
      <c r="K656" s="48">
        <v>660.854648815704</v>
      </c>
      <c r="L656" s="48">
        <v>313</v>
      </c>
      <c r="M656" s="48"/>
      <c r="N656" s="48"/>
      <c r="O656" s="48"/>
      <c r="P656" s="48"/>
      <c r="Q656" s="48"/>
      <c r="R656" s="371" t="e">
        <f t="shared" ref="R656:AA656" si="627">$G656*H656</f>
        <v>#REF!</v>
      </c>
      <c r="S656" s="371" t="e">
        <f t="shared" si="627"/>
        <v>#REF!</v>
      </c>
      <c r="T656" s="371" t="e">
        <f t="shared" si="627"/>
        <v>#REF!</v>
      </c>
      <c r="U656" s="371" t="e">
        <f t="shared" si="627"/>
        <v>#REF!</v>
      </c>
      <c r="V656" s="371" t="e">
        <f t="shared" si="627"/>
        <v>#REF!</v>
      </c>
      <c r="W656" s="371" t="e">
        <f t="shared" si="627"/>
        <v>#REF!</v>
      </c>
      <c r="X656" s="371" t="e">
        <f t="shared" si="627"/>
        <v>#REF!</v>
      </c>
      <c r="Y656" s="371" t="e">
        <f t="shared" si="627"/>
        <v>#REF!</v>
      </c>
      <c r="Z656" s="371" t="e">
        <f t="shared" si="627"/>
        <v>#REF!</v>
      </c>
      <c r="AA656" s="371" t="e">
        <f t="shared" si="627"/>
        <v>#REF!</v>
      </c>
      <c r="AB656" s="50"/>
    </row>
    <row r="657" s="1" customFormat="1" ht="28.8" outlineLevel="2" spans="1:28">
      <c r="A657" s="52">
        <f>MAX($A$6:A656)+1</f>
        <v>547</v>
      </c>
      <c r="B657" s="374" t="s">
        <v>635</v>
      </c>
      <c r="C657" s="51" t="e">
        <f>VLOOKUP($B657,#REF!,MATCH(C$2,#REF!,0),0)</f>
        <v>#REF!</v>
      </c>
      <c r="D657" s="136"/>
      <c r="E657" s="136"/>
      <c r="F657" s="136" t="e">
        <f>VLOOKUP($B657,#REF!,MATCH(F$2,#REF!,0),0)</f>
        <v>#REF!</v>
      </c>
      <c r="G657" s="137" t="e">
        <f>VLOOKUP($B657,#REF!,MATCH(G$2,#REF!,0),0)</f>
        <v>#REF!</v>
      </c>
      <c r="H657" s="139">
        <v>1</v>
      </c>
      <c r="I657" s="139">
        <v>1</v>
      </c>
      <c r="J657" s="139">
        <v>1</v>
      </c>
      <c r="K657" s="139">
        <v>1</v>
      </c>
      <c r="L657" s="139"/>
      <c r="M657" s="139"/>
      <c r="N657" s="139"/>
      <c r="O657" s="139"/>
      <c r="P657" s="139"/>
      <c r="Q657" s="139"/>
      <c r="R657" s="371" t="e">
        <f t="shared" ref="R657:AA657" si="628">$G657*H657</f>
        <v>#REF!</v>
      </c>
      <c r="S657" s="371" t="e">
        <f t="shared" si="628"/>
        <v>#REF!</v>
      </c>
      <c r="T657" s="371" t="e">
        <f t="shared" si="628"/>
        <v>#REF!</v>
      </c>
      <c r="U657" s="371" t="e">
        <f t="shared" si="628"/>
        <v>#REF!</v>
      </c>
      <c r="V657" s="371" t="e">
        <f t="shared" si="628"/>
        <v>#REF!</v>
      </c>
      <c r="W657" s="371" t="e">
        <f t="shared" si="628"/>
        <v>#REF!</v>
      </c>
      <c r="X657" s="371" t="e">
        <f t="shared" si="628"/>
        <v>#REF!</v>
      </c>
      <c r="Y657" s="371" t="e">
        <f t="shared" si="628"/>
        <v>#REF!</v>
      </c>
      <c r="Z657" s="371" t="e">
        <f t="shared" si="628"/>
        <v>#REF!</v>
      </c>
      <c r="AA657" s="371" t="e">
        <f t="shared" si="628"/>
        <v>#REF!</v>
      </c>
      <c r="AB657" s="26"/>
    </row>
    <row r="658" s="122" customFormat="1" outlineLevel="2" spans="1:28">
      <c r="A658" s="130"/>
      <c r="B658" s="154" t="s">
        <v>636</v>
      </c>
      <c r="C658" s="154"/>
      <c r="D658" s="154"/>
      <c r="E658" s="154"/>
      <c r="F658" s="130"/>
      <c r="G658" s="134"/>
      <c r="H658" s="134"/>
      <c r="I658" s="134"/>
      <c r="J658" s="134"/>
      <c r="K658" s="134"/>
      <c r="L658" s="134"/>
      <c r="M658" s="134"/>
      <c r="N658" s="134"/>
      <c r="O658" s="134"/>
      <c r="P658" s="134"/>
      <c r="Q658" s="134"/>
      <c r="R658" s="367"/>
      <c r="S658" s="367"/>
      <c r="T658" s="367"/>
      <c r="U658" s="367"/>
      <c r="V658" s="371"/>
      <c r="W658" s="367"/>
      <c r="X658" s="367"/>
      <c r="Y658" s="367"/>
      <c r="Z658" s="367"/>
      <c r="AA658" s="367"/>
      <c r="AB658" s="130"/>
    </row>
    <row r="659" outlineLevel="2" spans="1:28">
      <c r="A659" s="52">
        <f>MAX($A$6:A658)+1</f>
        <v>548</v>
      </c>
      <c r="B659" s="51" t="s">
        <v>354</v>
      </c>
      <c r="C659" s="51" t="e">
        <f>VLOOKUP($B659,#REF!,MATCH(C$2,#REF!,0),0)</f>
        <v>#REF!</v>
      </c>
      <c r="D659" s="136"/>
      <c r="E659" s="136"/>
      <c r="F659" s="136" t="e">
        <f>VLOOKUP($B659,#REF!,MATCH(F$2,#REF!,0),0)</f>
        <v>#REF!</v>
      </c>
      <c r="G659" s="137" t="e">
        <f>VLOOKUP($B659,#REF!,MATCH(G$2,#REF!,0),0)</f>
        <v>#REF!</v>
      </c>
      <c r="H659" s="48"/>
      <c r="I659" s="48"/>
      <c r="J659" s="48"/>
      <c r="K659" s="48"/>
      <c r="L659" s="48"/>
      <c r="M659" s="48">
        <v>1</v>
      </c>
      <c r="N659" s="48">
        <v>1</v>
      </c>
      <c r="O659" s="48">
        <v>1</v>
      </c>
      <c r="P659" s="48"/>
      <c r="Q659" s="48"/>
      <c r="R659" s="371" t="e">
        <f>$G659*H659</f>
        <v>#REF!</v>
      </c>
      <c r="S659" s="371" t="e">
        <f t="shared" ref="S659:AA659" si="629">$G659*I659</f>
        <v>#REF!</v>
      </c>
      <c r="T659" s="371" t="e">
        <f t="shared" si="629"/>
        <v>#REF!</v>
      </c>
      <c r="U659" s="371" t="e">
        <f t="shared" si="629"/>
        <v>#REF!</v>
      </c>
      <c r="V659" s="371" t="e">
        <f t="shared" si="629"/>
        <v>#REF!</v>
      </c>
      <c r="W659" s="371" t="e">
        <f t="shared" si="629"/>
        <v>#REF!</v>
      </c>
      <c r="X659" s="371" t="e">
        <f t="shared" si="629"/>
        <v>#REF!</v>
      </c>
      <c r="Y659" s="371" t="e">
        <f t="shared" si="629"/>
        <v>#REF!</v>
      </c>
      <c r="Z659" s="371" t="e">
        <f t="shared" si="629"/>
        <v>#REF!</v>
      </c>
      <c r="AA659" s="371" t="e">
        <f t="shared" si="629"/>
        <v>#REF!</v>
      </c>
      <c r="AB659" s="50"/>
    </row>
    <row r="660" ht="28.8" outlineLevel="2" spans="1:28">
      <c r="A660" s="52">
        <f>MAX($A$6:A659)+1</f>
        <v>549</v>
      </c>
      <c r="B660" s="51" t="s">
        <v>637</v>
      </c>
      <c r="C660" s="51" t="e">
        <f>VLOOKUP($B660,#REF!,MATCH(C$2,#REF!,0),0)</f>
        <v>#REF!</v>
      </c>
      <c r="D660" s="136"/>
      <c r="E660" s="136"/>
      <c r="F660" s="136" t="e">
        <f>VLOOKUP($B660,#REF!,MATCH(F$2,#REF!,0),0)</f>
        <v>#REF!</v>
      </c>
      <c r="G660" s="137" t="e">
        <f>VLOOKUP($B660,#REF!,MATCH(G$2,#REF!,0),0)</f>
        <v>#REF!</v>
      </c>
      <c r="H660" s="48"/>
      <c r="I660" s="48"/>
      <c r="J660" s="48"/>
      <c r="K660" s="48"/>
      <c r="L660" s="48"/>
      <c r="M660" s="48">
        <v>1</v>
      </c>
      <c r="N660" s="48">
        <v>1</v>
      </c>
      <c r="O660" s="48">
        <v>1</v>
      </c>
      <c r="P660" s="48"/>
      <c r="Q660" s="48"/>
      <c r="R660" s="371" t="e">
        <f t="shared" ref="R660:AA660" si="630">$G660*H660</f>
        <v>#REF!</v>
      </c>
      <c r="S660" s="371" t="e">
        <f t="shared" si="630"/>
        <v>#REF!</v>
      </c>
      <c r="T660" s="371" t="e">
        <f t="shared" si="630"/>
        <v>#REF!</v>
      </c>
      <c r="U660" s="371" t="e">
        <f t="shared" si="630"/>
        <v>#REF!</v>
      </c>
      <c r="V660" s="371" t="e">
        <f t="shared" si="630"/>
        <v>#REF!</v>
      </c>
      <c r="W660" s="371" t="e">
        <f t="shared" si="630"/>
        <v>#REF!</v>
      </c>
      <c r="X660" s="371" t="e">
        <f t="shared" si="630"/>
        <v>#REF!</v>
      </c>
      <c r="Y660" s="371" t="e">
        <f t="shared" si="630"/>
        <v>#REF!</v>
      </c>
      <c r="Z660" s="371" t="e">
        <f t="shared" si="630"/>
        <v>#REF!</v>
      </c>
      <c r="AA660" s="371" t="e">
        <f t="shared" si="630"/>
        <v>#REF!</v>
      </c>
      <c r="AB660" s="50"/>
    </row>
    <row r="661" outlineLevel="2" spans="1:28">
      <c r="A661" s="52">
        <f>MAX($A$6:A660)+1</f>
        <v>550</v>
      </c>
      <c r="B661" s="51" t="s">
        <v>633</v>
      </c>
      <c r="C661" s="51" t="e">
        <f>VLOOKUP($B661,#REF!,MATCH(C$2,#REF!,0),0)</f>
        <v>#REF!</v>
      </c>
      <c r="D661" s="136"/>
      <c r="E661" s="136"/>
      <c r="F661" s="136" t="e">
        <f>VLOOKUP($B661,#REF!,MATCH(F$2,#REF!,0),0)</f>
        <v>#REF!</v>
      </c>
      <c r="G661" s="137" t="e">
        <f>VLOOKUP($B661,#REF!,MATCH(G$2,#REF!,0),0)</f>
        <v>#REF!</v>
      </c>
      <c r="H661" s="48"/>
      <c r="I661" s="48"/>
      <c r="J661" s="48"/>
      <c r="K661" s="48"/>
      <c r="L661" s="48"/>
      <c r="M661" s="48">
        <v>1</v>
      </c>
      <c r="N661" s="48">
        <v>1</v>
      </c>
      <c r="O661" s="48">
        <v>1</v>
      </c>
      <c r="P661" s="48"/>
      <c r="Q661" s="48"/>
      <c r="R661" s="371" t="e">
        <f t="shared" ref="R661:AA661" si="631">$G661*H661</f>
        <v>#REF!</v>
      </c>
      <c r="S661" s="371" t="e">
        <f t="shared" si="631"/>
        <v>#REF!</v>
      </c>
      <c r="T661" s="371" t="e">
        <f t="shared" si="631"/>
        <v>#REF!</v>
      </c>
      <c r="U661" s="371" t="e">
        <f t="shared" si="631"/>
        <v>#REF!</v>
      </c>
      <c r="V661" s="371" t="e">
        <f t="shared" si="631"/>
        <v>#REF!</v>
      </c>
      <c r="W661" s="371" t="e">
        <f t="shared" si="631"/>
        <v>#REF!</v>
      </c>
      <c r="X661" s="371" t="e">
        <f t="shared" si="631"/>
        <v>#REF!</v>
      </c>
      <c r="Y661" s="371" t="e">
        <f t="shared" si="631"/>
        <v>#REF!</v>
      </c>
      <c r="Z661" s="371" t="e">
        <f t="shared" si="631"/>
        <v>#REF!</v>
      </c>
      <c r="AA661" s="371" t="e">
        <f t="shared" si="631"/>
        <v>#REF!</v>
      </c>
      <c r="AB661" s="50"/>
    </row>
    <row r="662" outlineLevel="2" spans="1:28">
      <c r="A662" s="52">
        <f>MAX($A$6:A661)+1</f>
        <v>551</v>
      </c>
      <c r="B662" s="51" t="s">
        <v>634</v>
      </c>
      <c r="C662" s="51" t="e">
        <f>VLOOKUP($B662,#REF!,MATCH(C$2,#REF!,0),0)</f>
        <v>#REF!</v>
      </c>
      <c r="D662" s="136"/>
      <c r="E662" s="136"/>
      <c r="F662" s="136" t="e">
        <f>VLOOKUP($B662,#REF!,MATCH(F$2,#REF!,0),0)</f>
        <v>#REF!</v>
      </c>
      <c r="G662" s="137" t="e">
        <f>VLOOKUP($B662,#REF!,MATCH(G$2,#REF!,0),0)</f>
        <v>#REF!</v>
      </c>
      <c r="H662" s="48"/>
      <c r="I662" s="48"/>
      <c r="J662" s="48"/>
      <c r="K662" s="48"/>
      <c r="L662" s="48"/>
      <c r="M662" s="48">
        <v>1</v>
      </c>
      <c r="N662" s="48">
        <v>1</v>
      </c>
      <c r="O662" s="48">
        <v>1</v>
      </c>
      <c r="P662" s="48"/>
      <c r="Q662" s="48"/>
      <c r="R662" s="371" t="e">
        <f t="shared" ref="R662:AA662" si="632">$G662*H662</f>
        <v>#REF!</v>
      </c>
      <c r="S662" s="371" t="e">
        <f t="shared" si="632"/>
        <v>#REF!</v>
      </c>
      <c r="T662" s="371" t="e">
        <f t="shared" si="632"/>
        <v>#REF!</v>
      </c>
      <c r="U662" s="371" t="e">
        <f t="shared" si="632"/>
        <v>#REF!</v>
      </c>
      <c r="V662" s="371" t="e">
        <f t="shared" si="632"/>
        <v>#REF!</v>
      </c>
      <c r="W662" s="371" t="e">
        <f t="shared" si="632"/>
        <v>#REF!</v>
      </c>
      <c r="X662" s="371" t="e">
        <f t="shared" si="632"/>
        <v>#REF!</v>
      </c>
      <c r="Y662" s="371" t="e">
        <f t="shared" si="632"/>
        <v>#REF!</v>
      </c>
      <c r="Z662" s="371" t="e">
        <f t="shared" si="632"/>
        <v>#REF!</v>
      </c>
      <c r="AA662" s="371" t="e">
        <f t="shared" si="632"/>
        <v>#REF!</v>
      </c>
      <c r="AB662" s="50"/>
    </row>
    <row r="663" s="122" customFormat="1" outlineLevel="2" spans="1:28">
      <c r="A663" s="130"/>
      <c r="B663" s="154" t="s">
        <v>638</v>
      </c>
      <c r="C663" s="154"/>
      <c r="D663" s="154"/>
      <c r="E663" s="154"/>
      <c r="F663" s="130"/>
      <c r="G663" s="134"/>
      <c r="H663" s="134"/>
      <c r="I663" s="134"/>
      <c r="J663" s="134"/>
      <c r="K663" s="134"/>
      <c r="L663" s="134"/>
      <c r="M663" s="134"/>
      <c r="N663" s="134"/>
      <c r="O663" s="134"/>
      <c r="P663" s="134"/>
      <c r="Q663" s="134"/>
      <c r="R663" s="367"/>
      <c r="S663" s="367"/>
      <c r="T663" s="367"/>
      <c r="U663" s="367"/>
      <c r="V663" s="371"/>
      <c r="W663" s="367"/>
      <c r="X663" s="367"/>
      <c r="Y663" s="367"/>
      <c r="Z663" s="367"/>
      <c r="AA663" s="367"/>
      <c r="AB663" s="130"/>
    </row>
    <row r="664" outlineLevel="2" spans="1:28">
      <c r="A664" s="52">
        <f>MAX($A$6:A663)+1</f>
        <v>552</v>
      </c>
      <c r="B664" s="51" t="s">
        <v>354</v>
      </c>
      <c r="C664" s="51" t="e">
        <f>VLOOKUP($B664,#REF!,MATCH(C$2,#REF!,0),0)</f>
        <v>#REF!</v>
      </c>
      <c r="D664" s="136"/>
      <c r="E664" s="136"/>
      <c r="F664" s="136" t="e">
        <f>VLOOKUP($B664,#REF!,MATCH(F$2,#REF!,0),0)</f>
        <v>#REF!</v>
      </c>
      <c r="G664" s="137" t="e">
        <f>VLOOKUP($B664,#REF!,MATCH(G$2,#REF!,0),0)</f>
        <v>#REF!</v>
      </c>
      <c r="H664" s="48">
        <v>156.6</v>
      </c>
      <c r="I664" s="48">
        <v>158.77</v>
      </c>
      <c r="J664" s="48">
        <v>1</v>
      </c>
      <c r="K664" s="48">
        <v>1</v>
      </c>
      <c r="L664" s="48"/>
      <c r="M664" s="48"/>
      <c r="N664" s="48"/>
      <c r="O664" s="48"/>
      <c r="P664" s="48"/>
      <c r="Q664" s="48"/>
      <c r="R664" s="371" t="e">
        <f>$G664*H664</f>
        <v>#REF!</v>
      </c>
      <c r="S664" s="371" t="e">
        <f t="shared" ref="S664:AA664" si="633">$G664*I664</f>
        <v>#REF!</v>
      </c>
      <c r="T664" s="371" t="e">
        <f t="shared" si="633"/>
        <v>#REF!</v>
      </c>
      <c r="U664" s="371" t="e">
        <f t="shared" si="633"/>
        <v>#REF!</v>
      </c>
      <c r="V664" s="371" t="e">
        <f t="shared" si="633"/>
        <v>#REF!</v>
      </c>
      <c r="W664" s="371" t="e">
        <f t="shared" si="633"/>
        <v>#REF!</v>
      </c>
      <c r="X664" s="371" t="e">
        <f t="shared" si="633"/>
        <v>#REF!</v>
      </c>
      <c r="Y664" s="371" t="e">
        <f t="shared" si="633"/>
        <v>#REF!</v>
      </c>
      <c r="Z664" s="371" t="e">
        <f t="shared" si="633"/>
        <v>#REF!</v>
      </c>
      <c r="AA664" s="371" t="e">
        <f t="shared" si="633"/>
        <v>#REF!</v>
      </c>
      <c r="AB664" s="50"/>
    </row>
    <row r="665" ht="28.8" outlineLevel="2" spans="1:28">
      <c r="A665" s="52">
        <f>MAX($A$6:A664)+1</f>
        <v>553</v>
      </c>
      <c r="B665" s="51" t="s">
        <v>631</v>
      </c>
      <c r="C665" s="51" t="e">
        <f>VLOOKUP($B665,#REF!,MATCH(C$2,#REF!,0),0)</f>
        <v>#REF!</v>
      </c>
      <c r="D665" s="136"/>
      <c r="E665" s="136"/>
      <c r="F665" s="136" t="e">
        <f>VLOOKUP($B665,#REF!,MATCH(F$2,#REF!,0),0)</f>
        <v>#REF!</v>
      </c>
      <c r="G665" s="137" t="e">
        <f>VLOOKUP($B665,#REF!,MATCH(G$2,#REF!,0),0)</f>
        <v>#REF!</v>
      </c>
      <c r="H665" s="48">
        <v>156.6</v>
      </c>
      <c r="I665" s="48">
        <v>158.77</v>
      </c>
      <c r="J665" s="48">
        <v>1</v>
      </c>
      <c r="K665" s="48">
        <v>1</v>
      </c>
      <c r="L665" s="48"/>
      <c r="M665" s="48"/>
      <c r="N665" s="48"/>
      <c r="O665" s="48"/>
      <c r="P665" s="48"/>
      <c r="Q665" s="48"/>
      <c r="R665" s="371" t="e">
        <f t="shared" ref="R665:R671" si="634">$G665*H665</f>
        <v>#REF!</v>
      </c>
      <c r="S665" s="371" t="e">
        <f t="shared" ref="S665:S671" si="635">$G665*I665</f>
        <v>#REF!</v>
      </c>
      <c r="T665" s="371" t="e">
        <f t="shared" ref="T665:T671" si="636">$G665*J665</f>
        <v>#REF!</v>
      </c>
      <c r="U665" s="371" t="e">
        <f t="shared" ref="U665:U671" si="637">$G665*K665</f>
        <v>#REF!</v>
      </c>
      <c r="V665" s="371" t="e">
        <f t="shared" ref="V665:V671" si="638">$G665*L665</f>
        <v>#REF!</v>
      </c>
      <c r="W665" s="371" t="e">
        <f t="shared" ref="W665:W671" si="639">$G665*M665</f>
        <v>#REF!</v>
      </c>
      <c r="X665" s="371" t="e">
        <f t="shared" ref="X665:X671" si="640">$G665*N665</f>
        <v>#REF!</v>
      </c>
      <c r="Y665" s="371" t="e">
        <f t="shared" ref="Y665:Y671" si="641">$G665*O665</f>
        <v>#REF!</v>
      </c>
      <c r="Z665" s="371" t="e">
        <f t="shared" ref="Z665:Z671" si="642">$G665*P665</f>
        <v>#REF!</v>
      </c>
      <c r="AA665" s="371" t="e">
        <f t="shared" ref="AA665:AA671" si="643">$G665*Q665</f>
        <v>#REF!</v>
      </c>
      <c r="AB665" s="50"/>
    </row>
    <row r="666" ht="28.8" outlineLevel="2" spans="1:28">
      <c r="A666" s="52">
        <f>MAX($A$6:A665)+1</f>
        <v>554</v>
      </c>
      <c r="B666" s="51" t="s">
        <v>632</v>
      </c>
      <c r="C666" s="51" t="e">
        <f>VLOOKUP($B666,#REF!,MATCH(C$2,#REF!,0),0)</f>
        <v>#REF!</v>
      </c>
      <c r="D666" s="136"/>
      <c r="E666" s="136"/>
      <c r="F666" s="136" t="e">
        <f>VLOOKUP($B666,#REF!,MATCH(F$2,#REF!,0),0)</f>
        <v>#REF!</v>
      </c>
      <c r="G666" s="137" t="e">
        <f>VLOOKUP($B666,#REF!,MATCH(G$2,#REF!,0),0)</f>
        <v>#REF!</v>
      </c>
      <c r="H666" s="48"/>
      <c r="I666" s="48"/>
      <c r="J666" s="48"/>
      <c r="K666" s="48"/>
      <c r="L666" s="48"/>
      <c r="M666" s="48"/>
      <c r="N666" s="48"/>
      <c r="O666" s="48"/>
      <c r="P666" s="48"/>
      <c r="Q666" s="48"/>
      <c r="R666" s="371" t="e">
        <f t="shared" si="634"/>
        <v>#REF!</v>
      </c>
      <c r="S666" s="371" t="e">
        <f t="shared" si="635"/>
        <v>#REF!</v>
      </c>
      <c r="T666" s="371" t="e">
        <f t="shared" si="636"/>
        <v>#REF!</v>
      </c>
      <c r="U666" s="371" t="e">
        <f t="shared" si="637"/>
        <v>#REF!</v>
      </c>
      <c r="V666" s="371" t="e">
        <f t="shared" si="638"/>
        <v>#REF!</v>
      </c>
      <c r="W666" s="371" t="e">
        <f t="shared" si="639"/>
        <v>#REF!</v>
      </c>
      <c r="X666" s="371" t="e">
        <f t="shared" si="640"/>
        <v>#REF!</v>
      </c>
      <c r="Y666" s="371" t="e">
        <f t="shared" si="641"/>
        <v>#REF!</v>
      </c>
      <c r="Z666" s="371" t="e">
        <f t="shared" si="642"/>
        <v>#REF!</v>
      </c>
      <c r="AA666" s="371" t="e">
        <f t="shared" si="643"/>
        <v>#REF!</v>
      </c>
      <c r="AB666" s="50"/>
    </row>
    <row r="667" outlineLevel="2" spans="1:28">
      <c r="A667" s="52">
        <f>MAX($A$6:A666)+1</f>
        <v>555</v>
      </c>
      <c r="B667" s="51" t="s">
        <v>633</v>
      </c>
      <c r="C667" s="51" t="e">
        <f>VLOOKUP($B667,#REF!,MATCH(C$2,#REF!,0),0)</f>
        <v>#REF!</v>
      </c>
      <c r="D667" s="136"/>
      <c r="E667" s="136"/>
      <c r="F667" s="136" t="e">
        <f>VLOOKUP($B667,#REF!,MATCH(F$2,#REF!,0),0)</f>
        <v>#REF!</v>
      </c>
      <c r="G667" s="137" t="e">
        <f>VLOOKUP($B667,#REF!,MATCH(G$2,#REF!,0),0)</f>
        <v>#REF!</v>
      </c>
      <c r="H667" s="48">
        <v>156.6</v>
      </c>
      <c r="I667" s="48">
        <v>158.77</v>
      </c>
      <c r="J667" s="48">
        <v>1</v>
      </c>
      <c r="K667" s="48">
        <v>1</v>
      </c>
      <c r="L667" s="48"/>
      <c r="M667" s="48"/>
      <c r="N667" s="48"/>
      <c r="O667" s="48"/>
      <c r="P667" s="48"/>
      <c r="Q667" s="48"/>
      <c r="R667" s="371" t="e">
        <f t="shared" si="634"/>
        <v>#REF!</v>
      </c>
      <c r="S667" s="371" t="e">
        <f t="shared" si="635"/>
        <v>#REF!</v>
      </c>
      <c r="T667" s="371" t="e">
        <f t="shared" si="636"/>
        <v>#REF!</v>
      </c>
      <c r="U667" s="371" t="e">
        <f t="shared" si="637"/>
        <v>#REF!</v>
      </c>
      <c r="V667" s="371" t="e">
        <f t="shared" si="638"/>
        <v>#REF!</v>
      </c>
      <c r="W667" s="371" t="e">
        <f t="shared" si="639"/>
        <v>#REF!</v>
      </c>
      <c r="X667" s="371" t="e">
        <f t="shared" si="640"/>
        <v>#REF!</v>
      </c>
      <c r="Y667" s="371" t="e">
        <f t="shared" si="641"/>
        <v>#REF!</v>
      </c>
      <c r="Z667" s="371" t="e">
        <f t="shared" si="642"/>
        <v>#REF!</v>
      </c>
      <c r="AA667" s="371" t="e">
        <f t="shared" si="643"/>
        <v>#REF!</v>
      </c>
      <c r="AB667" s="50"/>
    </row>
    <row r="668" outlineLevel="2" spans="1:28">
      <c r="A668" s="52">
        <f>MAX($A$6:A667)+1</f>
        <v>556</v>
      </c>
      <c r="B668" s="51" t="s">
        <v>639</v>
      </c>
      <c r="C668" s="51" t="e">
        <f>VLOOKUP($B668,#REF!,MATCH(C$2,#REF!,0),0)</f>
        <v>#REF!</v>
      </c>
      <c r="D668" s="136"/>
      <c r="E668" s="136"/>
      <c r="F668" s="136" t="e">
        <f>VLOOKUP($B668,#REF!,MATCH(F$2,#REF!,0),0)</f>
        <v>#REF!</v>
      </c>
      <c r="G668" s="137" t="e">
        <f>VLOOKUP($B668,#REF!,MATCH(G$2,#REF!,0),0)</f>
        <v>#REF!</v>
      </c>
      <c r="H668" s="48">
        <v>156.6</v>
      </c>
      <c r="I668" s="48">
        <v>158.77</v>
      </c>
      <c r="J668" s="48">
        <v>1</v>
      </c>
      <c r="K668" s="48">
        <v>1</v>
      </c>
      <c r="L668" s="48"/>
      <c r="M668" s="48"/>
      <c r="N668" s="48"/>
      <c r="O668" s="48"/>
      <c r="P668" s="48"/>
      <c r="Q668" s="48"/>
      <c r="R668" s="371" t="e">
        <f t="shared" si="634"/>
        <v>#REF!</v>
      </c>
      <c r="S668" s="371" t="e">
        <f t="shared" si="635"/>
        <v>#REF!</v>
      </c>
      <c r="T668" s="371" t="e">
        <f t="shared" si="636"/>
        <v>#REF!</v>
      </c>
      <c r="U668" s="371" t="e">
        <f t="shared" si="637"/>
        <v>#REF!</v>
      </c>
      <c r="V668" s="371" t="e">
        <f t="shared" si="638"/>
        <v>#REF!</v>
      </c>
      <c r="W668" s="371" t="e">
        <f t="shared" si="639"/>
        <v>#REF!</v>
      </c>
      <c r="X668" s="371" t="e">
        <f t="shared" si="640"/>
        <v>#REF!</v>
      </c>
      <c r="Y668" s="371" t="e">
        <f t="shared" si="641"/>
        <v>#REF!</v>
      </c>
      <c r="Z668" s="371" t="e">
        <f t="shared" si="642"/>
        <v>#REF!</v>
      </c>
      <c r="AA668" s="371" t="e">
        <f t="shared" si="643"/>
        <v>#REF!</v>
      </c>
      <c r="AB668" s="50"/>
    </row>
    <row r="669" s="122" customFormat="1" outlineLevel="2" spans="1:28">
      <c r="A669" s="130"/>
      <c r="B669" s="154" t="s">
        <v>640</v>
      </c>
      <c r="C669" s="154"/>
      <c r="D669" s="154"/>
      <c r="E669" s="154"/>
      <c r="F669" s="130"/>
      <c r="G669" s="134"/>
      <c r="H669" s="134"/>
      <c r="I669" s="134"/>
      <c r="J669" s="134"/>
      <c r="K669" s="134"/>
      <c r="L669" s="134"/>
      <c r="M669" s="134"/>
      <c r="N669" s="134"/>
      <c r="O669" s="134"/>
      <c r="P669" s="134"/>
      <c r="Q669" s="134"/>
      <c r="R669" s="371">
        <f t="shared" si="634"/>
        <v>0</v>
      </c>
      <c r="S669" s="371">
        <f t="shared" si="635"/>
        <v>0</v>
      </c>
      <c r="T669" s="371">
        <f t="shared" si="636"/>
        <v>0</v>
      </c>
      <c r="U669" s="371">
        <f t="shared" si="637"/>
        <v>0</v>
      </c>
      <c r="V669" s="371">
        <f t="shared" si="638"/>
        <v>0</v>
      </c>
      <c r="W669" s="371">
        <f t="shared" si="639"/>
        <v>0</v>
      </c>
      <c r="X669" s="371">
        <f t="shared" si="640"/>
        <v>0</v>
      </c>
      <c r="Y669" s="371">
        <f t="shared" si="641"/>
        <v>0</v>
      </c>
      <c r="Z669" s="371">
        <f t="shared" si="642"/>
        <v>0</v>
      </c>
      <c r="AA669" s="371">
        <f t="shared" si="643"/>
        <v>0</v>
      </c>
      <c r="AB669" s="130"/>
    </row>
    <row r="670" s="1" customFormat="1" outlineLevel="2" spans="1:28">
      <c r="A670" s="52">
        <f>MAX($A$6:A669)+1</f>
        <v>557</v>
      </c>
      <c r="B670" s="374" t="s">
        <v>641</v>
      </c>
      <c r="C670" s="51" t="e">
        <f>VLOOKUP($B670,#REF!,MATCH(C$2,#REF!,0),0)</f>
        <v>#REF!</v>
      </c>
      <c r="D670" s="136"/>
      <c r="E670" s="136"/>
      <c r="F670" s="136" t="e">
        <f>VLOOKUP($B670,#REF!,MATCH(F$2,#REF!,0),0)</f>
        <v>#REF!</v>
      </c>
      <c r="G670" s="137" t="e">
        <f>VLOOKUP($B670,#REF!,MATCH(G$2,#REF!,0),0)</f>
        <v>#REF!</v>
      </c>
      <c r="H670" s="48">
        <v>1626.81</v>
      </c>
      <c r="I670" s="48">
        <v>1596.34</v>
      </c>
      <c r="J670" s="48">
        <v>730.57</v>
      </c>
      <c r="K670" s="48">
        <v>730.57</v>
      </c>
      <c r="L670" s="139">
        <v>353</v>
      </c>
      <c r="M670" s="139"/>
      <c r="N670" s="139"/>
      <c r="O670" s="139"/>
      <c r="P670" s="139"/>
      <c r="Q670" s="139"/>
      <c r="R670" s="371" t="e">
        <f t="shared" si="634"/>
        <v>#REF!</v>
      </c>
      <c r="S670" s="371" t="e">
        <f t="shared" si="635"/>
        <v>#REF!</v>
      </c>
      <c r="T670" s="371" t="e">
        <f t="shared" si="636"/>
        <v>#REF!</v>
      </c>
      <c r="U670" s="371" t="e">
        <f t="shared" si="637"/>
        <v>#REF!</v>
      </c>
      <c r="V670" s="371" t="e">
        <f t="shared" si="638"/>
        <v>#REF!</v>
      </c>
      <c r="W670" s="371" t="e">
        <f t="shared" si="639"/>
        <v>#REF!</v>
      </c>
      <c r="X670" s="371" t="e">
        <f t="shared" si="640"/>
        <v>#REF!</v>
      </c>
      <c r="Y670" s="371" t="e">
        <f t="shared" si="641"/>
        <v>#REF!</v>
      </c>
      <c r="Z670" s="371" t="e">
        <f t="shared" si="642"/>
        <v>#REF!</v>
      </c>
      <c r="AA670" s="371" t="e">
        <f t="shared" si="643"/>
        <v>#REF!</v>
      </c>
      <c r="AB670" s="26"/>
    </row>
    <row r="671" customFormat="1" outlineLevel="2" spans="1:28">
      <c r="A671" s="52">
        <f>MAX($A$6:A670)+1</f>
        <v>558</v>
      </c>
      <c r="B671" s="51" t="s">
        <v>634</v>
      </c>
      <c r="C671" s="51" t="e">
        <f>VLOOKUP($B671,#REF!,MATCH(C$2,#REF!,0),0)</f>
        <v>#REF!</v>
      </c>
      <c r="D671" s="136"/>
      <c r="E671" s="136"/>
      <c r="F671" s="136" t="e">
        <f>VLOOKUP($B671,#REF!,MATCH(F$2,#REF!,0),0)</f>
        <v>#REF!</v>
      </c>
      <c r="G671" s="137" t="e">
        <f>VLOOKUP($B671,#REF!,MATCH(G$2,#REF!,0),0)</f>
        <v>#REF!</v>
      </c>
      <c r="H671" s="48">
        <v>1626.81</v>
      </c>
      <c r="I671" s="48">
        <v>1596.34</v>
      </c>
      <c r="J671" s="48">
        <v>730.57</v>
      </c>
      <c r="K671" s="48">
        <v>730.57</v>
      </c>
      <c r="L671" s="48">
        <v>353</v>
      </c>
      <c r="M671" s="48"/>
      <c r="N671" s="48"/>
      <c r="O671" s="48"/>
      <c r="P671" s="48"/>
      <c r="Q671" s="48"/>
      <c r="R671" s="371" t="e">
        <f t="shared" si="634"/>
        <v>#REF!</v>
      </c>
      <c r="S671" s="371" t="e">
        <f t="shared" si="635"/>
        <v>#REF!</v>
      </c>
      <c r="T671" s="371" t="e">
        <f t="shared" si="636"/>
        <v>#REF!</v>
      </c>
      <c r="U671" s="371" t="e">
        <f t="shared" si="637"/>
        <v>#REF!</v>
      </c>
      <c r="V671" s="371" t="e">
        <f t="shared" si="638"/>
        <v>#REF!</v>
      </c>
      <c r="W671" s="371" t="e">
        <f t="shared" si="639"/>
        <v>#REF!</v>
      </c>
      <c r="X671" s="371" t="e">
        <f t="shared" si="640"/>
        <v>#REF!</v>
      </c>
      <c r="Y671" s="371" t="e">
        <f t="shared" si="641"/>
        <v>#REF!</v>
      </c>
      <c r="Z671" s="371" t="e">
        <f t="shared" si="642"/>
        <v>#REF!</v>
      </c>
      <c r="AA671" s="371" t="e">
        <f t="shared" si="643"/>
        <v>#REF!</v>
      </c>
      <c r="AB671" s="50"/>
    </row>
    <row r="672" s="122" customFormat="1" outlineLevel="2" spans="1:28">
      <c r="A672" s="130"/>
      <c r="B672" s="154" t="s">
        <v>642</v>
      </c>
      <c r="C672" s="154"/>
      <c r="D672" s="154"/>
      <c r="E672" s="154"/>
      <c r="F672" s="130"/>
      <c r="G672" s="134"/>
      <c r="H672" s="134"/>
      <c r="I672" s="134"/>
      <c r="J672" s="134"/>
      <c r="K672" s="134"/>
      <c r="L672" s="134"/>
      <c r="M672" s="134"/>
      <c r="N672" s="134"/>
      <c r="O672" s="134"/>
      <c r="P672" s="134"/>
      <c r="Q672" s="134"/>
      <c r="R672" s="367"/>
      <c r="S672" s="367"/>
      <c r="T672" s="367"/>
      <c r="U672" s="367"/>
      <c r="V672" s="371"/>
      <c r="W672" s="367"/>
      <c r="X672" s="367"/>
      <c r="Y672" s="367"/>
      <c r="Z672" s="367"/>
      <c r="AA672" s="367"/>
      <c r="AB672" s="130"/>
    </row>
    <row r="673" ht="28.8" outlineLevel="2" spans="1:28">
      <c r="A673" s="52">
        <f>MAX($A$6:A672)+1</f>
        <v>559</v>
      </c>
      <c r="B673" s="51" t="s">
        <v>447</v>
      </c>
      <c r="C673" s="51" t="e">
        <f>VLOOKUP($B673,#REF!,MATCH(C$2,#REF!,0),0)</f>
        <v>#REF!</v>
      </c>
      <c r="D673" s="136"/>
      <c r="E673" s="136"/>
      <c r="F673" s="136" t="e">
        <f>VLOOKUP($B673,#REF!,MATCH(F$2,#REF!,0),0)</f>
        <v>#REF!</v>
      </c>
      <c r="G673" s="137" t="e">
        <f>VLOOKUP($B673,#REF!,MATCH(G$2,#REF!,0),0)</f>
        <v>#REF!</v>
      </c>
      <c r="H673" s="48">
        <v>1880.68</v>
      </c>
      <c r="I673" s="48">
        <v>1872.65</v>
      </c>
      <c r="J673" s="48">
        <v>431.56</v>
      </c>
      <c r="K673" s="48">
        <v>431.56</v>
      </c>
      <c r="L673" s="48"/>
      <c r="M673" s="48"/>
      <c r="N673" s="48"/>
      <c r="O673" s="48"/>
      <c r="P673" s="48"/>
      <c r="Q673" s="48"/>
      <c r="R673" s="371" t="e">
        <f>$G673*H673</f>
        <v>#REF!</v>
      </c>
      <c r="S673" s="371" t="e">
        <f t="shared" ref="S673:AA673" si="644">$G673*I673</f>
        <v>#REF!</v>
      </c>
      <c r="T673" s="371" t="e">
        <f t="shared" si="644"/>
        <v>#REF!</v>
      </c>
      <c r="U673" s="371" t="e">
        <f t="shared" si="644"/>
        <v>#REF!</v>
      </c>
      <c r="V673" s="371" t="e">
        <f t="shared" si="644"/>
        <v>#REF!</v>
      </c>
      <c r="W673" s="371" t="e">
        <f t="shared" si="644"/>
        <v>#REF!</v>
      </c>
      <c r="X673" s="371" t="e">
        <f t="shared" si="644"/>
        <v>#REF!</v>
      </c>
      <c r="Y673" s="371" t="e">
        <f t="shared" si="644"/>
        <v>#REF!</v>
      </c>
      <c r="Z673" s="371" t="e">
        <f t="shared" si="644"/>
        <v>#REF!</v>
      </c>
      <c r="AA673" s="371" t="e">
        <f t="shared" si="644"/>
        <v>#REF!</v>
      </c>
      <c r="AB673" s="50"/>
    </row>
    <row r="674" outlineLevel="2" spans="1:28">
      <c r="A674" s="52">
        <f>MAX($A$6:A673)+1</f>
        <v>560</v>
      </c>
      <c r="B674" s="51" t="s">
        <v>634</v>
      </c>
      <c r="C674" s="51" t="e">
        <f>VLOOKUP($B674,#REF!,MATCH(C$2,#REF!,0),0)</f>
        <v>#REF!</v>
      </c>
      <c r="D674" s="136"/>
      <c r="E674" s="136"/>
      <c r="F674" s="136" t="e">
        <f>VLOOKUP($B674,#REF!,MATCH(F$2,#REF!,0),0)</f>
        <v>#REF!</v>
      </c>
      <c r="G674" s="137" t="e">
        <f>VLOOKUP($B674,#REF!,MATCH(G$2,#REF!,0),0)</f>
        <v>#REF!</v>
      </c>
      <c r="H674" s="48">
        <v>1880.68</v>
      </c>
      <c r="I674" s="48">
        <v>1872.65</v>
      </c>
      <c r="J674" s="48">
        <v>431.56</v>
      </c>
      <c r="K674" s="48">
        <v>431.56</v>
      </c>
      <c r="L674" s="48"/>
      <c r="M674" s="48"/>
      <c r="N674" s="48"/>
      <c r="O674" s="48"/>
      <c r="P674" s="48"/>
      <c r="Q674" s="48"/>
      <c r="R674" s="371" t="e">
        <f t="shared" ref="R674:AA674" si="645">$G674*H674</f>
        <v>#REF!</v>
      </c>
      <c r="S674" s="371" t="e">
        <f t="shared" si="645"/>
        <v>#REF!</v>
      </c>
      <c r="T674" s="371" t="e">
        <f t="shared" si="645"/>
        <v>#REF!</v>
      </c>
      <c r="U674" s="371" t="e">
        <f t="shared" si="645"/>
        <v>#REF!</v>
      </c>
      <c r="V674" s="371" t="e">
        <f t="shared" si="645"/>
        <v>#REF!</v>
      </c>
      <c r="W674" s="371" t="e">
        <f t="shared" si="645"/>
        <v>#REF!</v>
      </c>
      <c r="X674" s="371" t="e">
        <f t="shared" si="645"/>
        <v>#REF!</v>
      </c>
      <c r="Y674" s="371" t="e">
        <f t="shared" si="645"/>
        <v>#REF!</v>
      </c>
      <c r="Z674" s="371" t="e">
        <f t="shared" si="645"/>
        <v>#REF!</v>
      </c>
      <c r="AA674" s="371" t="e">
        <f t="shared" si="645"/>
        <v>#REF!</v>
      </c>
      <c r="AB674" s="50"/>
    </row>
    <row r="675" s="122" customFormat="1" outlineLevel="2" spans="1:28">
      <c r="A675" s="130"/>
      <c r="B675" s="154" t="s">
        <v>643</v>
      </c>
      <c r="C675" s="154"/>
      <c r="D675" s="154"/>
      <c r="E675" s="154"/>
      <c r="F675" s="130"/>
      <c r="G675" s="134"/>
      <c r="H675" s="134"/>
      <c r="I675" s="134"/>
      <c r="J675" s="134"/>
      <c r="K675" s="134"/>
      <c r="L675" s="134"/>
      <c r="M675" s="134"/>
      <c r="N675" s="134"/>
      <c r="O675" s="134"/>
      <c r="P675" s="134"/>
      <c r="Q675" s="134"/>
      <c r="R675" s="367"/>
      <c r="S675" s="367"/>
      <c r="T675" s="367"/>
      <c r="U675" s="367"/>
      <c r="V675" s="371"/>
      <c r="W675" s="367"/>
      <c r="X675" s="367"/>
      <c r="Y675" s="367"/>
      <c r="Z675" s="367"/>
      <c r="AA675" s="367"/>
      <c r="AB675" s="130"/>
    </row>
    <row r="676" s="1" customFormat="1" outlineLevel="2" spans="1:28">
      <c r="A676" s="52">
        <f>MAX($A$6:A675)+1</f>
        <v>561</v>
      </c>
      <c r="B676" s="374" t="s">
        <v>354</v>
      </c>
      <c r="C676" s="51" t="e">
        <f>VLOOKUP($B676,#REF!,MATCH(C$2,#REF!,0),0)</f>
        <v>#REF!</v>
      </c>
      <c r="D676" s="136"/>
      <c r="E676" s="136"/>
      <c r="F676" s="136" t="e">
        <f>VLOOKUP($B676,#REF!,MATCH(F$2,#REF!,0),0)</f>
        <v>#REF!</v>
      </c>
      <c r="G676" s="137" t="e">
        <f>VLOOKUP($B676,#REF!,MATCH(G$2,#REF!,0),0)</f>
        <v>#REF!</v>
      </c>
      <c r="H676" s="48">
        <v>1</v>
      </c>
      <c r="I676" s="48">
        <v>1</v>
      </c>
      <c r="J676" s="48">
        <v>1</v>
      </c>
      <c r="K676" s="48">
        <v>1</v>
      </c>
      <c r="L676" s="139"/>
      <c r="M676" s="139"/>
      <c r="N676" s="139"/>
      <c r="O676" s="139"/>
      <c r="P676" s="139"/>
      <c r="Q676" s="139"/>
      <c r="R676" s="371" t="e">
        <f>$G676*H676</f>
        <v>#REF!</v>
      </c>
      <c r="S676" s="371" t="e">
        <f t="shared" ref="S676:AA676" si="646">$G676*I676</f>
        <v>#REF!</v>
      </c>
      <c r="T676" s="371" t="e">
        <f t="shared" si="646"/>
        <v>#REF!</v>
      </c>
      <c r="U676" s="371" t="e">
        <f t="shared" si="646"/>
        <v>#REF!</v>
      </c>
      <c r="V676" s="371" t="e">
        <f t="shared" si="646"/>
        <v>#REF!</v>
      </c>
      <c r="W676" s="371" t="e">
        <f t="shared" si="646"/>
        <v>#REF!</v>
      </c>
      <c r="X676" s="371" t="e">
        <f t="shared" si="646"/>
        <v>#REF!</v>
      </c>
      <c r="Y676" s="371" t="e">
        <f t="shared" si="646"/>
        <v>#REF!</v>
      </c>
      <c r="Z676" s="371" t="e">
        <f t="shared" si="646"/>
        <v>#REF!</v>
      </c>
      <c r="AA676" s="371" t="e">
        <f t="shared" si="646"/>
        <v>#REF!</v>
      </c>
      <c r="AB676" s="26"/>
    </row>
    <row r="677" s="1" customFormat="1" ht="28.8" outlineLevel="2" spans="1:28">
      <c r="A677" s="52">
        <f>MAX($A$6:A676)+1</f>
        <v>562</v>
      </c>
      <c r="B677" s="374" t="s">
        <v>637</v>
      </c>
      <c r="C677" s="51" t="e">
        <f>VLOOKUP($B677,#REF!,MATCH(C$2,#REF!,0),0)</f>
        <v>#REF!</v>
      </c>
      <c r="D677" s="136"/>
      <c r="E677" s="136"/>
      <c r="F677" s="136" t="e">
        <f>VLOOKUP($B677,#REF!,MATCH(F$2,#REF!,0),0)</f>
        <v>#REF!</v>
      </c>
      <c r="G677" s="137" t="e">
        <f>VLOOKUP($B677,#REF!,MATCH(G$2,#REF!,0),0)</f>
        <v>#REF!</v>
      </c>
      <c r="H677" s="48">
        <v>1</v>
      </c>
      <c r="I677" s="48">
        <v>1</v>
      </c>
      <c r="J677" s="48">
        <v>1</v>
      </c>
      <c r="K677" s="48">
        <v>1</v>
      </c>
      <c r="L677" s="139"/>
      <c r="M677" s="139"/>
      <c r="N677" s="139"/>
      <c r="O677" s="139"/>
      <c r="P677" s="139"/>
      <c r="Q677" s="139"/>
      <c r="R677" s="371" t="e">
        <f t="shared" ref="R677:AA677" si="647">$G677*H677</f>
        <v>#REF!</v>
      </c>
      <c r="S677" s="371" t="e">
        <f t="shared" si="647"/>
        <v>#REF!</v>
      </c>
      <c r="T677" s="371" t="e">
        <f t="shared" si="647"/>
        <v>#REF!</v>
      </c>
      <c r="U677" s="371" t="e">
        <f t="shared" si="647"/>
        <v>#REF!</v>
      </c>
      <c r="V677" s="371" t="e">
        <f t="shared" si="647"/>
        <v>#REF!</v>
      </c>
      <c r="W677" s="371" t="e">
        <f t="shared" si="647"/>
        <v>#REF!</v>
      </c>
      <c r="X677" s="371" t="e">
        <f t="shared" si="647"/>
        <v>#REF!</v>
      </c>
      <c r="Y677" s="371" t="e">
        <f t="shared" si="647"/>
        <v>#REF!</v>
      </c>
      <c r="Z677" s="371" t="e">
        <f t="shared" si="647"/>
        <v>#REF!</v>
      </c>
      <c r="AA677" s="371" t="e">
        <f t="shared" si="647"/>
        <v>#REF!</v>
      </c>
      <c r="AB677" s="26"/>
    </row>
    <row r="678" s="122" customFormat="1" outlineLevel="2" spans="1:28">
      <c r="A678" s="130"/>
      <c r="B678" s="154" t="s">
        <v>644</v>
      </c>
      <c r="C678" s="154"/>
      <c r="D678" s="154"/>
      <c r="E678" s="154"/>
      <c r="F678" s="130"/>
      <c r="G678" s="134"/>
      <c r="H678" s="134"/>
      <c r="I678" s="134"/>
      <c r="J678" s="134"/>
      <c r="K678" s="134"/>
      <c r="L678" s="134"/>
      <c r="M678" s="134"/>
      <c r="N678" s="134"/>
      <c r="O678" s="134"/>
      <c r="P678" s="134"/>
      <c r="Q678" s="134"/>
      <c r="R678" s="367"/>
      <c r="S678" s="367"/>
      <c r="T678" s="367"/>
      <c r="U678" s="367"/>
      <c r="V678" s="371"/>
      <c r="W678" s="367"/>
      <c r="X678" s="367"/>
      <c r="Y678" s="367"/>
      <c r="Z678" s="367"/>
      <c r="AA678" s="367"/>
      <c r="AB678" s="130"/>
    </row>
    <row r="679" s="1" customFormat="1" outlineLevel="2" spans="1:28">
      <c r="A679" s="52">
        <f>MAX($A$6:A678)+1</f>
        <v>563</v>
      </c>
      <c r="B679" s="374" t="s">
        <v>354</v>
      </c>
      <c r="C679" s="51" t="e">
        <f>VLOOKUP($B679,#REF!,MATCH(C$2,#REF!,0),0)</f>
        <v>#REF!</v>
      </c>
      <c r="D679" s="136"/>
      <c r="E679" s="136"/>
      <c r="F679" s="136" t="e">
        <f>VLOOKUP($B679,#REF!,MATCH(F$2,#REF!,0),0)</f>
        <v>#REF!</v>
      </c>
      <c r="G679" s="137" t="e">
        <f>VLOOKUP($B679,#REF!,MATCH(G$2,#REF!,0),0)</f>
        <v>#REF!</v>
      </c>
      <c r="H679" s="48">
        <v>1</v>
      </c>
      <c r="I679" s="48">
        <v>1</v>
      </c>
      <c r="J679" s="48">
        <v>1</v>
      </c>
      <c r="K679" s="48">
        <v>1</v>
      </c>
      <c r="L679" s="139"/>
      <c r="M679" s="139"/>
      <c r="N679" s="139"/>
      <c r="O679" s="139"/>
      <c r="P679" s="139"/>
      <c r="Q679" s="139"/>
      <c r="R679" s="371" t="e">
        <f>$G679*H679</f>
        <v>#REF!</v>
      </c>
      <c r="S679" s="371" t="e">
        <f t="shared" ref="S679:AA679" si="648">$G679*I679</f>
        <v>#REF!</v>
      </c>
      <c r="T679" s="371" t="e">
        <f t="shared" si="648"/>
        <v>#REF!</v>
      </c>
      <c r="U679" s="371" t="e">
        <f t="shared" si="648"/>
        <v>#REF!</v>
      </c>
      <c r="V679" s="371" t="e">
        <f t="shared" si="648"/>
        <v>#REF!</v>
      </c>
      <c r="W679" s="371" t="e">
        <f t="shared" si="648"/>
        <v>#REF!</v>
      </c>
      <c r="X679" s="371" t="e">
        <f t="shared" si="648"/>
        <v>#REF!</v>
      </c>
      <c r="Y679" s="371" t="e">
        <f t="shared" si="648"/>
        <v>#REF!</v>
      </c>
      <c r="Z679" s="371" t="e">
        <f t="shared" si="648"/>
        <v>#REF!</v>
      </c>
      <c r="AA679" s="371" t="e">
        <f t="shared" si="648"/>
        <v>#REF!</v>
      </c>
      <c r="AB679" s="26"/>
    </row>
    <row r="680" s="1" customFormat="1" ht="28.8" outlineLevel="2" spans="1:28">
      <c r="A680" s="52">
        <f>MAX($A$6:A679)+1</f>
        <v>564</v>
      </c>
      <c r="B680" s="374" t="s">
        <v>645</v>
      </c>
      <c r="C680" s="51" t="e">
        <f>VLOOKUP($B680,#REF!,MATCH(C$2,#REF!,0),0)</f>
        <v>#REF!</v>
      </c>
      <c r="D680" s="136"/>
      <c r="E680" s="136"/>
      <c r="F680" s="136" t="e">
        <f>VLOOKUP($B680,#REF!,MATCH(F$2,#REF!,0),0)</f>
        <v>#REF!</v>
      </c>
      <c r="G680" s="137" t="e">
        <f>VLOOKUP($B680,#REF!,MATCH(G$2,#REF!,0),0)</f>
        <v>#REF!</v>
      </c>
      <c r="H680" s="48">
        <v>1</v>
      </c>
      <c r="I680" s="48">
        <v>1</v>
      </c>
      <c r="J680" s="48">
        <v>1</v>
      </c>
      <c r="K680" s="48">
        <v>1</v>
      </c>
      <c r="L680" s="139"/>
      <c r="M680" s="139"/>
      <c r="N680" s="139"/>
      <c r="O680" s="139"/>
      <c r="P680" s="139"/>
      <c r="Q680" s="139"/>
      <c r="R680" s="371" t="e">
        <f t="shared" ref="R680:AA680" si="649">$G680*H680</f>
        <v>#REF!</v>
      </c>
      <c r="S680" s="371" t="e">
        <f t="shared" si="649"/>
        <v>#REF!</v>
      </c>
      <c r="T680" s="371" t="e">
        <f t="shared" si="649"/>
        <v>#REF!</v>
      </c>
      <c r="U680" s="371" t="e">
        <f t="shared" si="649"/>
        <v>#REF!</v>
      </c>
      <c r="V680" s="371" t="e">
        <f t="shared" si="649"/>
        <v>#REF!</v>
      </c>
      <c r="W680" s="371" t="e">
        <f t="shared" si="649"/>
        <v>#REF!</v>
      </c>
      <c r="X680" s="371" t="e">
        <f t="shared" si="649"/>
        <v>#REF!</v>
      </c>
      <c r="Y680" s="371" t="e">
        <f t="shared" si="649"/>
        <v>#REF!</v>
      </c>
      <c r="Z680" s="371" t="e">
        <f t="shared" si="649"/>
        <v>#REF!</v>
      </c>
      <c r="AA680" s="371" t="e">
        <f t="shared" si="649"/>
        <v>#REF!</v>
      </c>
      <c r="AB680" s="26"/>
    </row>
    <row r="681" s="122" customFormat="1" outlineLevel="2" spans="1:28">
      <c r="A681" s="130"/>
      <c r="B681" s="154" t="s">
        <v>646</v>
      </c>
      <c r="C681" s="154"/>
      <c r="D681" s="154"/>
      <c r="E681" s="154"/>
      <c r="F681" s="130"/>
      <c r="G681" s="134"/>
      <c r="H681" s="134"/>
      <c r="I681" s="134"/>
      <c r="J681" s="134"/>
      <c r="K681" s="134"/>
      <c r="L681" s="134"/>
      <c r="M681" s="134"/>
      <c r="N681" s="134"/>
      <c r="O681" s="134"/>
      <c r="P681" s="134"/>
      <c r="Q681" s="134"/>
      <c r="R681" s="367"/>
      <c r="S681" s="367"/>
      <c r="T681" s="367"/>
      <c r="U681" s="367"/>
      <c r="V681" s="371"/>
      <c r="W681" s="367"/>
      <c r="X681" s="367"/>
      <c r="Y681" s="367"/>
      <c r="Z681" s="367"/>
      <c r="AA681" s="367"/>
      <c r="AB681" s="130"/>
    </row>
    <row r="682" outlineLevel="2" spans="1:28">
      <c r="A682" s="52">
        <f>MAX($A$6:A681)+1</f>
        <v>565</v>
      </c>
      <c r="B682" s="374" t="s">
        <v>354</v>
      </c>
      <c r="C682" s="51" t="e">
        <f>VLOOKUP($B682,#REF!,MATCH(C$2,#REF!,0),0)</f>
        <v>#REF!</v>
      </c>
      <c r="D682" s="136"/>
      <c r="E682" s="136"/>
      <c r="F682" s="136" t="e">
        <f>VLOOKUP($B682,#REF!,MATCH(F$2,#REF!,0),0)</f>
        <v>#REF!</v>
      </c>
      <c r="G682" s="137" t="e">
        <f>VLOOKUP($B682,#REF!,MATCH(G$2,#REF!,0),0)</f>
        <v>#REF!</v>
      </c>
      <c r="H682" s="48">
        <v>1</v>
      </c>
      <c r="I682" s="48">
        <v>1</v>
      </c>
      <c r="J682" s="48">
        <v>1</v>
      </c>
      <c r="K682" s="48">
        <v>1</v>
      </c>
      <c r="L682" s="48"/>
      <c r="M682" s="48">
        <v>2</v>
      </c>
      <c r="N682" s="48">
        <v>2</v>
      </c>
      <c r="O682" s="48">
        <v>2</v>
      </c>
      <c r="P682" s="48"/>
      <c r="Q682" s="48"/>
      <c r="R682" s="371" t="e">
        <f t="shared" ref="R682:R684" si="650">$G682*H682</f>
        <v>#REF!</v>
      </c>
      <c r="S682" s="371" t="e">
        <f t="shared" ref="S682:AA682" si="651">$G682*I682</f>
        <v>#REF!</v>
      </c>
      <c r="T682" s="371" t="e">
        <f t="shared" si="651"/>
        <v>#REF!</v>
      </c>
      <c r="U682" s="371" t="e">
        <f t="shared" si="651"/>
        <v>#REF!</v>
      </c>
      <c r="V682" s="371" t="e">
        <f t="shared" si="651"/>
        <v>#REF!</v>
      </c>
      <c r="W682" s="371" t="e">
        <f t="shared" si="651"/>
        <v>#REF!</v>
      </c>
      <c r="X682" s="371" t="e">
        <f t="shared" si="651"/>
        <v>#REF!</v>
      </c>
      <c r="Y682" s="371" t="e">
        <f t="shared" si="651"/>
        <v>#REF!</v>
      </c>
      <c r="Z682" s="371" t="e">
        <f t="shared" si="651"/>
        <v>#REF!</v>
      </c>
      <c r="AA682" s="371" t="e">
        <f t="shared" si="651"/>
        <v>#REF!</v>
      </c>
      <c r="AB682" s="50"/>
    </row>
    <row r="683" ht="28.8" outlineLevel="2" spans="1:28">
      <c r="A683" s="52">
        <f>MAX($A$6:A682)+1</f>
        <v>566</v>
      </c>
      <c r="B683" s="374" t="s">
        <v>439</v>
      </c>
      <c r="C683" s="51" t="e">
        <f>VLOOKUP($B683,#REF!,MATCH(C$2,#REF!,0),0)</f>
        <v>#REF!</v>
      </c>
      <c r="D683" s="136"/>
      <c r="E683" s="136"/>
      <c r="F683" s="136" t="e">
        <f>VLOOKUP($B683,#REF!,MATCH(F$2,#REF!,0),0)</f>
        <v>#REF!</v>
      </c>
      <c r="G683" s="137" t="e">
        <f>VLOOKUP($B683,#REF!,MATCH(G$2,#REF!,0),0)</f>
        <v>#REF!</v>
      </c>
      <c r="H683" s="48">
        <v>1</v>
      </c>
      <c r="I683" s="48">
        <v>1</v>
      </c>
      <c r="J683" s="48">
        <v>1</v>
      </c>
      <c r="K683" s="48">
        <v>1</v>
      </c>
      <c r="L683" s="48"/>
      <c r="M683" s="48">
        <v>2</v>
      </c>
      <c r="N683" s="48">
        <v>2</v>
      </c>
      <c r="O683" s="48">
        <v>2</v>
      </c>
      <c r="P683" s="48"/>
      <c r="Q683" s="48"/>
      <c r="R683" s="371" t="e">
        <f t="shared" si="650"/>
        <v>#REF!</v>
      </c>
      <c r="S683" s="371" t="e">
        <f t="shared" ref="S683:AA683" si="652">$G683*I683</f>
        <v>#REF!</v>
      </c>
      <c r="T683" s="371" t="e">
        <f t="shared" si="652"/>
        <v>#REF!</v>
      </c>
      <c r="U683" s="371" t="e">
        <f t="shared" si="652"/>
        <v>#REF!</v>
      </c>
      <c r="V683" s="371" t="e">
        <f t="shared" si="652"/>
        <v>#REF!</v>
      </c>
      <c r="W683" s="371" t="e">
        <f t="shared" si="652"/>
        <v>#REF!</v>
      </c>
      <c r="X683" s="371" t="e">
        <f t="shared" si="652"/>
        <v>#REF!</v>
      </c>
      <c r="Y683" s="371" t="e">
        <f t="shared" si="652"/>
        <v>#REF!</v>
      </c>
      <c r="Z683" s="371" t="e">
        <f t="shared" si="652"/>
        <v>#REF!</v>
      </c>
      <c r="AA683" s="371" t="e">
        <f t="shared" si="652"/>
        <v>#REF!</v>
      </c>
      <c r="AB683" s="50"/>
    </row>
    <row r="684" ht="28.8" outlineLevel="2" spans="1:28">
      <c r="A684" s="52">
        <f>MAX($A$6:A683)+1</f>
        <v>567</v>
      </c>
      <c r="B684" s="51" t="s">
        <v>647</v>
      </c>
      <c r="C684" s="51" t="e">
        <f>VLOOKUP($B684,#REF!,MATCH(C$2,#REF!,0),0)</f>
        <v>#REF!</v>
      </c>
      <c r="D684" s="136"/>
      <c r="E684" s="136"/>
      <c r="F684" s="136" t="e">
        <f>VLOOKUP($B684,#REF!,MATCH(F$2,#REF!,0),0)</f>
        <v>#REF!</v>
      </c>
      <c r="G684" s="137" t="e">
        <f>VLOOKUP($B684,#REF!,MATCH(G$2,#REF!,0),0)</f>
        <v>#REF!</v>
      </c>
      <c r="H684" s="48">
        <v>1</v>
      </c>
      <c r="I684" s="48">
        <v>1</v>
      </c>
      <c r="J684" s="48">
        <v>1</v>
      </c>
      <c r="K684" s="48">
        <v>1</v>
      </c>
      <c r="L684" s="48"/>
      <c r="M684" s="48">
        <v>2</v>
      </c>
      <c r="N684" s="48">
        <v>2</v>
      </c>
      <c r="O684" s="48">
        <v>2</v>
      </c>
      <c r="P684" s="48"/>
      <c r="Q684" s="48"/>
      <c r="R684" s="371" t="e">
        <f t="shared" si="650"/>
        <v>#REF!</v>
      </c>
      <c r="S684" s="371" t="e">
        <f t="shared" ref="S684:AA684" si="653">$G684*I684</f>
        <v>#REF!</v>
      </c>
      <c r="T684" s="371" t="e">
        <f t="shared" si="653"/>
        <v>#REF!</v>
      </c>
      <c r="U684" s="371" t="e">
        <f t="shared" si="653"/>
        <v>#REF!</v>
      </c>
      <c r="V684" s="371" t="e">
        <f t="shared" si="653"/>
        <v>#REF!</v>
      </c>
      <c r="W684" s="371" t="e">
        <f t="shared" si="653"/>
        <v>#REF!</v>
      </c>
      <c r="X684" s="371" t="e">
        <f t="shared" si="653"/>
        <v>#REF!</v>
      </c>
      <c r="Y684" s="371" t="e">
        <f t="shared" si="653"/>
        <v>#REF!</v>
      </c>
      <c r="Z684" s="371" t="e">
        <f t="shared" si="653"/>
        <v>#REF!</v>
      </c>
      <c r="AA684" s="371" t="e">
        <f t="shared" si="653"/>
        <v>#REF!</v>
      </c>
      <c r="AB684" s="50"/>
    </row>
    <row r="685" s="122" customFormat="1" outlineLevel="2" spans="1:28">
      <c r="A685" s="130"/>
      <c r="B685" s="154" t="s">
        <v>644</v>
      </c>
      <c r="C685" s="154"/>
      <c r="D685" s="154"/>
      <c r="E685" s="154"/>
      <c r="F685" s="130"/>
      <c r="G685" s="134"/>
      <c r="H685" s="134"/>
      <c r="I685" s="134"/>
      <c r="J685" s="134"/>
      <c r="K685" s="134"/>
      <c r="L685" s="134"/>
      <c r="M685" s="134"/>
      <c r="N685" s="134"/>
      <c r="O685" s="134"/>
      <c r="P685" s="134"/>
      <c r="Q685" s="134"/>
      <c r="R685" s="367"/>
      <c r="S685" s="367"/>
      <c r="T685" s="367"/>
      <c r="U685" s="367"/>
      <c r="V685" s="371"/>
      <c r="W685" s="367"/>
      <c r="X685" s="367"/>
      <c r="Y685" s="367"/>
      <c r="Z685" s="367"/>
      <c r="AA685" s="367"/>
      <c r="AB685" s="130"/>
    </row>
    <row r="686" outlineLevel="2" spans="1:28">
      <c r="A686" s="52">
        <f>MAX($A$6:A685)+1</f>
        <v>568</v>
      </c>
      <c r="B686" s="51" t="s">
        <v>634</v>
      </c>
      <c r="C686" s="51" t="e">
        <f>VLOOKUP($B686,#REF!,MATCH(C$2,#REF!,0),0)</f>
        <v>#REF!</v>
      </c>
      <c r="D686" s="136"/>
      <c r="E686" s="136"/>
      <c r="F686" s="136" t="e">
        <f>VLOOKUP($B686,#REF!,MATCH(F$2,#REF!,0),0)</f>
        <v>#REF!</v>
      </c>
      <c r="G686" s="137" t="e">
        <f>VLOOKUP($B686,#REF!,MATCH(G$2,#REF!,0),0)</f>
        <v>#REF!</v>
      </c>
      <c r="H686" s="48">
        <v>1</v>
      </c>
      <c r="I686" s="48"/>
      <c r="J686" s="48"/>
      <c r="K686" s="48"/>
      <c r="L686" s="48"/>
      <c r="M686" s="48"/>
      <c r="N686" s="48"/>
      <c r="O686" s="48"/>
      <c r="P686" s="48"/>
      <c r="Q686" s="48"/>
      <c r="R686" s="371" t="e">
        <f t="shared" ref="R686:R688" si="654">$G686*H686</f>
        <v>#REF!</v>
      </c>
      <c r="S686" s="371" t="e">
        <f t="shared" ref="S686:AA686" si="655">$G686*I686</f>
        <v>#REF!</v>
      </c>
      <c r="T686" s="371" t="e">
        <f t="shared" si="655"/>
        <v>#REF!</v>
      </c>
      <c r="U686" s="371" t="e">
        <f t="shared" si="655"/>
        <v>#REF!</v>
      </c>
      <c r="V686" s="371" t="e">
        <f t="shared" si="655"/>
        <v>#REF!</v>
      </c>
      <c r="W686" s="371" t="e">
        <f t="shared" si="655"/>
        <v>#REF!</v>
      </c>
      <c r="X686" s="371" t="e">
        <f t="shared" si="655"/>
        <v>#REF!</v>
      </c>
      <c r="Y686" s="371" t="e">
        <f t="shared" si="655"/>
        <v>#REF!</v>
      </c>
      <c r="Z686" s="371" t="e">
        <f t="shared" si="655"/>
        <v>#REF!</v>
      </c>
      <c r="AA686" s="371" t="e">
        <f t="shared" si="655"/>
        <v>#REF!</v>
      </c>
      <c r="AB686" s="50"/>
    </row>
    <row r="687" outlineLevel="2" spans="1:28">
      <c r="A687" s="52">
        <f>MAX($A$6:A686)+1</f>
        <v>569</v>
      </c>
      <c r="B687" s="51" t="s">
        <v>354</v>
      </c>
      <c r="C687" s="51" t="e">
        <f>VLOOKUP($B687,#REF!,MATCH(C$2,#REF!,0),0)</f>
        <v>#REF!</v>
      </c>
      <c r="D687" s="136"/>
      <c r="E687" s="136"/>
      <c r="F687" s="136" t="e">
        <f>VLOOKUP($B687,#REF!,MATCH(F$2,#REF!,0),0)</f>
        <v>#REF!</v>
      </c>
      <c r="G687" s="137" t="e">
        <f>VLOOKUP($B687,#REF!,MATCH(G$2,#REF!,0),0)</f>
        <v>#REF!</v>
      </c>
      <c r="H687" s="48">
        <v>1</v>
      </c>
      <c r="I687" s="48"/>
      <c r="J687" s="48"/>
      <c r="K687" s="48"/>
      <c r="L687" s="48"/>
      <c r="M687" s="48"/>
      <c r="N687" s="48"/>
      <c r="O687" s="48"/>
      <c r="P687" s="48"/>
      <c r="Q687" s="48"/>
      <c r="R687" s="371" t="e">
        <f t="shared" si="654"/>
        <v>#REF!</v>
      </c>
      <c r="S687" s="371" t="e">
        <f t="shared" ref="S687:AA687" si="656">$G687*I687</f>
        <v>#REF!</v>
      </c>
      <c r="T687" s="371" t="e">
        <f t="shared" si="656"/>
        <v>#REF!</v>
      </c>
      <c r="U687" s="371" t="e">
        <f t="shared" si="656"/>
        <v>#REF!</v>
      </c>
      <c r="V687" s="371" t="e">
        <f t="shared" si="656"/>
        <v>#REF!</v>
      </c>
      <c r="W687" s="371" t="e">
        <f t="shared" si="656"/>
        <v>#REF!</v>
      </c>
      <c r="X687" s="371" t="e">
        <f t="shared" si="656"/>
        <v>#REF!</v>
      </c>
      <c r="Y687" s="371" t="e">
        <f t="shared" si="656"/>
        <v>#REF!</v>
      </c>
      <c r="Z687" s="371" t="e">
        <f t="shared" si="656"/>
        <v>#REF!</v>
      </c>
      <c r="AA687" s="371" t="e">
        <f t="shared" si="656"/>
        <v>#REF!</v>
      </c>
      <c r="AB687" s="50"/>
    </row>
    <row r="688" outlineLevel="2" spans="1:28">
      <c r="A688" s="52">
        <f>MAX($A$6:A687)+1</f>
        <v>570</v>
      </c>
      <c r="B688" s="152" t="s">
        <v>648</v>
      </c>
      <c r="C688" s="51" t="e">
        <f>VLOOKUP($B688,#REF!,MATCH(C$2,#REF!,0),0)</f>
        <v>#REF!</v>
      </c>
      <c r="D688" s="136"/>
      <c r="E688" s="136"/>
      <c r="F688" s="136" t="e">
        <f>VLOOKUP($B688,#REF!,MATCH(F$2,#REF!,0),0)</f>
        <v>#REF!</v>
      </c>
      <c r="G688" s="137" t="e">
        <f>VLOOKUP($B688,#REF!,MATCH(G$2,#REF!,0),0)</f>
        <v>#REF!</v>
      </c>
      <c r="H688" s="48">
        <v>1</v>
      </c>
      <c r="I688" s="48"/>
      <c r="J688" s="48"/>
      <c r="K688" s="48"/>
      <c r="L688" s="48"/>
      <c r="M688" s="48"/>
      <c r="N688" s="48"/>
      <c r="O688" s="48"/>
      <c r="P688" s="48"/>
      <c r="Q688" s="48"/>
      <c r="R688" s="371" t="e">
        <f t="shared" si="654"/>
        <v>#REF!</v>
      </c>
      <c r="S688" s="371" t="e">
        <f t="shared" ref="S688:AA688" si="657">$G688*I688</f>
        <v>#REF!</v>
      </c>
      <c r="T688" s="371" t="e">
        <f t="shared" si="657"/>
        <v>#REF!</v>
      </c>
      <c r="U688" s="371" t="e">
        <f t="shared" si="657"/>
        <v>#REF!</v>
      </c>
      <c r="V688" s="371" t="e">
        <f t="shared" si="657"/>
        <v>#REF!</v>
      </c>
      <c r="W688" s="371" t="e">
        <f t="shared" si="657"/>
        <v>#REF!</v>
      </c>
      <c r="X688" s="371" t="e">
        <f t="shared" si="657"/>
        <v>#REF!</v>
      </c>
      <c r="Y688" s="371" t="e">
        <f t="shared" si="657"/>
        <v>#REF!</v>
      </c>
      <c r="Z688" s="371" t="e">
        <f t="shared" si="657"/>
        <v>#REF!</v>
      </c>
      <c r="AA688" s="371" t="e">
        <f t="shared" si="657"/>
        <v>#REF!</v>
      </c>
      <c r="AB688" s="50"/>
    </row>
    <row r="689" s="122" customFormat="1" outlineLevel="2" spans="1:28">
      <c r="A689" s="130"/>
      <c r="B689" s="154" t="s">
        <v>649</v>
      </c>
      <c r="C689" s="154"/>
      <c r="D689" s="154"/>
      <c r="E689" s="154"/>
      <c r="F689" s="130"/>
      <c r="G689" s="134"/>
      <c r="H689" s="134"/>
      <c r="I689" s="134"/>
      <c r="J689" s="134"/>
      <c r="K689" s="134"/>
      <c r="L689" s="134"/>
      <c r="M689" s="134"/>
      <c r="N689" s="134"/>
      <c r="O689" s="134"/>
      <c r="P689" s="134"/>
      <c r="Q689" s="134"/>
      <c r="R689" s="367"/>
      <c r="S689" s="367"/>
      <c r="T689" s="367"/>
      <c r="U689" s="367"/>
      <c r="V689" s="371"/>
      <c r="W689" s="367"/>
      <c r="X689" s="367"/>
      <c r="Y689" s="367"/>
      <c r="Z689" s="367"/>
      <c r="AA689" s="367"/>
      <c r="AB689" s="130"/>
    </row>
    <row r="690" outlineLevel="2" spans="1:28">
      <c r="A690" s="52">
        <f>MAX($A$6:A689)+1</f>
        <v>571</v>
      </c>
      <c r="B690" s="51" t="s">
        <v>634</v>
      </c>
      <c r="C690" s="51" t="e">
        <f>VLOOKUP($B690,#REF!,MATCH(C$2,#REF!,0),0)</f>
        <v>#REF!</v>
      </c>
      <c r="D690" s="136"/>
      <c r="E690" s="136"/>
      <c r="F690" s="136" t="e">
        <f>VLOOKUP($B690,#REF!,MATCH(F$2,#REF!,0),0)</f>
        <v>#REF!</v>
      </c>
      <c r="G690" s="137" t="e">
        <f>VLOOKUP($B690,#REF!,MATCH(G$2,#REF!,0),0)</f>
        <v>#REF!</v>
      </c>
      <c r="H690" s="48">
        <v>1</v>
      </c>
      <c r="I690" s="48"/>
      <c r="J690" s="48"/>
      <c r="K690" s="48"/>
      <c r="L690" s="48"/>
      <c r="M690" s="48"/>
      <c r="N690" s="48"/>
      <c r="O690" s="48"/>
      <c r="P690" s="48"/>
      <c r="Q690" s="48"/>
      <c r="R690" s="371" t="e">
        <f>$G690*H690</f>
        <v>#REF!</v>
      </c>
      <c r="S690" s="371" t="e">
        <f t="shared" ref="S690:AA690" si="658">$G690*I690</f>
        <v>#REF!</v>
      </c>
      <c r="T690" s="371" t="e">
        <f t="shared" si="658"/>
        <v>#REF!</v>
      </c>
      <c r="U690" s="371" t="e">
        <f t="shared" si="658"/>
        <v>#REF!</v>
      </c>
      <c r="V690" s="371" t="e">
        <f t="shared" si="658"/>
        <v>#REF!</v>
      </c>
      <c r="W690" s="371" t="e">
        <f t="shared" si="658"/>
        <v>#REF!</v>
      </c>
      <c r="X690" s="371" t="e">
        <f t="shared" si="658"/>
        <v>#REF!</v>
      </c>
      <c r="Y690" s="371" t="e">
        <f t="shared" si="658"/>
        <v>#REF!</v>
      </c>
      <c r="Z690" s="371" t="e">
        <f t="shared" si="658"/>
        <v>#REF!</v>
      </c>
      <c r="AA690" s="371" t="e">
        <f t="shared" si="658"/>
        <v>#REF!</v>
      </c>
      <c r="AB690" s="50"/>
    </row>
    <row r="691" outlineLevel="2" spans="1:28">
      <c r="A691" s="52">
        <f>MAX($A$6:A690)+1</f>
        <v>572</v>
      </c>
      <c r="B691" s="51" t="s">
        <v>354</v>
      </c>
      <c r="C691" s="51" t="e">
        <f>VLOOKUP($B691,#REF!,MATCH(C$2,#REF!,0),0)</f>
        <v>#REF!</v>
      </c>
      <c r="D691" s="136"/>
      <c r="E691" s="136"/>
      <c r="F691" s="136" t="e">
        <f>VLOOKUP($B691,#REF!,MATCH(F$2,#REF!,0),0)</f>
        <v>#REF!</v>
      </c>
      <c r="G691" s="137" t="e">
        <f>VLOOKUP($B691,#REF!,MATCH(G$2,#REF!,0),0)</f>
        <v>#REF!</v>
      </c>
      <c r="H691" s="48">
        <v>1</v>
      </c>
      <c r="I691" s="48"/>
      <c r="J691" s="48"/>
      <c r="K691" s="48"/>
      <c r="L691" s="48"/>
      <c r="M691" s="48"/>
      <c r="N691" s="48"/>
      <c r="O691" s="48"/>
      <c r="P691" s="48"/>
      <c r="Q691" s="48"/>
      <c r="R691" s="371" t="e">
        <f t="shared" ref="R691:AA691" si="659">$G691*H691</f>
        <v>#REF!</v>
      </c>
      <c r="S691" s="371" t="e">
        <f t="shared" si="659"/>
        <v>#REF!</v>
      </c>
      <c r="T691" s="371" t="e">
        <f t="shared" si="659"/>
        <v>#REF!</v>
      </c>
      <c r="U691" s="371" t="e">
        <f t="shared" si="659"/>
        <v>#REF!</v>
      </c>
      <c r="V691" s="371" t="e">
        <f t="shared" si="659"/>
        <v>#REF!</v>
      </c>
      <c r="W691" s="371" t="e">
        <f t="shared" si="659"/>
        <v>#REF!</v>
      </c>
      <c r="X691" s="371" t="e">
        <f t="shared" si="659"/>
        <v>#REF!</v>
      </c>
      <c r="Y691" s="371" t="e">
        <f t="shared" si="659"/>
        <v>#REF!</v>
      </c>
      <c r="Z691" s="371" t="e">
        <f t="shared" si="659"/>
        <v>#REF!</v>
      </c>
      <c r="AA691" s="371" t="e">
        <f t="shared" si="659"/>
        <v>#REF!</v>
      </c>
      <c r="AB691" s="50"/>
    </row>
    <row r="692" outlineLevel="2" spans="1:28">
      <c r="A692" s="52">
        <f>MAX($A$6:A691)+1</f>
        <v>573</v>
      </c>
      <c r="B692" s="152" t="s">
        <v>648</v>
      </c>
      <c r="C692" s="51" t="e">
        <f>VLOOKUP($B692,#REF!,MATCH(C$2,#REF!,0),0)</f>
        <v>#REF!</v>
      </c>
      <c r="D692" s="136"/>
      <c r="E692" s="136"/>
      <c r="F692" s="136" t="e">
        <f>VLOOKUP($B692,#REF!,MATCH(F$2,#REF!,0),0)</f>
        <v>#REF!</v>
      </c>
      <c r="G692" s="137" t="e">
        <f>VLOOKUP($B692,#REF!,MATCH(G$2,#REF!,0),0)</f>
        <v>#REF!</v>
      </c>
      <c r="H692" s="48">
        <v>1</v>
      </c>
      <c r="I692" s="48"/>
      <c r="J692" s="48"/>
      <c r="K692" s="48"/>
      <c r="L692" s="48"/>
      <c r="M692" s="48"/>
      <c r="N692" s="48"/>
      <c r="O692" s="48"/>
      <c r="P692" s="48"/>
      <c r="Q692" s="48"/>
      <c r="R692" s="371" t="e">
        <f t="shared" ref="R692:AA692" si="660">$G692*H692</f>
        <v>#REF!</v>
      </c>
      <c r="S692" s="371" t="e">
        <f t="shared" si="660"/>
        <v>#REF!</v>
      </c>
      <c r="T692" s="371" t="e">
        <f t="shared" si="660"/>
        <v>#REF!</v>
      </c>
      <c r="U692" s="371" t="e">
        <f t="shared" si="660"/>
        <v>#REF!</v>
      </c>
      <c r="V692" s="371" t="e">
        <f t="shared" si="660"/>
        <v>#REF!</v>
      </c>
      <c r="W692" s="371" t="e">
        <f t="shared" si="660"/>
        <v>#REF!</v>
      </c>
      <c r="X692" s="371" t="e">
        <f t="shared" si="660"/>
        <v>#REF!</v>
      </c>
      <c r="Y692" s="371" t="e">
        <f t="shared" si="660"/>
        <v>#REF!</v>
      </c>
      <c r="Z692" s="371" t="e">
        <f t="shared" si="660"/>
        <v>#REF!</v>
      </c>
      <c r="AA692" s="371" t="e">
        <f t="shared" si="660"/>
        <v>#REF!</v>
      </c>
      <c r="AB692" s="50"/>
    </row>
    <row r="693" ht="28.8" outlineLevel="2" spans="1:28">
      <c r="A693" s="52">
        <f>MAX($A$6:A692)+1</f>
        <v>574</v>
      </c>
      <c r="B693" s="51" t="s">
        <v>647</v>
      </c>
      <c r="C693" s="51" t="e">
        <f>VLOOKUP($B693,#REF!,MATCH(C$2,#REF!,0),0)</f>
        <v>#REF!</v>
      </c>
      <c r="D693" s="136"/>
      <c r="E693" s="136"/>
      <c r="F693" s="136" t="e">
        <f>VLOOKUP($B693,#REF!,MATCH(F$2,#REF!,0),0)</f>
        <v>#REF!</v>
      </c>
      <c r="G693" s="137" t="e">
        <f>VLOOKUP($B693,#REF!,MATCH(G$2,#REF!,0),0)</f>
        <v>#REF!</v>
      </c>
      <c r="H693" s="48">
        <v>1</v>
      </c>
      <c r="I693" s="48"/>
      <c r="J693" s="48"/>
      <c r="K693" s="48"/>
      <c r="L693" s="48"/>
      <c r="M693" s="48"/>
      <c r="N693" s="48"/>
      <c r="O693" s="48"/>
      <c r="P693" s="48"/>
      <c r="Q693" s="48"/>
      <c r="R693" s="371" t="e">
        <f t="shared" ref="R693:AA693" si="661">$G693*H693</f>
        <v>#REF!</v>
      </c>
      <c r="S693" s="371" t="e">
        <f t="shared" si="661"/>
        <v>#REF!</v>
      </c>
      <c r="T693" s="371" t="e">
        <f t="shared" si="661"/>
        <v>#REF!</v>
      </c>
      <c r="U693" s="371" t="e">
        <f t="shared" si="661"/>
        <v>#REF!</v>
      </c>
      <c r="V693" s="371" t="e">
        <f t="shared" si="661"/>
        <v>#REF!</v>
      </c>
      <c r="W693" s="371" t="e">
        <f t="shared" si="661"/>
        <v>#REF!</v>
      </c>
      <c r="X693" s="371" t="e">
        <f t="shared" si="661"/>
        <v>#REF!</v>
      </c>
      <c r="Y693" s="371" t="e">
        <f t="shared" si="661"/>
        <v>#REF!</v>
      </c>
      <c r="Z693" s="371" t="e">
        <f t="shared" si="661"/>
        <v>#REF!</v>
      </c>
      <c r="AA693" s="371" t="e">
        <f t="shared" si="661"/>
        <v>#REF!</v>
      </c>
      <c r="AB693" s="50"/>
    </row>
    <row r="694" s="122" customFormat="1" outlineLevel="2" spans="1:28">
      <c r="A694" s="130"/>
      <c r="B694" s="154" t="s">
        <v>650</v>
      </c>
      <c r="C694" s="154"/>
      <c r="D694" s="154"/>
      <c r="E694" s="154"/>
      <c r="F694" s="130"/>
      <c r="G694" s="134"/>
      <c r="H694" s="134"/>
      <c r="I694" s="134"/>
      <c r="J694" s="134"/>
      <c r="K694" s="134"/>
      <c r="L694" s="134"/>
      <c r="M694" s="134"/>
      <c r="N694" s="134"/>
      <c r="O694" s="134"/>
      <c r="P694" s="134"/>
      <c r="Q694" s="134"/>
      <c r="R694" s="367"/>
      <c r="S694" s="367"/>
      <c r="T694" s="367"/>
      <c r="U694" s="367"/>
      <c r="V694" s="371"/>
      <c r="W694" s="367"/>
      <c r="X694" s="367"/>
      <c r="Y694" s="367"/>
      <c r="Z694" s="367"/>
      <c r="AA694" s="367"/>
      <c r="AB694" s="130"/>
    </row>
    <row r="695" outlineLevel="2" spans="1:28">
      <c r="A695" s="52">
        <f>MAX($A$6:A694)+1</f>
        <v>575</v>
      </c>
      <c r="B695" s="51" t="s">
        <v>354</v>
      </c>
      <c r="C695" s="51" t="e">
        <f>VLOOKUP($B695,#REF!,MATCH(C$2,#REF!,0),0)</f>
        <v>#REF!</v>
      </c>
      <c r="D695" s="136"/>
      <c r="E695" s="136"/>
      <c r="F695" s="136" t="e">
        <f>VLOOKUP($B695,#REF!,MATCH(F$2,#REF!,0),0)</f>
        <v>#REF!</v>
      </c>
      <c r="G695" s="137" t="e">
        <f>VLOOKUP($B695,#REF!,MATCH(G$2,#REF!,0),0)</f>
        <v>#REF!</v>
      </c>
      <c r="H695" s="48">
        <v>1</v>
      </c>
      <c r="I695" s="48">
        <v>1</v>
      </c>
      <c r="J695" s="48">
        <v>1</v>
      </c>
      <c r="K695" s="48">
        <v>1</v>
      </c>
      <c r="L695" s="48"/>
      <c r="M695" s="48"/>
      <c r="N695" s="48"/>
      <c r="O695" s="48"/>
      <c r="P695" s="48"/>
      <c r="Q695" s="48"/>
      <c r="R695" s="371" t="e">
        <f>$G695*H695</f>
        <v>#REF!</v>
      </c>
      <c r="S695" s="371" t="e">
        <f t="shared" ref="S695:AA695" si="662">$G695*I695</f>
        <v>#REF!</v>
      </c>
      <c r="T695" s="371" t="e">
        <f t="shared" si="662"/>
        <v>#REF!</v>
      </c>
      <c r="U695" s="371" t="e">
        <f t="shared" si="662"/>
        <v>#REF!</v>
      </c>
      <c r="V695" s="371" t="e">
        <f t="shared" si="662"/>
        <v>#REF!</v>
      </c>
      <c r="W695" s="371" t="e">
        <f t="shared" si="662"/>
        <v>#REF!</v>
      </c>
      <c r="X695" s="371" t="e">
        <f t="shared" si="662"/>
        <v>#REF!</v>
      </c>
      <c r="Y695" s="371" t="e">
        <f t="shared" si="662"/>
        <v>#REF!</v>
      </c>
      <c r="Z695" s="371" t="e">
        <f t="shared" si="662"/>
        <v>#REF!</v>
      </c>
      <c r="AA695" s="371" t="e">
        <f t="shared" si="662"/>
        <v>#REF!</v>
      </c>
      <c r="AB695" s="50"/>
    </row>
    <row r="696" ht="28.8" outlineLevel="2" spans="1:28">
      <c r="A696" s="52">
        <f>MAX($A$6:A695)+1</f>
        <v>576</v>
      </c>
      <c r="B696" s="51" t="s">
        <v>637</v>
      </c>
      <c r="C696" s="51" t="e">
        <f>VLOOKUP($B696,#REF!,MATCH(C$2,#REF!,0),0)</f>
        <v>#REF!</v>
      </c>
      <c r="D696" s="136"/>
      <c r="E696" s="136"/>
      <c r="F696" s="136" t="e">
        <f>VLOOKUP($B696,#REF!,MATCH(F$2,#REF!,0),0)</f>
        <v>#REF!</v>
      </c>
      <c r="G696" s="137" t="e">
        <f>VLOOKUP($B696,#REF!,MATCH(G$2,#REF!,0),0)</f>
        <v>#REF!</v>
      </c>
      <c r="H696" s="48">
        <v>1</v>
      </c>
      <c r="I696" s="48">
        <v>1</v>
      </c>
      <c r="J696" s="48">
        <v>1</v>
      </c>
      <c r="K696" s="48">
        <v>1</v>
      </c>
      <c r="L696" s="48"/>
      <c r="M696" s="48"/>
      <c r="N696" s="48"/>
      <c r="O696" s="48"/>
      <c r="P696" s="48"/>
      <c r="Q696" s="48"/>
      <c r="R696" s="371" t="e">
        <f t="shared" ref="R696:AA696" si="663">$G696*H696</f>
        <v>#REF!</v>
      </c>
      <c r="S696" s="371" t="e">
        <f t="shared" si="663"/>
        <v>#REF!</v>
      </c>
      <c r="T696" s="371" t="e">
        <f t="shared" si="663"/>
        <v>#REF!</v>
      </c>
      <c r="U696" s="371" t="e">
        <f t="shared" si="663"/>
        <v>#REF!</v>
      </c>
      <c r="V696" s="371" t="e">
        <f t="shared" si="663"/>
        <v>#REF!</v>
      </c>
      <c r="W696" s="371" t="e">
        <f t="shared" si="663"/>
        <v>#REF!</v>
      </c>
      <c r="X696" s="371" t="e">
        <f t="shared" si="663"/>
        <v>#REF!</v>
      </c>
      <c r="Y696" s="371" t="e">
        <f t="shared" si="663"/>
        <v>#REF!</v>
      </c>
      <c r="Z696" s="371" t="e">
        <f t="shared" si="663"/>
        <v>#REF!</v>
      </c>
      <c r="AA696" s="371" t="e">
        <f t="shared" si="663"/>
        <v>#REF!</v>
      </c>
      <c r="AB696" s="50"/>
    </row>
    <row r="697" outlineLevel="2" spans="1:28">
      <c r="A697" s="52">
        <f>MAX($A$6:A696)+1</f>
        <v>577</v>
      </c>
      <c r="B697" s="51" t="s">
        <v>633</v>
      </c>
      <c r="C697" s="51" t="e">
        <f>VLOOKUP($B697,#REF!,MATCH(C$2,#REF!,0),0)</f>
        <v>#REF!</v>
      </c>
      <c r="D697" s="136"/>
      <c r="E697" s="136"/>
      <c r="F697" s="136" t="e">
        <f>VLOOKUP($B697,#REF!,MATCH(F$2,#REF!,0),0)</f>
        <v>#REF!</v>
      </c>
      <c r="G697" s="137" t="e">
        <f>VLOOKUP($B697,#REF!,MATCH(G$2,#REF!,0),0)</f>
        <v>#REF!</v>
      </c>
      <c r="H697" s="48">
        <v>1</v>
      </c>
      <c r="I697" s="48">
        <v>1</v>
      </c>
      <c r="J697" s="48">
        <v>1</v>
      </c>
      <c r="K697" s="48">
        <v>1</v>
      </c>
      <c r="L697" s="48"/>
      <c r="M697" s="48"/>
      <c r="N697" s="48"/>
      <c r="O697" s="48"/>
      <c r="P697" s="48"/>
      <c r="Q697" s="48"/>
      <c r="R697" s="371" t="e">
        <f t="shared" ref="R697:AA697" si="664">$G697*H697</f>
        <v>#REF!</v>
      </c>
      <c r="S697" s="371" t="e">
        <f t="shared" si="664"/>
        <v>#REF!</v>
      </c>
      <c r="T697" s="371" t="e">
        <f t="shared" si="664"/>
        <v>#REF!</v>
      </c>
      <c r="U697" s="371" t="e">
        <f t="shared" si="664"/>
        <v>#REF!</v>
      </c>
      <c r="V697" s="371" t="e">
        <f t="shared" si="664"/>
        <v>#REF!</v>
      </c>
      <c r="W697" s="371" t="e">
        <f t="shared" si="664"/>
        <v>#REF!</v>
      </c>
      <c r="X697" s="371" t="e">
        <f t="shared" si="664"/>
        <v>#REF!</v>
      </c>
      <c r="Y697" s="371" t="e">
        <f t="shared" si="664"/>
        <v>#REF!</v>
      </c>
      <c r="Z697" s="371" t="e">
        <f t="shared" si="664"/>
        <v>#REF!</v>
      </c>
      <c r="AA697" s="371" t="e">
        <f t="shared" si="664"/>
        <v>#REF!</v>
      </c>
      <c r="AB697" s="50"/>
    </row>
    <row r="698" outlineLevel="2" spans="1:28">
      <c r="A698" s="52">
        <f>MAX($A$6:A697)+1</f>
        <v>578</v>
      </c>
      <c r="B698" s="51" t="s">
        <v>634</v>
      </c>
      <c r="C698" s="51" t="e">
        <f>VLOOKUP($B698,#REF!,MATCH(C$2,#REF!,0),0)</f>
        <v>#REF!</v>
      </c>
      <c r="D698" s="136"/>
      <c r="E698" s="136"/>
      <c r="F698" s="136" t="e">
        <f>VLOOKUP($B698,#REF!,MATCH(F$2,#REF!,0),0)</f>
        <v>#REF!</v>
      </c>
      <c r="G698" s="137" t="e">
        <f>VLOOKUP($B698,#REF!,MATCH(G$2,#REF!,0),0)</f>
        <v>#REF!</v>
      </c>
      <c r="H698" s="48">
        <v>1</v>
      </c>
      <c r="I698" s="48">
        <v>1</v>
      </c>
      <c r="J698" s="48">
        <v>1</v>
      </c>
      <c r="K698" s="48">
        <v>1</v>
      </c>
      <c r="L698" s="48"/>
      <c r="M698" s="48"/>
      <c r="N698" s="48"/>
      <c r="O698" s="48"/>
      <c r="P698" s="48"/>
      <c r="Q698" s="48"/>
      <c r="R698" s="371" t="e">
        <f t="shared" ref="R698:AA698" si="665">$G698*H698</f>
        <v>#REF!</v>
      </c>
      <c r="S698" s="371" t="e">
        <f t="shared" si="665"/>
        <v>#REF!</v>
      </c>
      <c r="T698" s="371" t="e">
        <f t="shared" si="665"/>
        <v>#REF!</v>
      </c>
      <c r="U698" s="371" t="e">
        <f t="shared" si="665"/>
        <v>#REF!</v>
      </c>
      <c r="V698" s="371" t="e">
        <f t="shared" si="665"/>
        <v>#REF!</v>
      </c>
      <c r="W698" s="371" t="e">
        <f t="shared" si="665"/>
        <v>#REF!</v>
      </c>
      <c r="X698" s="371" t="e">
        <f t="shared" si="665"/>
        <v>#REF!</v>
      </c>
      <c r="Y698" s="371" t="e">
        <f t="shared" si="665"/>
        <v>#REF!</v>
      </c>
      <c r="Z698" s="371" t="e">
        <f t="shared" si="665"/>
        <v>#REF!</v>
      </c>
      <c r="AA698" s="371" t="e">
        <f t="shared" si="665"/>
        <v>#REF!</v>
      </c>
      <c r="AB698" s="50"/>
    </row>
    <row r="699" s="122" customFormat="1" outlineLevel="2" spans="1:28">
      <c r="A699" s="130"/>
      <c r="B699" s="154" t="s">
        <v>651</v>
      </c>
      <c r="C699" s="154"/>
      <c r="D699" s="154"/>
      <c r="E699" s="154"/>
      <c r="F699" s="130"/>
      <c r="G699" s="134"/>
      <c r="H699" s="134"/>
      <c r="I699" s="134"/>
      <c r="J699" s="134"/>
      <c r="K699" s="134"/>
      <c r="L699" s="134"/>
      <c r="M699" s="134"/>
      <c r="N699" s="134"/>
      <c r="O699" s="134"/>
      <c r="P699" s="134"/>
      <c r="Q699" s="134"/>
      <c r="R699" s="367"/>
      <c r="S699" s="367"/>
      <c r="T699" s="367"/>
      <c r="U699" s="367"/>
      <c r="V699" s="371"/>
      <c r="W699" s="367"/>
      <c r="X699" s="367"/>
      <c r="Y699" s="367"/>
      <c r="Z699" s="367"/>
      <c r="AA699" s="367"/>
      <c r="AB699" s="130"/>
    </row>
    <row r="700" outlineLevel="2" spans="1:28">
      <c r="A700" s="52">
        <f>MAX($A$6:A699)+1</f>
        <v>579</v>
      </c>
      <c r="B700" s="51" t="s">
        <v>354</v>
      </c>
      <c r="C700" s="51" t="e">
        <f>VLOOKUP($B700,#REF!,MATCH(C$2,#REF!,0),0)</f>
        <v>#REF!</v>
      </c>
      <c r="D700" s="136"/>
      <c r="E700" s="136"/>
      <c r="F700" s="136" t="e">
        <f>VLOOKUP($B700,#REF!,MATCH(F$2,#REF!,0),0)</f>
        <v>#REF!</v>
      </c>
      <c r="G700" s="137" t="e">
        <f>VLOOKUP($B700,#REF!,MATCH(G$2,#REF!,0),0)</f>
        <v>#REF!</v>
      </c>
      <c r="H700" s="48"/>
      <c r="I700" s="48">
        <v>1</v>
      </c>
      <c r="J700" s="48">
        <v>1</v>
      </c>
      <c r="K700" s="48">
        <v>1</v>
      </c>
      <c r="L700" s="48"/>
      <c r="M700" s="48"/>
      <c r="N700" s="48"/>
      <c r="O700" s="48"/>
      <c r="P700" s="48"/>
      <c r="Q700" s="48"/>
      <c r="R700" s="371" t="e">
        <f t="shared" ref="R700:R702" si="666">$G700*H700</f>
        <v>#REF!</v>
      </c>
      <c r="S700" s="371" t="e">
        <f t="shared" ref="S700:AA700" si="667">$G700*I700</f>
        <v>#REF!</v>
      </c>
      <c r="T700" s="371" t="e">
        <f t="shared" si="667"/>
        <v>#REF!</v>
      </c>
      <c r="U700" s="371" t="e">
        <f t="shared" si="667"/>
        <v>#REF!</v>
      </c>
      <c r="V700" s="371" t="e">
        <f t="shared" si="667"/>
        <v>#REF!</v>
      </c>
      <c r="W700" s="371" t="e">
        <f t="shared" si="667"/>
        <v>#REF!</v>
      </c>
      <c r="X700" s="371" t="e">
        <f t="shared" si="667"/>
        <v>#REF!</v>
      </c>
      <c r="Y700" s="371" t="e">
        <f t="shared" si="667"/>
        <v>#REF!</v>
      </c>
      <c r="Z700" s="371" t="e">
        <f t="shared" si="667"/>
        <v>#REF!</v>
      </c>
      <c r="AA700" s="371" t="e">
        <f t="shared" si="667"/>
        <v>#REF!</v>
      </c>
      <c r="AB700" s="50"/>
    </row>
    <row r="701" ht="28.8" outlineLevel="2" spans="1:28">
      <c r="A701" s="52">
        <f>MAX($A$6:A700)+1</f>
        <v>580</v>
      </c>
      <c r="B701" s="51" t="s">
        <v>439</v>
      </c>
      <c r="C701" s="51" t="e">
        <f>VLOOKUP($B701,#REF!,MATCH(C$2,#REF!,0),0)</f>
        <v>#REF!</v>
      </c>
      <c r="D701" s="136"/>
      <c r="E701" s="136"/>
      <c r="F701" s="136" t="e">
        <f>VLOOKUP($B701,#REF!,MATCH(F$2,#REF!,0),0)</f>
        <v>#REF!</v>
      </c>
      <c r="G701" s="137" t="e">
        <f>VLOOKUP($B701,#REF!,MATCH(G$2,#REF!,0),0)</f>
        <v>#REF!</v>
      </c>
      <c r="H701" s="48"/>
      <c r="I701" s="48">
        <v>1</v>
      </c>
      <c r="J701" s="48">
        <v>1</v>
      </c>
      <c r="K701" s="48">
        <v>1</v>
      </c>
      <c r="L701" s="48"/>
      <c r="M701" s="48"/>
      <c r="N701" s="48"/>
      <c r="O701" s="48"/>
      <c r="P701" s="48"/>
      <c r="Q701" s="48"/>
      <c r="R701" s="371" t="e">
        <f t="shared" si="666"/>
        <v>#REF!</v>
      </c>
      <c r="S701" s="371" t="e">
        <f t="shared" ref="S701:AA701" si="668">$G701*I701</f>
        <v>#REF!</v>
      </c>
      <c r="T701" s="371" t="e">
        <f t="shared" si="668"/>
        <v>#REF!</v>
      </c>
      <c r="U701" s="371" t="e">
        <f t="shared" si="668"/>
        <v>#REF!</v>
      </c>
      <c r="V701" s="371" t="e">
        <f t="shared" si="668"/>
        <v>#REF!</v>
      </c>
      <c r="W701" s="371" t="e">
        <f t="shared" si="668"/>
        <v>#REF!</v>
      </c>
      <c r="X701" s="371" t="e">
        <f t="shared" si="668"/>
        <v>#REF!</v>
      </c>
      <c r="Y701" s="371" t="e">
        <f t="shared" si="668"/>
        <v>#REF!</v>
      </c>
      <c r="Z701" s="371" t="e">
        <f t="shared" si="668"/>
        <v>#REF!</v>
      </c>
      <c r="AA701" s="371" t="e">
        <f t="shared" si="668"/>
        <v>#REF!</v>
      </c>
      <c r="AB701" s="50"/>
    </row>
    <row r="702" ht="28.8" outlineLevel="2" spans="1:28">
      <c r="A702" s="52">
        <f>MAX($A$6:A701)+1</f>
        <v>581</v>
      </c>
      <c r="B702" s="51" t="s">
        <v>647</v>
      </c>
      <c r="C702" s="51" t="e">
        <f>VLOOKUP($B702,#REF!,MATCH(C$2,#REF!,0),0)</f>
        <v>#REF!</v>
      </c>
      <c r="D702" s="136"/>
      <c r="E702" s="136"/>
      <c r="F702" s="136" t="e">
        <f>VLOOKUP($B702,#REF!,MATCH(F$2,#REF!,0),0)</f>
        <v>#REF!</v>
      </c>
      <c r="G702" s="137" t="e">
        <f>VLOOKUP($B702,#REF!,MATCH(G$2,#REF!,0),0)</f>
        <v>#REF!</v>
      </c>
      <c r="H702" s="48"/>
      <c r="I702" s="48">
        <v>1</v>
      </c>
      <c r="J702" s="48">
        <v>1</v>
      </c>
      <c r="K702" s="48">
        <v>1</v>
      </c>
      <c r="L702" s="48"/>
      <c r="M702" s="48"/>
      <c r="N702" s="48"/>
      <c r="O702" s="48"/>
      <c r="P702" s="48"/>
      <c r="Q702" s="48"/>
      <c r="R702" s="371" t="e">
        <f t="shared" si="666"/>
        <v>#REF!</v>
      </c>
      <c r="S702" s="371" t="e">
        <f t="shared" ref="S702:AA702" si="669">$G702*I702</f>
        <v>#REF!</v>
      </c>
      <c r="T702" s="371" t="e">
        <f t="shared" si="669"/>
        <v>#REF!</v>
      </c>
      <c r="U702" s="371" t="e">
        <f t="shared" si="669"/>
        <v>#REF!</v>
      </c>
      <c r="V702" s="371" t="e">
        <f t="shared" si="669"/>
        <v>#REF!</v>
      </c>
      <c r="W702" s="371" t="e">
        <f t="shared" si="669"/>
        <v>#REF!</v>
      </c>
      <c r="X702" s="371" t="e">
        <f t="shared" si="669"/>
        <v>#REF!</v>
      </c>
      <c r="Y702" s="371" t="e">
        <f t="shared" si="669"/>
        <v>#REF!</v>
      </c>
      <c r="Z702" s="371" t="e">
        <f t="shared" si="669"/>
        <v>#REF!</v>
      </c>
      <c r="AA702" s="371" t="e">
        <f t="shared" si="669"/>
        <v>#REF!</v>
      </c>
      <c r="AB702" s="50"/>
    </row>
    <row r="703" s="122" customFormat="1" outlineLevel="2" spans="1:28">
      <c r="A703" s="130"/>
      <c r="B703" s="154" t="s">
        <v>652</v>
      </c>
      <c r="C703" s="154"/>
      <c r="D703" s="154"/>
      <c r="E703" s="154"/>
      <c r="F703" s="130"/>
      <c r="G703" s="134"/>
      <c r="H703" s="134"/>
      <c r="I703" s="134"/>
      <c r="J703" s="134"/>
      <c r="K703" s="134"/>
      <c r="L703" s="134"/>
      <c r="M703" s="134"/>
      <c r="N703" s="134"/>
      <c r="O703" s="134"/>
      <c r="P703" s="134"/>
      <c r="Q703" s="134"/>
      <c r="R703" s="367"/>
      <c r="S703" s="367"/>
      <c r="T703" s="367"/>
      <c r="U703" s="367"/>
      <c r="V703" s="371"/>
      <c r="W703" s="367"/>
      <c r="X703" s="367"/>
      <c r="Y703" s="367"/>
      <c r="Z703" s="367"/>
      <c r="AA703" s="367"/>
      <c r="AB703" s="130"/>
    </row>
    <row r="704" ht="28.8" outlineLevel="2" spans="1:28">
      <c r="A704" s="52">
        <f>MAX($A$6:A703)+1</f>
        <v>582</v>
      </c>
      <c r="B704" s="51" t="s">
        <v>653</v>
      </c>
      <c r="C704" s="51" t="e">
        <f>VLOOKUP($B704,#REF!,MATCH(C$2,#REF!,0),0)</f>
        <v>#REF!</v>
      </c>
      <c r="D704" s="136"/>
      <c r="E704" s="136"/>
      <c r="F704" s="136" t="e">
        <f>VLOOKUP($B704,#REF!,MATCH(F$2,#REF!,0),0)</f>
        <v>#REF!</v>
      </c>
      <c r="G704" s="137" t="e">
        <f>VLOOKUP($B704,#REF!,MATCH(G$2,#REF!,0),0)</f>
        <v>#REF!</v>
      </c>
      <c r="H704" s="48">
        <v>6085.96</v>
      </c>
      <c r="I704" s="48">
        <v>6085.96</v>
      </c>
      <c r="J704" s="48">
        <v>3298.7</v>
      </c>
      <c r="K704" s="48">
        <v>3298.7</v>
      </c>
      <c r="L704" s="48">
        <v>2209</v>
      </c>
      <c r="M704" s="48"/>
      <c r="N704" s="48"/>
      <c r="O704" s="48"/>
      <c r="P704" s="48"/>
      <c r="Q704" s="48"/>
      <c r="R704" s="371" t="e">
        <f>$G704*H704</f>
        <v>#REF!</v>
      </c>
      <c r="S704" s="371" t="e">
        <f t="shared" ref="S704:AA704" si="670">$G704*I704</f>
        <v>#REF!</v>
      </c>
      <c r="T704" s="371" t="e">
        <f t="shared" si="670"/>
        <v>#REF!</v>
      </c>
      <c r="U704" s="371" t="e">
        <f t="shared" si="670"/>
        <v>#REF!</v>
      </c>
      <c r="V704" s="371" t="e">
        <f t="shared" si="670"/>
        <v>#REF!</v>
      </c>
      <c r="W704" s="371" t="e">
        <f t="shared" si="670"/>
        <v>#REF!</v>
      </c>
      <c r="X704" s="371" t="e">
        <f t="shared" si="670"/>
        <v>#REF!</v>
      </c>
      <c r="Y704" s="371" t="e">
        <f t="shared" si="670"/>
        <v>#REF!</v>
      </c>
      <c r="Z704" s="371" t="e">
        <f t="shared" si="670"/>
        <v>#REF!</v>
      </c>
      <c r="AA704" s="371" t="e">
        <f t="shared" si="670"/>
        <v>#REF!</v>
      </c>
      <c r="AB704" s="50"/>
    </row>
    <row r="705" outlineLevel="2" spans="1:28">
      <c r="A705" s="52">
        <f>MAX($A$6:A704)+1</f>
        <v>583</v>
      </c>
      <c r="B705" s="51" t="s">
        <v>634</v>
      </c>
      <c r="C705" s="51" t="e">
        <f>VLOOKUP($B705,#REF!,MATCH(C$2,#REF!,0),0)</f>
        <v>#REF!</v>
      </c>
      <c r="D705" s="136"/>
      <c r="E705" s="136"/>
      <c r="F705" s="136" t="e">
        <f>VLOOKUP($B705,#REF!,MATCH(F$2,#REF!,0),0)</f>
        <v>#REF!</v>
      </c>
      <c r="G705" s="137" t="e">
        <f>VLOOKUP($B705,#REF!,MATCH(G$2,#REF!,0),0)</f>
        <v>#REF!</v>
      </c>
      <c r="H705" s="48">
        <v>6085.96</v>
      </c>
      <c r="I705" s="48">
        <v>6085.96</v>
      </c>
      <c r="J705" s="48">
        <v>3298.7</v>
      </c>
      <c r="K705" s="48">
        <v>3298.7</v>
      </c>
      <c r="L705" s="48">
        <v>2209</v>
      </c>
      <c r="M705" s="48"/>
      <c r="N705" s="48"/>
      <c r="O705" s="48"/>
      <c r="P705" s="48"/>
      <c r="Q705" s="48"/>
      <c r="R705" s="371" t="e">
        <f t="shared" ref="R705:AA705" si="671">$G705*H705</f>
        <v>#REF!</v>
      </c>
      <c r="S705" s="371" t="e">
        <f t="shared" si="671"/>
        <v>#REF!</v>
      </c>
      <c r="T705" s="371" t="e">
        <f t="shared" si="671"/>
        <v>#REF!</v>
      </c>
      <c r="U705" s="371" t="e">
        <f t="shared" si="671"/>
        <v>#REF!</v>
      </c>
      <c r="V705" s="371" t="e">
        <f t="shared" si="671"/>
        <v>#REF!</v>
      </c>
      <c r="W705" s="371" t="e">
        <f t="shared" si="671"/>
        <v>#REF!</v>
      </c>
      <c r="X705" s="371" t="e">
        <f t="shared" si="671"/>
        <v>#REF!</v>
      </c>
      <c r="Y705" s="371" t="e">
        <f t="shared" si="671"/>
        <v>#REF!</v>
      </c>
      <c r="Z705" s="371" t="e">
        <f t="shared" si="671"/>
        <v>#REF!</v>
      </c>
      <c r="AA705" s="371" t="e">
        <f t="shared" si="671"/>
        <v>#REF!</v>
      </c>
      <c r="AB705" s="50"/>
    </row>
    <row r="706" s="122" customFormat="1" outlineLevel="2" spans="1:28">
      <c r="A706" s="130"/>
      <c r="B706" s="154" t="s">
        <v>654</v>
      </c>
      <c r="C706" s="154"/>
      <c r="D706" s="154"/>
      <c r="E706" s="154"/>
      <c r="F706" s="130"/>
      <c r="G706" s="134"/>
      <c r="H706" s="134"/>
      <c r="I706" s="134"/>
      <c r="J706" s="134"/>
      <c r="K706" s="134"/>
      <c r="L706" s="134"/>
      <c r="M706" s="134"/>
      <c r="N706" s="134"/>
      <c r="O706" s="134"/>
      <c r="P706" s="134"/>
      <c r="Q706" s="134"/>
      <c r="R706" s="367"/>
      <c r="S706" s="367"/>
      <c r="T706" s="367"/>
      <c r="U706" s="367"/>
      <c r="V706" s="371"/>
      <c r="W706" s="367"/>
      <c r="X706" s="367"/>
      <c r="Y706" s="367"/>
      <c r="Z706" s="367"/>
      <c r="AA706" s="367"/>
      <c r="AB706" s="130"/>
    </row>
    <row r="707" outlineLevel="2" spans="1:28">
      <c r="A707" s="52">
        <f>MAX($A$6:A706)+1</f>
        <v>584</v>
      </c>
      <c r="B707" s="51" t="s">
        <v>354</v>
      </c>
      <c r="C707" s="51" t="e">
        <f>VLOOKUP($B707,#REF!,MATCH(C$2,#REF!,0),0)</f>
        <v>#REF!</v>
      </c>
      <c r="D707" s="136"/>
      <c r="E707" s="136"/>
      <c r="F707" s="136" t="e">
        <f>VLOOKUP($B707,#REF!,MATCH(F$2,#REF!,0),0)</f>
        <v>#REF!</v>
      </c>
      <c r="G707" s="137" t="e">
        <f>VLOOKUP($B707,#REF!,MATCH(G$2,#REF!,0),0)</f>
        <v>#REF!</v>
      </c>
      <c r="H707" s="48"/>
      <c r="I707" s="48">
        <v>1</v>
      </c>
      <c r="J707" s="48">
        <v>1</v>
      </c>
      <c r="K707" s="48">
        <v>1</v>
      </c>
      <c r="L707" s="48"/>
      <c r="M707" s="48">
        <v>1</v>
      </c>
      <c r="N707" s="48">
        <v>1</v>
      </c>
      <c r="O707" s="48">
        <v>1</v>
      </c>
      <c r="P707" s="48"/>
      <c r="Q707" s="48"/>
      <c r="R707" s="371" t="e">
        <f>$G707*H707</f>
        <v>#REF!</v>
      </c>
      <c r="S707" s="371" t="e">
        <f t="shared" ref="S707:AA707" si="672">$G707*I707</f>
        <v>#REF!</v>
      </c>
      <c r="T707" s="371" t="e">
        <f t="shared" si="672"/>
        <v>#REF!</v>
      </c>
      <c r="U707" s="371" t="e">
        <f t="shared" si="672"/>
        <v>#REF!</v>
      </c>
      <c r="V707" s="371" t="e">
        <f t="shared" si="672"/>
        <v>#REF!</v>
      </c>
      <c r="W707" s="371" t="e">
        <f t="shared" si="672"/>
        <v>#REF!</v>
      </c>
      <c r="X707" s="371" t="e">
        <f t="shared" si="672"/>
        <v>#REF!</v>
      </c>
      <c r="Y707" s="371" t="e">
        <f t="shared" si="672"/>
        <v>#REF!</v>
      </c>
      <c r="Z707" s="371" t="e">
        <f t="shared" si="672"/>
        <v>#REF!</v>
      </c>
      <c r="AA707" s="371" t="e">
        <f t="shared" si="672"/>
        <v>#REF!</v>
      </c>
      <c r="AB707" s="50"/>
    </row>
    <row r="708" ht="28.8" outlineLevel="2" spans="1:28">
      <c r="A708" s="52">
        <f>MAX($A$6:A707)+1</f>
        <v>585</v>
      </c>
      <c r="B708" s="51" t="s">
        <v>655</v>
      </c>
      <c r="C708" s="51" t="e">
        <f>VLOOKUP($B708,#REF!,MATCH(C$2,#REF!,0),0)</f>
        <v>#REF!</v>
      </c>
      <c r="D708" s="136"/>
      <c r="E708" s="136"/>
      <c r="F708" s="136" t="e">
        <f>VLOOKUP($B708,#REF!,MATCH(F$2,#REF!,0),0)</f>
        <v>#REF!</v>
      </c>
      <c r="G708" s="137" t="e">
        <f>VLOOKUP($B708,#REF!,MATCH(G$2,#REF!,0),0)</f>
        <v>#REF!</v>
      </c>
      <c r="H708" s="48"/>
      <c r="I708" s="48">
        <v>1</v>
      </c>
      <c r="J708" s="48">
        <v>1</v>
      </c>
      <c r="K708" s="48">
        <v>1</v>
      </c>
      <c r="L708" s="48"/>
      <c r="M708" s="48">
        <v>1</v>
      </c>
      <c r="N708" s="48">
        <v>1</v>
      </c>
      <c r="O708" s="48">
        <v>1</v>
      </c>
      <c r="P708" s="48"/>
      <c r="Q708" s="48"/>
      <c r="R708" s="371" t="e">
        <f t="shared" ref="R708:AA708" si="673">$G708*H708</f>
        <v>#REF!</v>
      </c>
      <c r="S708" s="371" t="e">
        <f t="shared" si="673"/>
        <v>#REF!</v>
      </c>
      <c r="T708" s="371" t="e">
        <f t="shared" si="673"/>
        <v>#REF!</v>
      </c>
      <c r="U708" s="371" t="e">
        <f t="shared" si="673"/>
        <v>#REF!</v>
      </c>
      <c r="V708" s="371" t="e">
        <f t="shared" si="673"/>
        <v>#REF!</v>
      </c>
      <c r="W708" s="371" t="e">
        <f t="shared" si="673"/>
        <v>#REF!</v>
      </c>
      <c r="X708" s="371" t="e">
        <f t="shared" si="673"/>
        <v>#REF!</v>
      </c>
      <c r="Y708" s="371" t="e">
        <f t="shared" si="673"/>
        <v>#REF!</v>
      </c>
      <c r="Z708" s="371" t="e">
        <f t="shared" si="673"/>
        <v>#REF!</v>
      </c>
      <c r="AA708" s="371" t="e">
        <f t="shared" si="673"/>
        <v>#REF!</v>
      </c>
      <c r="AB708" s="50"/>
    </row>
    <row r="709" s="122" customFormat="1" outlineLevel="2" spans="1:28">
      <c r="A709" s="130"/>
      <c r="B709" s="154" t="s">
        <v>652</v>
      </c>
      <c r="C709" s="154"/>
      <c r="D709" s="154"/>
      <c r="E709" s="154"/>
      <c r="F709" s="130"/>
      <c r="G709" s="134"/>
      <c r="H709" s="134"/>
      <c r="I709" s="134"/>
      <c r="J709" s="134"/>
      <c r="K709" s="134"/>
      <c r="L709" s="134"/>
      <c r="M709" s="134"/>
      <c r="N709" s="134"/>
      <c r="O709" s="134"/>
      <c r="P709" s="134"/>
      <c r="Q709" s="134"/>
      <c r="R709" s="367"/>
      <c r="S709" s="367"/>
      <c r="T709" s="367"/>
      <c r="U709" s="367"/>
      <c r="V709" s="371"/>
      <c r="W709" s="367"/>
      <c r="X709" s="367"/>
      <c r="Y709" s="367"/>
      <c r="Z709" s="367"/>
      <c r="AA709" s="367"/>
      <c r="AB709" s="130"/>
    </row>
    <row r="710" s="1" customFormat="1" outlineLevel="2" spans="1:28">
      <c r="A710" s="52">
        <f>MAX($A$6:A709)+1</f>
        <v>586</v>
      </c>
      <c r="B710" s="51" t="s">
        <v>634</v>
      </c>
      <c r="C710" s="51" t="e">
        <f>VLOOKUP($B710,#REF!,MATCH(C$2,#REF!,0),0)</f>
        <v>#REF!</v>
      </c>
      <c r="D710" s="136"/>
      <c r="E710" s="136"/>
      <c r="F710" s="136" t="e">
        <f>VLOOKUP($B710,#REF!,MATCH(F$2,#REF!,0),0)</f>
        <v>#REF!</v>
      </c>
      <c r="G710" s="137" t="e">
        <f>VLOOKUP($B710,#REF!,MATCH(G$2,#REF!,0),0)</f>
        <v>#REF!</v>
      </c>
      <c r="H710" s="48">
        <v>1</v>
      </c>
      <c r="I710" s="139"/>
      <c r="J710" s="139"/>
      <c r="K710" s="139"/>
      <c r="L710" s="139"/>
      <c r="M710" s="139"/>
      <c r="N710" s="139"/>
      <c r="O710" s="139"/>
      <c r="P710" s="139"/>
      <c r="Q710" s="139"/>
      <c r="R710" s="371" t="e">
        <f t="shared" ref="R710:R712" si="674">$G710*H710</f>
        <v>#REF!</v>
      </c>
      <c r="S710" s="371" t="e">
        <f t="shared" ref="S710:AA710" si="675">$G710*I710</f>
        <v>#REF!</v>
      </c>
      <c r="T710" s="371" t="e">
        <f t="shared" si="675"/>
        <v>#REF!</v>
      </c>
      <c r="U710" s="371" t="e">
        <f t="shared" si="675"/>
        <v>#REF!</v>
      </c>
      <c r="V710" s="371" t="e">
        <f t="shared" si="675"/>
        <v>#REF!</v>
      </c>
      <c r="W710" s="371" t="e">
        <f t="shared" si="675"/>
        <v>#REF!</v>
      </c>
      <c r="X710" s="371" t="e">
        <f t="shared" si="675"/>
        <v>#REF!</v>
      </c>
      <c r="Y710" s="371" t="e">
        <f t="shared" si="675"/>
        <v>#REF!</v>
      </c>
      <c r="Z710" s="371" t="e">
        <f t="shared" si="675"/>
        <v>#REF!</v>
      </c>
      <c r="AA710" s="371" t="e">
        <f t="shared" si="675"/>
        <v>#REF!</v>
      </c>
      <c r="AB710" s="26"/>
    </row>
    <row r="711" s="1" customFormat="1" outlineLevel="2" spans="1:28">
      <c r="A711" s="52">
        <f>MAX($A$6:A710)+1</f>
        <v>587</v>
      </c>
      <c r="B711" s="51" t="s">
        <v>354</v>
      </c>
      <c r="C711" s="51" t="e">
        <f>VLOOKUP($B711,#REF!,MATCH(C$2,#REF!,0),0)</f>
        <v>#REF!</v>
      </c>
      <c r="D711" s="136"/>
      <c r="E711" s="136"/>
      <c r="F711" s="136" t="e">
        <f>VLOOKUP($B711,#REF!,MATCH(F$2,#REF!,0),0)</f>
        <v>#REF!</v>
      </c>
      <c r="G711" s="137" t="e">
        <f>VLOOKUP($B711,#REF!,MATCH(G$2,#REF!,0),0)</f>
        <v>#REF!</v>
      </c>
      <c r="H711" s="48">
        <v>1</v>
      </c>
      <c r="I711" s="139"/>
      <c r="J711" s="139"/>
      <c r="K711" s="139"/>
      <c r="L711" s="139"/>
      <c r="M711" s="139"/>
      <c r="N711" s="139"/>
      <c r="O711" s="139"/>
      <c r="P711" s="139"/>
      <c r="Q711" s="139"/>
      <c r="R711" s="371" t="e">
        <f t="shared" si="674"/>
        <v>#REF!</v>
      </c>
      <c r="S711" s="371" t="e">
        <f t="shared" ref="S711:AA711" si="676">$G711*I711</f>
        <v>#REF!</v>
      </c>
      <c r="T711" s="371" t="e">
        <f t="shared" si="676"/>
        <v>#REF!</v>
      </c>
      <c r="U711" s="371" t="e">
        <f t="shared" si="676"/>
        <v>#REF!</v>
      </c>
      <c r="V711" s="371" t="e">
        <f t="shared" si="676"/>
        <v>#REF!</v>
      </c>
      <c r="W711" s="371" t="e">
        <f t="shared" si="676"/>
        <v>#REF!</v>
      </c>
      <c r="X711" s="371" t="e">
        <f t="shared" si="676"/>
        <v>#REF!</v>
      </c>
      <c r="Y711" s="371" t="e">
        <f t="shared" si="676"/>
        <v>#REF!</v>
      </c>
      <c r="Z711" s="371" t="e">
        <f t="shared" si="676"/>
        <v>#REF!</v>
      </c>
      <c r="AA711" s="371" t="e">
        <f t="shared" si="676"/>
        <v>#REF!</v>
      </c>
      <c r="AB711" s="26"/>
    </row>
    <row r="712" s="1" customFormat="1" outlineLevel="2" spans="1:28">
      <c r="A712" s="52">
        <f>MAX($A$6:A711)+1</f>
        <v>588</v>
      </c>
      <c r="B712" s="152" t="s">
        <v>648</v>
      </c>
      <c r="C712" s="51" t="e">
        <f>VLOOKUP($B712,#REF!,MATCH(C$2,#REF!,0),0)</f>
        <v>#REF!</v>
      </c>
      <c r="D712" s="136"/>
      <c r="E712" s="136"/>
      <c r="F712" s="136" t="e">
        <f>VLOOKUP($B712,#REF!,MATCH(F$2,#REF!,0),0)</f>
        <v>#REF!</v>
      </c>
      <c r="G712" s="137" t="e">
        <f>VLOOKUP($B712,#REF!,MATCH(G$2,#REF!,0),0)</f>
        <v>#REF!</v>
      </c>
      <c r="H712" s="48">
        <v>1</v>
      </c>
      <c r="I712" s="139"/>
      <c r="J712" s="139"/>
      <c r="K712" s="139"/>
      <c r="L712" s="139"/>
      <c r="M712" s="139"/>
      <c r="N712" s="139"/>
      <c r="O712" s="139"/>
      <c r="P712" s="139"/>
      <c r="Q712" s="139"/>
      <c r="R712" s="371" t="e">
        <f t="shared" si="674"/>
        <v>#REF!</v>
      </c>
      <c r="S712" s="371" t="e">
        <f t="shared" ref="S712:AA712" si="677">$G712*I712</f>
        <v>#REF!</v>
      </c>
      <c r="T712" s="371" t="e">
        <f t="shared" si="677"/>
        <v>#REF!</v>
      </c>
      <c r="U712" s="371" t="e">
        <f t="shared" si="677"/>
        <v>#REF!</v>
      </c>
      <c r="V712" s="371" t="e">
        <f t="shared" si="677"/>
        <v>#REF!</v>
      </c>
      <c r="W712" s="371" t="e">
        <f t="shared" si="677"/>
        <v>#REF!</v>
      </c>
      <c r="X712" s="371" t="e">
        <f t="shared" si="677"/>
        <v>#REF!</v>
      </c>
      <c r="Y712" s="371" t="e">
        <f t="shared" si="677"/>
        <v>#REF!</v>
      </c>
      <c r="Z712" s="371" t="e">
        <f t="shared" si="677"/>
        <v>#REF!</v>
      </c>
      <c r="AA712" s="371" t="e">
        <f t="shared" si="677"/>
        <v>#REF!</v>
      </c>
      <c r="AB712" s="26"/>
    </row>
    <row r="713" s="122" customFormat="1" outlineLevel="2" spans="1:28">
      <c r="A713" s="130"/>
      <c r="B713" s="154" t="s">
        <v>652</v>
      </c>
      <c r="C713" s="154"/>
      <c r="D713" s="154"/>
      <c r="E713" s="154"/>
      <c r="F713" s="130"/>
      <c r="G713" s="134"/>
      <c r="H713" s="134"/>
      <c r="I713" s="134"/>
      <c r="J713" s="134"/>
      <c r="K713" s="134"/>
      <c r="L713" s="134"/>
      <c r="M713" s="134"/>
      <c r="N713" s="134"/>
      <c r="O713" s="134"/>
      <c r="P713" s="134"/>
      <c r="Q713" s="134"/>
      <c r="R713" s="367"/>
      <c r="S713" s="367"/>
      <c r="T713" s="367"/>
      <c r="U713" s="367"/>
      <c r="V713" s="371"/>
      <c r="W713" s="367"/>
      <c r="X713" s="367"/>
      <c r="Y713" s="367"/>
      <c r="Z713" s="367"/>
      <c r="AA713" s="367"/>
      <c r="AB713" s="130"/>
    </row>
    <row r="714" outlineLevel="2" spans="1:28">
      <c r="A714" s="52">
        <f>MAX($A$6:A713)+1</f>
        <v>589</v>
      </c>
      <c r="B714" s="51" t="s">
        <v>354</v>
      </c>
      <c r="C714" s="51" t="e">
        <f>VLOOKUP($B714,#REF!,MATCH(C$2,#REF!,0),0)</f>
        <v>#REF!</v>
      </c>
      <c r="D714" s="136"/>
      <c r="E714" s="136"/>
      <c r="F714" s="136" t="e">
        <f>VLOOKUP($B714,#REF!,MATCH(F$2,#REF!,0),0)</f>
        <v>#REF!</v>
      </c>
      <c r="G714" s="137" t="e">
        <f>VLOOKUP($B714,#REF!,MATCH(G$2,#REF!,0),0)</f>
        <v>#REF!</v>
      </c>
      <c r="H714" s="48">
        <v>1</v>
      </c>
      <c r="I714" s="48">
        <v>1</v>
      </c>
      <c r="J714" s="48">
        <v>1</v>
      </c>
      <c r="K714" s="48">
        <v>1</v>
      </c>
      <c r="L714" s="48"/>
      <c r="M714" s="48">
        <v>1</v>
      </c>
      <c r="N714" s="48">
        <v>1</v>
      </c>
      <c r="O714" s="48">
        <v>1</v>
      </c>
      <c r="P714" s="48"/>
      <c r="Q714" s="48"/>
      <c r="R714" s="371" t="e">
        <f t="shared" ref="R714:R716" si="678">$G714*H714</f>
        <v>#REF!</v>
      </c>
      <c r="S714" s="371" t="e">
        <f t="shared" ref="S714:AA714" si="679">$G714*I714</f>
        <v>#REF!</v>
      </c>
      <c r="T714" s="371" t="e">
        <f t="shared" si="679"/>
        <v>#REF!</v>
      </c>
      <c r="U714" s="371" t="e">
        <f t="shared" si="679"/>
        <v>#REF!</v>
      </c>
      <c r="V714" s="371" t="e">
        <f t="shared" si="679"/>
        <v>#REF!</v>
      </c>
      <c r="W714" s="371" t="e">
        <f t="shared" si="679"/>
        <v>#REF!</v>
      </c>
      <c r="X714" s="371" t="e">
        <f t="shared" si="679"/>
        <v>#REF!</v>
      </c>
      <c r="Y714" s="371" t="e">
        <f t="shared" si="679"/>
        <v>#REF!</v>
      </c>
      <c r="Z714" s="371" t="e">
        <f t="shared" si="679"/>
        <v>#REF!</v>
      </c>
      <c r="AA714" s="371" t="e">
        <f t="shared" si="679"/>
        <v>#REF!</v>
      </c>
      <c r="AB714" s="50"/>
    </row>
    <row r="715" ht="28.8" outlineLevel="2" spans="1:28">
      <c r="A715" s="52">
        <f>MAX($A$6:A714)+1</f>
        <v>590</v>
      </c>
      <c r="B715" s="51" t="s">
        <v>439</v>
      </c>
      <c r="C715" s="51" t="e">
        <f>VLOOKUP($B715,#REF!,MATCH(C$2,#REF!,0),0)</f>
        <v>#REF!</v>
      </c>
      <c r="D715" s="136"/>
      <c r="E715" s="136"/>
      <c r="F715" s="136" t="e">
        <f>VLOOKUP($B715,#REF!,MATCH(F$2,#REF!,0),0)</f>
        <v>#REF!</v>
      </c>
      <c r="G715" s="137" t="e">
        <f>VLOOKUP($B715,#REF!,MATCH(G$2,#REF!,0),0)</f>
        <v>#REF!</v>
      </c>
      <c r="H715" s="48">
        <v>1</v>
      </c>
      <c r="I715" s="48">
        <v>1</v>
      </c>
      <c r="J715" s="48">
        <v>1</v>
      </c>
      <c r="K715" s="48">
        <v>1</v>
      </c>
      <c r="L715" s="48"/>
      <c r="M715" s="48">
        <v>1</v>
      </c>
      <c r="N715" s="48">
        <v>1</v>
      </c>
      <c r="O715" s="48">
        <v>1</v>
      </c>
      <c r="P715" s="48"/>
      <c r="Q715" s="48"/>
      <c r="R715" s="371" t="e">
        <f t="shared" si="678"/>
        <v>#REF!</v>
      </c>
      <c r="S715" s="371" t="e">
        <f t="shared" ref="S715:AA715" si="680">$G715*I715</f>
        <v>#REF!</v>
      </c>
      <c r="T715" s="371" t="e">
        <f t="shared" si="680"/>
        <v>#REF!</v>
      </c>
      <c r="U715" s="371" t="e">
        <f t="shared" si="680"/>
        <v>#REF!</v>
      </c>
      <c r="V715" s="371" t="e">
        <f t="shared" si="680"/>
        <v>#REF!</v>
      </c>
      <c r="W715" s="371" t="e">
        <f t="shared" si="680"/>
        <v>#REF!</v>
      </c>
      <c r="X715" s="371" t="e">
        <f t="shared" si="680"/>
        <v>#REF!</v>
      </c>
      <c r="Y715" s="371" t="e">
        <f t="shared" si="680"/>
        <v>#REF!</v>
      </c>
      <c r="Z715" s="371" t="e">
        <f t="shared" si="680"/>
        <v>#REF!</v>
      </c>
      <c r="AA715" s="371" t="e">
        <f t="shared" si="680"/>
        <v>#REF!</v>
      </c>
      <c r="AB715" s="50"/>
    </row>
    <row r="716" ht="28.8" outlineLevel="2" spans="1:28">
      <c r="A716" s="52">
        <f>MAX($A$6:A715)+1</f>
        <v>591</v>
      </c>
      <c r="B716" s="51" t="s">
        <v>647</v>
      </c>
      <c r="C716" s="51" t="e">
        <f>VLOOKUP($B716,#REF!,MATCH(C$2,#REF!,0),0)</f>
        <v>#REF!</v>
      </c>
      <c r="D716" s="136"/>
      <c r="E716" s="136"/>
      <c r="F716" s="136" t="e">
        <f>VLOOKUP($B716,#REF!,MATCH(F$2,#REF!,0),0)</f>
        <v>#REF!</v>
      </c>
      <c r="G716" s="137" t="e">
        <f>VLOOKUP($B716,#REF!,MATCH(G$2,#REF!,0),0)</f>
        <v>#REF!</v>
      </c>
      <c r="H716" s="48">
        <v>1</v>
      </c>
      <c r="I716" s="48">
        <v>1</v>
      </c>
      <c r="J716" s="48">
        <v>1</v>
      </c>
      <c r="K716" s="48">
        <v>1</v>
      </c>
      <c r="L716" s="48"/>
      <c r="M716" s="48">
        <v>1</v>
      </c>
      <c r="N716" s="48">
        <v>1</v>
      </c>
      <c r="O716" s="48">
        <v>1</v>
      </c>
      <c r="P716" s="48"/>
      <c r="Q716" s="48"/>
      <c r="R716" s="371" t="e">
        <f t="shared" si="678"/>
        <v>#REF!</v>
      </c>
      <c r="S716" s="371" t="e">
        <f t="shared" ref="S716:AA716" si="681">$G716*I716</f>
        <v>#REF!</v>
      </c>
      <c r="T716" s="371" t="e">
        <f t="shared" si="681"/>
        <v>#REF!</v>
      </c>
      <c r="U716" s="371" t="e">
        <f t="shared" si="681"/>
        <v>#REF!</v>
      </c>
      <c r="V716" s="371" t="e">
        <f t="shared" si="681"/>
        <v>#REF!</v>
      </c>
      <c r="W716" s="371" t="e">
        <f t="shared" si="681"/>
        <v>#REF!</v>
      </c>
      <c r="X716" s="371" t="e">
        <f t="shared" si="681"/>
        <v>#REF!</v>
      </c>
      <c r="Y716" s="371" t="e">
        <f t="shared" si="681"/>
        <v>#REF!</v>
      </c>
      <c r="Z716" s="371" t="e">
        <f t="shared" si="681"/>
        <v>#REF!</v>
      </c>
      <c r="AA716" s="371" t="e">
        <f t="shared" si="681"/>
        <v>#REF!</v>
      </c>
      <c r="AB716" s="50"/>
    </row>
    <row r="717" s="122" customFormat="1" outlineLevel="2" spans="1:28">
      <c r="A717" s="130"/>
      <c r="B717" s="154" t="s">
        <v>656</v>
      </c>
      <c r="C717" s="154"/>
      <c r="D717" s="154"/>
      <c r="E717" s="154"/>
      <c r="F717" s="130"/>
      <c r="G717" s="134"/>
      <c r="H717" s="134"/>
      <c r="I717" s="134"/>
      <c r="J717" s="134"/>
      <c r="K717" s="134"/>
      <c r="L717" s="134"/>
      <c r="M717" s="134"/>
      <c r="N717" s="134"/>
      <c r="O717" s="134"/>
      <c r="P717" s="134"/>
      <c r="Q717" s="134"/>
      <c r="R717" s="367"/>
      <c r="S717" s="367"/>
      <c r="T717" s="367"/>
      <c r="U717" s="367"/>
      <c r="V717" s="371"/>
      <c r="W717" s="367"/>
      <c r="X717" s="367"/>
      <c r="Y717" s="367"/>
      <c r="Z717" s="367"/>
      <c r="AA717" s="367"/>
      <c r="AB717" s="130"/>
    </row>
    <row r="718" outlineLevel="2" spans="1:28">
      <c r="A718" s="52">
        <f>MAX($A$6:A717)+1</f>
        <v>592</v>
      </c>
      <c r="B718" s="51" t="s">
        <v>354</v>
      </c>
      <c r="C718" s="51" t="e">
        <f>VLOOKUP($B718,#REF!,MATCH(C$2,#REF!,0),0)</f>
        <v>#REF!</v>
      </c>
      <c r="D718" s="136"/>
      <c r="E718" s="136"/>
      <c r="F718" s="136" t="e">
        <f>VLOOKUP($B718,#REF!,MATCH(F$2,#REF!,0),0)</f>
        <v>#REF!</v>
      </c>
      <c r="G718" s="137" t="e">
        <f>VLOOKUP($B718,#REF!,MATCH(G$2,#REF!,0),0)</f>
        <v>#REF!</v>
      </c>
      <c r="H718" s="48">
        <v>18304.51</v>
      </c>
      <c r="I718" s="48">
        <v>18304.51</v>
      </c>
      <c r="J718" s="48">
        <v>9608.9</v>
      </c>
      <c r="K718" s="48">
        <v>9608.9</v>
      </c>
      <c r="L718" s="48">
        <v>7871</v>
      </c>
      <c r="M718" s="48">
        <v>1</v>
      </c>
      <c r="N718" s="48">
        <v>1</v>
      </c>
      <c r="O718" s="48">
        <v>1</v>
      </c>
      <c r="P718" s="48"/>
      <c r="Q718" s="48"/>
      <c r="R718" s="371" t="e">
        <f>$G718*H718</f>
        <v>#REF!</v>
      </c>
      <c r="S718" s="371" t="e">
        <f t="shared" ref="S718:AA718" si="682">$G718*I718</f>
        <v>#REF!</v>
      </c>
      <c r="T718" s="371" t="e">
        <f t="shared" si="682"/>
        <v>#REF!</v>
      </c>
      <c r="U718" s="371" t="e">
        <f t="shared" si="682"/>
        <v>#REF!</v>
      </c>
      <c r="V718" s="371" t="e">
        <f t="shared" si="682"/>
        <v>#REF!</v>
      </c>
      <c r="W718" s="371" t="e">
        <f t="shared" si="682"/>
        <v>#REF!</v>
      </c>
      <c r="X718" s="371" t="e">
        <f t="shared" si="682"/>
        <v>#REF!</v>
      </c>
      <c r="Y718" s="371" t="e">
        <f t="shared" si="682"/>
        <v>#REF!</v>
      </c>
      <c r="Z718" s="371" t="e">
        <f t="shared" si="682"/>
        <v>#REF!</v>
      </c>
      <c r="AA718" s="371" t="e">
        <f t="shared" si="682"/>
        <v>#REF!</v>
      </c>
      <c r="AB718" s="50"/>
    </row>
    <row r="719" ht="28.8" outlineLevel="2" spans="1:28">
      <c r="A719" s="52">
        <f>MAX($A$6:A718)+1</f>
        <v>593</v>
      </c>
      <c r="B719" s="51" t="s">
        <v>657</v>
      </c>
      <c r="C719" s="51" t="e">
        <f>VLOOKUP($B719,#REF!,MATCH(C$2,#REF!,0),0)</f>
        <v>#REF!</v>
      </c>
      <c r="D719" s="136"/>
      <c r="E719" s="136"/>
      <c r="F719" s="136" t="e">
        <f>VLOOKUP($B719,#REF!,MATCH(F$2,#REF!,0),0)</f>
        <v>#REF!</v>
      </c>
      <c r="G719" s="137" t="e">
        <f>VLOOKUP($B719,#REF!,MATCH(G$2,#REF!,0),0)</f>
        <v>#REF!</v>
      </c>
      <c r="H719" s="48">
        <v>18304.51</v>
      </c>
      <c r="I719" s="48">
        <v>18304.51</v>
      </c>
      <c r="J719" s="48">
        <v>9608.9</v>
      </c>
      <c r="K719" s="48">
        <v>9608.9</v>
      </c>
      <c r="L719" s="48">
        <v>7871</v>
      </c>
      <c r="M719" s="48">
        <v>1</v>
      </c>
      <c r="N719" s="48">
        <v>1</v>
      </c>
      <c r="O719" s="48">
        <v>1</v>
      </c>
      <c r="P719" s="48"/>
      <c r="Q719" s="48"/>
      <c r="R719" s="371" t="e">
        <f t="shared" ref="R719:AA719" si="683">$G719*H719</f>
        <v>#REF!</v>
      </c>
      <c r="S719" s="371" t="e">
        <f t="shared" si="683"/>
        <v>#REF!</v>
      </c>
      <c r="T719" s="371" t="e">
        <f t="shared" si="683"/>
        <v>#REF!</v>
      </c>
      <c r="U719" s="371" t="e">
        <f t="shared" si="683"/>
        <v>#REF!</v>
      </c>
      <c r="V719" s="371" t="e">
        <f t="shared" si="683"/>
        <v>#REF!</v>
      </c>
      <c r="W719" s="371" t="e">
        <f t="shared" si="683"/>
        <v>#REF!</v>
      </c>
      <c r="X719" s="371" t="e">
        <f t="shared" si="683"/>
        <v>#REF!</v>
      </c>
      <c r="Y719" s="371" t="e">
        <f t="shared" si="683"/>
        <v>#REF!</v>
      </c>
      <c r="Z719" s="371" t="e">
        <f t="shared" si="683"/>
        <v>#REF!</v>
      </c>
      <c r="AA719" s="371" t="e">
        <f t="shared" si="683"/>
        <v>#REF!</v>
      </c>
      <c r="AB719" s="50"/>
    </row>
    <row r="720" ht="28.8" outlineLevel="2" spans="1:28">
      <c r="A720" s="52">
        <f>MAX($A$6:A719)+1</f>
        <v>594</v>
      </c>
      <c r="B720" s="51" t="s">
        <v>647</v>
      </c>
      <c r="C720" s="51" t="e">
        <f>VLOOKUP($B720,#REF!,MATCH(C$2,#REF!,0),0)</f>
        <v>#REF!</v>
      </c>
      <c r="D720" s="136"/>
      <c r="E720" s="136"/>
      <c r="F720" s="136" t="e">
        <f>VLOOKUP($B720,#REF!,MATCH(F$2,#REF!,0),0)</f>
        <v>#REF!</v>
      </c>
      <c r="G720" s="137" t="e">
        <f>VLOOKUP($B720,#REF!,MATCH(G$2,#REF!,0),0)</f>
        <v>#REF!</v>
      </c>
      <c r="H720" s="48">
        <v>18304.51</v>
      </c>
      <c r="I720" s="48">
        <v>18304.51</v>
      </c>
      <c r="J720" s="48">
        <v>9608.9</v>
      </c>
      <c r="K720" s="48">
        <v>9608.9</v>
      </c>
      <c r="L720" s="48">
        <v>7871</v>
      </c>
      <c r="M720" s="48">
        <v>1</v>
      </c>
      <c r="N720" s="48">
        <v>1</v>
      </c>
      <c r="O720" s="48">
        <v>1</v>
      </c>
      <c r="P720" s="48"/>
      <c r="Q720" s="48"/>
      <c r="R720" s="371" t="e">
        <f t="shared" ref="R720:AA720" si="684">$G720*H720</f>
        <v>#REF!</v>
      </c>
      <c r="S720" s="371" t="e">
        <f t="shared" si="684"/>
        <v>#REF!</v>
      </c>
      <c r="T720" s="371" t="e">
        <f t="shared" si="684"/>
        <v>#REF!</v>
      </c>
      <c r="U720" s="371" t="e">
        <f t="shared" si="684"/>
        <v>#REF!</v>
      </c>
      <c r="V720" s="371" t="e">
        <f t="shared" si="684"/>
        <v>#REF!</v>
      </c>
      <c r="W720" s="371" t="e">
        <f t="shared" si="684"/>
        <v>#REF!</v>
      </c>
      <c r="X720" s="371" t="e">
        <f t="shared" si="684"/>
        <v>#REF!</v>
      </c>
      <c r="Y720" s="371" t="e">
        <f t="shared" si="684"/>
        <v>#REF!</v>
      </c>
      <c r="Z720" s="371" t="e">
        <f t="shared" si="684"/>
        <v>#REF!</v>
      </c>
      <c r="AA720" s="371" t="e">
        <f t="shared" si="684"/>
        <v>#REF!</v>
      </c>
      <c r="AB720" s="50"/>
    </row>
    <row r="721" outlineLevel="2" spans="1:28">
      <c r="A721" s="52">
        <f>MAX($A$6:A720)+1</f>
        <v>595</v>
      </c>
      <c r="B721" s="51" t="s">
        <v>634</v>
      </c>
      <c r="C721" s="51" t="e">
        <f>VLOOKUP($B721,#REF!,MATCH(C$2,#REF!,0),0)</f>
        <v>#REF!</v>
      </c>
      <c r="D721" s="136"/>
      <c r="E721" s="136"/>
      <c r="F721" s="136" t="e">
        <f>VLOOKUP($B721,#REF!,MATCH(F$2,#REF!,0),0)</f>
        <v>#REF!</v>
      </c>
      <c r="G721" s="137" t="e">
        <f>VLOOKUP($B721,#REF!,MATCH(G$2,#REF!,0),0)</f>
        <v>#REF!</v>
      </c>
      <c r="H721" s="48">
        <v>18304.51</v>
      </c>
      <c r="I721" s="48">
        <v>18304.51</v>
      </c>
      <c r="J721" s="48">
        <v>9608.9</v>
      </c>
      <c r="K721" s="48">
        <v>9608.9</v>
      </c>
      <c r="L721" s="48">
        <v>7871</v>
      </c>
      <c r="M721" s="48">
        <v>1</v>
      </c>
      <c r="N721" s="48">
        <v>1</v>
      </c>
      <c r="O721" s="48">
        <v>1</v>
      </c>
      <c r="P721" s="48"/>
      <c r="Q721" s="48"/>
      <c r="R721" s="371" t="e">
        <f t="shared" ref="R721:AA721" si="685">$G721*H721</f>
        <v>#REF!</v>
      </c>
      <c r="S721" s="371" t="e">
        <f t="shared" si="685"/>
        <v>#REF!</v>
      </c>
      <c r="T721" s="371" t="e">
        <f t="shared" si="685"/>
        <v>#REF!</v>
      </c>
      <c r="U721" s="371" t="e">
        <f t="shared" si="685"/>
        <v>#REF!</v>
      </c>
      <c r="V721" s="371" t="e">
        <f t="shared" si="685"/>
        <v>#REF!</v>
      </c>
      <c r="W721" s="371" t="e">
        <f t="shared" si="685"/>
        <v>#REF!</v>
      </c>
      <c r="X721" s="371" t="e">
        <f t="shared" si="685"/>
        <v>#REF!</v>
      </c>
      <c r="Y721" s="371" t="e">
        <f t="shared" si="685"/>
        <v>#REF!</v>
      </c>
      <c r="Z721" s="371" t="e">
        <f t="shared" si="685"/>
        <v>#REF!</v>
      </c>
      <c r="AA721" s="371" t="e">
        <f t="shared" si="685"/>
        <v>#REF!</v>
      </c>
      <c r="AB721" s="50"/>
    </row>
    <row r="722" s="122" customFormat="1" outlineLevel="2" spans="1:28">
      <c r="A722" s="130"/>
      <c r="B722" s="154" t="s">
        <v>658</v>
      </c>
      <c r="C722" s="154"/>
      <c r="D722" s="154"/>
      <c r="E722" s="154"/>
      <c r="F722" s="130"/>
      <c r="G722" s="134"/>
      <c r="H722" s="134"/>
      <c r="I722" s="134"/>
      <c r="J722" s="134"/>
      <c r="K722" s="134"/>
      <c r="L722" s="134"/>
      <c r="M722" s="134"/>
      <c r="N722" s="134"/>
      <c r="O722" s="134"/>
      <c r="P722" s="134"/>
      <c r="Q722" s="134"/>
      <c r="R722" s="367"/>
      <c r="S722" s="367"/>
      <c r="T722" s="367"/>
      <c r="U722" s="367"/>
      <c r="V722" s="371"/>
      <c r="W722" s="367"/>
      <c r="X722" s="367"/>
      <c r="Y722" s="367"/>
      <c r="Z722" s="367"/>
      <c r="AA722" s="367"/>
      <c r="AB722" s="130"/>
    </row>
    <row r="723" outlineLevel="2" spans="1:28">
      <c r="A723" s="52">
        <f>MAX($A$6:A722)+1</f>
        <v>596</v>
      </c>
      <c r="B723" s="51" t="s">
        <v>354</v>
      </c>
      <c r="C723" s="51" t="e">
        <f>VLOOKUP($B723,#REF!,MATCH(C$2,#REF!,0),0)</f>
        <v>#REF!</v>
      </c>
      <c r="D723" s="136"/>
      <c r="E723" s="136"/>
      <c r="F723" s="136" t="e">
        <f>VLOOKUP($B723,#REF!,MATCH(F$2,#REF!,0),0)</f>
        <v>#REF!</v>
      </c>
      <c r="G723" s="137" t="e">
        <f>VLOOKUP($B723,#REF!,MATCH(G$2,#REF!,0),0)</f>
        <v>#REF!</v>
      </c>
      <c r="H723" s="48">
        <v>1</v>
      </c>
      <c r="I723" s="48">
        <v>1</v>
      </c>
      <c r="J723" s="48">
        <v>1</v>
      </c>
      <c r="K723" s="48">
        <v>1</v>
      </c>
      <c r="L723" s="48"/>
      <c r="M723" s="48"/>
      <c r="N723" s="48"/>
      <c r="O723" s="48"/>
      <c r="P723" s="48"/>
      <c r="Q723" s="48"/>
      <c r="R723" s="371" t="e">
        <f>$G723*H723</f>
        <v>#REF!</v>
      </c>
      <c r="S723" s="371" t="e">
        <f t="shared" ref="S723:AA723" si="686">$G723*I723</f>
        <v>#REF!</v>
      </c>
      <c r="T723" s="371" t="e">
        <f t="shared" si="686"/>
        <v>#REF!</v>
      </c>
      <c r="U723" s="371" t="e">
        <f t="shared" si="686"/>
        <v>#REF!</v>
      </c>
      <c r="V723" s="371" t="e">
        <f t="shared" si="686"/>
        <v>#REF!</v>
      </c>
      <c r="W723" s="371" t="e">
        <f t="shared" si="686"/>
        <v>#REF!</v>
      </c>
      <c r="X723" s="371" t="e">
        <f t="shared" si="686"/>
        <v>#REF!</v>
      </c>
      <c r="Y723" s="371" t="e">
        <f t="shared" si="686"/>
        <v>#REF!</v>
      </c>
      <c r="Z723" s="371" t="e">
        <f t="shared" si="686"/>
        <v>#REF!</v>
      </c>
      <c r="AA723" s="371" t="e">
        <f t="shared" si="686"/>
        <v>#REF!</v>
      </c>
      <c r="AB723" s="50"/>
    </row>
    <row r="724" ht="28.8" outlineLevel="2" spans="1:28">
      <c r="A724" s="52">
        <f>MAX($A$6:A723)+1</f>
        <v>597</v>
      </c>
      <c r="B724" s="51" t="s">
        <v>439</v>
      </c>
      <c r="C724" s="51" t="e">
        <f>VLOOKUP($B724,#REF!,MATCH(C$2,#REF!,0),0)</f>
        <v>#REF!</v>
      </c>
      <c r="D724" s="136"/>
      <c r="E724" s="136"/>
      <c r="F724" s="136" t="e">
        <f>VLOOKUP($B724,#REF!,MATCH(F$2,#REF!,0),0)</f>
        <v>#REF!</v>
      </c>
      <c r="G724" s="137" t="e">
        <f>VLOOKUP($B724,#REF!,MATCH(G$2,#REF!,0),0)</f>
        <v>#REF!</v>
      </c>
      <c r="H724" s="48">
        <v>1</v>
      </c>
      <c r="I724" s="48">
        <v>1</v>
      </c>
      <c r="J724" s="48">
        <v>1</v>
      </c>
      <c r="K724" s="48">
        <v>1</v>
      </c>
      <c r="L724" s="48"/>
      <c r="M724" s="48"/>
      <c r="N724" s="48"/>
      <c r="O724" s="48"/>
      <c r="P724" s="48"/>
      <c r="Q724" s="48"/>
      <c r="R724" s="371" t="e">
        <f t="shared" ref="R724:AA724" si="687">$G724*H724</f>
        <v>#REF!</v>
      </c>
      <c r="S724" s="371" t="e">
        <f t="shared" si="687"/>
        <v>#REF!</v>
      </c>
      <c r="T724" s="371" t="e">
        <f t="shared" si="687"/>
        <v>#REF!</v>
      </c>
      <c r="U724" s="371" t="e">
        <f t="shared" si="687"/>
        <v>#REF!</v>
      </c>
      <c r="V724" s="371" t="e">
        <f t="shared" si="687"/>
        <v>#REF!</v>
      </c>
      <c r="W724" s="371" t="e">
        <f t="shared" si="687"/>
        <v>#REF!</v>
      </c>
      <c r="X724" s="371" t="e">
        <f t="shared" si="687"/>
        <v>#REF!</v>
      </c>
      <c r="Y724" s="371" t="e">
        <f t="shared" si="687"/>
        <v>#REF!</v>
      </c>
      <c r="Z724" s="371" t="e">
        <f t="shared" si="687"/>
        <v>#REF!</v>
      </c>
      <c r="AA724" s="371" t="e">
        <f t="shared" si="687"/>
        <v>#REF!</v>
      </c>
      <c r="AB724" s="50"/>
    </row>
    <row r="725" ht="28.8" outlineLevel="2" spans="1:28">
      <c r="A725" s="52">
        <f>MAX($A$6:A724)+1</f>
        <v>598</v>
      </c>
      <c r="B725" s="51" t="s">
        <v>647</v>
      </c>
      <c r="C725" s="51" t="e">
        <f>VLOOKUP($B725,#REF!,MATCH(C$2,#REF!,0),0)</f>
        <v>#REF!</v>
      </c>
      <c r="D725" s="136"/>
      <c r="E725" s="136"/>
      <c r="F725" s="136" t="e">
        <f>VLOOKUP($B725,#REF!,MATCH(F$2,#REF!,0),0)</f>
        <v>#REF!</v>
      </c>
      <c r="G725" s="137" t="e">
        <f>VLOOKUP($B725,#REF!,MATCH(G$2,#REF!,0),0)</f>
        <v>#REF!</v>
      </c>
      <c r="H725" s="48">
        <v>1</v>
      </c>
      <c r="I725" s="48">
        <v>1</v>
      </c>
      <c r="J725" s="48">
        <v>1</v>
      </c>
      <c r="K725" s="48">
        <v>1</v>
      </c>
      <c r="L725" s="48"/>
      <c r="M725" s="48"/>
      <c r="N725" s="48"/>
      <c r="O725" s="48"/>
      <c r="P725" s="48"/>
      <c r="Q725" s="48"/>
      <c r="R725" s="371" t="e">
        <f t="shared" ref="R725:AA725" si="688">$G725*H725</f>
        <v>#REF!</v>
      </c>
      <c r="S725" s="371" t="e">
        <f t="shared" si="688"/>
        <v>#REF!</v>
      </c>
      <c r="T725" s="371" t="e">
        <f t="shared" si="688"/>
        <v>#REF!</v>
      </c>
      <c r="U725" s="371" t="e">
        <f t="shared" si="688"/>
        <v>#REF!</v>
      </c>
      <c r="V725" s="371" t="e">
        <f t="shared" si="688"/>
        <v>#REF!</v>
      </c>
      <c r="W725" s="371" t="e">
        <f t="shared" si="688"/>
        <v>#REF!</v>
      </c>
      <c r="X725" s="371" t="e">
        <f t="shared" si="688"/>
        <v>#REF!</v>
      </c>
      <c r="Y725" s="371" t="e">
        <f t="shared" si="688"/>
        <v>#REF!</v>
      </c>
      <c r="Z725" s="371" t="e">
        <f t="shared" si="688"/>
        <v>#REF!</v>
      </c>
      <c r="AA725" s="371" t="e">
        <f t="shared" si="688"/>
        <v>#REF!</v>
      </c>
      <c r="AB725" s="50"/>
    </row>
    <row r="726" ht="28.8" outlineLevel="2" spans="1:28">
      <c r="A726" s="52">
        <f>MAX($A$6:A725)+1</f>
        <v>599</v>
      </c>
      <c r="B726" s="51" t="s">
        <v>659</v>
      </c>
      <c r="C726" s="51" t="e">
        <f>VLOOKUP($B726,#REF!,MATCH(C$2,#REF!,0),0)</f>
        <v>#REF!</v>
      </c>
      <c r="D726" s="136"/>
      <c r="E726" s="136"/>
      <c r="F726" s="136" t="e">
        <f>VLOOKUP($B726,#REF!,MATCH(F$2,#REF!,0),0)</f>
        <v>#REF!</v>
      </c>
      <c r="G726" s="137" t="e">
        <f>VLOOKUP($B726,#REF!,MATCH(G$2,#REF!,0),0)</f>
        <v>#REF!</v>
      </c>
      <c r="H726" s="48"/>
      <c r="I726" s="48"/>
      <c r="J726" s="48"/>
      <c r="K726" s="48"/>
      <c r="L726" s="48"/>
      <c r="M726" s="48"/>
      <c r="N726" s="48"/>
      <c r="O726" s="48"/>
      <c r="P726" s="48"/>
      <c r="Q726" s="48"/>
      <c r="R726" s="371" t="e">
        <f t="shared" ref="R726:AA726" si="689">$G726*H726</f>
        <v>#REF!</v>
      </c>
      <c r="S726" s="371" t="e">
        <f t="shared" si="689"/>
        <v>#REF!</v>
      </c>
      <c r="T726" s="371" t="e">
        <f t="shared" si="689"/>
        <v>#REF!</v>
      </c>
      <c r="U726" s="371" t="e">
        <f t="shared" si="689"/>
        <v>#REF!</v>
      </c>
      <c r="V726" s="371" t="e">
        <f t="shared" si="689"/>
        <v>#REF!</v>
      </c>
      <c r="W726" s="371" t="e">
        <f t="shared" si="689"/>
        <v>#REF!</v>
      </c>
      <c r="X726" s="371" t="e">
        <f t="shared" si="689"/>
        <v>#REF!</v>
      </c>
      <c r="Y726" s="371" t="e">
        <f t="shared" si="689"/>
        <v>#REF!</v>
      </c>
      <c r="Z726" s="371" t="e">
        <f t="shared" si="689"/>
        <v>#REF!</v>
      </c>
      <c r="AA726" s="371" t="e">
        <f t="shared" si="689"/>
        <v>#REF!</v>
      </c>
      <c r="AB726" s="50"/>
    </row>
    <row r="727" outlineLevel="2" spans="1:28">
      <c r="A727" s="52">
        <f>MAX($A$6:A726)+1</f>
        <v>600</v>
      </c>
      <c r="B727" s="51" t="s">
        <v>634</v>
      </c>
      <c r="C727" s="51" t="e">
        <f>VLOOKUP($B727,#REF!,MATCH(C$2,#REF!,0),0)</f>
        <v>#REF!</v>
      </c>
      <c r="D727" s="136"/>
      <c r="E727" s="136"/>
      <c r="F727" s="136" t="e">
        <f>VLOOKUP($B727,#REF!,MATCH(F$2,#REF!,0),0)</f>
        <v>#REF!</v>
      </c>
      <c r="G727" s="137" t="e">
        <f>VLOOKUP($B727,#REF!,MATCH(G$2,#REF!,0),0)</f>
        <v>#REF!</v>
      </c>
      <c r="H727" s="48">
        <v>1</v>
      </c>
      <c r="I727" s="48">
        <v>1</v>
      </c>
      <c r="J727" s="48">
        <v>1</v>
      </c>
      <c r="K727" s="48">
        <v>1</v>
      </c>
      <c r="L727" s="48"/>
      <c r="M727" s="48"/>
      <c r="N727" s="48"/>
      <c r="O727" s="48"/>
      <c r="P727" s="48"/>
      <c r="Q727" s="48"/>
      <c r="R727" s="371" t="e">
        <f t="shared" ref="R727:AA727" si="690">$G727*H727</f>
        <v>#REF!</v>
      </c>
      <c r="S727" s="371" t="e">
        <f t="shared" si="690"/>
        <v>#REF!</v>
      </c>
      <c r="T727" s="371" t="e">
        <f t="shared" si="690"/>
        <v>#REF!</v>
      </c>
      <c r="U727" s="371" t="e">
        <f t="shared" si="690"/>
        <v>#REF!</v>
      </c>
      <c r="V727" s="371" t="e">
        <f t="shared" si="690"/>
        <v>#REF!</v>
      </c>
      <c r="W727" s="371" t="e">
        <f t="shared" si="690"/>
        <v>#REF!</v>
      </c>
      <c r="X727" s="371" t="e">
        <f t="shared" si="690"/>
        <v>#REF!</v>
      </c>
      <c r="Y727" s="371" t="e">
        <f t="shared" si="690"/>
        <v>#REF!</v>
      </c>
      <c r="Z727" s="371" t="e">
        <f t="shared" si="690"/>
        <v>#REF!</v>
      </c>
      <c r="AA727" s="371" t="e">
        <f t="shared" si="690"/>
        <v>#REF!</v>
      </c>
      <c r="AB727" s="50"/>
    </row>
    <row r="728" s="122" customFormat="1" outlineLevel="2" spans="1:28">
      <c r="A728" s="130"/>
      <c r="B728" s="154" t="s">
        <v>658</v>
      </c>
      <c r="C728" s="154"/>
      <c r="D728" s="154"/>
      <c r="E728" s="154"/>
      <c r="F728" s="130"/>
      <c r="G728" s="134"/>
      <c r="H728" s="134"/>
      <c r="I728" s="134"/>
      <c r="J728" s="134"/>
      <c r="K728" s="134"/>
      <c r="L728" s="134"/>
      <c r="M728" s="134"/>
      <c r="N728" s="134"/>
      <c r="O728" s="134"/>
      <c r="P728" s="134"/>
      <c r="Q728" s="134"/>
      <c r="R728" s="367"/>
      <c r="S728" s="367"/>
      <c r="T728" s="367"/>
      <c r="U728" s="367"/>
      <c r="V728" s="371"/>
      <c r="W728" s="367"/>
      <c r="X728" s="367"/>
      <c r="Y728" s="367"/>
      <c r="Z728" s="367"/>
      <c r="AA728" s="367"/>
      <c r="AB728" s="130"/>
    </row>
    <row r="729" ht="28.8" outlineLevel="2" spans="1:28">
      <c r="A729" s="52">
        <f>MAX($A$6:A728)+1</f>
        <v>601</v>
      </c>
      <c r="B729" s="51" t="s">
        <v>647</v>
      </c>
      <c r="C729" s="51" t="e">
        <f>VLOOKUP($B729,#REF!,MATCH(C$2,#REF!,0),0)</f>
        <v>#REF!</v>
      </c>
      <c r="D729" s="136"/>
      <c r="E729" s="136"/>
      <c r="F729" s="136" t="e">
        <f>VLOOKUP($B729,#REF!,MATCH(F$2,#REF!,0),0)</f>
        <v>#REF!</v>
      </c>
      <c r="G729" s="137" t="e">
        <f>VLOOKUP($B729,#REF!,MATCH(G$2,#REF!,0),0)</f>
        <v>#REF!</v>
      </c>
      <c r="H729" s="48">
        <v>1</v>
      </c>
      <c r="I729" s="48"/>
      <c r="J729" s="48"/>
      <c r="K729" s="48"/>
      <c r="L729" s="48"/>
      <c r="M729" s="48"/>
      <c r="N729" s="48"/>
      <c r="O729" s="48"/>
      <c r="P729" s="48"/>
      <c r="Q729" s="48"/>
      <c r="R729" s="371" t="e">
        <f>$G729*H729</f>
        <v>#REF!</v>
      </c>
      <c r="S729" s="371" t="e">
        <f t="shared" ref="S729:AA729" si="691">$G729*I729</f>
        <v>#REF!</v>
      </c>
      <c r="T729" s="371" t="e">
        <f t="shared" si="691"/>
        <v>#REF!</v>
      </c>
      <c r="U729" s="371" t="e">
        <f t="shared" si="691"/>
        <v>#REF!</v>
      </c>
      <c r="V729" s="371" t="e">
        <f t="shared" si="691"/>
        <v>#REF!</v>
      </c>
      <c r="W729" s="371" t="e">
        <f t="shared" si="691"/>
        <v>#REF!</v>
      </c>
      <c r="X729" s="371" t="e">
        <f t="shared" si="691"/>
        <v>#REF!</v>
      </c>
      <c r="Y729" s="371" t="e">
        <f t="shared" si="691"/>
        <v>#REF!</v>
      </c>
      <c r="Z729" s="371" t="e">
        <f t="shared" si="691"/>
        <v>#REF!</v>
      </c>
      <c r="AA729" s="371" t="e">
        <f t="shared" si="691"/>
        <v>#REF!</v>
      </c>
      <c r="AB729" s="50"/>
    </row>
    <row r="730" outlineLevel="2" spans="1:28">
      <c r="A730" s="52">
        <f>MAX($A$6:A729)+1</f>
        <v>602</v>
      </c>
      <c r="B730" s="51" t="s">
        <v>634</v>
      </c>
      <c r="C730" s="51" t="e">
        <f>VLOOKUP($B730,#REF!,MATCH(C$2,#REF!,0),0)</f>
        <v>#REF!</v>
      </c>
      <c r="D730" s="136"/>
      <c r="E730" s="136"/>
      <c r="F730" s="136" t="e">
        <f>VLOOKUP($B730,#REF!,MATCH(F$2,#REF!,0),0)</f>
        <v>#REF!</v>
      </c>
      <c r="G730" s="137" t="e">
        <f>VLOOKUP($B730,#REF!,MATCH(G$2,#REF!,0),0)</f>
        <v>#REF!</v>
      </c>
      <c r="H730" s="48">
        <v>1</v>
      </c>
      <c r="I730" s="48"/>
      <c r="J730" s="48"/>
      <c r="K730" s="48"/>
      <c r="L730" s="48"/>
      <c r="M730" s="48"/>
      <c r="N730" s="48"/>
      <c r="O730" s="48"/>
      <c r="P730" s="48"/>
      <c r="Q730" s="48"/>
      <c r="R730" s="371" t="e">
        <f t="shared" ref="R730:R747" si="692">$G730*H730</f>
        <v>#REF!</v>
      </c>
      <c r="S730" s="371" t="e">
        <f t="shared" ref="S730:S747" si="693">$G730*I730</f>
        <v>#REF!</v>
      </c>
      <c r="T730" s="371" t="e">
        <f t="shared" ref="T730:T747" si="694">$G730*J730</f>
        <v>#REF!</v>
      </c>
      <c r="U730" s="371" t="e">
        <f t="shared" ref="U730:U747" si="695">$G730*K730</f>
        <v>#REF!</v>
      </c>
      <c r="V730" s="371" t="e">
        <f t="shared" ref="V730:V747" si="696">$G730*L730</f>
        <v>#REF!</v>
      </c>
      <c r="W730" s="371" t="e">
        <f t="shared" ref="W730:W747" si="697">$G730*M730</f>
        <v>#REF!</v>
      </c>
      <c r="X730" s="371" t="e">
        <f t="shared" ref="X730:X747" si="698">$G730*N730</f>
        <v>#REF!</v>
      </c>
      <c r="Y730" s="371" t="e">
        <f t="shared" ref="Y730:Y747" si="699">$G730*O730</f>
        <v>#REF!</v>
      </c>
      <c r="Z730" s="371" t="e">
        <f t="shared" ref="Z730:Z747" si="700">$G730*P730</f>
        <v>#REF!</v>
      </c>
      <c r="AA730" s="371" t="e">
        <f t="shared" ref="AA730:AA747" si="701">$G730*Q730</f>
        <v>#REF!</v>
      </c>
      <c r="AB730" s="50"/>
    </row>
    <row r="731" outlineLevel="2" spans="1:28">
      <c r="A731" s="52">
        <f>MAX($A$6:A730)+1</f>
        <v>603</v>
      </c>
      <c r="B731" s="51" t="s">
        <v>354</v>
      </c>
      <c r="C731" s="51" t="e">
        <f>VLOOKUP($B731,#REF!,MATCH(C$2,#REF!,0),0)</f>
        <v>#REF!</v>
      </c>
      <c r="D731" s="136"/>
      <c r="E731" s="136"/>
      <c r="F731" s="136" t="e">
        <f>VLOOKUP($B731,#REF!,MATCH(F$2,#REF!,0),0)</f>
        <v>#REF!</v>
      </c>
      <c r="G731" s="137" t="e">
        <f>VLOOKUP($B731,#REF!,MATCH(G$2,#REF!,0),0)</f>
        <v>#REF!</v>
      </c>
      <c r="H731" s="48">
        <v>1</v>
      </c>
      <c r="I731" s="48"/>
      <c r="J731" s="48"/>
      <c r="K731" s="48"/>
      <c r="L731" s="48"/>
      <c r="M731" s="48"/>
      <c r="N731" s="48"/>
      <c r="O731" s="48"/>
      <c r="P731" s="48"/>
      <c r="Q731" s="48"/>
      <c r="R731" s="371" t="e">
        <f t="shared" si="692"/>
        <v>#REF!</v>
      </c>
      <c r="S731" s="371" t="e">
        <f t="shared" si="693"/>
        <v>#REF!</v>
      </c>
      <c r="T731" s="371" t="e">
        <f t="shared" si="694"/>
        <v>#REF!</v>
      </c>
      <c r="U731" s="371" t="e">
        <f t="shared" si="695"/>
        <v>#REF!</v>
      </c>
      <c r="V731" s="371" t="e">
        <f t="shared" si="696"/>
        <v>#REF!</v>
      </c>
      <c r="W731" s="371" t="e">
        <f t="shared" si="697"/>
        <v>#REF!</v>
      </c>
      <c r="X731" s="371" t="e">
        <f t="shared" si="698"/>
        <v>#REF!</v>
      </c>
      <c r="Y731" s="371" t="e">
        <f t="shared" si="699"/>
        <v>#REF!</v>
      </c>
      <c r="Z731" s="371" t="e">
        <f t="shared" si="700"/>
        <v>#REF!</v>
      </c>
      <c r="AA731" s="371" t="e">
        <f t="shared" si="701"/>
        <v>#REF!</v>
      </c>
      <c r="AB731" s="50"/>
    </row>
    <row r="732" outlineLevel="2" spans="1:28">
      <c r="A732" s="52">
        <f>MAX($A$6:A731)+1</f>
        <v>604</v>
      </c>
      <c r="B732" s="152" t="s">
        <v>648</v>
      </c>
      <c r="C732" s="51" t="e">
        <f>VLOOKUP($B732,#REF!,MATCH(C$2,#REF!,0),0)</f>
        <v>#REF!</v>
      </c>
      <c r="D732" s="136"/>
      <c r="E732" s="136"/>
      <c r="F732" s="136" t="e">
        <f>VLOOKUP($B732,#REF!,MATCH(F$2,#REF!,0),0)</f>
        <v>#REF!</v>
      </c>
      <c r="G732" s="137" t="e">
        <f>VLOOKUP($B732,#REF!,MATCH(G$2,#REF!,0),0)</f>
        <v>#REF!</v>
      </c>
      <c r="H732" s="48">
        <v>1</v>
      </c>
      <c r="I732" s="48"/>
      <c r="J732" s="48"/>
      <c r="K732" s="48"/>
      <c r="L732" s="48"/>
      <c r="M732" s="48"/>
      <c r="N732" s="48"/>
      <c r="O732" s="48"/>
      <c r="P732" s="48"/>
      <c r="Q732" s="48"/>
      <c r="R732" s="371" t="e">
        <f t="shared" si="692"/>
        <v>#REF!</v>
      </c>
      <c r="S732" s="371" t="e">
        <f t="shared" si="693"/>
        <v>#REF!</v>
      </c>
      <c r="T732" s="371" t="e">
        <f t="shared" si="694"/>
        <v>#REF!</v>
      </c>
      <c r="U732" s="371" t="e">
        <f t="shared" si="695"/>
        <v>#REF!</v>
      </c>
      <c r="V732" s="371" t="e">
        <f t="shared" si="696"/>
        <v>#REF!</v>
      </c>
      <c r="W732" s="371" t="e">
        <f t="shared" si="697"/>
        <v>#REF!</v>
      </c>
      <c r="X732" s="371" t="e">
        <f t="shared" si="698"/>
        <v>#REF!</v>
      </c>
      <c r="Y732" s="371" t="e">
        <f t="shared" si="699"/>
        <v>#REF!</v>
      </c>
      <c r="Z732" s="371" t="e">
        <f t="shared" si="700"/>
        <v>#REF!</v>
      </c>
      <c r="AA732" s="371" t="e">
        <f t="shared" si="701"/>
        <v>#REF!</v>
      </c>
      <c r="AB732" s="50"/>
    </row>
    <row r="733" ht="28.8" outlineLevel="2" spans="1:28">
      <c r="A733" s="52">
        <f>MAX($A$6:A732)+1</f>
        <v>605</v>
      </c>
      <c r="B733" s="51" t="s">
        <v>647</v>
      </c>
      <c r="C733" s="51" t="e">
        <f>VLOOKUP($B733,#REF!,MATCH(C$2,#REF!,0),0)</f>
        <v>#REF!</v>
      </c>
      <c r="D733" s="136"/>
      <c r="E733" s="136"/>
      <c r="F733" s="136" t="e">
        <f>VLOOKUP($B733,#REF!,MATCH(F$2,#REF!,0),0)</f>
        <v>#REF!</v>
      </c>
      <c r="G733" s="137" t="e">
        <f>VLOOKUP($B733,#REF!,MATCH(G$2,#REF!,0),0)</f>
        <v>#REF!</v>
      </c>
      <c r="H733" s="48">
        <v>1</v>
      </c>
      <c r="I733" s="48"/>
      <c r="J733" s="48"/>
      <c r="K733" s="48"/>
      <c r="L733" s="48"/>
      <c r="M733" s="48"/>
      <c r="N733" s="48"/>
      <c r="O733" s="48"/>
      <c r="P733" s="48"/>
      <c r="Q733" s="48"/>
      <c r="R733" s="371" t="e">
        <f t="shared" si="692"/>
        <v>#REF!</v>
      </c>
      <c r="S733" s="371" t="e">
        <f t="shared" si="693"/>
        <v>#REF!</v>
      </c>
      <c r="T733" s="371" t="e">
        <f t="shared" si="694"/>
        <v>#REF!</v>
      </c>
      <c r="U733" s="371" t="e">
        <f t="shared" si="695"/>
        <v>#REF!</v>
      </c>
      <c r="V733" s="371" t="e">
        <f t="shared" si="696"/>
        <v>#REF!</v>
      </c>
      <c r="W733" s="371" t="e">
        <f t="shared" si="697"/>
        <v>#REF!</v>
      </c>
      <c r="X733" s="371" t="e">
        <f t="shared" si="698"/>
        <v>#REF!</v>
      </c>
      <c r="Y733" s="371" t="e">
        <f t="shared" si="699"/>
        <v>#REF!</v>
      </c>
      <c r="Z733" s="371" t="e">
        <f t="shared" si="700"/>
        <v>#REF!</v>
      </c>
      <c r="AA733" s="371" t="e">
        <f t="shared" si="701"/>
        <v>#REF!</v>
      </c>
      <c r="AB733" s="50"/>
    </row>
    <row r="734" outlineLevel="2" spans="1:28">
      <c r="A734" s="52">
        <f>MAX($A$6:A733)+1</f>
        <v>606</v>
      </c>
      <c r="B734" s="51" t="s">
        <v>660</v>
      </c>
      <c r="C734" s="51" t="e">
        <f>VLOOKUP($B734,#REF!,MATCH(C$2,#REF!,0),0)</f>
        <v>#REF!</v>
      </c>
      <c r="D734" s="136"/>
      <c r="E734" s="136"/>
      <c r="F734" s="136" t="e">
        <f>VLOOKUP($B734,#REF!,MATCH(F$2,#REF!,0),0)</f>
        <v>#REF!</v>
      </c>
      <c r="G734" s="137" t="e">
        <f>VLOOKUP($B734,#REF!,MATCH(G$2,#REF!,0),0)</f>
        <v>#REF!</v>
      </c>
      <c r="H734" s="48"/>
      <c r="I734" s="48"/>
      <c r="J734" s="48">
        <v>90.94</v>
      </c>
      <c r="K734" s="48"/>
      <c r="L734" s="48"/>
      <c r="M734" s="48"/>
      <c r="N734" s="48"/>
      <c r="O734" s="48"/>
      <c r="P734" s="48"/>
      <c r="Q734" s="48"/>
      <c r="R734" s="371" t="e">
        <f t="shared" si="692"/>
        <v>#REF!</v>
      </c>
      <c r="S734" s="371" t="e">
        <f t="shared" si="693"/>
        <v>#REF!</v>
      </c>
      <c r="T734" s="371" t="e">
        <f t="shared" si="694"/>
        <v>#REF!</v>
      </c>
      <c r="U734" s="371" t="e">
        <f t="shared" si="695"/>
        <v>#REF!</v>
      </c>
      <c r="V734" s="371" t="e">
        <f t="shared" si="696"/>
        <v>#REF!</v>
      </c>
      <c r="W734" s="371" t="e">
        <f t="shared" si="697"/>
        <v>#REF!</v>
      </c>
      <c r="X734" s="371" t="e">
        <f t="shared" si="698"/>
        <v>#REF!</v>
      </c>
      <c r="Y734" s="371" t="e">
        <f t="shared" si="699"/>
        <v>#REF!</v>
      </c>
      <c r="Z734" s="371" t="e">
        <f t="shared" si="700"/>
        <v>#REF!</v>
      </c>
      <c r="AA734" s="371" t="e">
        <f t="shared" si="701"/>
        <v>#REF!</v>
      </c>
      <c r="AB734" s="50"/>
    </row>
    <row r="735" outlineLevel="2" spans="1:28">
      <c r="A735" s="52">
        <f>MAX($A$6:A734)+1</f>
        <v>607</v>
      </c>
      <c r="B735" s="51" t="s">
        <v>331</v>
      </c>
      <c r="C735" s="51" t="e">
        <f>VLOOKUP($B735,#REF!,MATCH(C$2,#REF!,0),0)</f>
        <v>#REF!</v>
      </c>
      <c r="D735" s="136"/>
      <c r="E735" s="136"/>
      <c r="F735" s="136" t="e">
        <f>VLOOKUP($B735,#REF!,MATCH(F$2,#REF!,0),0)</f>
        <v>#REF!</v>
      </c>
      <c r="G735" s="137" t="e">
        <f>VLOOKUP($B735,#REF!,MATCH(G$2,#REF!,0),0)</f>
        <v>#REF!</v>
      </c>
      <c r="H735" s="48">
        <v>1</v>
      </c>
      <c r="I735" s="48">
        <v>1</v>
      </c>
      <c r="J735" s="48"/>
      <c r="K735" s="48"/>
      <c r="L735" s="48"/>
      <c r="M735" s="48"/>
      <c r="N735" s="48"/>
      <c r="O735" s="48"/>
      <c r="P735" s="48"/>
      <c r="Q735" s="48"/>
      <c r="R735" s="371" t="e">
        <f t="shared" si="692"/>
        <v>#REF!</v>
      </c>
      <c r="S735" s="371" t="e">
        <f t="shared" si="693"/>
        <v>#REF!</v>
      </c>
      <c r="T735" s="371" t="e">
        <f t="shared" si="694"/>
        <v>#REF!</v>
      </c>
      <c r="U735" s="371" t="e">
        <f t="shared" si="695"/>
        <v>#REF!</v>
      </c>
      <c r="V735" s="371" t="e">
        <f t="shared" si="696"/>
        <v>#REF!</v>
      </c>
      <c r="W735" s="371" t="e">
        <f t="shared" si="697"/>
        <v>#REF!</v>
      </c>
      <c r="X735" s="371" t="e">
        <f t="shared" si="698"/>
        <v>#REF!</v>
      </c>
      <c r="Y735" s="371" t="e">
        <f t="shared" si="699"/>
        <v>#REF!</v>
      </c>
      <c r="Z735" s="371" t="e">
        <f t="shared" si="700"/>
        <v>#REF!</v>
      </c>
      <c r="AA735" s="371" t="e">
        <f t="shared" si="701"/>
        <v>#REF!</v>
      </c>
      <c r="AB735" s="50"/>
    </row>
    <row r="736" outlineLevel="2" spans="1:28">
      <c r="A736" s="52">
        <f>MAX($A$6:A735)+1</f>
        <v>608</v>
      </c>
      <c r="B736" s="138" t="s">
        <v>354</v>
      </c>
      <c r="C736" s="51" t="e">
        <f>VLOOKUP($B736,#REF!,MATCH(C$2,#REF!,0),0)</f>
        <v>#REF!</v>
      </c>
      <c r="D736" s="136"/>
      <c r="E736" s="136"/>
      <c r="F736" s="136" t="e">
        <f>VLOOKUP($B736,#REF!,MATCH(F$2,#REF!,0),0)</f>
        <v>#REF!</v>
      </c>
      <c r="G736" s="137" t="e">
        <f>VLOOKUP($B736,#REF!,MATCH(G$2,#REF!,0),0)</f>
        <v>#REF!</v>
      </c>
      <c r="H736" s="48">
        <v>1</v>
      </c>
      <c r="I736" s="48">
        <v>1</v>
      </c>
      <c r="J736" s="48">
        <v>1</v>
      </c>
      <c r="K736" s="48">
        <v>1</v>
      </c>
      <c r="L736" s="48"/>
      <c r="M736" s="48">
        <v>1</v>
      </c>
      <c r="N736" s="48">
        <v>1</v>
      </c>
      <c r="O736" s="48">
        <v>1</v>
      </c>
      <c r="P736" s="48"/>
      <c r="Q736" s="48"/>
      <c r="R736" s="371" t="e">
        <f t="shared" si="692"/>
        <v>#REF!</v>
      </c>
      <c r="S736" s="371" t="e">
        <f t="shared" si="693"/>
        <v>#REF!</v>
      </c>
      <c r="T736" s="371" t="e">
        <f t="shared" si="694"/>
        <v>#REF!</v>
      </c>
      <c r="U736" s="371" t="e">
        <f t="shared" si="695"/>
        <v>#REF!</v>
      </c>
      <c r="V736" s="371" t="e">
        <f t="shared" si="696"/>
        <v>#REF!</v>
      </c>
      <c r="W736" s="371" t="e">
        <f t="shared" si="697"/>
        <v>#REF!</v>
      </c>
      <c r="X736" s="371" t="e">
        <f t="shared" si="698"/>
        <v>#REF!</v>
      </c>
      <c r="Y736" s="371" t="e">
        <f t="shared" si="699"/>
        <v>#REF!</v>
      </c>
      <c r="Z736" s="371" t="e">
        <f t="shared" si="700"/>
        <v>#REF!</v>
      </c>
      <c r="AA736" s="371" t="e">
        <f t="shared" si="701"/>
        <v>#REF!</v>
      </c>
      <c r="AB736" s="50"/>
    </row>
    <row r="737" ht="28.8" outlineLevel="2" spans="1:28">
      <c r="A737" s="52">
        <f>MAX($A$6:A736)+1</f>
        <v>609</v>
      </c>
      <c r="B737" s="51" t="s">
        <v>655</v>
      </c>
      <c r="C737" s="51" t="e">
        <f>VLOOKUP($B737,#REF!,MATCH(C$2,#REF!,0),0)</f>
        <v>#REF!</v>
      </c>
      <c r="D737" s="136"/>
      <c r="E737" s="136"/>
      <c r="F737" s="136" t="e">
        <f>VLOOKUP($B737,#REF!,MATCH(F$2,#REF!,0),0)</f>
        <v>#REF!</v>
      </c>
      <c r="G737" s="137" t="e">
        <f>VLOOKUP($B737,#REF!,MATCH(G$2,#REF!,0),0)</f>
        <v>#REF!</v>
      </c>
      <c r="H737" s="48">
        <v>1</v>
      </c>
      <c r="I737" s="48">
        <v>1</v>
      </c>
      <c r="J737" s="48">
        <v>1</v>
      </c>
      <c r="K737" s="48">
        <v>1</v>
      </c>
      <c r="L737" s="48"/>
      <c r="M737" s="48">
        <v>1</v>
      </c>
      <c r="N737" s="48">
        <v>1</v>
      </c>
      <c r="O737" s="48">
        <v>1</v>
      </c>
      <c r="P737" s="48"/>
      <c r="Q737" s="48"/>
      <c r="R737" s="371" t="e">
        <f t="shared" si="692"/>
        <v>#REF!</v>
      </c>
      <c r="S737" s="371" t="e">
        <f t="shared" si="693"/>
        <v>#REF!</v>
      </c>
      <c r="T737" s="371" t="e">
        <f t="shared" si="694"/>
        <v>#REF!</v>
      </c>
      <c r="U737" s="371" t="e">
        <f t="shared" si="695"/>
        <v>#REF!</v>
      </c>
      <c r="V737" s="371" t="e">
        <f t="shared" si="696"/>
        <v>#REF!</v>
      </c>
      <c r="W737" s="371" t="e">
        <f t="shared" si="697"/>
        <v>#REF!</v>
      </c>
      <c r="X737" s="371" t="e">
        <f t="shared" si="698"/>
        <v>#REF!</v>
      </c>
      <c r="Y737" s="371" t="e">
        <f t="shared" si="699"/>
        <v>#REF!</v>
      </c>
      <c r="Z737" s="371" t="e">
        <f t="shared" si="700"/>
        <v>#REF!</v>
      </c>
      <c r="AA737" s="371" t="e">
        <f t="shared" si="701"/>
        <v>#REF!</v>
      </c>
      <c r="AB737" s="50"/>
    </row>
    <row r="738" ht="28.8" outlineLevel="2" spans="1:28">
      <c r="A738" s="52">
        <f>MAX($A$6:A737)+1</f>
        <v>610</v>
      </c>
      <c r="B738" s="51" t="s">
        <v>661</v>
      </c>
      <c r="C738" s="51" t="e">
        <f>VLOOKUP($B738,#REF!,MATCH(C$2,#REF!,0),0)</f>
        <v>#REF!</v>
      </c>
      <c r="D738" s="136"/>
      <c r="E738" s="136"/>
      <c r="F738" s="136" t="e">
        <f>VLOOKUP($B738,#REF!,MATCH(F$2,#REF!,0),0)</f>
        <v>#REF!</v>
      </c>
      <c r="G738" s="137" t="e">
        <f>VLOOKUP($B738,#REF!,MATCH(G$2,#REF!,0),0)</f>
        <v>#REF!</v>
      </c>
      <c r="H738" s="48">
        <v>1</v>
      </c>
      <c r="I738" s="48">
        <v>1</v>
      </c>
      <c r="J738" s="48">
        <v>1</v>
      </c>
      <c r="K738" s="48">
        <v>1</v>
      </c>
      <c r="L738" s="48"/>
      <c r="M738" s="48">
        <v>1</v>
      </c>
      <c r="N738" s="48">
        <v>1</v>
      </c>
      <c r="O738" s="48">
        <v>1</v>
      </c>
      <c r="P738" s="48"/>
      <c r="Q738" s="48"/>
      <c r="R738" s="371" t="e">
        <f t="shared" si="692"/>
        <v>#REF!</v>
      </c>
      <c r="S738" s="371" t="e">
        <f t="shared" si="693"/>
        <v>#REF!</v>
      </c>
      <c r="T738" s="371" t="e">
        <f t="shared" si="694"/>
        <v>#REF!</v>
      </c>
      <c r="U738" s="371" t="e">
        <f t="shared" si="695"/>
        <v>#REF!</v>
      </c>
      <c r="V738" s="371" t="e">
        <f t="shared" si="696"/>
        <v>#REF!</v>
      </c>
      <c r="W738" s="371" t="e">
        <f t="shared" si="697"/>
        <v>#REF!</v>
      </c>
      <c r="X738" s="371" t="e">
        <f t="shared" si="698"/>
        <v>#REF!</v>
      </c>
      <c r="Y738" s="371" t="e">
        <f t="shared" si="699"/>
        <v>#REF!</v>
      </c>
      <c r="Z738" s="371" t="e">
        <f t="shared" si="700"/>
        <v>#REF!</v>
      </c>
      <c r="AA738" s="371" t="e">
        <f t="shared" si="701"/>
        <v>#REF!</v>
      </c>
      <c r="AB738" s="50"/>
    </row>
    <row r="739" ht="28.8" outlineLevel="2" spans="1:28">
      <c r="A739" s="52">
        <f>MAX($A$6:A738)+1</f>
        <v>611</v>
      </c>
      <c r="B739" s="51" t="s">
        <v>662</v>
      </c>
      <c r="C739" s="51" t="e">
        <f>VLOOKUP($B739,#REF!,MATCH(C$2,#REF!,0),0)</f>
        <v>#REF!</v>
      </c>
      <c r="D739" s="136"/>
      <c r="E739" s="136"/>
      <c r="F739" s="136" t="e">
        <f>VLOOKUP($B739,#REF!,MATCH(F$2,#REF!,0),0)</f>
        <v>#REF!</v>
      </c>
      <c r="G739" s="137" t="e">
        <f>VLOOKUP($B739,#REF!,MATCH(G$2,#REF!,0),0)</f>
        <v>#REF!</v>
      </c>
      <c r="H739" s="48">
        <v>1</v>
      </c>
      <c r="I739" s="48">
        <v>1</v>
      </c>
      <c r="J739" s="48">
        <v>1</v>
      </c>
      <c r="K739" s="48">
        <v>1</v>
      </c>
      <c r="L739" s="48"/>
      <c r="M739" s="48">
        <v>1</v>
      </c>
      <c r="N739" s="48">
        <v>1</v>
      </c>
      <c r="O739" s="48">
        <v>1</v>
      </c>
      <c r="P739" s="48"/>
      <c r="Q739" s="48"/>
      <c r="R739" s="371" t="e">
        <f t="shared" si="692"/>
        <v>#REF!</v>
      </c>
      <c r="S739" s="371" t="e">
        <f t="shared" si="693"/>
        <v>#REF!</v>
      </c>
      <c r="T739" s="371" t="e">
        <f t="shared" si="694"/>
        <v>#REF!</v>
      </c>
      <c r="U739" s="371" t="e">
        <f t="shared" si="695"/>
        <v>#REF!</v>
      </c>
      <c r="V739" s="371" t="e">
        <f t="shared" si="696"/>
        <v>#REF!</v>
      </c>
      <c r="W739" s="371" t="e">
        <f t="shared" si="697"/>
        <v>#REF!</v>
      </c>
      <c r="X739" s="371" t="e">
        <f t="shared" si="698"/>
        <v>#REF!</v>
      </c>
      <c r="Y739" s="371" t="e">
        <f t="shared" si="699"/>
        <v>#REF!</v>
      </c>
      <c r="Z739" s="371" t="e">
        <f t="shared" si="700"/>
        <v>#REF!</v>
      </c>
      <c r="AA739" s="371" t="e">
        <f t="shared" si="701"/>
        <v>#REF!</v>
      </c>
      <c r="AB739" s="50"/>
    </row>
    <row r="740" ht="28.8" outlineLevel="2" spans="1:28">
      <c r="A740" s="52">
        <f>MAX($A$6:A739)+1</f>
        <v>612</v>
      </c>
      <c r="B740" s="51" t="s">
        <v>663</v>
      </c>
      <c r="C740" s="51" t="e">
        <f>VLOOKUP($B740,#REF!,MATCH(C$2,#REF!,0),0)</f>
        <v>#REF!</v>
      </c>
      <c r="D740" s="136"/>
      <c r="E740" s="136"/>
      <c r="F740" s="136" t="e">
        <f>VLOOKUP($B740,#REF!,MATCH(F$2,#REF!,0),0)</f>
        <v>#REF!</v>
      </c>
      <c r="G740" s="137" t="e">
        <f>VLOOKUP($B740,#REF!,MATCH(G$2,#REF!,0),0)</f>
        <v>#REF!</v>
      </c>
      <c r="H740" s="48">
        <v>1</v>
      </c>
      <c r="I740" s="48">
        <v>1</v>
      </c>
      <c r="J740" s="48">
        <v>1</v>
      </c>
      <c r="K740" s="48">
        <v>1</v>
      </c>
      <c r="L740" s="48"/>
      <c r="M740" s="48">
        <v>1</v>
      </c>
      <c r="N740" s="48">
        <v>1</v>
      </c>
      <c r="O740" s="48">
        <v>1</v>
      </c>
      <c r="P740" s="48"/>
      <c r="Q740" s="48"/>
      <c r="R740" s="371" t="e">
        <f t="shared" si="692"/>
        <v>#REF!</v>
      </c>
      <c r="S740" s="371" t="e">
        <f t="shared" si="693"/>
        <v>#REF!</v>
      </c>
      <c r="T740" s="371" t="e">
        <f t="shared" si="694"/>
        <v>#REF!</v>
      </c>
      <c r="U740" s="371" t="e">
        <f t="shared" si="695"/>
        <v>#REF!</v>
      </c>
      <c r="V740" s="371" t="e">
        <f t="shared" si="696"/>
        <v>#REF!</v>
      </c>
      <c r="W740" s="371" t="e">
        <f t="shared" si="697"/>
        <v>#REF!</v>
      </c>
      <c r="X740" s="371" t="e">
        <f t="shared" si="698"/>
        <v>#REF!</v>
      </c>
      <c r="Y740" s="371" t="e">
        <f t="shared" si="699"/>
        <v>#REF!</v>
      </c>
      <c r="Z740" s="371" t="e">
        <f t="shared" si="700"/>
        <v>#REF!</v>
      </c>
      <c r="AA740" s="371" t="e">
        <f t="shared" si="701"/>
        <v>#REF!</v>
      </c>
      <c r="AB740" s="50"/>
    </row>
    <row r="741" ht="28.8" outlineLevel="2" spans="1:28">
      <c r="A741" s="52">
        <f>MAX($A$6:A740)+1</f>
        <v>613</v>
      </c>
      <c r="B741" s="51" t="s">
        <v>442</v>
      </c>
      <c r="C741" s="51" t="e">
        <f>VLOOKUP($B741,#REF!,MATCH(C$2,#REF!,0),0)</f>
        <v>#REF!</v>
      </c>
      <c r="D741" s="136"/>
      <c r="E741" s="136"/>
      <c r="F741" s="136" t="e">
        <f>VLOOKUP($B741,#REF!,MATCH(F$2,#REF!,0),0)</f>
        <v>#REF!</v>
      </c>
      <c r="G741" s="137" t="e">
        <f>VLOOKUP($B741,#REF!,MATCH(G$2,#REF!,0),0)</f>
        <v>#REF!</v>
      </c>
      <c r="H741" s="48">
        <v>1</v>
      </c>
      <c r="I741" s="48">
        <v>1</v>
      </c>
      <c r="J741" s="48">
        <v>1</v>
      </c>
      <c r="K741" s="48">
        <v>1</v>
      </c>
      <c r="L741" s="48"/>
      <c r="M741" s="48">
        <v>1</v>
      </c>
      <c r="N741" s="48">
        <v>1</v>
      </c>
      <c r="O741" s="48">
        <v>1</v>
      </c>
      <c r="P741" s="48"/>
      <c r="Q741" s="48"/>
      <c r="R741" s="371" t="e">
        <f t="shared" si="692"/>
        <v>#REF!</v>
      </c>
      <c r="S741" s="371" t="e">
        <f t="shared" si="693"/>
        <v>#REF!</v>
      </c>
      <c r="T741" s="371" t="e">
        <f t="shared" si="694"/>
        <v>#REF!</v>
      </c>
      <c r="U741" s="371" t="e">
        <f t="shared" si="695"/>
        <v>#REF!</v>
      </c>
      <c r="V741" s="371" t="e">
        <f t="shared" si="696"/>
        <v>#REF!</v>
      </c>
      <c r="W741" s="371" t="e">
        <f t="shared" si="697"/>
        <v>#REF!</v>
      </c>
      <c r="X741" s="371" t="e">
        <f t="shared" si="698"/>
        <v>#REF!</v>
      </c>
      <c r="Y741" s="371" t="e">
        <f t="shared" si="699"/>
        <v>#REF!</v>
      </c>
      <c r="Z741" s="371" t="e">
        <f t="shared" si="700"/>
        <v>#REF!</v>
      </c>
      <c r="AA741" s="371" t="e">
        <f t="shared" si="701"/>
        <v>#REF!</v>
      </c>
      <c r="AB741" s="50"/>
    </row>
    <row r="742" ht="28.8" outlineLevel="2" spans="1:28">
      <c r="A742" s="52">
        <f>MAX($A$6:A741)+1</f>
        <v>614</v>
      </c>
      <c r="B742" s="51" t="s">
        <v>664</v>
      </c>
      <c r="C742" s="51" t="e">
        <f>VLOOKUP($B742,#REF!,MATCH(C$2,#REF!,0),0)</f>
        <v>#REF!</v>
      </c>
      <c r="D742" s="136"/>
      <c r="E742" s="136"/>
      <c r="F742" s="136" t="e">
        <f>VLOOKUP($B742,#REF!,MATCH(F$2,#REF!,0),0)</f>
        <v>#REF!</v>
      </c>
      <c r="G742" s="137" t="e">
        <f>VLOOKUP($B742,#REF!,MATCH(G$2,#REF!,0),0)</f>
        <v>#REF!</v>
      </c>
      <c r="H742" s="48">
        <v>1</v>
      </c>
      <c r="I742" s="48">
        <v>1</v>
      </c>
      <c r="J742" s="48">
        <v>1</v>
      </c>
      <c r="K742" s="48">
        <v>1</v>
      </c>
      <c r="L742" s="48"/>
      <c r="M742" s="48">
        <v>1</v>
      </c>
      <c r="N742" s="48">
        <v>1</v>
      </c>
      <c r="O742" s="48">
        <v>1</v>
      </c>
      <c r="P742" s="48"/>
      <c r="Q742" s="48"/>
      <c r="R742" s="371" t="e">
        <f t="shared" si="692"/>
        <v>#REF!</v>
      </c>
      <c r="S742" s="371" t="e">
        <f t="shared" si="693"/>
        <v>#REF!</v>
      </c>
      <c r="T742" s="371" t="e">
        <f t="shared" si="694"/>
        <v>#REF!</v>
      </c>
      <c r="U742" s="371" t="e">
        <f t="shared" si="695"/>
        <v>#REF!</v>
      </c>
      <c r="V742" s="371" t="e">
        <f t="shared" si="696"/>
        <v>#REF!</v>
      </c>
      <c r="W742" s="371" t="e">
        <f t="shared" si="697"/>
        <v>#REF!</v>
      </c>
      <c r="X742" s="371" t="e">
        <f t="shared" si="698"/>
        <v>#REF!</v>
      </c>
      <c r="Y742" s="371" t="e">
        <f t="shared" si="699"/>
        <v>#REF!</v>
      </c>
      <c r="Z742" s="371" t="e">
        <f t="shared" si="700"/>
        <v>#REF!</v>
      </c>
      <c r="AA742" s="371" t="e">
        <f t="shared" si="701"/>
        <v>#REF!</v>
      </c>
      <c r="AB742" s="50"/>
    </row>
    <row r="743" ht="28.8" outlineLevel="2" spans="1:28">
      <c r="A743" s="52">
        <f>MAX($A$6:A742)+1</f>
        <v>615</v>
      </c>
      <c r="B743" s="51" t="s">
        <v>665</v>
      </c>
      <c r="C743" s="51" t="e">
        <f>VLOOKUP($B743,#REF!,MATCH(C$2,#REF!,0),0)</f>
        <v>#REF!</v>
      </c>
      <c r="D743" s="136"/>
      <c r="E743" s="136"/>
      <c r="F743" s="136" t="e">
        <f>VLOOKUP($B743,#REF!,MATCH(F$2,#REF!,0),0)</f>
        <v>#REF!</v>
      </c>
      <c r="G743" s="137" t="e">
        <f>VLOOKUP($B743,#REF!,MATCH(G$2,#REF!,0),0)</f>
        <v>#REF!</v>
      </c>
      <c r="H743" s="48">
        <v>1</v>
      </c>
      <c r="I743" s="48">
        <v>1</v>
      </c>
      <c r="J743" s="48">
        <v>1</v>
      </c>
      <c r="K743" s="48">
        <v>1</v>
      </c>
      <c r="L743" s="48"/>
      <c r="M743" s="48">
        <v>1</v>
      </c>
      <c r="N743" s="48">
        <v>1</v>
      </c>
      <c r="O743" s="48">
        <v>1</v>
      </c>
      <c r="P743" s="48"/>
      <c r="Q743" s="48"/>
      <c r="R743" s="371" t="e">
        <f t="shared" si="692"/>
        <v>#REF!</v>
      </c>
      <c r="S743" s="371" t="e">
        <f t="shared" si="693"/>
        <v>#REF!</v>
      </c>
      <c r="T743" s="371" t="e">
        <f t="shared" si="694"/>
        <v>#REF!</v>
      </c>
      <c r="U743" s="371" t="e">
        <f t="shared" si="695"/>
        <v>#REF!</v>
      </c>
      <c r="V743" s="371" t="e">
        <f t="shared" si="696"/>
        <v>#REF!</v>
      </c>
      <c r="W743" s="371" t="e">
        <f t="shared" si="697"/>
        <v>#REF!</v>
      </c>
      <c r="X743" s="371" t="e">
        <f t="shared" si="698"/>
        <v>#REF!</v>
      </c>
      <c r="Y743" s="371" t="e">
        <f t="shared" si="699"/>
        <v>#REF!</v>
      </c>
      <c r="Z743" s="371" t="e">
        <f t="shared" si="700"/>
        <v>#REF!</v>
      </c>
      <c r="AA743" s="371" t="e">
        <f t="shared" si="701"/>
        <v>#REF!</v>
      </c>
      <c r="AB743" s="50"/>
    </row>
    <row r="744" ht="28.8" outlineLevel="2" spans="1:28">
      <c r="A744" s="52">
        <f>MAX($A$6:A743)+1</f>
        <v>616</v>
      </c>
      <c r="B744" s="51" t="s">
        <v>666</v>
      </c>
      <c r="C744" s="51" t="e">
        <f>VLOOKUP($B744,#REF!,MATCH(C$2,#REF!,0),0)</f>
        <v>#REF!</v>
      </c>
      <c r="D744" s="136"/>
      <c r="E744" s="136"/>
      <c r="F744" s="136" t="e">
        <f>VLOOKUP($B744,#REF!,MATCH(F$2,#REF!,0),0)</f>
        <v>#REF!</v>
      </c>
      <c r="G744" s="137" t="e">
        <f>VLOOKUP($B744,#REF!,MATCH(G$2,#REF!,0),0)</f>
        <v>#REF!</v>
      </c>
      <c r="H744" s="48">
        <v>1</v>
      </c>
      <c r="I744" s="48">
        <v>1</v>
      </c>
      <c r="J744" s="48">
        <v>1</v>
      </c>
      <c r="K744" s="48">
        <v>1</v>
      </c>
      <c r="L744" s="48"/>
      <c r="M744" s="48">
        <v>1</v>
      </c>
      <c r="N744" s="48">
        <v>1</v>
      </c>
      <c r="O744" s="48">
        <v>1</v>
      </c>
      <c r="P744" s="48"/>
      <c r="Q744" s="48"/>
      <c r="R744" s="371" t="e">
        <f t="shared" si="692"/>
        <v>#REF!</v>
      </c>
      <c r="S744" s="371" t="e">
        <f t="shared" si="693"/>
        <v>#REF!</v>
      </c>
      <c r="T744" s="371" t="e">
        <f t="shared" si="694"/>
        <v>#REF!</v>
      </c>
      <c r="U744" s="371" t="e">
        <f t="shared" si="695"/>
        <v>#REF!</v>
      </c>
      <c r="V744" s="371" t="e">
        <f t="shared" si="696"/>
        <v>#REF!</v>
      </c>
      <c r="W744" s="371" t="e">
        <f t="shared" si="697"/>
        <v>#REF!</v>
      </c>
      <c r="X744" s="371" t="e">
        <f t="shared" si="698"/>
        <v>#REF!</v>
      </c>
      <c r="Y744" s="371" t="e">
        <f t="shared" si="699"/>
        <v>#REF!</v>
      </c>
      <c r="Z744" s="371" t="e">
        <f t="shared" si="700"/>
        <v>#REF!</v>
      </c>
      <c r="AA744" s="371" t="e">
        <f t="shared" si="701"/>
        <v>#REF!</v>
      </c>
      <c r="AB744" s="50"/>
    </row>
    <row r="745" ht="28.8" outlineLevel="2" spans="1:28">
      <c r="A745" s="52">
        <f>MAX($A$6:A744)+1</f>
        <v>617</v>
      </c>
      <c r="B745" s="51" t="s">
        <v>667</v>
      </c>
      <c r="C745" s="51" t="e">
        <f>VLOOKUP($B745,#REF!,MATCH(C$2,#REF!,0),0)</f>
        <v>#REF!</v>
      </c>
      <c r="D745" s="136"/>
      <c r="E745" s="136"/>
      <c r="F745" s="136" t="e">
        <f>VLOOKUP($B745,#REF!,MATCH(F$2,#REF!,0),0)</f>
        <v>#REF!</v>
      </c>
      <c r="G745" s="137" t="e">
        <f>VLOOKUP($B745,#REF!,MATCH(G$2,#REF!,0),0)</f>
        <v>#REF!</v>
      </c>
      <c r="H745" s="48">
        <v>1</v>
      </c>
      <c r="I745" s="48">
        <v>1</v>
      </c>
      <c r="J745" s="48">
        <v>1</v>
      </c>
      <c r="K745" s="48">
        <v>1</v>
      </c>
      <c r="L745" s="48"/>
      <c r="M745" s="48">
        <v>1</v>
      </c>
      <c r="N745" s="48">
        <v>1</v>
      </c>
      <c r="O745" s="48">
        <v>1</v>
      </c>
      <c r="P745" s="48"/>
      <c r="Q745" s="48"/>
      <c r="R745" s="371" t="e">
        <f t="shared" si="692"/>
        <v>#REF!</v>
      </c>
      <c r="S745" s="371" t="e">
        <f t="shared" si="693"/>
        <v>#REF!</v>
      </c>
      <c r="T745" s="371" t="e">
        <f t="shared" si="694"/>
        <v>#REF!</v>
      </c>
      <c r="U745" s="371" t="e">
        <f t="shared" si="695"/>
        <v>#REF!</v>
      </c>
      <c r="V745" s="371" t="e">
        <f t="shared" si="696"/>
        <v>#REF!</v>
      </c>
      <c r="W745" s="371" t="e">
        <f t="shared" si="697"/>
        <v>#REF!</v>
      </c>
      <c r="X745" s="371" t="e">
        <f t="shared" si="698"/>
        <v>#REF!</v>
      </c>
      <c r="Y745" s="371" t="e">
        <f t="shared" si="699"/>
        <v>#REF!</v>
      </c>
      <c r="Z745" s="371" t="e">
        <f t="shared" si="700"/>
        <v>#REF!</v>
      </c>
      <c r="AA745" s="371" t="e">
        <f t="shared" si="701"/>
        <v>#REF!</v>
      </c>
      <c r="AB745" s="50"/>
    </row>
    <row r="746" ht="28.8" outlineLevel="2" spans="1:28">
      <c r="A746" s="52">
        <f>MAX($A$6:A745)+1</f>
        <v>618</v>
      </c>
      <c r="B746" s="51" t="s">
        <v>668</v>
      </c>
      <c r="C746" s="51" t="e">
        <f>VLOOKUP($B746,#REF!,MATCH(C$2,#REF!,0),0)</f>
        <v>#REF!</v>
      </c>
      <c r="D746" s="136"/>
      <c r="E746" s="136"/>
      <c r="F746" s="136" t="e">
        <f>VLOOKUP($B746,#REF!,MATCH(F$2,#REF!,0),0)</f>
        <v>#REF!</v>
      </c>
      <c r="G746" s="137" t="e">
        <f>VLOOKUP($B746,#REF!,MATCH(G$2,#REF!,0),0)</f>
        <v>#REF!</v>
      </c>
      <c r="H746" s="48">
        <v>1</v>
      </c>
      <c r="I746" s="48">
        <v>1</v>
      </c>
      <c r="J746" s="48">
        <v>1</v>
      </c>
      <c r="K746" s="48">
        <v>1</v>
      </c>
      <c r="L746" s="48"/>
      <c r="M746" s="48">
        <v>1</v>
      </c>
      <c r="N746" s="48">
        <v>1</v>
      </c>
      <c r="O746" s="48">
        <v>1</v>
      </c>
      <c r="P746" s="48"/>
      <c r="Q746" s="48"/>
      <c r="R746" s="371" t="e">
        <f t="shared" si="692"/>
        <v>#REF!</v>
      </c>
      <c r="S746" s="371" t="e">
        <f t="shared" si="693"/>
        <v>#REF!</v>
      </c>
      <c r="T746" s="371" t="e">
        <f t="shared" si="694"/>
        <v>#REF!</v>
      </c>
      <c r="U746" s="371" t="e">
        <f t="shared" si="695"/>
        <v>#REF!</v>
      </c>
      <c r="V746" s="371" t="e">
        <f t="shared" si="696"/>
        <v>#REF!</v>
      </c>
      <c r="W746" s="371" t="e">
        <f t="shared" si="697"/>
        <v>#REF!</v>
      </c>
      <c r="X746" s="371" t="e">
        <f t="shared" si="698"/>
        <v>#REF!</v>
      </c>
      <c r="Y746" s="371" t="e">
        <f t="shared" si="699"/>
        <v>#REF!</v>
      </c>
      <c r="Z746" s="371" t="e">
        <f t="shared" si="700"/>
        <v>#REF!</v>
      </c>
      <c r="AA746" s="371" t="e">
        <f t="shared" si="701"/>
        <v>#REF!</v>
      </c>
      <c r="AB746" s="50"/>
    </row>
    <row r="747" outlineLevel="2" spans="1:28">
      <c r="A747" s="52">
        <f>MAX($A$6:A746)+1</f>
        <v>619</v>
      </c>
      <c r="B747" s="51" t="s">
        <v>639</v>
      </c>
      <c r="C747" s="51" t="e">
        <f>VLOOKUP($B747,#REF!,MATCH(C$2,#REF!,0),0)</f>
        <v>#REF!</v>
      </c>
      <c r="D747" s="136"/>
      <c r="E747" s="136"/>
      <c r="F747" s="136" t="e">
        <f>VLOOKUP($B747,#REF!,MATCH(F$2,#REF!,0),0)</f>
        <v>#REF!</v>
      </c>
      <c r="G747" s="137" t="e">
        <f>VLOOKUP($B747,#REF!,MATCH(G$2,#REF!,0),0)</f>
        <v>#REF!</v>
      </c>
      <c r="H747" s="48">
        <v>1</v>
      </c>
      <c r="I747" s="48">
        <v>1</v>
      </c>
      <c r="J747" s="48">
        <v>1</v>
      </c>
      <c r="K747" s="48">
        <v>1</v>
      </c>
      <c r="L747" s="48"/>
      <c r="M747" s="48">
        <v>1</v>
      </c>
      <c r="N747" s="48">
        <v>1</v>
      </c>
      <c r="O747" s="48">
        <v>1</v>
      </c>
      <c r="P747" s="48"/>
      <c r="Q747" s="48"/>
      <c r="R747" s="371" t="e">
        <f t="shared" si="692"/>
        <v>#REF!</v>
      </c>
      <c r="S747" s="371" t="e">
        <f t="shared" si="693"/>
        <v>#REF!</v>
      </c>
      <c r="T747" s="371" t="e">
        <f t="shared" si="694"/>
        <v>#REF!</v>
      </c>
      <c r="U747" s="371" t="e">
        <f t="shared" si="695"/>
        <v>#REF!</v>
      </c>
      <c r="V747" s="371" t="e">
        <f t="shared" si="696"/>
        <v>#REF!</v>
      </c>
      <c r="W747" s="371" t="e">
        <f t="shared" si="697"/>
        <v>#REF!</v>
      </c>
      <c r="X747" s="371" t="e">
        <f t="shared" si="698"/>
        <v>#REF!</v>
      </c>
      <c r="Y747" s="371" t="e">
        <f t="shared" si="699"/>
        <v>#REF!</v>
      </c>
      <c r="Z747" s="371" t="e">
        <f t="shared" si="700"/>
        <v>#REF!</v>
      </c>
      <c r="AA747" s="371" t="e">
        <f t="shared" si="701"/>
        <v>#REF!</v>
      </c>
      <c r="AB747" s="50"/>
    </row>
    <row r="748" s="122" customFormat="1" outlineLevel="2" spans="1:28">
      <c r="A748" s="130"/>
      <c r="B748" s="154" t="s">
        <v>445</v>
      </c>
      <c r="C748" s="154"/>
      <c r="D748" s="154"/>
      <c r="E748" s="154"/>
      <c r="F748" s="130"/>
      <c r="G748" s="134"/>
      <c r="H748" s="134"/>
      <c r="I748" s="134"/>
      <c r="J748" s="134"/>
      <c r="K748" s="134"/>
      <c r="L748" s="134"/>
      <c r="M748" s="134"/>
      <c r="N748" s="134"/>
      <c r="O748" s="134"/>
      <c r="P748" s="134"/>
      <c r="Q748" s="134"/>
      <c r="R748" s="367"/>
      <c r="S748" s="367"/>
      <c r="T748" s="367"/>
      <c r="U748" s="367"/>
      <c r="V748" s="371"/>
      <c r="W748" s="367"/>
      <c r="X748" s="367"/>
      <c r="Y748" s="367"/>
      <c r="Z748" s="367"/>
      <c r="AA748" s="367"/>
      <c r="AB748" s="130"/>
    </row>
    <row r="749" outlineLevel="2" spans="1:28">
      <c r="A749" s="52">
        <f>MAX($A$6:A748)+1</f>
        <v>620</v>
      </c>
      <c r="B749" s="51" t="s">
        <v>354</v>
      </c>
      <c r="C749" s="51" t="e">
        <f>VLOOKUP($B749,#REF!,MATCH(C$2,#REF!,0),0)</f>
        <v>#REF!</v>
      </c>
      <c r="D749" s="136"/>
      <c r="E749" s="136"/>
      <c r="F749" s="136" t="e">
        <f>VLOOKUP($B749,#REF!,MATCH(F$2,#REF!,0),0)</f>
        <v>#REF!</v>
      </c>
      <c r="G749" s="137" t="e">
        <f>VLOOKUP($B749,#REF!,MATCH(G$2,#REF!,0),0)</f>
        <v>#REF!</v>
      </c>
      <c r="H749" s="48">
        <v>491.59</v>
      </c>
      <c r="I749" s="48">
        <v>491.59</v>
      </c>
      <c r="J749" s="48">
        <v>158.36</v>
      </c>
      <c r="K749" s="48">
        <v>158.36</v>
      </c>
      <c r="L749" s="48">
        <v>73.5</v>
      </c>
      <c r="M749" s="48"/>
      <c r="N749" s="48"/>
      <c r="O749" s="48"/>
      <c r="P749" s="48"/>
      <c r="Q749" s="48"/>
      <c r="R749" s="371" t="e">
        <f t="shared" ref="R749:R751" si="702">$G749*H749</f>
        <v>#REF!</v>
      </c>
      <c r="S749" s="371" t="e">
        <f t="shared" ref="S749:AA749" si="703">$G749*I749</f>
        <v>#REF!</v>
      </c>
      <c r="T749" s="371" t="e">
        <f t="shared" si="703"/>
        <v>#REF!</v>
      </c>
      <c r="U749" s="371" t="e">
        <f t="shared" si="703"/>
        <v>#REF!</v>
      </c>
      <c r="V749" s="371" t="e">
        <f t="shared" si="703"/>
        <v>#REF!</v>
      </c>
      <c r="W749" s="371" t="e">
        <f t="shared" si="703"/>
        <v>#REF!</v>
      </c>
      <c r="X749" s="371" t="e">
        <f t="shared" si="703"/>
        <v>#REF!</v>
      </c>
      <c r="Y749" s="371" t="e">
        <f t="shared" si="703"/>
        <v>#REF!</v>
      </c>
      <c r="Z749" s="371" t="e">
        <f t="shared" si="703"/>
        <v>#REF!</v>
      </c>
      <c r="AA749" s="371" t="e">
        <f t="shared" si="703"/>
        <v>#REF!</v>
      </c>
      <c r="AB749" s="50"/>
    </row>
    <row r="750" ht="28.8" outlineLevel="2" spans="1:28">
      <c r="A750" s="52">
        <f>MAX($A$6:A749)+1</f>
        <v>621</v>
      </c>
      <c r="B750" s="51" t="s">
        <v>439</v>
      </c>
      <c r="C750" s="51" t="e">
        <f>VLOOKUP($B750,#REF!,MATCH(C$2,#REF!,0),0)</f>
        <v>#REF!</v>
      </c>
      <c r="D750" s="136"/>
      <c r="E750" s="136"/>
      <c r="F750" s="136" t="e">
        <f>VLOOKUP($B750,#REF!,MATCH(F$2,#REF!,0),0)</f>
        <v>#REF!</v>
      </c>
      <c r="G750" s="137" t="e">
        <f>VLOOKUP($B750,#REF!,MATCH(G$2,#REF!,0),0)</f>
        <v>#REF!</v>
      </c>
      <c r="H750" s="48">
        <v>491.59</v>
      </c>
      <c r="I750" s="48">
        <v>491.59</v>
      </c>
      <c r="J750" s="48">
        <v>158.36</v>
      </c>
      <c r="K750" s="48">
        <v>158.36</v>
      </c>
      <c r="L750" s="48">
        <v>73.5</v>
      </c>
      <c r="M750" s="48"/>
      <c r="N750" s="48"/>
      <c r="O750" s="48"/>
      <c r="P750" s="48"/>
      <c r="Q750" s="48"/>
      <c r="R750" s="371" t="e">
        <f t="shared" si="702"/>
        <v>#REF!</v>
      </c>
      <c r="S750" s="371" t="e">
        <f t="shared" ref="S750:AA750" si="704">$G750*I750</f>
        <v>#REF!</v>
      </c>
      <c r="T750" s="371" t="e">
        <f t="shared" si="704"/>
        <v>#REF!</v>
      </c>
      <c r="U750" s="371" t="e">
        <f t="shared" si="704"/>
        <v>#REF!</v>
      </c>
      <c r="V750" s="371" t="e">
        <f t="shared" si="704"/>
        <v>#REF!</v>
      </c>
      <c r="W750" s="371" t="e">
        <f t="shared" si="704"/>
        <v>#REF!</v>
      </c>
      <c r="X750" s="371" t="e">
        <f t="shared" si="704"/>
        <v>#REF!</v>
      </c>
      <c r="Y750" s="371" t="e">
        <f t="shared" si="704"/>
        <v>#REF!</v>
      </c>
      <c r="Z750" s="371" t="e">
        <f t="shared" si="704"/>
        <v>#REF!</v>
      </c>
      <c r="AA750" s="371" t="e">
        <f t="shared" si="704"/>
        <v>#REF!</v>
      </c>
      <c r="AB750" s="50"/>
    </row>
    <row r="751" ht="28.8" outlineLevel="2" spans="1:28">
      <c r="A751" s="52">
        <f>MAX($A$6:A750)+1</f>
        <v>622</v>
      </c>
      <c r="B751" s="51" t="s">
        <v>647</v>
      </c>
      <c r="C751" s="51" t="e">
        <f>VLOOKUP($B751,#REF!,MATCH(C$2,#REF!,0),0)</f>
        <v>#REF!</v>
      </c>
      <c r="D751" s="136"/>
      <c r="E751" s="136"/>
      <c r="F751" s="136" t="e">
        <f>VLOOKUP($B751,#REF!,MATCH(F$2,#REF!,0),0)</f>
        <v>#REF!</v>
      </c>
      <c r="G751" s="137" t="e">
        <f>VLOOKUP($B751,#REF!,MATCH(G$2,#REF!,0),0)</f>
        <v>#REF!</v>
      </c>
      <c r="H751" s="48">
        <v>491.59</v>
      </c>
      <c r="I751" s="48">
        <v>491.59</v>
      </c>
      <c r="J751" s="48">
        <v>158.36</v>
      </c>
      <c r="K751" s="48">
        <v>158.36</v>
      </c>
      <c r="L751" s="48">
        <v>73.5</v>
      </c>
      <c r="M751" s="48"/>
      <c r="N751" s="48"/>
      <c r="O751" s="48"/>
      <c r="P751" s="48"/>
      <c r="Q751" s="48"/>
      <c r="R751" s="371" t="e">
        <f t="shared" si="702"/>
        <v>#REF!</v>
      </c>
      <c r="S751" s="371" t="e">
        <f t="shared" ref="S751:AA751" si="705">$G751*I751</f>
        <v>#REF!</v>
      </c>
      <c r="T751" s="371" t="e">
        <f t="shared" si="705"/>
        <v>#REF!</v>
      </c>
      <c r="U751" s="371" t="e">
        <f t="shared" si="705"/>
        <v>#REF!</v>
      </c>
      <c r="V751" s="371" t="e">
        <f t="shared" si="705"/>
        <v>#REF!</v>
      </c>
      <c r="W751" s="371" t="e">
        <f t="shared" si="705"/>
        <v>#REF!</v>
      </c>
      <c r="X751" s="371" t="e">
        <f t="shared" si="705"/>
        <v>#REF!</v>
      </c>
      <c r="Y751" s="371" t="e">
        <f t="shared" si="705"/>
        <v>#REF!</v>
      </c>
      <c r="Z751" s="371" t="e">
        <f t="shared" si="705"/>
        <v>#REF!</v>
      </c>
      <c r="AA751" s="371" t="e">
        <f t="shared" si="705"/>
        <v>#REF!</v>
      </c>
      <c r="AB751" s="50"/>
    </row>
    <row r="752" s="122" customFormat="1" outlineLevel="2" spans="1:28">
      <c r="A752" s="130"/>
      <c r="B752" s="154" t="s">
        <v>669</v>
      </c>
      <c r="C752" s="154"/>
      <c r="D752" s="154"/>
      <c r="E752" s="154"/>
      <c r="F752" s="130"/>
      <c r="G752" s="134"/>
      <c r="H752" s="134"/>
      <c r="I752" s="134"/>
      <c r="J752" s="134"/>
      <c r="K752" s="134"/>
      <c r="L752" s="134"/>
      <c r="M752" s="134"/>
      <c r="N752" s="134"/>
      <c r="O752" s="134"/>
      <c r="P752" s="134"/>
      <c r="Q752" s="134"/>
      <c r="R752" s="367"/>
      <c r="S752" s="367"/>
      <c r="T752" s="367"/>
      <c r="U752" s="367"/>
      <c r="V752" s="371"/>
      <c r="W752" s="367"/>
      <c r="X752" s="367"/>
      <c r="Y752" s="367"/>
      <c r="Z752" s="367"/>
      <c r="AA752" s="367"/>
      <c r="AB752" s="130"/>
    </row>
    <row r="753" outlineLevel="2" spans="1:28">
      <c r="A753" s="52">
        <f>MAX($A$6:A752)+1</f>
        <v>623</v>
      </c>
      <c r="B753" s="51" t="s">
        <v>354</v>
      </c>
      <c r="C753" s="51" t="e">
        <f>VLOOKUP($B753,#REF!,MATCH(C$2,#REF!,0),0)</f>
        <v>#REF!</v>
      </c>
      <c r="D753" s="136"/>
      <c r="E753" s="136"/>
      <c r="F753" s="136" t="e">
        <f>VLOOKUP($B753,#REF!,MATCH(F$2,#REF!,0),0)</f>
        <v>#REF!</v>
      </c>
      <c r="G753" s="137" t="e">
        <f>VLOOKUP($B753,#REF!,MATCH(G$2,#REF!,0),0)</f>
        <v>#REF!</v>
      </c>
      <c r="H753" s="48">
        <v>208.26</v>
      </c>
      <c r="I753" s="48">
        <v>178.48</v>
      </c>
      <c r="J753" s="48">
        <v>64.0955856780622</v>
      </c>
      <c r="K753" s="48">
        <v>64.0955856780622</v>
      </c>
      <c r="L753" s="48"/>
      <c r="M753" s="48"/>
      <c r="N753" s="48"/>
      <c r="O753" s="48"/>
      <c r="P753" s="48"/>
      <c r="Q753" s="48"/>
      <c r="R753" s="371" t="e">
        <f>$G753*H753</f>
        <v>#REF!</v>
      </c>
      <c r="S753" s="371" t="e">
        <f t="shared" ref="S753:AA753" si="706">$G753*I753</f>
        <v>#REF!</v>
      </c>
      <c r="T753" s="371" t="e">
        <f t="shared" si="706"/>
        <v>#REF!</v>
      </c>
      <c r="U753" s="371" t="e">
        <f t="shared" si="706"/>
        <v>#REF!</v>
      </c>
      <c r="V753" s="371" t="e">
        <f t="shared" si="706"/>
        <v>#REF!</v>
      </c>
      <c r="W753" s="371" t="e">
        <f t="shared" si="706"/>
        <v>#REF!</v>
      </c>
      <c r="X753" s="371" t="e">
        <f t="shared" si="706"/>
        <v>#REF!</v>
      </c>
      <c r="Y753" s="371" t="e">
        <f t="shared" si="706"/>
        <v>#REF!</v>
      </c>
      <c r="Z753" s="371" t="e">
        <f t="shared" si="706"/>
        <v>#REF!</v>
      </c>
      <c r="AA753" s="371" t="e">
        <f t="shared" si="706"/>
        <v>#REF!</v>
      </c>
      <c r="AB753" s="50"/>
    </row>
    <row r="754" ht="28.8" outlineLevel="2" spans="1:28">
      <c r="A754" s="52">
        <f>MAX($A$6:A753)+1</f>
        <v>624</v>
      </c>
      <c r="B754" s="51" t="s">
        <v>439</v>
      </c>
      <c r="C754" s="51" t="e">
        <f>VLOOKUP($B754,#REF!,MATCH(C$2,#REF!,0),0)</f>
        <v>#REF!</v>
      </c>
      <c r="D754" s="136"/>
      <c r="E754" s="136"/>
      <c r="F754" s="136" t="e">
        <f>VLOOKUP($B754,#REF!,MATCH(F$2,#REF!,0),0)</f>
        <v>#REF!</v>
      </c>
      <c r="G754" s="137" t="e">
        <f>VLOOKUP($B754,#REF!,MATCH(G$2,#REF!,0),0)</f>
        <v>#REF!</v>
      </c>
      <c r="H754" s="48">
        <v>208.26</v>
      </c>
      <c r="I754" s="48">
        <v>178.48</v>
      </c>
      <c r="J754" s="48">
        <v>64.0955856780622</v>
      </c>
      <c r="K754" s="48">
        <v>64.0955856780622</v>
      </c>
      <c r="L754" s="48"/>
      <c r="M754" s="48"/>
      <c r="N754" s="48"/>
      <c r="O754" s="48"/>
      <c r="P754" s="48"/>
      <c r="Q754" s="48"/>
      <c r="R754" s="371" t="e">
        <f t="shared" ref="R754:AA754" si="707">$G754*H754</f>
        <v>#REF!</v>
      </c>
      <c r="S754" s="371" t="e">
        <f t="shared" si="707"/>
        <v>#REF!</v>
      </c>
      <c r="T754" s="371" t="e">
        <f t="shared" si="707"/>
        <v>#REF!</v>
      </c>
      <c r="U754" s="371" t="e">
        <f t="shared" si="707"/>
        <v>#REF!</v>
      </c>
      <c r="V754" s="371" t="e">
        <f t="shared" si="707"/>
        <v>#REF!</v>
      </c>
      <c r="W754" s="371" t="e">
        <f t="shared" si="707"/>
        <v>#REF!</v>
      </c>
      <c r="X754" s="371" t="e">
        <f t="shared" si="707"/>
        <v>#REF!</v>
      </c>
      <c r="Y754" s="371" t="e">
        <f t="shared" si="707"/>
        <v>#REF!</v>
      </c>
      <c r="Z754" s="371" t="e">
        <f t="shared" si="707"/>
        <v>#REF!</v>
      </c>
      <c r="AA754" s="371" t="e">
        <f t="shared" si="707"/>
        <v>#REF!</v>
      </c>
      <c r="AB754" s="50"/>
    </row>
    <row r="755" ht="28.8" outlineLevel="2" spans="1:28">
      <c r="A755" s="52">
        <f>MAX($A$6:A754)+1</f>
        <v>625</v>
      </c>
      <c r="B755" s="51" t="s">
        <v>647</v>
      </c>
      <c r="C755" s="51" t="e">
        <f>VLOOKUP($B755,#REF!,MATCH(C$2,#REF!,0),0)</f>
        <v>#REF!</v>
      </c>
      <c r="D755" s="136"/>
      <c r="E755" s="136"/>
      <c r="F755" s="136" t="e">
        <f>VLOOKUP($B755,#REF!,MATCH(F$2,#REF!,0),0)</f>
        <v>#REF!</v>
      </c>
      <c r="G755" s="137" t="e">
        <f>VLOOKUP($B755,#REF!,MATCH(G$2,#REF!,0),0)</f>
        <v>#REF!</v>
      </c>
      <c r="H755" s="48">
        <v>208.26</v>
      </c>
      <c r="I755" s="48">
        <v>178.48</v>
      </c>
      <c r="J755" s="48">
        <v>64.0955856780622</v>
      </c>
      <c r="K755" s="48">
        <v>64.0955856780622</v>
      </c>
      <c r="L755" s="48"/>
      <c r="M755" s="48"/>
      <c r="N755" s="48"/>
      <c r="O755" s="48"/>
      <c r="P755" s="48"/>
      <c r="Q755" s="48"/>
      <c r="R755" s="371" t="e">
        <f t="shared" ref="R755:AA755" si="708">$G755*H755</f>
        <v>#REF!</v>
      </c>
      <c r="S755" s="371" t="e">
        <f t="shared" si="708"/>
        <v>#REF!</v>
      </c>
      <c r="T755" s="371" t="e">
        <f t="shared" si="708"/>
        <v>#REF!</v>
      </c>
      <c r="U755" s="371" t="e">
        <f t="shared" si="708"/>
        <v>#REF!</v>
      </c>
      <c r="V755" s="371" t="e">
        <f t="shared" si="708"/>
        <v>#REF!</v>
      </c>
      <c r="W755" s="371" t="e">
        <f t="shared" si="708"/>
        <v>#REF!</v>
      </c>
      <c r="X755" s="371" t="e">
        <f t="shared" si="708"/>
        <v>#REF!</v>
      </c>
      <c r="Y755" s="371" t="e">
        <f t="shared" si="708"/>
        <v>#REF!</v>
      </c>
      <c r="Z755" s="371" t="e">
        <f t="shared" si="708"/>
        <v>#REF!</v>
      </c>
      <c r="AA755" s="371" t="e">
        <f t="shared" si="708"/>
        <v>#REF!</v>
      </c>
      <c r="AB755" s="50"/>
    </row>
    <row r="756" ht="28.8" outlineLevel="2" spans="1:28">
      <c r="A756" s="52">
        <f>MAX($A$6:A755)+1</f>
        <v>626</v>
      </c>
      <c r="B756" s="51" t="s">
        <v>670</v>
      </c>
      <c r="C756" s="51" t="e">
        <f>VLOOKUP($B756,#REF!,MATCH(C$2,#REF!,0),0)</f>
        <v>#REF!</v>
      </c>
      <c r="D756" s="136"/>
      <c r="E756" s="136"/>
      <c r="F756" s="136" t="e">
        <f>VLOOKUP($B756,#REF!,MATCH(F$2,#REF!,0),0)</f>
        <v>#REF!</v>
      </c>
      <c r="G756" s="137" t="e">
        <f>VLOOKUP($B756,#REF!,MATCH(G$2,#REF!,0),0)</f>
        <v>#REF!</v>
      </c>
      <c r="H756" s="48">
        <v>1</v>
      </c>
      <c r="I756" s="48">
        <v>1</v>
      </c>
      <c r="J756" s="48">
        <v>1</v>
      </c>
      <c r="K756" s="48">
        <v>1</v>
      </c>
      <c r="L756" s="48"/>
      <c r="M756" s="48"/>
      <c r="N756" s="48"/>
      <c r="O756" s="48"/>
      <c r="P756" s="48"/>
      <c r="Q756" s="48"/>
      <c r="R756" s="371" t="e">
        <f t="shared" ref="R756:AA756" si="709">$G756*H756</f>
        <v>#REF!</v>
      </c>
      <c r="S756" s="371" t="e">
        <f t="shared" si="709"/>
        <v>#REF!</v>
      </c>
      <c r="T756" s="371" t="e">
        <f t="shared" si="709"/>
        <v>#REF!</v>
      </c>
      <c r="U756" s="371" t="e">
        <f t="shared" si="709"/>
        <v>#REF!</v>
      </c>
      <c r="V756" s="371" t="e">
        <f t="shared" si="709"/>
        <v>#REF!</v>
      </c>
      <c r="W756" s="371" t="e">
        <f t="shared" si="709"/>
        <v>#REF!</v>
      </c>
      <c r="X756" s="371" t="e">
        <f t="shared" si="709"/>
        <v>#REF!</v>
      </c>
      <c r="Y756" s="371" t="e">
        <f t="shared" si="709"/>
        <v>#REF!</v>
      </c>
      <c r="Z756" s="371" t="e">
        <f t="shared" si="709"/>
        <v>#REF!</v>
      </c>
      <c r="AA756" s="371" t="e">
        <f t="shared" si="709"/>
        <v>#REF!</v>
      </c>
      <c r="AB756" s="50"/>
    </row>
    <row r="757" ht="28.8" outlineLevel="2" spans="1:28">
      <c r="A757" s="52">
        <f>MAX($A$6:A756)+1</f>
        <v>627</v>
      </c>
      <c r="B757" s="51" t="s">
        <v>440</v>
      </c>
      <c r="C757" s="51" t="e">
        <f>VLOOKUP($B757,#REF!,MATCH(C$2,#REF!,0),0)</f>
        <v>#REF!</v>
      </c>
      <c r="D757" s="136"/>
      <c r="E757" s="136"/>
      <c r="F757" s="136" t="e">
        <f>VLOOKUP($B757,#REF!,MATCH(F$2,#REF!,0),0)</f>
        <v>#REF!</v>
      </c>
      <c r="G757" s="137" t="e">
        <f>VLOOKUP($B757,#REF!,MATCH(G$2,#REF!,0),0)</f>
        <v>#REF!</v>
      </c>
      <c r="H757" s="48">
        <v>1</v>
      </c>
      <c r="I757" s="48">
        <v>1</v>
      </c>
      <c r="J757" s="48">
        <v>1</v>
      </c>
      <c r="K757" s="48">
        <v>1</v>
      </c>
      <c r="L757" s="48"/>
      <c r="M757" s="48"/>
      <c r="N757" s="48"/>
      <c r="O757" s="48"/>
      <c r="P757" s="48"/>
      <c r="Q757" s="48"/>
      <c r="R757" s="371" t="e">
        <f t="shared" ref="R757:AA757" si="710">$G757*H757</f>
        <v>#REF!</v>
      </c>
      <c r="S757" s="371" t="e">
        <f t="shared" si="710"/>
        <v>#REF!</v>
      </c>
      <c r="T757" s="371" t="e">
        <f t="shared" si="710"/>
        <v>#REF!</v>
      </c>
      <c r="U757" s="371" t="e">
        <f t="shared" si="710"/>
        <v>#REF!</v>
      </c>
      <c r="V757" s="371" t="e">
        <f t="shared" si="710"/>
        <v>#REF!</v>
      </c>
      <c r="W757" s="371" t="e">
        <f t="shared" si="710"/>
        <v>#REF!</v>
      </c>
      <c r="X757" s="371" t="e">
        <f t="shared" si="710"/>
        <v>#REF!</v>
      </c>
      <c r="Y757" s="371" t="e">
        <f t="shared" si="710"/>
        <v>#REF!</v>
      </c>
      <c r="Z757" s="371" t="e">
        <f t="shared" si="710"/>
        <v>#REF!</v>
      </c>
      <c r="AA757" s="371" t="e">
        <f t="shared" si="710"/>
        <v>#REF!</v>
      </c>
      <c r="AB757" s="50"/>
    </row>
    <row r="758" outlineLevel="2" spans="1:28">
      <c r="A758" s="52">
        <f>MAX($A$6:A757)+1</f>
        <v>628</v>
      </c>
      <c r="B758" s="51" t="s">
        <v>671</v>
      </c>
      <c r="C758" s="51" t="e">
        <f>VLOOKUP($B758,#REF!,MATCH(C$2,#REF!,0),0)</f>
        <v>#REF!</v>
      </c>
      <c r="D758" s="136"/>
      <c r="E758" s="136"/>
      <c r="F758" s="136" t="e">
        <f>VLOOKUP($B758,#REF!,MATCH(F$2,#REF!,0),0)</f>
        <v>#REF!</v>
      </c>
      <c r="G758" s="137" t="e">
        <f>VLOOKUP($B758,#REF!,MATCH(G$2,#REF!,0),0)</f>
        <v>#REF!</v>
      </c>
      <c r="H758" s="48">
        <v>119.323636363636</v>
      </c>
      <c r="I758" s="48"/>
      <c r="J758" s="48"/>
      <c r="K758" s="48"/>
      <c r="L758" s="48"/>
      <c r="M758" s="48"/>
      <c r="N758" s="48"/>
      <c r="O758" s="48"/>
      <c r="P758" s="48"/>
      <c r="Q758" s="48"/>
      <c r="R758" s="371" t="e">
        <f t="shared" ref="R758:AA758" si="711">$G758*H758</f>
        <v>#REF!</v>
      </c>
      <c r="S758" s="371" t="e">
        <f t="shared" si="711"/>
        <v>#REF!</v>
      </c>
      <c r="T758" s="371" t="e">
        <f t="shared" si="711"/>
        <v>#REF!</v>
      </c>
      <c r="U758" s="371" t="e">
        <f t="shared" si="711"/>
        <v>#REF!</v>
      </c>
      <c r="V758" s="371" t="e">
        <f t="shared" si="711"/>
        <v>#REF!</v>
      </c>
      <c r="W758" s="371" t="e">
        <f t="shared" si="711"/>
        <v>#REF!</v>
      </c>
      <c r="X758" s="371" t="e">
        <f t="shared" si="711"/>
        <v>#REF!</v>
      </c>
      <c r="Y758" s="371" t="e">
        <f t="shared" si="711"/>
        <v>#REF!</v>
      </c>
      <c r="Z758" s="371" t="e">
        <f t="shared" si="711"/>
        <v>#REF!</v>
      </c>
      <c r="AA758" s="371" t="e">
        <f t="shared" si="711"/>
        <v>#REF!</v>
      </c>
      <c r="AB758" s="50"/>
    </row>
    <row r="759" s="29" customFormat="1" ht="28.8" outlineLevel="1" spans="1:28">
      <c r="A759" s="40"/>
      <c r="B759" s="41" t="str">
        <f>目录!H16</f>
        <v>A.05.03天棚装饰工程</v>
      </c>
      <c r="C759" s="41"/>
      <c r="D759" s="141"/>
      <c r="E759" s="141"/>
      <c r="F759" s="40"/>
      <c r="G759" s="43"/>
      <c r="H759" s="43"/>
      <c r="I759" s="43"/>
      <c r="J759" s="43"/>
      <c r="K759" s="43"/>
      <c r="L759" s="43"/>
      <c r="M759" s="43"/>
      <c r="N759" s="43"/>
      <c r="O759" s="43"/>
      <c r="P759" s="43"/>
      <c r="Q759" s="43"/>
      <c r="R759" s="369" t="e">
        <f t="shared" ref="R759:AA759" si="712">SUM(R760:R760)</f>
        <v>#REF!</v>
      </c>
      <c r="S759" s="369" t="e">
        <f t="shared" si="712"/>
        <v>#REF!</v>
      </c>
      <c r="T759" s="369" t="e">
        <f t="shared" si="712"/>
        <v>#REF!</v>
      </c>
      <c r="U759" s="369" t="e">
        <f t="shared" si="712"/>
        <v>#REF!</v>
      </c>
      <c r="V759" s="369" t="e">
        <f t="shared" si="712"/>
        <v>#REF!</v>
      </c>
      <c r="W759" s="369" t="e">
        <f t="shared" si="712"/>
        <v>#REF!</v>
      </c>
      <c r="X759" s="369" t="e">
        <f t="shared" si="712"/>
        <v>#REF!</v>
      </c>
      <c r="Y759" s="369" t="e">
        <f t="shared" si="712"/>
        <v>#REF!</v>
      </c>
      <c r="Z759" s="369" t="e">
        <f t="shared" si="712"/>
        <v>#REF!</v>
      </c>
      <c r="AA759" s="369" t="e">
        <f t="shared" si="712"/>
        <v>#REF!</v>
      </c>
      <c r="AB759" s="40"/>
    </row>
    <row r="760" outlineLevel="2" spans="1:28">
      <c r="A760" s="52">
        <f>MAX($A$6:A759)+1</f>
        <v>629</v>
      </c>
      <c r="B760" s="51" t="s">
        <v>672</v>
      </c>
      <c r="C760" s="51" t="e">
        <f>VLOOKUP($B760,#REF!,MATCH(C$2,#REF!,0),0)</f>
        <v>#REF!</v>
      </c>
      <c r="D760" s="136"/>
      <c r="E760" s="136"/>
      <c r="F760" s="136" t="e">
        <f>VLOOKUP($B760,#REF!,MATCH(F$2,#REF!,0),0)</f>
        <v>#REF!</v>
      </c>
      <c r="G760" s="137" t="e">
        <f>VLOOKUP($B760,#REF!,MATCH(G$2,#REF!,0),0)</f>
        <v>#REF!</v>
      </c>
      <c r="H760" s="48">
        <v>9427.32</v>
      </c>
      <c r="I760" s="48">
        <v>9427.32</v>
      </c>
      <c r="J760" s="48">
        <v>5640.8</v>
      </c>
      <c r="K760" s="48">
        <v>5640.8</v>
      </c>
      <c r="L760" s="48">
        <v>3859</v>
      </c>
      <c r="M760" s="48">
        <v>905.44</v>
      </c>
      <c r="N760" s="48">
        <v>905.44</v>
      </c>
      <c r="O760" s="48">
        <v>905.44</v>
      </c>
      <c r="P760" s="48"/>
      <c r="Q760" s="48"/>
      <c r="R760" s="371" t="e">
        <f>$G760*H760</f>
        <v>#REF!</v>
      </c>
      <c r="S760" s="371" t="e">
        <f t="shared" ref="S760:AA760" si="713">$G760*I760</f>
        <v>#REF!</v>
      </c>
      <c r="T760" s="371" t="e">
        <f t="shared" si="713"/>
        <v>#REF!</v>
      </c>
      <c r="U760" s="371" t="e">
        <f t="shared" si="713"/>
        <v>#REF!</v>
      </c>
      <c r="V760" s="371" t="e">
        <f t="shared" si="713"/>
        <v>#REF!</v>
      </c>
      <c r="W760" s="371" t="e">
        <f t="shared" si="713"/>
        <v>#REF!</v>
      </c>
      <c r="X760" s="371" t="e">
        <f t="shared" si="713"/>
        <v>#REF!</v>
      </c>
      <c r="Y760" s="371" t="e">
        <f t="shared" si="713"/>
        <v>#REF!</v>
      </c>
      <c r="Z760" s="371" t="e">
        <f t="shared" si="713"/>
        <v>#REF!</v>
      </c>
      <c r="AA760" s="371" t="e">
        <f t="shared" si="713"/>
        <v>#REF!</v>
      </c>
      <c r="AB760" s="50"/>
    </row>
    <row r="761" s="29" customFormat="1" outlineLevel="1" spans="1:28">
      <c r="A761" s="40"/>
      <c r="B761" s="41" t="str">
        <f>目录!H17</f>
        <v>A.05.04白水泥工程</v>
      </c>
      <c r="C761" s="41"/>
      <c r="D761" s="141"/>
      <c r="E761" s="141"/>
      <c r="F761" s="40"/>
      <c r="G761" s="43"/>
      <c r="H761" s="43"/>
      <c r="I761" s="43"/>
      <c r="J761" s="43"/>
      <c r="K761" s="43"/>
      <c r="L761" s="43"/>
      <c r="M761" s="43"/>
      <c r="N761" s="43"/>
      <c r="O761" s="43"/>
      <c r="P761" s="43"/>
      <c r="Q761" s="43"/>
      <c r="R761" s="369" t="e">
        <f t="shared" ref="R761:AA761" si="714">SUM(R762:R763)</f>
        <v>#REF!</v>
      </c>
      <c r="S761" s="369" t="e">
        <f t="shared" si="714"/>
        <v>#REF!</v>
      </c>
      <c r="T761" s="369" t="e">
        <f t="shared" si="714"/>
        <v>#REF!</v>
      </c>
      <c r="U761" s="369" t="e">
        <f t="shared" si="714"/>
        <v>#REF!</v>
      </c>
      <c r="V761" s="369" t="e">
        <f t="shared" si="714"/>
        <v>#REF!</v>
      </c>
      <c r="W761" s="369" t="e">
        <f t="shared" si="714"/>
        <v>#REF!</v>
      </c>
      <c r="X761" s="369" t="e">
        <f t="shared" si="714"/>
        <v>#REF!</v>
      </c>
      <c r="Y761" s="369" t="e">
        <f t="shared" si="714"/>
        <v>#REF!</v>
      </c>
      <c r="Z761" s="369" t="e">
        <f t="shared" si="714"/>
        <v>#REF!</v>
      </c>
      <c r="AA761" s="369" t="e">
        <f t="shared" si="714"/>
        <v>#REF!</v>
      </c>
      <c r="AB761" s="40"/>
    </row>
    <row r="762" outlineLevel="2" spans="1:28">
      <c r="A762" s="52">
        <f>MAX($A$6:A761)+1</f>
        <v>630</v>
      </c>
      <c r="B762" s="51" t="s">
        <v>673</v>
      </c>
      <c r="C762" s="51" t="e">
        <f>VLOOKUP($B762,#REF!,MATCH(C$2,#REF!,0),0)</f>
        <v>#REF!</v>
      </c>
      <c r="D762" s="136"/>
      <c r="E762" s="136"/>
      <c r="F762" s="136" t="e">
        <f>VLOOKUP($B762,#REF!,MATCH(F$2,#REF!,0),0)</f>
        <v>#REF!</v>
      </c>
      <c r="G762" s="137" t="e">
        <f>VLOOKUP($B762,#REF!,MATCH(G$2,#REF!,0),0)</f>
        <v>#REF!</v>
      </c>
      <c r="H762" s="48">
        <v>2161.44</v>
      </c>
      <c r="I762" s="48">
        <v>2157.8</v>
      </c>
      <c r="J762" s="48">
        <v>655.52</v>
      </c>
      <c r="K762" s="48">
        <v>655.52</v>
      </c>
      <c r="L762" s="48">
        <v>601.2398</v>
      </c>
      <c r="M762" s="48"/>
      <c r="N762" s="48"/>
      <c r="O762" s="48"/>
      <c r="P762" s="48"/>
      <c r="Q762" s="48"/>
      <c r="R762" s="371" t="e">
        <f>$G762*H762</f>
        <v>#REF!</v>
      </c>
      <c r="S762" s="371" t="e">
        <f t="shared" ref="S762:AA762" si="715">$G762*I762</f>
        <v>#REF!</v>
      </c>
      <c r="T762" s="371" t="e">
        <f t="shared" si="715"/>
        <v>#REF!</v>
      </c>
      <c r="U762" s="371" t="e">
        <f t="shared" si="715"/>
        <v>#REF!</v>
      </c>
      <c r="V762" s="371" t="e">
        <f t="shared" si="715"/>
        <v>#REF!</v>
      </c>
      <c r="W762" s="371" t="e">
        <f t="shared" si="715"/>
        <v>#REF!</v>
      </c>
      <c r="X762" s="371" t="e">
        <f t="shared" si="715"/>
        <v>#REF!</v>
      </c>
      <c r="Y762" s="371" t="e">
        <f t="shared" si="715"/>
        <v>#REF!</v>
      </c>
      <c r="Z762" s="371" t="e">
        <f t="shared" si="715"/>
        <v>#REF!</v>
      </c>
      <c r="AA762" s="371" t="e">
        <f t="shared" si="715"/>
        <v>#REF!</v>
      </c>
      <c r="AB762" s="50"/>
    </row>
    <row r="763" outlineLevel="2" spans="1:28">
      <c r="A763" s="52">
        <f>MAX($A$6:A762)+1</f>
        <v>631</v>
      </c>
      <c r="B763" s="51" t="s">
        <v>674</v>
      </c>
      <c r="C763" s="51" t="e">
        <f>VLOOKUP($B763,#REF!,MATCH(C$2,#REF!,0),0)</f>
        <v>#REF!</v>
      </c>
      <c r="D763" s="136"/>
      <c r="E763" s="136"/>
      <c r="F763" s="136" t="e">
        <f>VLOOKUP($B763,#REF!,MATCH(F$2,#REF!,0),0)</f>
        <v>#REF!</v>
      </c>
      <c r="G763" s="137" t="e">
        <f>VLOOKUP($B763,#REF!,MATCH(G$2,#REF!,0),0)</f>
        <v>#REF!</v>
      </c>
      <c r="H763" s="48">
        <v>951.93</v>
      </c>
      <c r="I763" s="48">
        <v>951.93</v>
      </c>
      <c r="J763" s="48">
        <v>220.8</v>
      </c>
      <c r="K763" s="48">
        <v>220.8</v>
      </c>
      <c r="L763" s="48">
        <v>230.7862</v>
      </c>
      <c r="M763" s="48"/>
      <c r="N763" s="48"/>
      <c r="O763" s="48"/>
      <c r="P763" s="48"/>
      <c r="Q763" s="48"/>
      <c r="R763" s="371" t="e">
        <f t="shared" ref="R763:AA763" si="716">$G763*H763</f>
        <v>#REF!</v>
      </c>
      <c r="S763" s="371" t="e">
        <f t="shared" si="716"/>
        <v>#REF!</v>
      </c>
      <c r="T763" s="371" t="e">
        <f t="shared" si="716"/>
        <v>#REF!</v>
      </c>
      <c r="U763" s="371" t="e">
        <f t="shared" si="716"/>
        <v>#REF!</v>
      </c>
      <c r="V763" s="371" t="e">
        <f t="shared" si="716"/>
        <v>#REF!</v>
      </c>
      <c r="W763" s="371" t="e">
        <f t="shared" si="716"/>
        <v>#REF!</v>
      </c>
      <c r="X763" s="371" t="e">
        <f t="shared" si="716"/>
        <v>#REF!</v>
      </c>
      <c r="Y763" s="371" t="e">
        <f t="shared" si="716"/>
        <v>#REF!</v>
      </c>
      <c r="Z763" s="371" t="e">
        <f t="shared" si="716"/>
        <v>#REF!</v>
      </c>
      <c r="AA763" s="371" t="e">
        <f t="shared" si="716"/>
        <v>#REF!</v>
      </c>
      <c r="AB763" s="50"/>
    </row>
    <row r="764" s="356" customFormat="1" spans="1:28">
      <c r="A764" s="125"/>
      <c r="B764" s="126" t="str">
        <f>目录!G18</f>
        <v>A.06外墙装饰工程</v>
      </c>
      <c r="C764" s="126"/>
      <c r="D764" s="156"/>
      <c r="E764" s="156"/>
      <c r="F764" s="125"/>
      <c r="G764" s="129"/>
      <c r="H764" s="129"/>
      <c r="I764" s="129"/>
      <c r="J764" s="129"/>
      <c r="K764" s="129"/>
      <c r="L764" s="129"/>
      <c r="M764" s="129"/>
      <c r="N764" s="129"/>
      <c r="O764" s="129"/>
      <c r="P764" s="129"/>
      <c r="Q764" s="129"/>
      <c r="R764" s="365" t="e">
        <f t="shared" ref="R764:AA764" si="717">SUM(R765,R805,R866,R904)</f>
        <v>#REF!</v>
      </c>
      <c r="S764" s="365" t="e">
        <f t="shared" si="717"/>
        <v>#REF!</v>
      </c>
      <c r="T764" s="365" t="e">
        <f t="shared" si="717"/>
        <v>#REF!</v>
      </c>
      <c r="U764" s="365" t="e">
        <f t="shared" si="717"/>
        <v>#REF!</v>
      </c>
      <c r="V764" s="365" t="e">
        <f t="shared" si="717"/>
        <v>#REF!</v>
      </c>
      <c r="W764" s="365" t="e">
        <f t="shared" si="717"/>
        <v>#REF!</v>
      </c>
      <c r="X764" s="365" t="e">
        <f t="shared" si="717"/>
        <v>#REF!</v>
      </c>
      <c r="Y764" s="365" t="e">
        <f t="shared" si="717"/>
        <v>#REF!</v>
      </c>
      <c r="Z764" s="365" t="e">
        <f t="shared" si="717"/>
        <v>#REF!</v>
      </c>
      <c r="AA764" s="365" t="e">
        <f t="shared" si="717"/>
        <v>#REF!</v>
      </c>
      <c r="AB764" s="125"/>
    </row>
    <row r="765" s="29" customFormat="1" ht="28.8" outlineLevel="1" spans="1:28">
      <c r="A765" s="40"/>
      <c r="B765" s="41" t="str">
        <f>目录!H18</f>
        <v>A.06.01保温隔热工程</v>
      </c>
      <c r="C765" s="41"/>
      <c r="D765" s="141"/>
      <c r="E765" s="141"/>
      <c r="F765" s="40"/>
      <c r="G765" s="43"/>
      <c r="H765" s="376" t="e">
        <f>#REF!/7352.64</f>
        <v>#REF!</v>
      </c>
      <c r="I765" s="376" t="e">
        <f>#REF!/7352.64</f>
        <v>#REF!</v>
      </c>
      <c r="J765" s="376" t="e">
        <f>#REF!/5780</f>
        <v>#REF!</v>
      </c>
      <c r="K765" s="376" t="e">
        <f>#REF!/18810.4</f>
        <v>#REF!</v>
      </c>
      <c r="L765" s="376" t="e">
        <f>#REF!/18810.4</f>
        <v>#REF!</v>
      </c>
      <c r="M765" s="376" t="e">
        <f>#REF!/2529.82</f>
        <v>#REF!</v>
      </c>
      <c r="N765" s="376" t="e">
        <f>#REF!/2922.08</f>
        <v>#REF!</v>
      </c>
      <c r="O765" s="376" t="e">
        <f>#REF!/2529.82</f>
        <v>#REF!</v>
      </c>
      <c r="P765" s="43"/>
      <c r="Q765" s="43"/>
      <c r="R765" s="369" t="e">
        <f t="shared" ref="R765:AA765" si="718">SUM(R766:R804)</f>
        <v>#REF!</v>
      </c>
      <c r="S765" s="369" t="e">
        <f t="shared" si="718"/>
        <v>#REF!</v>
      </c>
      <c r="T765" s="369" t="e">
        <f t="shared" si="718"/>
        <v>#REF!</v>
      </c>
      <c r="U765" s="369" t="e">
        <f t="shared" si="718"/>
        <v>#REF!</v>
      </c>
      <c r="V765" s="369" t="e">
        <f t="shared" si="718"/>
        <v>#REF!</v>
      </c>
      <c r="W765" s="369" t="e">
        <f t="shared" si="718"/>
        <v>#REF!</v>
      </c>
      <c r="X765" s="369" t="e">
        <f t="shared" si="718"/>
        <v>#REF!</v>
      </c>
      <c r="Y765" s="369" t="e">
        <f t="shared" si="718"/>
        <v>#REF!</v>
      </c>
      <c r="Z765" s="369" t="e">
        <f t="shared" si="718"/>
        <v>#REF!</v>
      </c>
      <c r="AA765" s="369" t="e">
        <f t="shared" si="718"/>
        <v>#REF!</v>
      </c>
      <c r="AB765" s="40"/>
    </row>
    <row r="766" s="1" customFormat="1" outlineLevel="2" spans="1:28">
      <c r="A766" s="52">
        <f>MAX($A$6:A765)+1</f>
        <v>632</v>
      </c>
      <c r="B766" s="138" t="s">
        <v>348</v>
      </c>
      <c r="C766" s="51" t="e">
        <f>VLOOKUP($B766,#REF!,MATCH(C$2,#REF!,0),0)</f>
        <v>#REF!</v>
      </c>
      <c r="D766" s="136"/>
      <c r="E766" s="136"/>
      <c r="F766" s="136" t="e">
        <f>VLOOKUP($B766,#REF!,MATCH(F$2,#REF!,0),0)</f>
        <v>#REF!</v>
      </c>
      <c r="G766" s="137" t="e">
        <f>VLOOKUP($B766,#REF!,MATCH(G$2,#REF!,0),0)</f>
        <v>#REF!</v>
      </c>
      <c r="H766" s="48" t="e">
        <f>H765*3118.07886171073</f>
        <v>#REF!</v>
      </c>
      <c r="I766" s="48" t="e">
        <f>I765*3118.07886171073</f>
        <v>#REF!</v>
      </c>
      <c r="J766" s="48" t="e">
        <f>$J$765*1918.94960729384</f>
        <v>#REF!</v>
      </c>
      <c r="K766" s="48" t="e">
        <f>$K$765*8685.81482578547</f>
        <v>#REF!</v>
      </c>
      <c r="L766" s="48" t="e">
        <f>$L$765*8685.81482578547</f>
        <v>#REF!</v>
      </c>
      <c r="M766" s="48" t="e">
        <f>$M$765*2140.64170518943</f>
        <v>#REF!</v>
      </c>
      <c r="N766" s="48" t="e">
        <f>$N$765*2473.56</f>
        <v>#REF!</v>
      </c>
      <c r="O766" s="48" t="e">
        <f>$O$765*2140.64170518943</f>
        <v>#REF!</v>
      </c>
      <c r="P766" s="139"/>
      <c r="Q766" s="139"/>
      <c r="R766" s="371" t="e">
        <f>$G766*H766</f>
        <v>#REF!</v>
      </c>
      <c r="S766" s="371" t="e">
        <f t="shared" ref="S766:AA766" si="719">$G766*I766</f>
        <v>#REF!</v>
      </c>
      <c r="T766" s="371" t="e">
        <f t="shared" si="719"/>
        <v>#REF!</v>
      </c>
      <c r="U766" s="371" t="e">
        <f t="shared" si="719"/>
        <v>#REF!</v>
      </c>
      <c r="V766" s="371" t="e">
        <f t="shared" si="719"/>
        <v>#REF!</v>
      </c>
      <c r="W766" s="371" t="e">
        <f t="shared" si="719"/>
        <v>#REF!</v>
      </c>
      <c r="X766" s="371" t="e">
        <f t="shared" si="719"/>
        <v>#REF!</v>
      </c>
      <c r="Y766" s="371" t="e">
        <f t="shared" si="719"/>
        <v>#REF!</v>
      </c>
      <c r="Z766" s="371" t="e">
        <f t="shared" si="719"/>
        <v>#REF!</v>
      </c>
      <c r="AA766" s="371" t="e">
        <f t="shared" si="719"/>
        <v>#REF!</v>
      </c>
      <c r="AB766" s="26"/>
    </row>
    <row r="767" s="1" customFormat="1" ht="28.8" outlineLevel="2" spans="1:28">
      <c r="A767" s="52">
        <f>MAX($A$6:A766)+1</f>
        <v>633</v>
      </c>
      <c r="B767" s="138" t="s">
        <v>675</v>
      </c>
      <c r="C767" s="51" t="e">
        <f>VLOOKUP($B767,#REF!,MATCH(C$2,#REF!,0),0)</f>
        <v>#REF!</v>
      </c>
      <c r="D767" s="136"/>
      <c r="E767" s="136"/>
      <c r="F767" s="136" t="e">
        <f>VLOOKUP($B767,#REF!,MATCH(F$2,#REF!,0),0)</f>
        <v>#REF!</v>
      </c>
      <c r="G767" s="137" t="e">
        <f>VLOOKUP($B767,#REF!,MATCH(G$2,#REF!,0),0)</f>
        <v>#REF!</v>
      </c>
      <c r="H767" s="48" t="e">
        <f>H765*2</f>
        <v>#REF!</v>
      </c>
      <c r="I767" s="48" t="e">
        <f>I765*2</f>
        <v>#REF!</v>
      </c>
      <c r="J767" s="48" t="e">
        <f>$J$765*2</f>
        <v>#REF!</v>
      </c>
      <c r="K767" s="48" t="e">
        <f>$K$765*2</f>
        <v>#REF!</v>
      </c>
      <c r="L767" s="48" t="e">
        <f>$L$765*2</f>
        <v>#REF!</v>
      </c>
      <c r="M767" s="48" t="e">
        <f>$M$765*973.569936485196</f>
        <v>#REF!</v>
      </c>
      <c r="N767" s="48" t="e">
        <f>$N$765*2</f>
        <v>#REF!</v>
      </c>
      <c r="O767" s="48" t="e">
        <f>$O$765*973.569936485196</f>
        <v>#REF!</v>
      </c>
      <c r="P767" s="139"/>
      <c r="Q767" s="139"/>
      <c r="R767" s="371" t="e">
        <f t="shared" ref="R767:AA767" si="720">$G767*H767</f>
        <v>#REF!</v>
      </c>
      <c r="S767" s="371" t="e">
        <f t="shared" si="720"/>
        <v>#REF!</v>
      </c>
      <c r="T767" s="371" t="e">
        <f t="shared" si="720"/>
        <v>#REF!</v>
      </c>
      <c r="U767" s="371" t="e">
        <f t="shared" si="720"/>
        <v>#REF!</v>
      </c>
      <c r="V767" s="371" t="e">
        <f t="shared" si="720"/>
        <v>#REF!</v>
      </c>
      <c r="W767" s="371" t="e">
        <f t="shared" si="720"/>
        <v>#REF!</v>
      </c>
      <c r="X767" s="371" t="e">
        <f t="shared" si="720"/>
        <v>#REF!</v>
      </c>
      <c r="Y767" s="371" t="e">
        <f t="shared" si="720"/>
        <v>#REF!</v>
      </c>
      <c r="Z767" s="371" t="e">
        <f t="shared" si="720"/>
        <v>#REF!</v>
      </c>
      <c r="AA767" s="371" t="e">
        <f t="shared" si="720"/>
        <v>#REF!</v>
      </c>
      <c r="AB767" s="26"/>
    </row>
    <row r="768" s="1" customFormat="1" outlineLevel="2" spans="1:28">
      <c r="A768" s="52">
        <f>MAX($A$6:A767)+1</f>
        <v>634</v>
      </c>
      <c r="B768" s="138" t="s">
        <v>349</v>
      </c>
      <c r="C768" s="51" t="e">
        <f>VLOOKUP($B768,#REF!,MATCH(C$2,#REF!,0),0)</f>
        <v>#REF!</v>
      </c>
      <c r="D768" s="136"/>
      <c r="E768" s="136"/>
      <c r="F768" s="136" t="e">
        <f>VLOOKUP($B768,#REF!,MATCH(F$2,#REF!,0),0)</f>
        <v>#REF!</v>
      </c>
      <c r="G768" s="137" t="e">
        <f>VLOOKUP($B768,#REF!,MATCH(G$2,#REF!,0),0)</f>
        <v>#REF!</v>
      </c>
      <c r="H768" s="48" t="e">
        <f>H765*3120.07886171073</f>
        <v>#REF!</v>
      </c>
      <c r="I768" s="48" t="e">
        <f>I765*3120.07886171073</f>
        <v>#REF!</v>
      </c>
      <c r="J768" s="48" t="e">
        <f>$J$765*1922.94960729384</f>
        <v>#REF!</v>
      </c>
      <c r="K768" s="48" t="e">
        <f>$K$765*8687.81482578547</f>
        <v>#REF!</v>
      </c>
      <c r="L768" s="48" t="e">
        <f>$L$765*8687.81482578547</f>
        <v>#REF!</v>
      </c>
      <c r="M768" s="48" t="e">
        <f>$M$765*3114.21164167463</f>
        <v>#REF!</v>
      </c>
      <c r="N768" s="48" t="e">
        <f>$N$765*(2475.56+1124.53)</f>
        <v>#REF!</v>
      </c>
      <c r="O768" s="48" t="e">
        <f>$O$765*3114.21164167463</f>
        <v>#REF!</v>
      </c>
      <c r="P768" s="139"/>
      <c r="Q768" s="139"/>
      <c r="R768" s="371" t="e">
        <f t="shared" ref="R768:AA768" si="721">$G768*H768</f>
        <v>#REF!</v>
      </c>
      <c r="S768" s="371" t="e">
        <f t="shared" si="721"/>
        <v>#REF!</v>
      </c>
      <c r="T768" s="371" t="e">
        <f t="shared" si="721"/>
        <v>#REF!</v>
      </c>
      <c r="U768" s="371" t="e">
        <f t="shared" si="721"/>
        <v>#REF!</v>
      </c>
      <c r="V768" s="371" t="e">
        <f t="shared" si="721"/>
        <v>#REF!</v>
      </c>
      <c r="W768" s="371" t="e">
        <f t="shared" si="721"/>
        <v>#REF!</v>
      </c>
      <c r="X768" s="371" t="e">
        <f t="shared" si="721"/>
        <v>#REF!</v>
      </c>
      <c r="Y768" s="371" t="e">
        <f t="shared" si="721"/>
        <v>#REF!</v>
      </c>
      <c r="Z768" s="371" t="e">
        <f t="shared" si="721"/>
        <v>#REF!</v>
      </c>
      <c r="AA768" s="371" t="e">
        <f t="shared" si="721"/>
        <v>#REF!</v>
      </c>
      <c r="AB768" s="26"/>
    </row>
    <row r="769" outlineLevel="2" spans="1:28">
      <c r="A769" s="52">
        <f>MAX($A$6:A768)+1</f>
        <v>635</v>
      </c>
      <c r="B769" s="51" t="s">
        <v>676</v>
      </c>
      <c r="C769" s="51" t="e">
        <f>VLOOKUP($B769,#REF!,MATCH(C$2,#REF!,0),0)</f>
        <v>#REF!</v>
      </c>
      <c r="D769" s="136"/>
      <c r="E769" s="136"/>
      <c r="F769" s="136" t="e">
        <f>VLOOKUP($B769,#REF!,MATCH(F$2,#REF!,0),0)</f>
        <v>#REF!</v>
      </c>
      <c r="G769" s="137" t="e">
        <f>VLOOKUP($B769,#REF!,MATCH(G$2,#REF!,0),0)</f>
        <v>#REF!</v>
      </c>
      <c r="H769" s="48" t="e">
        <f>H765*1</f>
        <v>#REF!</v>
      </c>
      <c r="I769" s="48" t="e">
        <f>I765*1</f>
        <v>#REF!</v>
      </c>
      <c r="J769" s="48" t="e">
        <f>$J$765*1</f>
        <v>#REF!</v>
      </c>
      <c r="K769" s="48" t="e">
        <f>$K$765*1</f>
        <v>#REF!</v>
      </c>
      <c r="L769" s="48" t="e">
        <f>$L$765*1</f>
        <v>#REF!</v>
      </c>
      <c r="M769" s="48" t="e">
        <f>$M$765*159.472893982808</f>
        <v>#REF!</v>
      </c>
      <c r="N769" s="48" t="e">
        <f>$N$765*1</f>
        <v>#REF!</v>
      </c>
      <c r="O769" s="48" t="e">
        <f>$O$765*159.472893982808</f>
        <v>#REF!</v>
      </c>
      <c r="P769" s="48"/>
      <c r="Q769" s="48"/>
      <c r="R769" s="371" t="e">
        <f t="shared" ref="R769:AA769" si="722">$G769*H769</f>
        <v>#REF!</v>
      </c>
      <c r="S769" s="371" t="e">
        <f t="shared" si="722"/>
        <v>#REF!</v>
      </c>
      <c r="T769" s="371" t="e">
        <f t="shared" si="722"/>
        <v>#REF!</v>
      </c>
      <c r="U769" s="371" t="e">
        <f t="shared" si="722"/>
        <v>#REF!</v>
      </c>
      <c r="V769" s="371" t="e">
        <f t="shared" si="722"/>
        <v>#REF!</v>
      </c>
      <c r="W769" s="371" t="e">
        <f t="shared" si="722"/>
        <v>#REF!</v>
      </c>
      <c r="X769" s="371" t="e">
        <f t="shared" si="722"/>
        <v>#REF!</v>
      </c>
      <c r="Y769" s="371" t="e">
        <f t="shared" si="722"/>
        <v>#REF!</v>
      </c>
      <c r="Z769" s="371" t="e">
        <f t="shared" si="722"/>
        <v>#REF!</v>
      </c>
      <c r="AA769" s="371" t="e">
        <f t="shared" si="722"/>
        <v>#REF!</v>
      </c>
      <c r="AB769" s="50"/>
    </row>
    <row r="770" outlineLevel="2" spans="1:28">
      <c r="A770" s="52">
        <f>MAX($A$6:A769)+1</f>
        <v>636</v>
      </c>
      <c r="B770" s="51" t="s">
        <v>677</v>
      </c>
      <c r="C770" s="51" t="e">
        <f>VLOOKUP($B770,#REF!,MATCH(C$2,#REF!,0),0)</f>
        <v>#REF!</v>
      </c>
      <c r="D770" s="136"/>
      <c r="E770" s="136"/>
      <c r="F770" s="136" t="e">
        <f>VLOOKUP($B770,#REF!,MATCH(F$2,#REF!,0),0)</f>
        <v>#REF!</v>
      </c>
      <c r="G770" s="137" t="e">
        <f>VLOOKUP($B770,#REF!,MATCH(G$2,#REF!,0),0)</f>
        <v>#REF!</v>
      </c>
      <c r="H770" s="48" t="e">
        <f>H765*1</f>
        <v>#REF!</v>
      </c>
      <c r="I770" s="48" t="e">
        <f>I765*1</f>
        <v>#REF!</v>
      </c>
      <c r="J770" s="48" t="e">
        <f>$J$765*1</f>
        <v>#REF!</v>
      </c>
      <c r="K770" s="48" t="e">
        <f>$K$765*1</f>
        <v>#REF!</v>
      </c>
      <c r="L770" s="48" t="e">
        <f>$L$765*1</f>
        <v>#REF!</v>
      </c>
      <c r="M770" s="48" t="e">
        <f>$M$765*814.097042502388</f>
        <v>#REF!</v>
      </c>
      <c r="N770" s="48" t="e">
        <f>$N$765*1</f>
        <v>#REF!</v>
      </c>
      <c r="O770" s="48" t="e">
        <f>$O$765*814.097042502388</f>
        <v>#REF!</v>
      </c>
      <c r="P770" s="48"/>
      <c r="Q770" s="48"/>
      <c r="R770" s="371" t="e">
        <f t="shared" ref="R770:AA770" si="723">$G770*H770</f>
        <v>#REF!</v>
      </c>
      <c r="S770" s="371" t="e">
        <f t="shared" si="723"/>
        <v>#REF!</v>
      </c>
      <c r="T770" s="371" t="e">
        <f t="shared" si="723"/>
        <v>#REF!</v>
      </c>
      <c r="U770" s="371" t="e">
        <f t="shared" si="723"/>
        <v>#REF!</v>
      </c>
      <c r="V770" s="371" t="e">
        <f t="shared" si="723"/>
        <v>#REF!</v>
      </c>
      <c r="W770" s="371" t="e">
        <f t="shared" si="723"/>
        <v>#REF!</v>
      </c>
      <c r="X770" s="371" t="e">
        <f t="shared" si="723"/>
        <v>#REF!</v>
      </c>
      <c r="Y770" s="371" t="e">
        <f t="shared" si="723"/>
        <v>#REF!</v>
      </c>
      <c r="Z770" s="371" t="e">
        <f t="shared" si="723"/>
        <v>#REF!</v>
      </c>
      <c r="AA770" s="371" t="e">
        <f t="shared" si="723"/>
        <v>#REF!</v>
      </c>
      <c r="AB770" s="50"/>
    </row>
    <row r="771" ht="28.8" outlineLevel="2" spans="1:28">
      <c r="A771" s="52">
        <f>MAX($A$6:A770)+1</f>
        <v>637</v>
      </c>
      <c r="B771" s="51" t="s">
        <v>678</v>
      </c>
      <c r="C771" s="51" t="e">
        <f>VLOOKUP($B771,#REF!,MATCH(C$2,#REF!,0),0)</f>
        <v>#REF!</v>
      </c>
      <c r="D771" s="136"/>
      <c r="E771" s="136"/>
      <c r="F771" s="136" t="e">
        <f>VLOOKUP($B771,#REF!,MATCH(F$2,#REF!,0),0)</f>
        <v>#REF!</v>
      </c>
      <c r="G771" s="137" t="e">
        <f>VLOOKUP($B771,#REF!,MATCH(G$2,#REF!,0),0)</f>
        <v>#REF!</v>
      </c>
      <c r="H771" s="48" t="e">
        <f>H765*3118.07886171073</f>
        <v>#REF!</v>
      </c>
      <c r="I771" s="48" t="e">
        <f>I765*3118.07886171073</f>
        <v>#REF!</v>
      </c>
      <c r="J771" s="48" t="e">
        <f>$J$765*1918.94960729384</f>
        <v>#REF!</v>
      </c>
      <c r="K771" s="48" t="e">
        <f>$K$765*8685.81482578547</f>
        <v>#REF!</v>
      </c>
      <c r="L771" s="48" t="e">
        <f>$L$765*8685.81482578547</f>
        <v>#REF!</v>
      </c>
      <c r="M771" s="48" t="e">
        <f>$M$765*2140.64170518943</f>
        <v>#REF!</v>
      </c>
      <c r="N771" s="48" t="e">
        <f>$N$765*2472.56</f>
        <v>#REF!</v>
      </c>
      <c r="O771" s="48" t="e">
        <f>$O$765*2140.64170518943</f>
        <v>#REF!</v>
      </c>
      <c r="P771" s="48"/>
      <c r="Q771" s="48"/>
      <c r="R771" s="371" t="e">
        <f t="shared" ref="R771:AA771" si="724">$G771*H771</f>
        <v>#REF!</v>
      </c>
      <c r="S771" s="371" t="e">
        <f t="shared" si="724"/>
        <v>#REF!</v>
      </c>
      <c r="T771" s="371" t="e">
        <f t="shared" si="724"/>
        <v>#REF!</v>
      </c>
      <c r="U771" s="371" t="e">
        <f t="shared" si="724"/>
        <v>#REF!</v>
      </c>
      <c r="V771" s="371" t="e">
        <f t="shared" si="724"/>
        <v>#REF!</v>
      </c>
      <c r="W771" s="371" t="e">
        <f t="shared" si="724"/>
        <v>#REF!</v>
      </c>
      <c r="X771" s="371" t="e">
        <f t="shared" si="724"/>
        <v>#REF!</v>
      </c>
      <c r="Y771" s="371" t="e">
        <f t="shared" si="724"/>
        <v>#REF!</v>
      </c>
      <c r="Z771" s="371" t="e">
        <f t="shared" si="724"/>
        <v>#REF!</v>
      </c>
      <c r="AA771" s="371" t="e">
        <f t="shared" si="724"/>
        <v>#REF!</v>
      </c>
      <c r="AB771" s="50"/>
    </row>
    <row r="772" ht="28.8" outlineLevel="2" spans="1:28">
      <c r="A772" s="52">
        <f>MAX($A$6:A771)+1</f>
        <v>638</v>
      </c>
      <c r="B772" s="51" t="s">
        <v>679</v>
      </c>
      <c r="C772" s="51" t="e">
        <f>VLOOKUP($B772,#REF!,MATCH(C$2,#REF!,0),0)</f>
        <v>#REF!</v>
      </c>
      <c r="D772" s="136"/>
      <c r="E772" s="136"/>
      <c r="F772" s="136" t="e">
        <f>VLOOKUP($B772,#REF!,MATCH(F$2,#REF!,0),0)</f>
        <v>#REF!</v>
      </c>
      <c r="G772" s="137" t="e">
        <f>VLOOKUP($B772,#REF!,MATCH(G$2,#REF!,0),0)</f>
        <v>#REF!</v>
      </c>
      <c r="H772" s="48"/>
      <c r="I772" s="48"/>
      <c r="J772" s="48"/>
      <c r="K772" s="48"/>
      <c r="L772" s="48"/>
      <c r="M772" s="48"/>
      <c r="N772" s="48" t="e">
        <f>$N$765*1</f>
        <v>#REF!</v>
      </c>
      <c r="O772" s="48"/>
      <c r="P772" s="48"/>
      <c r="Q772" s="48"/>
      <c r="R772" s="371" t="e">
        <f t="shared" ref="R772:AA772" si="725">$G772*H772</f>
        <v>#REF!</v>
      </c>
      <c r="S772" s="371" t="e">
        <f t="shared" si="725"/>
        <v>#REF!</v>
      </c>
      <c r="T772" s="371" t="e">
        <f t="shared" si="725"/>
        <v>#REF!</v>
      </c>
      <c r="U772" s="371" t="e">
        <f t="shared" si="725"/>
        <v>#REF!</v>
      </c>
      <c r="V772" s="371" t="e">
        <f t="shared" si="725"/>
        <v>#REF!</v>
      </c>
      <c r="W772" s="371" t="e">
        <f t="shared" si="725"/>
        <v>#REF!</v>
      </c>
      <c r="X772" s="371" t="e">
        <f t="shared" si="725"/>
        <v>#REF!</v>
      </c>
      <c r="Y772" s="371" t="e">
        <f t="shared" si="725"/>
        <v>#REF!</v>
      </c>
      <c r="Z772" s="371" t="e">
        <f t="shared" si="725"/>
        <v>#REF!</v>
      </c>
      <c r="AA772" s="371" t="e">
        <f t="shared" si="725"/>
        <v>#REF!</v>
      </c>
      <c r="AB772" s="50"/>
    </row>
    <row r="773" ht="28.8" outlineLevel="2" spans="1:28">
      <c r="A773" s="52">
        <f>MAX($A$6:A772)+1</f>
        <v>639</v>
      </c>
      <c r="B773" s="51" t="s">
        <v>680</v>
      </c>
      <c r="C773" s="51" t="e">
        <f>VLOOKUP($B773,#REF!,MATCH(C$2,#REF!,0),0)</f>
        <v>#REF!</v>
      </c>
      <c r="D773" s="136"/>
      <c r="E773" s="136"/>
      <c r="F773" s="136" t="e">
        <f>VLOOKUP($B773,#REF!,MATCH(F$2,#REF!,0),0)</f>
        <v>#REF!</v>
      </c>
      <c r="G773" s="137" t="e">
        <f>VLOOKUP($B773,#REF!,MATCH(G$2,#REF!,0),0)</f>
        <v>#REF!</v>
      </c>
      <c r="H773" s="48"/>
      <c r="I773" s="48"/>
      <c r="J773" s="48" t="e">
        <f>$J$765*750</f>
        <v>#REF!</v>
      </c>
      <c r="K773" s="48"/>
      <c r="L773" s="48"/>
      <c r="M773" s="48"/>
      <c r="N773" s="48"/>
      <c r="O773" s="48"/>
      <c r="P773" s="48"/>
      <c r="Q773" s="48"/>
      <c r="R773" s="371" t="e">
        <f t="shared" ref="R773:AA773" si="726">$G773*H773</f>
        <v>#REF!</v>
      </c>
      <c r="S773" s="371" t="e">
        <f t="shared" si="726"/>
        <v>#REF!</v>
      </c>
      <c r="T773" s="371" t="e">
        <f t="shared" si="726"/>
        <v>#REF!</v>
      </c>
      <c r="U773" s="371" t="e">
        <f t="shared" si="726"/>
        <v>#REF!</v>
      </c>
      <c r="V773" s="371" t="e">
        <f t="shared" si="726"/>
        <v>#REF!</v>
      </c>
      <c r="W773" s="371" t="e">
        <f t="shared" si="726"/>
        <v>#REF!</v>
      </c>
      <c r="X773" s="371" t="e">
        <f t="shared" si="726"/>
        <v>#REF!</v>
      </c>
      <c r="Y773" s="371" t="e">
        <f t="shared" si="726"/>
        <v>#REF!</v>
      </c>
      <c r="Z773" s="371" t="e">
        <f t="shared" si="726"/>
        <v>#REF!</v>
      </c>
      <c r="AA773" s="371" t="e">
        <f t="shared" si="726"/>
        <v>#REF!</v>
      </c>
      <c r="AB773" s="50"/>
    </row>
    <row r="774" s="122" customFormat="1" outlineLevel="2" spans="1:28">
      <c r="A774" s="130"/>
      <c r="B774" s="154" t="s">
        <v>681</v>
      </c>
      <c r="C774" s="154"/>
      <c r="D774" s="154"/>
      <c r="E774" s="154"/>
      <c r="F774" s="130"/>
      <c r="G774" s="134"/>
      <c r="H774" s="134"/>
      <c r="I774" s="134"/>
      <c r="J774" s="134"/>
      <c r="K774" s="134"/>
      <c r="L774" s="134"/>
      <c r="M774" s="134"/>
      <c r="N774" s="134"/>
      <c r="O774" s="134"/>
      <c r="P774" s="134"/>
      <c r="Q774" s="134"/>
      <c r="R774" s="367"/>
      <c r="S774" s="367"/>
      <c r="T774" s="367"/>
      <c r="U774" s="367"/>
      <c r="V774" s="371"/>
      <c r="W774" s="367"/>
      <c r="X774" s="367"/>
      <c r="Y774" s="367"/>
      <c r="Z774" s="367"/>
      <c r="AA774" s="367"/>
      <c r="AB774" s="130"/>
    </row>
    <row r="775" ht="28.8" outlineLevel="2" spans="1:28">
      <c r="A775" s="52">
        <f>MAX($A$6:A774)+1</f>
        <v>640</v>
      </c>
      <c r="B775" s="51" t="s">
        <v>572</v>
      </c>
      <c r="C775" s="51" t="e">
        <f>VLOOKUP($B775,#REF!,MATCH(C$2,#REF!,0),0)</f>
        <v>#REF!</v>
      </c>
      <c r="D775" s="136"/>
      <c r="E775" s="136"/>
      <c r="F775" s="136" t="e">
        <f>VLOOKUP($B775,#REF!,MATCH(F$2,#REF!,0),0)</f>
        <v>#REF!</v>
      </c>
      <c r="G775" s="137" t="e">
        <f>VLOOKUP($B775,#REF!,MATCH(G$2,#REF!,0),0)</f>
        <v>#REF!</v>
      </c>
      <c r="H775" s="48"/>
      <c r="I775" s="48"/>
      <c r="J775" s="48" t="e">
        <f>$J$765*1</f>
        <v>#REF!</v>
      </c>
      <c r="K775" s="48"/>
      <c r="L775" s="48"/>
      <c r="M775" s="48"/>
      <c r="N775" s="48"/>
      <c r="O775" s="48"/>
      <c r="P775" s="48"/>
      <c r="Q775" s="48"/>
      <c r="R775" s="371" t="e">
        <f>$G775*H775</f>
        <v>#REF!</v>
      </c>
      <c r="S775" s="371" t="e">
        <f t="shared" ref="S775:AA775" si="727">$G775*I775</f>
        <v>#REF!</v>
      </c>
      <c r="T775" s="371" t="e">
        <f t="shared" si="727"/>
        <v>#REF!</v>
      </c>
      <c r="U775" s="371" t="e">
        <f t="shared" si="727"/>
        <v>#REF!</v>
      </c>
      <c r="V775" s="371" t="e">
        <f t="shared" si="727"/>
        <v>#REF!</v>
      </c>
      <c r="W775" s="371" t="e">
        <f t="shared" si="727"/>
        <v>#REF!</v>
      </c>
      <c r="X775" s="371" t="e">
        <f t="shared" si="727"/>
        <v>#REF!</v>
      </c>
      <c r="Y775" s="371" t="e">
        <f t="shared" si="727"/>
        <v>#REF!</v>
      </c>
      <c r="Z775" s="371" t="e">
        <f t="shared" si="727"/>
        <v>#REF!</v>
      </c>
      <c r="AA775" s="371" t="e">
        <f t="shared" si="727"/>
        <v>#REF!</v>
      </c>
      <c r="AB775" s="50"/>
    </row>
    <row r="776" ht="28.8" outlineLevel="2" spans="1:28">
      <c r="A776" s="52">
        <f>MAX($A$6:A775)+1</f>
        <v>641</v>
      </c>
      <c r="B776" s="51" t="s">
        <v>476</v>
      </c>
      <c r="C776" s="51" t="e">
        <f>VLOOKUP($B776,#REF!,MATCH(C$2,#REF!,0),0)</f>
        <v>#REF!</v>
      </c>
      <c r="D776" s="136"/>
      <c r="E776" s="136"/>
      <c r="F776" s="136" t="e">
        <f>VLOOKUP($B776,#REF!,MATCH(F$2,#REF!,0),0)</f>
        <v>#REF!</v>
      </c>
      <c r="G776" s="137" t="e">
        <f>VLOOKUP($B776,#REF!,MATCH(G$2,#REF!,0),0)</f>
        <v>#REF!</v>
      </c>
      <c r="H776" s="48"/>
      <c r="I776" s="48"/>
      <c r="J776" s="48" t="e">
        <f>$J$765*1</f>
        <v>#REF!</v>
      </c>
      <c r="K776" s="48"/>
      <c r="L776" s="48"/>
      <c r="M776" s="48"/>
      <c r="N776" s="48"/>
      <c r="O776" s="48"/>
      <c r="P776" s="48"/>
      <c r="Q776" s="48"/>
      <c r="R776" s="371" t="e">
        <f t="shared" ref="R776:AA776" si="728">$G776*H776</f>
        <v>#REF!</v>
      </c>
      <c r="S776" s="371" t="e">
        <f t="shared" si="728"/>
        <v>#REF!</v>
      </c>
      <c r="T776" s="371" t="e">
        <f t="shared" si="728"/>
        <v>#REF!</v>
      </c>
      <c r="U776" s="371" t="e">
        <f t="shared" si="728"/>
        <v>#REF!</v>
      </c>
      <c r="V776" s="371" t="e">
        <f t="shared" si="728"/>
        <v>#REF!</v>
      </c>
      <c r="W776" s="371" t="e">
        <f t="shared" si="728"/>
        <v>#REF!</v>
      </c>
      <c r="X776" s="371" t="e">
        <f t="shared" si="728"/>
        <v>#REF!</v>
      </c>
      <c r="Y776" s="371" t="e">
        <f t="shared" si="728"/>
        <v>#REF!</v>
      </c>
      <c r="Z776" s="371" t="e">
        <f t="shared" si="728"/>
        <v>#REF!</v>
      </c>
      <c r="AA776" s="371" t="e">
        <f t="shared" si="728"/>
        <v>#REF!</v>
      </c>
      <c r="AB776" s="50"/>
    </row>
    <row r="777" outlineLevel="2" spans="1:28">
      <c r="A777" s="52">
        <f>MAX($A$6:A776)+1</f>
        <v>642</v>
      </c>
      <c r="B777" s="51" t="s">
        <v>568</v>
      </c>
      <c r="C777" s="51" t="e">
        <f>VLOOKUP($B777,#REF!,MATCH(C$2,#REF!,0),0)</f>
        <v>#REF!</v>
      </c>
      <c r="D777" s="136"/>
      <c r="E777" s="136"/>
      <c r="F777" s="136" t="e">
        <f>VLOOKUP($B777,#REF!,MATCH(F$2,#REF!,0),0)</f>
        <v>#REF!</v>
      </c>
      <c r="G777" s="137" t="e">
        <f>VLOOKUP($B777,#REF!,MATCH(G$2,#REF!,0),0)</f>
        <v>#REF!</v>
      </c>
      <c r="H777" s="48"/>
      <c r="I777" s="48"/>
      <c r="J777" s="48" t="e">
        <f>$J$765*1</f>
        <v>#REF!</v>
      </c>
      <c r="K777" s="48"/>
      <c r="L777" s="48"/>
      <c r="M777" s="48"/>
      <c r="N777" s="48"/>
      <c r="O777" s="48"/>
      <c r="P777" s="48"/>
      <c r="Q777" s="48"/>
      <c r="R777" s="371" t="e">
        <f t="shared" ref="R777:AA777" si="729">$G777*H777</f>
        <v>#REF!</v>
      </c>
      <c r="S777" s="371" t="e">
        <f t="shared" si="729"/>
        <v>#REF!</v>
      </c>
      <c r="T777" s="371" t="e">
        <f t="shared" si="729"/>
        <v>#REF!</v>
      </c>
      <c r="U777" s="371" t="e">
        <f t="shared" si="729"/>
        <v>#REF!</v>
      </c>
      <c r="V777" s="371" t="e">
        <f t="shared" si="729"/>
        <v>#REF!</v>
      </c>
      <c r="W777" s="371" t="e">
        <f t="shared" si="729"/>
        <v>#REF!</v>
      </c>
      <c r="X777" s="371" t="e">
        <f t="shared" si="729"/>
        <v>#REF!</v>
      </c>
      <c r="Y777" s="371" t="e">
        <f t="shared" si="729"/>
        <v>#REF!</v>
      </c>
      <c r="Z777" s="371" t="e">
        <f t="shared" si="729"/>
        <v>#REF!</v>
      </c>
      <c r="AA777" s="371" t="e">
        <f t="shared" si="729"/>
        <v>#REF!</v>
      </c>
      <c r="AB777" s="50"/>
    </row>
    <row r="778" ht="28.8" outlineLevel="2" spans="1:28">
      <c r="A778" s="52">
        <f>MAX($A$6:A777)+1</f>
        <v>643</v>
      </c>
      <c r="B778" s="51" t="s">
        <v>569</v>
      </c>
      <c r="C778" s="51" t="e">
        <f>VLOOKUP($B778,#REF!,MATCH(C$2,#REF!,0),0)</f>
        <v>#REF!</v>
      </c>
      <c r="D778" s="136"/>
      <c r="E778" s="136"/>
      <c r="F778" s="136" t="e">
        <f>VLOOKUP($B778,#REF!,MATCH(F$2,#REF!,0),0)</f>
        <v>#REF!</v>
      </c>
      <c r="G778" s="137" t="e">
        <f>VLOOKUP($B778,#REF!,MATCH(G$2,#REF!,0),0)</f>
        <v>#REF!</v>
      </c>
      <c r="H778" s="48"/>
      <c r="I778" s="48"/>
      <c r="J778" s="48" t="e">
        <f>$J$765*1</f>
        <v>#REF!</v>
      </c>
      <c r="K778" s="48"/>
      <c r="L778" s="48"/>
      <c r="M778" s="48"/>
      <c r="N778" s="48"/>
      <c r="O778" s="48"/>
      <c r="P778" s="48"/>
      <c r="Q778" s="48"/>
      <c r="R778" s="371" t="e">
        <f t="shared" ref="R778:AA778" si="730">$G778*H778</f>
        <v>#REF!</v>
      </c>
      <c r="S778" s="371" t="e">
        <f t="shared" si="730"/>
        <v>#REF!</v>
      </c>
      <c r="T778" s="371" t="e">
        <f t="shared" si="730"/>
        <v>#REF!</v>
      </c>
      <c r="U778" s="371" t="e">
        <f t="shared" si="730"/>
        <v>#REF!</v>
      </c>
      <c r="V778" s="371" t="e">
        <f t="shared" si="730"/>
        <v>#REF!</v>
      </c>
      <c r="W778" s="371" t="e">
        <f t="shared" si="730"/>
        <v>#REF!</v>
      </c>
      <c r="X778" s="371" t="e">
        <f t="shared" si="730"/>
        <v>#REF!</v>
      </c>
      <c r="Y778" s="371" t="e">
        <f t="shared" si="730"/>
        <v>#REF!</v>
      </c>
      <c r="Z778" s="371" t="e">
        <f t="shared" si="730"/>
        <v>#REF!</v>
      </c>
      <c r="AA778" s="371" t="e">
        <f t="shared" si="730"/>
        <v>#REF!</v>
      </c>
      <c r="AB778" s="50"/>
    </row>
    <row r="779" s="122" customFormat="1" outlineLevel="2" spans="1:28">
      <c r="A779" s="130"/>
      <c r="B779" s="154" t="s">
        <v>681</v>
      </c>
      <c r="C779" s="154"/>
      <c r="D779" s="154"/>
      <c r="E779" s="154"/>
      <c r="F779" s="130"/>
      <c r="G779" s="134"/>
      <c r="H779" s="134"/>
      <c r="I779" s="134"/>
      <c r="J779" s="134"/>
      <c r="K779" s="134"/>
      <c r="L779" s="134"/>
      <c r="M779" s="134"/>
      <c r="N779" s="134"/>
      <c r="O779" s="134"/>
      <c r="P779" s="134"/>
      <c r="Q779" s="134"/>
      <c r="R779" s="367"/>
      <c r="S779" s="367"/>
      <c r="T779" s="367"/>
      <c r="U779" s="367"/>
      <c r="V779" s="371"/>
      <c r="W779" s="367"/>
      <c r="X779" s="367"/>
      <c r="Y779" s="367"/>
      <c r="Z779" s="367"/>
      <c r="AA779" s="367"/>
      <c r="AB779" s="130"/>
    </row>
    <row r="780" ht="28.8" outlineLevel="2" spans="1:28">
      <c r="A780" s="52">
        <f>MAX($A$6:A779)+1</f>
        <v>644</v>
      </c>
      <c r="B780" s="51" t="s">
        <v>682</v>
      </c>
      <c r="C780" s="51" t="e">
        <f>VLOOKUP($B780,#REF!,MATCH(C$2,#REF!,0),0)</f>
        <v>#REF!</v>
      </c>
      <c r="D780" s="136"/>
      <c r="E780" s="136"/>
      <c r="F780" s="136" t="e">
        <f>VLOOKUP($B780,#REF!,MATCH(F$2,#REF!,0),0)</f>
        <v>#REF!</v>
      </c>
      <c r="G780" s="137" t="e">
        <f>VLOOKUP($B780,#REF!,MATCH(G$2,#REF!,0),0)</f>
        <v>#REF!</v>
      </c>
      <c r="H780" s="48"/>
      <c r="I780" s="48"/>
      <c r="J780" s="48" t="e">
        <f t="shared" ref="J780:J788" si="731">$J$765*1</f>
        <v>#REF!</v>
      </c>
      <c r="K780" s="48"/>
      <c r="L780" s="48"/>
      <c r="M780" s="48"/>
      <c r="N780" s="48"/>
      <c r="O780" s="48"/>
      <c r="P780" s="48"/>
      <c r="Q780" s="48"/>
      <c r="R780" s="371" t="e">
        <f>$G780*H780</f>
        <v>#REF!</v>
      </c>
      <c r="S780" s="371" t="e">
        <f t="shared" ref="S780:AA780" si="732">$G780*I780</f>
        <v>#REF!</v>
      </c>
      <c r="T780" s="371" t="e">
        <f t="shared" si="732"/>
        <v>#REF!</v>
      </c>
      <c r="U780" s="371" t="e">
        <f t="shared" si="732"/>
        <v>#REF!</v>
      </c>
      <c r="V780" s="371" t="e">
        <f t="shared" si="732"/>
        <v>#REF!</v>
      </c>
      <c r="W780" s="371" t="e">
        <f t="shared" si="732"/>
        <v>#REF!</v>
      </c>
      <c r="X780" s="371" t="e">
        <f t="shared" si="732"/>
        <v>#REF!</v>
      </c>
      <c r="Y780" s="371" t="e">
        <f t="shared" si="732"/>
        <v>#REF!</v>
      </c>
      <c r="Z780" s="371" t="e">
        <f t="shared" si="732"/>
        <v>#REF!</v>
      </c>
      <c r="AA780" s="371" t="e">
        <f t="shared" si="732"/>
        <v>#REF!</v>
      </c>
      <c r="AB780" s="50"/>
    </row>
    <row r="781" ht="28.8" outlineLevel="2" spans="1:28">
      <c r="A781" s="52">
        <f>MAX($A$6:A780)+1</f>
        <v>645</v>
      </c>
      <c r="B781" s="51" t="s">
        <v>683</v>
      </c>
      <c r="C781" s="51" t="e">
        <f>VLOOKUP($B781,#REF!,MATCH(C$2,#REF!,0),0)</f>
        <v>#REF!</v>
      </c>
      <c r="D781" s="136"/>
      <c r="E781" s="136"/>
      <c r="F781" s="136" t="e">
        <f>VLOOKUP($B781,#REF!,MATCH(F$2,#REF!,0),0)</f>
        <v>#REF!</v>
      </c>
      <c r="G781" s="137" t="e">
        <f>VLOOKUP($B781,#REF!,MATCH(G$2,#REF!,0),0)</f>
        <v>#REF!</v>
      </c>
      <c r="H781" s="48"/>
      <c r="I781" s="48"/>
      <c r="J781" s="48" t="e">
        <f t="shared" si="731"/>
        <v>#REF!</v>
      </c>
      <c r="K781" s="48"/>
      <c r="L781" s="48"/>
      <c r="M781" s="48"/>
      <c r="N781" s="48"/>
      <c r="O781" s="48"/>
      <c r="P781" s="48"/>
      <c r="Q781" s="48"/>
      <c r="R781" s="371" t="e">
        <f t="shared" ref="R781:AA781" si="733">$G781*H781</f>
        <v>#REF!</v>
      </c>
      <c r="S781" s="371" t="e">
        <f t="shared" si="733"/>
        <v>#REF!</v>
      </c>
      <c r="T781" s="371" t="e">
        <f t="shared" si="733"/>
        <v>#REF!</v>
      </c>
      <c r="U781" s="371" t="e">
        <f t="shared" si="733"/>
        <v>#REF!</v>
      </c>
      <c r="V781" s="371" t="e">
        <f t="shared" si="733"/>
        <v>#REF!</v>
      </c>
      <c r="W781" s="371" t="e">
        <f t="shared" si="733"/>
        <v>#REF!</v>
      </c>
      <c r="X781" s="371" t="e">
        <f t="shared" si="733"/>
        <v>#REF!</v>
      </c>
      <c r="Y781" s="371" t="e">
        <f t="shared" si="733"/>
        <v>#REF!</v>
      </c>
      <c r="Z781" s="371" t="e">
        <f t="shared" si="733"/>
        <v>#REF!</v>
      </c>
      <c r="AA781" s="371" t="e">
        <f t="shared" si="733"/>
        <v>#REF!</v>
      </c>
      <c r="AB781" s="50"/>
    </row>
    <row r="782" ht="28.8" outlineLevel="2" spans="1:28">
      <c r="A782" s="52">
        <f>MAX($A$6:A781)+1</f>
        <v>646</v>
      </c>
      <c r="B782" s="51" t="s">
        <v>476</v>
      </c>
      <c r="C782" s="51" t="e">
        <f>VLOOKUP($B782,#REF!,MATCH(C$2,#REF!,0),0)</f>
        <v>#REF!</v>
      </c>
      <c r="D782" s="136"/>
      <c r="E782" s="136"/>
      <c r="F782" s="136" t="e">
        <f>VLOOKUP($B782,#REF!,MATCH(F$2,#REF!,0),0)</f>
        <v>#REF!</v>
      </c>
      <c r="G782" s="137" t="e">
        <f>VLOOKUP($B782,#REF!,MATCH(G$2,#REF!,0),0)</f>
        <v>#REF!</v>
      </c>
      <c r="H782" s="48"/>
      <c r="I782" s="48"/>
      <c r="J782" s="48" t="e">
        <f t="shared" si="731"/>
        <v>#REF!</v>
      </c>
      <c r="K782" s="48"/>
      <c r="L782" s="48"/>
      <c r="M782" s="48"/>
      <c r="N782" s="48"/>
      <c r="O782" s="48"/>
      <c r="P782" s="48"/>
      <c r="Q782" s="48"/>
      <c r="R782" s="371" t="e">
        <f t="shared" ref="R782:AA782" si="734">$G782*H782</f>
        <v>#REF!</v>
      </c>
      <c r="S782" s="371" t="e">
        <f t="shared" si="734"/>
        <v>#REF!</v>
      </c>
      <c r="T782" s="371" t="e">
        <f t="shared" si="734"/>
        <v>#REF!</v>
      </c>
      <c r="U782" s="371" t="e">
        <f t="shared" si="734"/>
        <v>#REF!</v>
      </c>
      <c r="V782" s="371" t="e">
        <f t="shared" si="734"/>
        <v>#REF!</v>
      </c>
      <c r="W782" s="371" t="e">
        <f t="shared" si="734"/>
        <v>#REF!</v>
      </c>
      <c r="X782" s="371" t="e">
        <f t="shared" si="734"/>
        <v>#REF!</v>
      </c>
      <c r="Y782" s="371" t="e">
        <f t="shared" si="734"/>
        <v>#REF!</v>
      </c>
      <c r="Z782" s="371" t="e">
        <f t="shared" si="734"/>
        <v>#REF!</v>
      </c>
      <c r="AA782" s="371" t="e">
        <f t="shared" si="734"/>
        <v>#REF!</v>
      </c>
      <c r="AB782" s="50"/>
    </row>
    <row r="783" ht="28.8" outlineLevel="2" spans="1:28">
      <c r="A783" s="52">
        <f>MAX($A$6:A782)+1</f>
        <v>647</v>
      </c>
      <c r="B783" s="51" t="s">
        <v>684</v>
      </c>
      <c r="C783" s="51" t="e">
        <f>VLOOKUP($B783,#REF!,MATCH(C$2,#REF!,0),0)</f>
        <v>#REF!</v>
      </c>
      <c r="D783" s="136"/>
      <c r="E783" s="136"/>
      <c r="F783" s="136" t="e">
        <f>VLOOKUP($B783,#REF!,MATCH(F$2,#REF!,0),0)</f>
        <v>#REF!</v>
      </c>
      <c r="G783" s="137" t="e">
        <f>VLOOKUP($B783,#REF!,MATCH(G$2,#REF!,0),0)</f>
        <v>#REF!</v>
      </c>
      <c r="H783" s="48"/>
      <c r="I783" s="48"/>
      <c r="J783" s="48" t="e">
        <f t="shared" si="731"/>
        <v>#REF!</v>
      </c>
      <c r="K783" s="48"/>
      <c r="L783" s="48"/>
      <c r="M783" s="48"/>
      <c r="N783" s="48"/>
      <c r="O783" s="48"/>
      <c r="P783" s="48"/>
      <c r="Q783" s="48"/>
      <c r="R783" s="371" t="e">
        <f t="shared" ref="R783:AA783" si="735">$G783*H783</f>
        <v>#REF!</v>
      </c>
      <c r="S783" s="371" t="e">
        <f t="shared" si="735"/>
        <v>#REF!</v>
      </c>
      <c r="T783" s="371" t="e">
        <f t="shared" si="735"/>
        <v>#REF!</v>
      </c>
      <c r="U783" s="371" t="e">
        <f t="shared" si="735"/>
        <v>#REF!</v>
      </c>
      <c r="V783" s="371" t="e">
        <f t="shared" si="735"/>
        <v>#REF!</v>
      </c>
      <c r="W783" s="371" t="e">
        <f t="shared" si="735"/>
        <v>#REF!</v>
      </c>
      <c r="X783" s="371" t="e">
        <f t="shared" si="735"/>
        <v>#REF!</v>
      </c>
      <c r="Y783" s="371" t="e">
        <f t="shared" si="735"/>
        <v>#REF!</v>
      </c>
      <c r="Z783" s="371" t="e">
        <f t="shared" si="735"/>
        <v>#REF!</v>
      </c>
      <c r="AA783" s="371" t="e">
        <f t="shared" si="735"/>
        <v>#REF!</v>
      </c>
      <c r="AB783" s="50"/>
    </row>
    <row r="784" ht="28.8" outlineLevel="2" spans="1:28">
      <c r="A784" s="52">
        <f>MAX($A$6:A783)+1</f>
        <v>648</v>
      </c>
      <c r="B784" s="51" t="s">
        <v>685</v>
      </c>
      <c r="C784" s="51" t="e">
        <f>VLOOKUP($B784,#REF!,MATCH(C$2,#REF!,0),0)</f>
        <v>#REF!</v>
      </c>
      <c r="D784" s="136"/>
      <c r="E784" s="136"/>
      <c r="F784" s="136" t="e">
        <f>VLOOKUP($B784,#REF!,MATCH(F$2,#REF!,0),0)</f>
        <v>#REF!</v>
      </c>
      <c r="G784" s="137" t="e">
        <f>VLOOKUP($B784,#REF!,MATCH(G$2,#REF!,0),0)</f>
        <v>#REF!</v>
      </c>
      <c r="H784" s="48"/>
      <c r="I784" s="48"/>
      <c r="J784" s="48" t="e">
        <f t="shared" si="731"/>
        <v>#REF!</v>
      </c>
      <c r="K784" s="48"/>
      <c r="L784" s="48"/>
      <c r="M784" s="48"/>
      <c r="N784" s="48"/>
      <c r="O784" s="48"/>
      <c r="P784" s="48"/>
      <c r="Q784" s="48"/>
      <c r="R784" s="371" t="e">
        <f t="shared" ref="R784:AA784" si="736">$G784*H784</f>
        <v>#REF!</v>
      </c>
      <c r="S784" s="371" t="e">
        <f t="shared" si="736"/>
        <v>#REF!</v>
      </c>
      <c r="T784" s="371" t="e">
        <f t="shared" si="736"/>
        <v>#REF!</v>
      </c>
      <c r="U784" s="371" t="e">
        <f t="shared" si="736"/>
        <v>#REF!</v>
      </c>
      <c r="V784" s="371" t="e">
        <f t="shared" si="736"/>
        <v>#REF!</v>
      </c>
      <c r="W784" s="371" t="e">
        <f t="shared" si="736"/>
        <v>#REF!</v>
      </c>
      <c r="X784" s="371" t="e">
        <f t="shared" si="736"/>
        <v>#REF!</v>
      </c>
      <c r="Y784" s="371" t="e">
        <f t="shared" si="736"/>
        <v>#REF!</v>
      </c>
      <c r="Z784" s="371" t="e">
        <f t="shared" si="736"/>
        <v>#REF!</v>
      </c>
      <c r="AA784" s="371" t="e">
        <f t="shared" si="736"/>
        <v>#REF!</v>
      </c>
      <c r="AB784" s="50"/>
    </row>
    <row r="785" ht="28.8" outlineLevel="2" spans="1:28">
      <c r="A785" s="52">
        <f>MAX($A$6:A784)+1</f>
        <v>649</v>
      </c>
      <c r="B785" s="51" t="s">
        <v>686</v>
      </c>
      <c r="C785" s="51" t="e">
        <f>VLOOKUP($B785,#REF!,MATCH(C$2,#REF!,0),0)</f>
        <v>#REF!</v>
      </c>
      <c r="D785" s="136"/>
      <c r="E785" s="136"/>
      <c r="F785" s="136" t="e">
        <f>VLOOKUP($B785,#REF!,MATCH(F$2,#REF!,0),0)</f>
        <v>#REF!</v>
      </c>
      <c r="G785" s="137" t="e">
        <f>VLOOKUP($B785,#REF!,MATCH(G$2,#REF!,0),0)</f>
        <v>#REF!</v>
      </c>
      <c r="H785" s="48"/>
      <c r="I785" s="48"/>
      <c r="J785" s="48" t="e">
        <f t="shared" si="731"/>
        <v>#REF!</v>
      </c>
      <c r="K785" s="48"/>
      <c r="L785" s="48"/>
      <c r="M785" s="48"/>
      <c r="N785" s="48"/>
      <c r="O785" s="48"/>
      <c r="P785" s="48"/>
      <c r="Q785" s="48"/>
      <c r="R785" s="371" t="e">
        <f t="shared" ref="R785:AA785" si="737">$G785*H785</f>
        <v>#REF!</v>
      </c>
      <c r="S785" s="371" t="e">
        <f t="shared" si="737"/>
        <v>#REF!</v>
      </c>
      <c r="T785" s="371" t="e">
        <f t="shared" si="737"/>
        <v>#REF!</v>
      </c>
      <c r="U785" s="371" t="e">
        <f t="shared" si="737"/>
        <v>#REF!</v>
      </c>
      <c r="V785" s="371" t="e">
        <f t="shared" si="737"/>
        <v>#REF!</v>
      </c>
      <c r="W785" s="371" t="e">
        <f t="shared" si="737"/>
        <v>#REF!</v>
      </c>
      <c r="X785" s="371" t="e">
        <f t="shared" si="737"/>
        <v>#REF!</v>
      </c>
      <c r="Y785" s="371" t="e">
        <f t="shared" si="737"/>
        <v>#REF!</v>
      </c>
      <c r="Z785" s="371" t="e">
        <f t="shared" si="737"/>
        <v>#REF!</v>
      </c>
      <c r="AA785" s="371" t="e">
        <f t="shared" si="737"/>
        <v>#REF!</v>
      </c>
      <c r="AB785" s="50"/>
    </row>
    <row r="786" ht="28.8" outlineLevel="2" spans="1:28">
      <c r="A786" s="52">
        <f>MAX($A$6:A785)+1</f>
        <v>650</v>
      </c>
      <c r="B786" s="51" t="s">
        <v>687</v>
      </c>
      <c r="C786" s="51" t="e">
        <f>VLOOKUP($B786,#REF!,MATCH(C$2,#REF!,0),0)</f>
        <v>#REF!</v>
      </c>
      <c r="D786" s="136"/>
      <c r="E786" s="136"/>
      <c r="F786" s="136" t="e">
        <f>VLOOKUP($B786,#REF!,MATCH(F$2,#REF!,0),0)</f>
        <v>#REF!</v>
      </c>
      <c r="G786" s="137" t="e">
        <f>VLOOKUP($B786,#REF!,MATCH(G$2,#REF!,0),0)</f>
        <v>#REF!</v>
      </c>
      <c r="H786" s="48"/>
      <c r="I786" s="48"/>
      <c r="J786" s="48" t="e">
        <f t="shared" si="731"/>
        <v>#REF!</v>
      </c>
      <c r="K786" s="48"/>
      <c r="L786" s="48"/>
      <c r="M786" s="48"/>
      <c r="N786" s="48"/>
      <c r="O786" s="48"/>
      <c r="P786" s="48"/>
      <c r="Q786" s="48"/>
      <c r="R786" s="371" t="e">
        <f t="shared" ref="R786:AA786" si="738">$G786*H786</f>
        <v>#REF!</v>
      </c>
      <c r="S786" s="371" t="e">
        <f t="shared" si="738"/>
        <v>#REF!</v>
      </c>
      <c r="T786" s="371" t="e">
        <f t="shared" si="738"/>
        <v>#REF!</v>
      </c>
      <c r="U786" s="371" t="e">
        <f t="shared" si="738"/>
        <v>#REF!</v>
      </c>
      <c r="V786" s="371" t="e">
        <f t="shared" si="738"/>
        <v>#REF!</v>
      </c>
      <c r="W786" s="371" t="e">
        <f t="shared" si="738"/>
        <v>#REF!</v>
      </c>
      <c r="X786" s="371" t="e">
        <f t="shared" si="738"/>
        <v>#REF!</v>
      </c>
      <c r="Y786" s="371" t="e">
        <f t="shared" si="738"/>
        <v>#REF!</v>
      </c>
      <c r="Z786" s="371" t="e">
        <f t="shared" si="738"/>
        <v>#REF!</v>
      </c>
      <c r="AA786" s="371" t="e">
        <f t="shared" si="738"/>
        <v>#REF!</v>
      </c>
      <c r="AB786" s="50"/>
    </row>
    <row r="787" outlineLevel="2" spans="1:28">
      <c r="A787" s="52">
        <f>MAX($A$6:A786)+1</f>
        <v>651</v>
      </c>
      <c r="B787" s="51" t="s">
        <v>568</v>
      </c>
      <c r="C787" s="51" t="e">
        <f>VLOOKUP($B787,#REF!,MATCH(C$2,#REF!,0),0)</f>
        <v>#REF!</v>
      </c>
      <c r="D787" s="136"/>
      <c r="E787" s="136"/>
      <c r="F787" s="136" t="e">
        <f>VLOOKUP($B787,#REF!,MATCH(F$2,#REF!,0),0)</f>
        <v>#REF!</v>
      </c>
      <c r="G787" s="137" t="e">
        <f>VLOOKUP($B787,#REF!,MATCH(G$2,#REF!,0),0)</f>
        <v>#REF!</v>
      </c>
      <c r="H787" s="48"/>
      <c r="I787" s="48"/>
      <c r="J787" s="48" t="e">
        <f t="shared" si="731"/>
        <v>#REF!</v>
      </c>
      <c r="K787" s="48"/>
      <c r="L787" s="48"/>
      <c r="M787" s="48"/>
      <c r="N787" s="48"/>
      <c r="O787" s="48"/>
      <c r="P787" s="48"/>
      <c r="Q787" s="48"/>
      <c r="R787" s="371" t="e">
        <f t="shared" ref="R787:AA787" si="739">$G787*H787</f>
        <v>#REF!</v>
      </c>
      <c r="S787" s="371" t="e">
        <f t="shared" si="739"/>
        <v>#REF!</v>
      </c>
      <c r="T787" s="371" t="e">
        <f t="shared" si="739"/>
        <v>#REF!</v>
      </c>
      <c r="U787" s="371" t="e">
        <f t="shared" si="739"/>
        <v>#REF!</v>
      </c>
      <c r="V787" s="371" t="e">
        <f t="shared" si="739"/>
        <v>#REF!</v>
      </c>
      <c r="W787" s="371" t="e">
        <f t="shared" si="739"/>
        <v>#REF!</v>
      </c>
      <c r="X787" s="371" t="e">
        <f t="shared" si="739"/>
        <v>#REF!</v>
      </c>
      <c r="Y787" s="371" t="e">
        <f t="shared" si="739"/>
        <v>#REF!</v>
      </c>
      <c r="Z787" s="371" t="e">
        <f t="shared" si="739"/>
        <v>#REF!</v>
      </c>
      <c r="AA787" s="371" t="e">
        <f t="shared" si="739"/>
        <v>#REF!</v>
      </c>
      <c r="AB787" s="50"/>
    </row>
    <row r="788" ht="28.8" outlineLevel="2" spans="1:28">
      <c r="A788" s="52">
        <f>MAX($A$6:A787)+1</f>
        <v>652</v>
      </c>
      <c r="B788" s="51" t="s">
        <v>569</v>
      </c>
      <c r="C788" s="51" t="e">
        <f>VLOOKUP($B788,#REF!,MATCH(C$2,#REF!,0),0)</f>
        <v>#REF!</v>
      </c>
      <c r="D788" s="136"/>
      <c r="E788" s="136"/>
      <c r="F788" s="136" t="e">
        <f>VLOOKUP($B788,#REF!,MATCH(F$2,#REF!,0),0)</f>
        <v>#REF!</v>
      </c>
      <c r="G788" s="137" t="e">
        <f>VLOOKUP($B788,#REF!,MATCH(G$2,#REF!,0),0)</f>
        <v>#REF!</v>
      </c>
      <c r="H788" s="48"/>
      <c r="I788" s="48"/>
      <c r="J788" s="48" t="e">
        <f t="shared" si="731"/>
        <v>#REF!</v>
      </c>
      <c r="K788" s="48"/>
      <c r="L788" s="48"/>
      <c r="M788" s="48"/>
      <c r="N788" s="48"/>
      <c r="O788" s="48"/>
      <c r="P788" s="48"/>
      <c r="Q788" s="48"/>
      <c r="R788" s="371" t="e">
        <f t="shared" ref="R788:AA788" si="740">$G788*H788</f>
        <v>#REF!</v>
      </c>
      <c r="S788" s="371" t="e">
        <f t="shared" si="740"/>
        <v>#REF!</v>
      </c>
      <c r="T788" s="371" t="e">
        <f t="shared" si="740"/>
        <v>#REF!</v>
      </c>
      <c r="U788" s="371" t="e">
        <f t="shared" si="740"/>
        <v>#REF!</v>
      </c>
      <c r="V788" s="371" t="e">
        <f t="shared" si="740"/>
        <v>#REF!</v>
      </c>
      <c r="W788" s="371" t="e">
        <f t="shared" si="740"/>
        <v>#REF!</v>
      </c>
      <c r="X788" s="371" t="e">
        <f t="shared" si="740"/>
        <v>#REF!</v>
      </c>
      <c r="Y788" s="371" t="e">
        <f t="shared" si="740"/>
        <v>#REF!</v>
      </c>
      <c r="Z788" s="371" t="e">
        <f t="shared" si="740"/>
        <v>#REF!</v>
      </c>
      <c r="AA788" s="371" t="e">
        <f t="shared" si="740"/>
        <v>#REF!</v>
      </c>
      <c r="AB788" s="50"/>
    </row>
    <row r="789" ht="28.8" outlineLevel="2" spans="1:28">
      <c r="A789" s="52">
        <f>MAX($A$6:A788)+1</f>
        <v>653</v>
      </c>
      <c r="B789" s="51" t="s">
        <v>688</v>
      </c>
      <c r="C789" s="51" t="e">
        <f>VLOOKUP($B789,#REF!,MATCH(C$2,#REF!,0),0)</f>
        <v>#REF!</v>
      </c>
      <c r="D789" s="136"/>
      <c r="E789" s="136"/>
      <c r="F789" s="136" t="e">
        <f>VLOOKUP($B789,#REF!,MATCH(F$2,#REF!,0),0)</f>
        <v>#REF!</v>
      </c>
      <c r="G789" s="137" t="e">
        <f>VLOOKUP($B789,#REF!,MATCH(G$2,#REF!,0),0)</f>
        <v>#REF!</v>
      </c>
      <c r="H789" s="48"/>
      <c r="I789" s="48"/>
      <c r="J789" s="48" t="e">
        <f>$J$765*643.2</f>
        <v>#REF!</v>
      </c>
      <c r="K789" s="48"/>
      <c r="L789" s="48"/>
      <c r="M789" s="48"/>
      <c r="N789" s="48" t="e">
        <f>$N$765*1</f>
        <v>#REF!</v>
      </c>
      <c r="O789" s="48"/>
      <c r="P789" s="48"/>
      <c r="Q789" s="48"/>
      <c r="R789" s="371" t="e">
        <f t="shared" ref="R789:AA789" si="741">$G789*H789</f>
        <v>#REF!</v>
      </c>
      <c r="S789" s="371" t="e">
        <f t="shared" si="741"/>
        <v>#REF!</v>
      </c>
      <c r="T789" s="371" t="e">
        <f t="shared" si="741"/>
        <v>#REF!</v>
      </c>
      <c r="U789" s="371" t="e">
        <f t="shared" si="741"/>
        <v>#REF!</v>
      </c>
      <c r="V789" s="371" t="e">
        <f t="shared" si="741"/>
        <v>#REF!</v>
      </c>
      <c r="W789" s="371" t="e">
        <f t="shared" si="741"/>
        <v>#REF!</v>
      </c>
      <c r="X789" s="371" t="e">
        <f t="shared" si="741"/>
        <v>#REF!</v>
      </c>
      <c r="Y789" s="371" t="e">
        <f t="shared" si="741"/>
        <v>#REF!</v>
      </c>
      <c r="Z789" s="371" t="e">
        <f t="shared" si="741"/>
        <v>#REF!</v>
      </c>
      <c r="AA789" s="371" t="e">
        <f t="shared" si="741"/>
        <v>#REF!</v>
      </c>
      <c r="AB789" s="50"/>
    </row>
    <row r="790" ht="28.8" outlineLevel="2" spans="1:28">
      <c r="A790" s="52">
        <f>MAX($A$6:A789)+1</f>
        <v>654</v>
      </c>
      <c r="B790" s="51" t="s">
        <v>689</v>
      </c>
      <c r="C790" s="51" t="e">
        <f>VLOOKUP($B790,#REF!,MATCH(C$2,#REF!,0),0)</f>
        <v>#REF!</v>
      </c>
      <c r="D790" s="136"/>
      <c r="E790" s="136"/>
      <c r="F790" s="136" t="e">
        <f>VLOOKUP($B790,#REF!,MATCH(F$2,#REF!,0),0)</f>
        <v>#REF!</v>
      </c>
      <c r="G790" s="137" t="e">
        <f>VLOOKUP($B790,#REF!,MATCH(G$2,#REF!,0),0)</f>
        <v>#REF!</v>
      </c>
      <c r="H790" s="48"/>
      <c r="I790" s="48"/>
      <c r="J790" s="48" t="e">
        <f>$J$765*160.8</f>
        <v>#REF!</v>
      </c>
      <c r="K790" s="48"/>
      <c r="L790" s="48"/>
      <c r="M790" s="48"/>
      <c r="N790" s="48" t="e">
        <f>$N$765*1</f>
        <v>#REF!</v>
      </c>
      <c r="O790" s="48"/>
      <c r="P790" s="48"/>
      <c r="Q790" s="48"/>
      <c r="R790" s="371" t="e">
        <f t="shared" ref="R790:AA790" si="742">$G790*H790</f>
        <v>#REF!</v>
      </c>
      <c r="S790" s="371" t="e">
        <f t="shared" si="742"/>
        <v>#REF!</v>
      </c>
      <c r="T790" s="371" t="e">
        <f t="shared" si="742"/>
        <v>#REF!</v>
      </c>
      <c r="U790" s="371" t="e">
        <f t="shared" si="742"/>
        <v>#REF!</v>
      </c>
      <c r="V790" s="371" t="e">
        <f t="shared" si="742"/>
        <v>#REF!</v>
      </c>
      <c r="W790" s="371" t="e">
        <f t="shared" si="742"/>
        <v>#REF!</v>
      </c>
      <c r="X790" s="371" t="e">
        <f t="shared" si="742"/>
        <v>#REF!</v>
      </c>
      <c r="Y790" s="371" t="e">
        <f t="shared" si="742"/>
        <v>#REF!</v>
      </c>
      <c r="Z790" s="371" t="e">
        <f t="shared" si="742"/>
        <v>#REF!</v>
      </c>
      <c r="AA790" s="371" t="e">
        <f t="shared" si="742"/>
        <v>#REF!</v>
      </c>
      <c r="AB790" s="50"/>
    </row>
    <row r="791" ht="28.8" outlineLevel="2" spans="1:28">
      <c r="A791" s="52">
        <f>MAX($A$6:A790)+1</f>
        <v>655</v>
      </c>
      <c r="B791" s="51" t="s">
        <v>690</v>
      </c>
      <c r="C791" s="51" t="e">
        <f>VLOOKUP($B791,#REF!,MATCH(C$2,#REF!,0),0)</f>
        <v>#REF!</v>
      </c>
      <c r="D791" s="136"/>
      <c r="E791" s="136"/>
      <c r="F791" s="136" t="e">
        <f>VLOOKUP($B791,#REF!,MATCH(F$2,#REF!,0),0)</f>
        <v>#REF!</v>
      </c>
      <c r="G791" s="137" t="e">
        <f>VLOOKUP($B791,#REF!,MATCH(G$2,#REF!,0),0)</f>
        <v>#REF!</v>
      </c>
      <c r="H791" s="48"/>
      <c r="I791" s="48"/>
      <c r="J791" s="48" t="e">
        <f>$J$765*648</f>
        <v>#REF!</v>
      </c>
      <c r="K791" s="48"/>
      <c r="L791" s="48"/>
      <c r="M791" s="48"/>
      <c r="N791" s="48"/>
      <c r="O791" s="48"/>
      <c r="P791" s="48"/>
      <c r="Q791" s="48"/>
      <c r="R791" s="371" t="e">
        <f t="shared" ref="R791:AA791" si="743">$G791*H791</f>
        <v>#REF!</v>
      </c>
      <c r="S791" s="371" t="e">
        <f t="shared" si="743"/>
        <v>#REF!</v>
      </c>
      <c r="T791" s="371" t="e">
        <f t="shared" si="743"/>
        <v>#REF!</v>
      </c>
      <c r="U791" s="371" t="e">
        <f t="shared" si="743"/>
        <v>#REF!</v>
      </c>
      <c r="V791" s="371" t="e">
        <f t="shared" si="743"/>
        <v>#REF!</v>
      </c>
      <c r="W791" s="371" t="e">
        <f t="shared" si="743"/>
        <v>#REF!</v>
      </c>
      <c r="X791" s="371" t="e">
        <f t="shared" si="743"/>
        <v>#REF!</v>
      </c>
      <c r="Y791" s="371" t="e">
        <f t="shared" si="743"/>
        <v>#REF!</v>
      </c>
      <c r="Z791" s="371" t="e">
        <f t="shared" si="743"/>
        <v>#REF!</v>
      </c>
      <c r="AA791" s="371" t="e">
        <f t="shared" si="743"/>
        <v>#REF!</v>
      </c>
      <c r="AB791" s="50"/>
    </row>
    <row r="792" ht="43.2" outlineLevel="2" spans="1:28">
      <c r="A792" s="52">
        <f>MAX($A$6:A791)+1</f>
        <v>656</v>
      </c>
      <c r="B792" s="51" t="s">
        <v>691</v>
      </c>
      <c r="C792" s="51" t="e">
        <f>VLOOKUP($B792,#REF!,MATCH(C$2,#REF!,0),0)</f>
        <v>#REF!</v>
      </c>
      <c r="D792" s="136"/>
      <c r="E792" s="136"/>
      <c r="F792" s="136" t="e">
        <f>VLOOKUP($B792,#REF!,MATCH(F$2,#REF!,0),0)</f>
        <v>#REF!</v>
      </c>
      <c r="G792" s="137" t="e">
        <f>VLOOKUP($B792,#REF!,MATCH(G$2,#REF!,0),0)</f>
        <v>#REF!</v>
      </c>
      <c r="H792" s="48"/>
      <c r="I792" s="48"/>
      <c r="J792" s="48" t="e">
        <f>$J$765*216</f>
        <v>#REF!</v>
      </c>
      <c r="K792" s="48"/>
      <c r="L792" s="48"/>
      <c r="M792" s="48"/>
      <c r="N792" s="48"/>
      <c r="O792" s="48"/>
      <c r="P792" s="48"/>
      <c r="Q792" s="48"/>
      <c r="R792" s="371" t="e">
        <f t="shared" ref="R792:AA792" si="744">$G792*H792</f>
        <v>#REF!</v>
      </c>
      <c r="S792" s="371" t="e">
        <f t="shared" si="744"/>
        <v>#REF!</v>
      </c>
      <c r="T792" s="371" t="e">
        <f t="shared" si="744"/>
        <v>#REF!</v>
      </c>
      <c r="U792" s="371" t="e">
        <f t="shared" si="744"/>
        <v>#REF!</v>
      </c>
      <c r="V792" s="371" t="e">
        <f t="shared" si="744"/>
        <v>#REF!</v>
      </c>
      <c r="W792" s="371" t="e">
        <f t="shared" si="744"/>
        <v>#REF!</v>
      </c>
      <c r="X792" s="371" t="e">
        <f t="shared" si="744"/>
        <v>#REF!</v>
      </c>
      <c r="Y792" s="371" t="e">
        <f t="shared" si="744"/>
        <v>#REF!</v>
      </c>
      <c r="Z792" s="371" t="e">
        <f t="shared" si="744"/>
        <v>#REF!</v>
      </c>
      <c r="AA792" s="371" t="e">
        <f t="shared" si="744"/>
        <v>#REF!</v>
      </c>
      <c r="AB792" s="50"/>
    </row>
    <row r="793" s="122" customFormat="1" outlineLevel="2" spans="1:28">
      <c r="A793" s="130"/>
      <c r="B793" s="154" t="s">
        <v>692</v>
      </c>
      <c r="C793" s="154"/>
      <c r="D793" s="154"/>
      <c r="E793" s="154"/>
      <c r="F793" s="130"/>
      <c r="G793" s="134"/>
      <c r="H793" s="134"/>
      <c r="I793" s="134"/>
      <c r="J793" s="134"/>
      <c r="K793" s="134"/>
      <c r="L793" s="134"/>
      <c r="M793" s="134"/>
      <c r="N793" s="134"/>
      <c r="O793" s="134"/>
      <c r="P793" s="134"/>
      <c r="Q793" s="134"/>
      <c r="R793" s="367"/>
      <c r="S793" s="367"/>
      <c r="T793" s="367"/>
      <c r="U793" s="367"/>
      <c r="V793" s="371"/>
      <c r="W793" s="367"/>
      <c r="X793" s="367"/>
      <c r="Y793" s="367"/>
      <c r="Z793" s="367"/>
      <c r="AA793" s="367"/>
      <c r="AB793" s="130"/>
    </row>
    <row r="794" s="1" customFormat="1" outlineLevel="2" spans="1:28">
      <c r="A794" s="52">
        <f>MAX($A$6:A793)+1</f>
        <v>657</v>
      </c>
      <c r="B794" s="374" t="s">
        <v>693</v>
      </c>
      <c r="C794" s="51" t="e">
        <f>VLOOKUP($B794,#REF!,MATCH(C$2,#REF!,0),0)</f>
        <v>#REF!</v>
      </c>
      <c r="D794" s="136"/>
      <c r="E794" s="136"/>
      <c r="F794" s="136" t="e">
        <f>VLOOKUP($B794,#REF!,MATCH(F$2,#REF!,0),0)</f>
        <v>#REF!</v>
      </c>
      <c r="G794" s="137" t="e">
        <f>VLOOKUP($B794,#REF!,MATCH(G$2,#REF!,0),0)</f>
        <v>#REF!</v>
      </c>
      <c r="H794" s="139"/>
      <c r="I794" s="139"/>
      <c r="J794" s="139" t="e">
        <f>$J$765*3</f>
        <v>#REF!</v>
      </c>
      <c r="K794" s="139"/>
      <c r="L794" s="139"/>
      <c r="M794" s="139"/>
      <c r="N794" s="139" t="e">
        <f>$N$765*1125.53</f>
        <v>#REF!</v>
      </c>
      <c r="O794" s="139"/>
      <c r="P794" s="139"/>
      <c r="Q794" s="139"/>
      <c r="R794" s="371" t="e">
        <f>$G794*H794</f>
        <v>#REF!</v>
      </c>
      <c r="S794" s="371" t="e">
        <f t="shared" ref="S794:AA794" si="745">$G794*I794</f>
        <v>#REF!</v>
      </c>
      <c r="T794" s="371" t="e">
        <f t="shared" si="745"/>
        <v>#REF!</v>
      </c>
      <c r="U794" s="371" t="e">
        <f t="shared" si="745"/>
        <v>#REF!</v>
      </c>
      <c r="V794" s="371" t="e">
        <f t="shared" si="745"/>
        <v>#REF!</v>
      </c>
      <c r="W794" s="371" t="e">
        <f t="shared" si="745"/>
        <v>#REF!</v>
      </c>
      <c r="X794" s="371" t="e">
        <f t="shared" si="745"/>
        <v>#REF!</v>
      </c>
      <c r="Y794" s="371" t="e">
        <f t="shared" si="745"/>
        <v>#REF!</v>
      </c>
      <c r="Z794" s="371" t="e">
        <f t="shared" si="745"/>
        <v>#REF!</v>
      </c>
      <c r="AA794" s="371" t="e">
        <f t="shared" si="745"/>
        <v>#REF!</v>
      </c>
      <c r="AB794" s="26"/>
    </row>
    <row r="795" s="1" customFormat="1" outlineLevel="2" spans="1:28">
      <c r="A795" s="52">
        <f>MAX($A$6:A794)+1</f>
        <v>658</v>
      </c>
      <c r="B795" s="374" t="s">
        <v>349</v>
      </c>
      <c r="C795" s="51" t="e">
        <f>VLOOKUP($B795,#REF!,MATCH(C$2,#REF!,0),0)</f>
        <v>#REF!</v>
      </c>
      <c r="D795" s="136"/>
      <c r="E795" s="136"/>
      <c r="F795" s="136" t="e">
        <f>VLOOKUP($B795,#REF!,MATCH(F$2,#REF!,0),0)</f>
        <v>#REF!</v>
      </c>
      <c r="G795" s="137" t="e">
        <f>VLOOKUP($B795,#REF!,MATCH(G$2,#REF!,0),0)</f>
        <v>#REF!</v>
      </c>
      <c r="H795" s="139"/>
      <c r="I795" s="139"/>
      <c r="J795" s="139" t="e">
        <f>$J$765*3</f>
        <v>#REF!</v>
      </c>
      <c r="K795" s="139"/>
      <c r="L795" s="139"/>
      <c r="M795" s="139"/>
      <c r="N795" s="139" t="e">
        <f>$N$765*1125.53</f>
        <v>#REF!</v>
      </c>
      <c r="O795" s="139"/>
      <c r="P795" s="139"/>
      <c r="Q795" s="139"/>
      <c r="R795" s="371" t="e">
        <f t="shared" ref="R795:AA795" si="746">$G795*H795</f>
        <v>#REF!</v>
      </c>
      <c r="S795" s="371" t="e">
        <f t="shared" si="746"/>
        <v>#REF!</v>
      </c>
      <c r="T795" s="371" t="e">
        <f t="shared" si="746"/>
        <v>#REF!</v>
      </c>
      <c r="U795" s="371" t="e">
        <f t="shared" si="746"/>
        <v>#REF!</v>
      </c>
      <c r="V795" s="371" t="e">
        <f t="shared" si="746"/>
        <v>#REF!</v>
      </c>
      <c r="W795" s="371" t="e">
        <f t="shared" si="746"/>
        <v>#REF!</v>
      </c>
      <c r="X795" s="371" t="e">
        <f t="shared" si="746"/>
        <v>#REF!</v>
      </c>
      <c r="Y795" s="371" t="e">
        <f t="shared" si="746"/>
        <v>#REF!</v>
      </c>
      <c r="Z795" s="371" t="e">
        <f t="shared" si="746"/>
        <v>#REF!</v>
      </c>
      <c r="AA795" s="371" t="e">
        <f t="shared" si="746"/>
        <v>#REF!</v>
      </c>
      <c r="AB795" s="26"/>
    </row>
    <row r="796" s="1" customFormat="1" outlineLevel="2" spans="1:28">
      <c r="A796" s="52">
        <f>MAX($A$6:A795)+1</f>
        <v>659</v>
      </c>
      <c r="B796" s="374" t="s">
        <v>693</v>
      </c>
      <c r="C796" s="51" t="e">
        <f>VLOOKUP($B796,#REF!,MATCH(C$2,#REF!,0),0)</f>
        <v>#REF!</v>
      </c>
      <c r="D796" s="136"/>
      <c r="E796" s="136"/>
      <c r="F796" s="136" t="e">
        <f>VLOOKUP($B796,#REF!,MATCH(F$2,#REF!,0),0)</f>
        <v>#REF!</v>
      </c>
      <c r="G796" s="137" t="e">
        <f>VLOOKUP($B796,#REF!,MATCH(G$2,#REF!,0),0)</f>
        <v>#REF!</v>
      </c>
      <c r="H796" s="139"/>
      <c r="I796" s="139"/>
      <c r="J796" s="139" t="e">
        <f>$J$765*3</f>
        <v>#REF!</v>
      </c>
      <c r="K796" s="139"/>
      <c r="L796" s="139"/>
      <c r="M796" s="139"/>
      <c r="N796" s="139" t="e">
        <f>$N$765*1125.53</f>
        <v>#REF!</v>
      </c>
      <c r="O796" s="139"/>
      <c r="P796" s="139"/>
      <c r="Q796" s="139"/>
      <c r="R796" s="371" t="e">
        <f t="shared" ref="R796:AA796" si="747">$G796*H796</f>
        <v>#REF!</v>
      </c>
      <c r="S796" s="371" t="e">
        <f t="shared" si="747"/>
        <v>#REF!</v>
      </c>
      <c r="T796" s="371" t="e">
        <f t="shared" si="747"/>
        <v>#REF!</v>
      </c>
      <c r="U796" s="371" t="e">
        <f t="shared" si="747"/>
        <v>#REF!</v>
      </c>
      <c r="V796" s="371" t="e">
        <f t="shared" si="747"/>
        <v>#REF!</v>
      </c>
      <c r="W796" s="371" t="e">
        <f t="shared" si="747"/>
        <v>#REF!</v>
      </c>
      <c r="X796" s="371" t="e">
        <f t="shared" si="747"/>
        <v>#REF!</v>
      </c>
      <c r="Y796" s="371" t="e">
        <f t="shared" si="747"/>
        <v>#REF!</v>
      </c>
      <c r="Z796" s="371" t="e">
        <f t="shared" si="747"/>
        <v>#REF!</v>
      </c>
      <c r="AA796" s="371" t="e">
        <f t="shared" si="747"/>
        <v>#REF!</v>
      </c>
      <c r="AB796" s="26"/>
    </row>
    <row r="797" ht="28.8" outlineLevel="2" spans="1:28">
      <c r="A797" s="52">
        <f>MAX($A$6:A796)+1</f>
        <v>660</v>
      </c>
      <c r="B797" s="51" t="s">
        <v>694</v>
      </c>
      <c r="C797" s="51" t="e">
        <f>VLOOKUP($B797,#REF!,MATCH(C$2,#REF!,0),0)</f>
        <v>#REF!</v>
      </c>
      <c r="D797" s="136"/>
      <c r="E797" s="136"/>
      <c r="F797" s="136" t="e">
        <f>VLOOKUP($B797,#REF!,MATCH(F$2,#REF!,0),0)</f>
        <v>#REF!</v>
      </c>
      <c r="G797" s="137" t="e">
        <f>VLOOKUP($B797,#REF!,MATCH(G$2,#REF!,0),0)</f>
        <v>#REF!</v>
      </c>
      <c r="H797" s="48"/>
      <c r="I797" s="48"/>
      <c r="J797" s="48" t="e">
        <f>$J$765*1</f>
        <v>#REF!</v>
      </c>
      <c r="K797" s="48"/>
      <c r="L797" s="48"/>
      <c r="M797" s="48"/>
      <c r="N797" s="48" t="e">
        <f>$N$765*184.2</f>
        <v>#REF!</v>
      </c>
      <c r="O797" s="48"/>
      <c r="P797" s="48"/>
      <c r="Q797" s="48"/>
      <c r="R797" s="371" t="e">
        <f t="shared" ref="R797:AA797" si="748">$G797*H797</f>
        <v>#REF!</v>
      </c>
      <c r="S797" s="371" t="e">
        <f t="shared" si="748"/>
        <v>#REF!</v>
      </c>
      <c r="T797" s="371" t="e">
        <f t="shared" si="748"/>
        <v>#REF!</v>
      </c>
      <c r="U797" s="371" t="e">
        <f t="shared" si="748"/>
        <v>#REF!</v>
      </c>
      <c r="V797" s="371" t="e">
        <f t="shared" si="748"/>
        <v>#REF!</v>
      </c>
      <c r="W797" s="371" t="e">
        <f t="shared" si="748"/>
        <v>#REF!</v>
      </c>
      <c r="X797" s="371" t="e">
        <f t="shared" si="748"/>
        <v>#REF!</v>
      </c>
      <c r="Y797" s="371" t="e">
        <f t="shared" si="748"/>
        <v>#REF!</v>
      </c>
      <c r="Z797" s="371" t="e">
        <f t="shared" si="748"/>
        <v>#REF!</v>
      </c>
      <c r="AA797" s="371" t="e">
        <f t="shared" si="748"/>
        <v>#REF!</v>
      </c>
      <c r="AB797" s="50"/>
    </row>
    <row r="798" ht="28.8" outlineLevel="2" spans="1:28">
      <c r="A798" s="52">
        <f>MAX($A$6:A797)+1</f>
        <v>661</v>
      </c>
      <c r="B798" s="51" t="s">
        <v>695</v>
      </c>
      <c r="C798" s="51" t="e">
        <f>VLOOKUP($B798,#REF!,MATCH(C$2,#REF!,0),0)</f>
        <v>#REF!</v>
      </c>
      <c r="D798" s="136"/>
      <c r="E798" s="136"/>
      <c r="F798" s="136" t="e">
        <f>VLOOKUP($B798,#REF!,MATCH(F$2,#REF!,0),0)</f>
        <v>#REF!</v>
      </c>
      <c r="G798" s="137" t="e">
        <f>VLOOKUP($B798,#REF!,MATCH(G$2,#REF!,0),0)</f>
        <v>#REF!</v>
      </c>
      <c r="H798" s="48"/>
      <c r="I798" s="48"/>
      <c r="J798" s="48" t="e">
        <f>$J$765*1</f>
        <v>#REF!</v>
      </c>
      <c r="K798" s="48"/>
      <c r="L798" s="48"/>
      <c r="M798" s="48"/>
      <c r="N798" s="48" t="e">
        <f>$N$765*940.33</f>
        <v>#REF!</v>
      </c>
      <c r="O798" s="48"/>
      <c r="P798" s="48"/>
      <c r="Q798" s="48"/>
      <c r="R798" s="371" t="e">
        <f t="shared" ref="R798:AA798" si="749">$G798*H798</f>
        <v>#REF!</v>
      </c>
      <c r="S798" s="371" t="e">
        <f t="shared" si="749"/>
        <v>#REF!</v>
      </c>
      <c r="T798" s="371" t="e">
        <f t="shared" si="749"/>
        <v>#REF!</v>
      </c>
      <c r="U798" s="371" t="e">
        <f t="shared" si="749"/>
        <v>#REF!</v>
      </c>
      <c r="V798" s="371" t="e">
        <f t="shared" si="749"/>
        <v>#REF!</v>
      </c>
      <c r="W798" s="371" t="e">
        <f t="shared" si="749"/>
        <v>#REF!</v>
      </c>
      <c r="X798" s="371" t="e">
        <f t="shared" si="749"/>
        <v>#REF!</v>
      </c>
      <c r="Y798" s="371" t="e">
        <f t="shared" si="749"/>
        <v>#REF!</v>
      </c>
      <c r="Z798" s="371" t="e">
        <f t="shared" si="749"/>
        <v>#REF!</v>
      </c>
      <c r="AA798" s="371" t="e">
        <f t="shared" si="749"/>
        <v>#REF!</v>
      </c>
      <c r="AB798" s="50"/>
    </row>
    <row r="799" ht="28.8" outlineLevel="2" spans="1:28">
      <c r="A799" s="52">
        <f>MAX($A$6:A798)+1</f>
        <v>662</v>
      </c>
      <c r="B799" s="51" t="s">
        <v>696</v>
      </c>
      <c r="C799" s="51" t="e">
        <f>VLOOKUP($B799,#REF!,MATCH(C$2,#REF!,0),0)</f>
        <v>#REF!</v>
      </c>
      <c r="D799" s="136"/>
      <c r="E799" s="136"/>
      <c r="F799" s="136" t="e">
        <f>VLOOKUP($B799,#REF!,MATCH(F$2,#REF!,0),0)</f>
        <v>#REF!</v>
      </c>
      <c r="G799" s="137" t="e">
        <f>VLOOKUP($B799,#REF!,MATCH(G$2,#REF!,0),0)</f>
        <v>#REF!</v>
      </c>
      <c r="H799" s="48"/>
      <c r="I799" s="48"/>
      <c r="J799" s="48" t="e">
        <f>$J$765*1</f>
        <v>#REF!</v>
      </c>
      <c r="K799" s="48"/>
      <c r="L799" s="48"/>
      <c r="M799" s="48"/>
      <c r="N799" s="48" t="e">
        <f>$N$765*1</f>
        <v>#REF!</v>
      </c>
      <c r="O799" s="48"/>
      <c r="P799" s="48"/>
      <c r="Q799" s="48"/>
      <c r="R799" s="371" t="e">
        <f t="shared" ref="R799:AA799" si="750">$G799*H799</f>
        <v>#REF!</v>
      </c>
      <c r="S799" s="371" t="e">
        <f t="shared" si="750"/>
        <v>#REF!</v>
      </c>
      <c r="T799" s="371" t="e">
        <f t="shared" si="750"/>
        <v>#REF!</v>
      </c>
      <c r="U799" s="371" t="e">
        <f t="shared" si="750"/>
        <v>#REF!</v>
      </c>
      <c r="V799" s="371" t="e">
        <f t="shared" si="750"/>
        <v>#REF!</v>
      </c>
      <c r="W799" s="371" t="e">
        <f t="shared" si="750"/>
        <v>#REF!</v>
      </c>
      <c r="X799" s="371" t="e">
        <f t="shared" si="750"/>
        <v>#REF!</v>
      </c>
      <c r="Y799" s="371" t="e">
        <f t="shared" si="750"/>
        <v>#REF!</v>
      </c>
      <c r="Z799" s="371" t="e">
        <f t="shared" si="750"/>
        <v>#REF!</v>
      </c>
      <c r="AA799" s="371" t="e">
        <f t="shared" si="750"/>
        <v>#REF!</v>
      </c>
      <c r="AB799" s="50"/>
    </row>
    <row r="800" s="122" customFormat="1" outlineLevel="2" spans="1:28">
      <c r="A800" s="130"/>
      <c r="B800" s="154" t="s">
        <v>697</v>
      </c>
      <c r="C800" s="154"/>
      <c r="D800" s="154"/>
      <c r="E800" s="154"/>
      <c r="F800" s="130"/>
      <c r="G800" s="134"/>
      <c r="H800" s="134"/>
      <c r="I800" s="134"/>
      <c r="J800" s="134"/>
      <c r="K800" s="134"/>
      <c r="L800" s="134"/>
      <c r="M800" s="134"/>
      <c r="N800" s="134"/>
      <c r="O800" s="134"/>
      <c r="P800" s="134"/>
      <c r="Q800" s="134"/>
      <c r="R800" s="367"/>
      <c r="S800" s="367"/>
      <c r="T800" s="367"/>
      <c r="U800" s="367"/>
      <c r="V800" s="371"/>
      <c r="W800" s="367"/>
      <c r="X800" s="367"/>
      <c r="Y800" s="367"/>
      <c r="Z800" s="367"/>
      <c r="AA800" s="367"/>
      <c r="AB800" s="130"/>
    </row>
    <row r="801" s="1" customFormat="1" outlineLevel="2" spans="1:28">
      <c r="A801" s="52">
        <f>MAX($A$6:A800)+1</f>
        <v>663</v>
      </c>
      <c r="B801" s="374" t="s">
        <v>368</v>
      </c>
      <c r="C801" s="51" t="e">
        <f>VLOOKUP($B801,#REF!,MATCH(C$2,#REF!,0),0)</f>
        <v>#REF!</v>
      </c>
      <c r="D801" s="136"/>
      <c r="E801" s="136"/>
      <c r="F801" s="136" t="e">
        <f>VLOOKUP($B801,#REF!,MATCH(F$2,#REF!,0),0)</f>
        <v>#REF!</v>
      </c>
      <c r="G801" s="137" t="e">
        <f>VLOOKUP($B801,#REF!,MATCH(G$2,#REF!,0),0)</f>
        <v>#REF!</v>
      </c>
      <c r="H801" s="139"/>
      <c r="I801" s="139"/>
      <c r="J801" s="139"/>
      <c r="K801" s="48" t="e">
        <f>$K$765*2</f>
        <v>#REF!</v>
      </c>
      <c r="L801" s="48" t="e">
        <f>$L$765*2</f>
        <v>#REF!</v>
      </c>
      <c r="M801" s="48" t="e">
        <f>$M$765*2</f>
        <v>#REF!</v>
      </c>
      <c r="N801" s="139"/>
      <c r="O801" s="48" t="e">
        <f>$O$765*2</f>
        <v>#REF!</v>
      </c>
      <c r="P801" s="139"/>
      <c r="Q801" s="139"/>
      <c r="R801" s="371" t="e">
        <f>$G801*H801</f>
        <v>#REF!</v>
      </c>
      <c r="S801" s="371" t="e">
        <f t="shared" ref="S801:AA801" si="751">$G801*I801</f>
        <v>#REF!</v>
      </c>
      <c r="T801" s="371" t="e">
        <f t="shared" si="751"/>
        <v>#REF!</v>
      </c>
      <c r="U801" s="371" t="e">
        <f t="shared" si="751"/>
        <v>#REF!</v>
      </c>
      <c r="V801" s="371" t="e">
        <f t="shared" si="751"/>
        <v>#REF!</v>
      </c>
      <c r="W801" s="371" t="e">
        <f t="shared" si="751"/>
        <v>#REF!</v>
      </c>
      <c r="X801" s="371" t="e">
        <f t="shared" si="751"/>
        <v>#REF!</v>
      </c>
      <c r="Y801" s="371" t="e">
        <f t="shared" si="751"/>
        <v>#REF!</v>
      </c>
      <c r="Z801" s="371" t="e">
        <f t="shared" si="751"/>
        <v>#REF!</v>
      </c>
      <c r="AA801" s="371" t="e">
        <f t="shared" si="751"/>
        <v>#REF!</v>
      </c>
      <c r="AB801" s="26"/>
    </row>
    <row r="802" outlineLevel="2" spans="1:28">
      <c r="A802" s="52">
        <f>MAX($A$6:A801)+1</f>
        <v>664</v>
      </c>
      <c r="B802" s="51" t="s">
        <v>698</v>
      </c>
      <c r="C802" s="51" t="e">
        <f>VLOOKUP($B802,#REF!,MATCH(C$2,#REF!,0),0)</f>
        <v>#REF!</v>
      </c>
      <c r="D802" s="136"/>
      <c r="E802" s="136"/>
      <c r="F802" s="136" t="e">
        <f>VLOOKUP($B802,#REF!,MATCH(F$2,#REF!,0),0)</f>
        <v>#REF!</v>
      </c>
      <c r="G802" s="137" t="e">
        <f>VLOOKUP($B802,#REF!,MATCH(G$2,#REF!,0),0)</f>
        <v>#REF!</v>
      </c>
      <c r="H802" s="48"/>
      <c r="I802" s="48"/>
      <c r="J802" s="48"/>
      <c r="K802" s="48" t="e">
        <f>$K$765*1</f>
        <v>#REF!</v>
      </c>
      <c r="L802" s="48" t="e">
        <f>$L$765*1</f>
        <v>#REF!</v>
      </c>
      <c r="M802" s="48" t="e">
        <f>$M$765*1</f>
        <v>#REF!</v>
      </c>
      <c r="N802" s="48"/>
      <c r="O802" s="48" t="e">
        <f>$O$765*1</f>
        <v>#REF!</v>
      </c>
      <c r="P802" s="48"/>
      <c r="Q802" s="48"/>
      <c r="R802" s="371" t="e">
        <f>$G802*H802</f>
        <v>#REF!</v>
      </c>
      <c r="S802" s="371" t="e">
        <f t="shared" ref="S802:AA802" si="752">$G802*I802</f>
        <v>#REF!</v>
      </c>
      <c r="T802" s="371" t="e">
        <f t="shared" si="752"/>
        <v>#REF!</v>
      </c>
      <c r="U802" s="371" t="e">
        <f t="shared" si="752"/>
        <v>#REF!</v>
      </c>
      <c r="V802" s="371" t="e">
        <f t="shared" si="752"/>
        <v>#REF!</v>
      </c>
      <c r="W802" s="371" t="e">
        <f t="shared" si="752"/>
        <v>#REF!</v>
      </c>
      <c r="X802" s="371" t="e">
        <f t="shared" si="752"/>
        <v>#REF!</v>
      </c>
      <c r="Y802" s="371" t="e">
        <f t="shared" si="752"/>
        <v>#REF!</v>
      </c>
      <c r="Z802" s="371" t="e">
        <f t="shared" si="752"/>
        <v>#REF!</v>
      </c>
      <c r="AA802" s="371" t="e">
        <f t="shared" si="752"/>
        <v>#REF!</v>
      </c>
      <c r="AB802" s="50"/>
    </row>
    <row r="803" outlineLevel="2" spans="1:28">
      <c r="A803" s="52">
        <f>MAX($A$6:A802)+1</f>
        <v>665</v>
      </c>
      <c r="B803" s="51" t="s">
        <v>699</v>
      </c>
      <c r="C803" s="51" t="e">
        <f>VLOOKUP($B803,#REF!,MATCH(C$2,#REF!,0),0)</f>
        <v>#REF!</v>
      </c>
      <c r="D803" s="136"/>
      <c r="E803" s="136"/>
      <c r="F803" s="136" t="e">
        <f>VLOOKUP($B803,#REF!,MATCH(F$2,#REF!,0),0)</f>
        <v>#REF!</v>
      </c>
      <c r="G803" s="137" t="e">
        <f>VLOOKUP($B803,#REF!,MATCH(G$2,#REF!,0),0)</f>
        <v>#REF!</v>
      </c>
      <c r="H803" s="48"/>
      <c r="I803" s="48"/>
      <c r="J803" s="48"/>
      <c r="K803" s="48"/>
      <c r="L803" s="48"/>
      <c r="M803" s="48"/>
      <c r="N803" s="48"/>
      <c r="O803" s="48"/>
      <c r="P803" s="48"/>
      <c r="Q803" s="48"/>
      <c r="R803" s="371" t="e">
        <f t="shared" ref="R803:AA803" si="753">$G803*H803</f>
        <v>#REF!</v>
      </c>
      <c r="S803" s="371" t="e">
        <f t="shared" si="753"/>
        <v>#REF!</v>
      </c>
      <c r="T803" s="371" t="e">
        <f t="shared" si="753"/>
        <v>#REF!</v>
      </c>
      <c r="U803" s="371" t="e">
        <f t="shared" si="753"/>
        <v>#REF!</v>
      </c>
      <c r="V803" s="371" t="e">
        <f t="shared" si="753"/>
        <v>#REF!</v>
      </c>
      <c r="W803" s="371" t="e">
        <f t="shared" si="753"/>
        <v>#REF!</v>
      </c>
      <c r="X803" s="371" t="e">
        <f t="shared" si="753"/>
        <v>#REF!</v>
      </c>
      <c r="Y803" s="371" t="e">
        <f t="shared" si="753"/>
        <v>#REF!</v>
      </c>
      <c r="Z803" s="371" t="e">
        <f t="shared" si="753"/>
        <v>#REF!</v>
      </c>
      <c r="AA803" s="371" t="e">
        <f t="shared" si="753"/>
        <v>#REF!</v>
      </c>
      <c r="AB803" s="50"/>
    </row>
    <row r="804" outlineLevel="2" spans="1:28">
      <c r="A804" s="52">
        <f>MAX($A$6:A803)+1</f>
        <v>666</v>
      </c>
      <c r="B804" s="51" t="s">
        <v>700</v>
      </c>
      <c r="C804" s="51" t="e">
        <f>VLOOKUP($B804,#REF!,MATCH(C$2,#REF!,0),0)</f>
        <v>#REF!</v>
      </c>
      <c r="D804" s="136"/>
      <c r="E804" s="136"/>
      <c r="F804" s="136" t="e">
        <f>VLOOKUP($B804,#REF!,MATCH(F$2,#REF!,0),0)</f>
        <v>#REF!</v>
      </c>
      <c r="G804" s="137" t="e">
        <f>VLOOKUP($B804,#REF!,MATCH(G$2,#REF!,0),0)</f>
        <v>#REF!</v>
      </c>
      <c r="H804" s="48"/>
      <c r="I804" s="48"/>
      <c r="J804" s="48"/>
      <c r="K804" s="48" t="e">
        <f>$K$765*1</f>
        <v>#REF!</v>
      </c>
      <c r="L804" s="48" t="e">
        <f>$L$765*1</f>
        <v>#REF!</v>
      </c>
      <c r="M804" s="48" t="e">
        <f>$M$765*1</f>
        <v>#REF!</v>
      </c>
      <c r="N804" s="48"/>
      <c r="O804" s="48" t="e">
        <f>$O$765*1</f>
        <v>#REF!</v>
      </c>
      <c r="P804" s="48"/>
      <c r="Q804" s="48"/>
      <c r="R804" s="371" t="e">
        <f>$G804*H804</f>
        <v>#REF!</v>
      </c>
      <c r="S804" s="371" t="e">
        <f t="shared" ref="S804:AA804" si="754">$G804*I804</f>
        <v>#REF!</v>
      </c>
      <c r="T804" s="371" t="e">
        <f t="shared" si="754"/>
        <v>#REF!</v>
      </c>
      <c r="U804" s="371" t="e">
        <f t="shared" si="754"/>
        <v>#REF!</v>
      </c>
      <c r="V804" s="371" t="e">
        <f t="shared" si="754"/>
        <v>#REF!</v>
      </c>
      <c r="W804" s="371" t="e">
        <f t="shared" si="754"/>
        <v>#REF!</v>
      </c>
      <c r="X804" s="371" t="e">
        <f t="shared" si="754"/>
        <v>#REF!</v>
      </c>
      <c r="Y804" s="371" t="e">
        <f t="shared" si="754"/>
        <v>#REF!</v>
      </c>
      <c r="Z804" s="371" t="e">
        <f t="shared" si="754"/>
        <v>#REF!</v>
      </c>
      <c r="AA804" s="371" t="e">
        <f t="shared" si="754"/>
        <v>#REF!</v>
      </c>
      <c r="AB804" s="50"/>
    </row>
    <row r="805" s="29" customFormat="1" ht="28.8" outlineLevel="1" spans="1:28">
      <c r="A805" s="40"/>
      <c r="B805" s="41" t="str">
        <f>目录!H19</f>
        <v>A.06.02线条装饰工程</v>
      </c>
      <c r="C805" s="41"/>
      <c r="D805" s="141"/>
      <c r="E805" s="141"/>
      <c r="F805" s="40"/>
      <c r="G805" s="43"/>
      <c r="H805" s="43"/>
      <c r="I805" s="43"/>
      <c r="J805" s="43"/>
      <c r="K805" s="43"/>
      <c r="L805" s="43"/>
      <c r="M805" s="43"/>
      <c r="N805" s="43"/>
      <c r="O805" s="43"/>
      <c r="P805" s="43"/>
      <c r="Q805" s="43"/>
      <c r="R805" s="369" t="e">
        <f t="shared" ref="R805:AA805" si="755">SUM(R806:R865)</f>
        <v>#REF!</v>
      </c>
      <c r="S805" s="369" t="e">
        <f t="shared" si="755"/>
        <v>#REF!</v>
      </c>
      <c r="T805" s="369" t="e">
        <f t="shared" si="755"/>
        <v>#REF!</v>
      </c>
      <c r="U805" s="369" t="e">
        <f t="shared" si="755"/>
        <v>#REF!</v>
      </c>
      <c r="V805" s="369" t="e">
        <f t="shared" si="755"/>
        <v>#REF!</v>
      </c>
      <c r="W805" s="369" t="e">
        <f t="shared" si="755"/>
        <v>#REF!</v>
      </c>
      <c r="X805" s="369" t="e">
        <f t="shared" si="755"/>
        <v>#REF!</v>
      </c>
      <c r="Y805" s="369" t="e">
        <f t="shared" si="755"/>
        <v>#REF!</v>
      </c>
      <c r="Z805" s="369" t="e">
        <f t="shared" si="755"/>
        <v>#REF!</v>
      </c>
      <c r="AA805" s="369" t="e">
        <f t="shared" si="755"/>
        <v>#REF!</v>
      </c>
      <c r="AB805" s="40"/>
    </row>
    <row r="806" outlineLevel="2" spans="1:28">
      <c r="A806" s="52">
        <f>MAX($A$6:A805)+1</f>
        <v>667</v>
      </c>
      <c r="B806" s="51" t="s">
        <v>701</v>
      </c>
      <c r="C806" s="51" t="e">
        <f>VLOOKUP($B806,#REF!,MATCH(C$2,#REF!,0),0)</f>
        <v>#REF!</v>
      </c>
      <c r="D806" s="136"/>
      <c r="E806" s="136"/>
      <c r="F806" s="136" t="e">
        <f>VLOOKUP($B806,#REF!,MATCH(F$2,#REF!,0),0)</f>
        <v>#REF!</v>
      </c>
      <c r="G806" s="137" t="e">
        <f>VLOOKUP($B806,#REF!,MATCH(G$2,#REF!,0),0)</f>
        <v>#REF!</v>
      </c>
      <c r="H806" s="48"/>
      <c r="I806" s="48"/>
      <c r="J806" s="48" t="e">
        <f>$J$765*25</f>
        <v>#REF!</v>
      </c>
      <c r="K806" s="48"/>
      <c r="L806" s="48"/>
      <c r="M806" s="48"/>
      <c r="N806" s="48" t="e">
        <f>$N$765*5</f>
        <v>#REF!</v>
      </c>
      <c r="O806" s="48"/>
      <c r="P806" s="48"/>
      <c r="Q806" s="48"/>
      <c r="R806" s="371" t="e">
        <f>$G806*H806</f>
        <v>#REF!</v>
      </c>
      <c r="S806" s="371" t="e">
        <f t="shared" ref="S806:AA806" si="756">$G806*I806</f>
        <v>#REF!</v>
      </c>
      <c r="T806" s="371" t="e">
        <f t="shared" si="756"/>
        <v>#REF!</v>
      </c>
      <c r="U806" s="371" t="e">
        <f t="shared" si="756"/>
        <v>#REF!</v>
      </c>
      <c r="V806" s="371" t="e">
        <f t="shared" si="756"/>
        <v>#REF!</v>
      </c>
      <c r="W806" s="371" t="e">
        <f t="shared" si="756"/>
        <v>#REF!</v>
      </c>
      <c r="X806" s="371" t="e">
        <f t="shared" si="756"/>
        <v>#REF!</v>
      </c>
      <c r="Y806" s="371" t="e">
        <f t="shared" si="756"/>
        <v>#REF!</v>
      </c>
      <c r="Z806" s="371" t="e">
        <f t="shared" si="756"/>
        <v>#REF!</v>
      </c>
      <c r="AA806" s="371" t="e">
        <f t="shared" si="756"/>
        <v>#REF!</v>
      </c>
      <c r="AB806" s="50"/>
    </row>
    <row r="807" s="122" customFormat="1" outlineLevel="2" spans="1:28">
      <c r="A807" s="130"/>
      <c r="B807" s="154" t="s">
        <v>702</v>
      </c>
      <c r="C807" s="154"/>
      <c r="D807" s="154"/>
      <c r="E807" s="154"/>
      <c r="F807" s="130"/>
      <c r="G807" s="134"/>
      <c r="H807" s="134"/>
      <c r="I807" s="134"/>
      <c r="J807" s="134"/>
      <c r="K807" s="134"/>
      <c r="L807" s="134"/>
      <c r="M807" s="134"/>
      <c r="N807" s="134"/>
      <c r="O807" s="134"/>
      <c r="P807" s="134"/>
      <c r="Q807" s="134"/>
      <c r="R807" s="371"/>
      <c r="S807" s="371"/>
      <c r="T807" s="371"/>
      <c r="U807" s="371"/>
      <c r="V807" s="371"/>
      <c r="W807" s="371"/>
      <c r="X807" s="371"/>
      <c r="Y807" s="371"/>
      <c r="Z807" s="371"/>
      <c r="AA807" s="371"/>
      <c r="AB807" s="130"/>
    </row>
    <row r="808" ht="28.8" outlineLevel="2" spans="1:28">
      <c r="A808" s="52">
        <f>MAX($A$6:A807)+1</f>
        <v>668</v>
      </c>
      <c r="B808" s="51" t="s">
        <v>703</v>
      </c>
      <c r="C808" s="51" t="e">
        <f>VLOOKUP($B808,#REF!,MATCH(C$2,#REF!,0),0)</f>
        <v>#REF!</v>
      </c>
      <c r="D808" s="136"/>
      <c r="E808" s="136"/>
      <c r="F808" s="136" t="e">
        <f>VLOOKUP($B808,#REF!,MATCH(F$2,#REF!,0),0)</f>
        <v>#REF!</v>
      </c>
      <c r="G808" s="137" t="e">
        <f>VLOOKUP($B808,#REF!,MATCH(G$2,#REF!,0),0)</f>
        <v>#REF!</v>
      </c>
      <c r="H808" s="48"/>
      <c r="I808" s="48"/>
      <c r="J808" s="48" t="e">
        <f>$J$765*1</f>
        <v>#REF!</v>
      </c>
      <c r="K808" s="48"/>
      <c r="L808" s="48"/>
      <c r="M808" s="48"/>
      <c r="N808" s="48" t="e">
        <f>$N$765*1</f>
        <v>#REF!</v>
      </c>
      <c r="O808" s="48"/>
      <c r="P808" s="48"/>
      <c r="Q808" s="48"/>
      <c r="R808" s="371" t="e">
        <f t="shared" ref="R808:AA808" si="757">$G808*H808</f>
        <v>#REF!</v>
      </c>
      <c r="S808" s="371" t="e">
        <f t="shared" si="757"/>
        <v>#REF!</v>
      </c>
      <c r="T808" s="371" t="e">
        <f t="shared" si="757"/>
        <v>#REF!</v>
      </c>
      <c r="U808" s="371" t="e">
        <f t="shared" si="757"/>
        <v>#REF!</v>
      </c>
      <c r="V808" s="371" t="e">
        <f t="shared" si="757"/>
        <v>#REF!</v>
      </c>
      <c r="W808" s="371" t="e">
        <f t="shared" si="757"/>
        <v>#REF!</v>
      </c>
      <c r="X808" s="371" t="e">
        <f t="shared" si="757"/>
        <v>#REF!</v>
      </c>
      <c r="Y808" s="371" t="e">
        <f t="shared" si="757"/>
        <v>#REF!</v>
      </c>
      <c r="Z808" s="371" t="e">
        <f t="shared" si="757"/>
        <v>#REF!</v>
      </c>
      <c r="AA808" s="371" t="e">
        <f t="shared" si="757"/>
        <v>#REF!</v>
      </c>
      <c r="AB808" s="50"/>
    </row>
    <row r="809" ht="28.8" outlineLevel="2" spans="1:28">
      <c r="A809" s="52">
        <f>MAX($A$6:A808)+1</f>
        <v>669</v>
      </c>
      <c r="B809" s="51" t="s">
        <v>569</v>
      </c>
      <c r="C809" s="51" t="e">
        <f>VLOOKUP($B809,#REF!,MATCH(C$2,#REF!,0),0)</f>
        <v>#REF!</v>
      </c>
      <c r="D809" s="136"/>
      <c r="E809" s="136"/>
      <c r="F809" s="136" t="e">
        <f>VLOOKUP($B809,#REF!,MATCH(F$2,#REF!,0),0)</f>
        <v>#REF!</v>
      </c>
      <c r="G809" s="137" t="e">
        <f>VLOOKUP($B809,#REF!,MATCH(G$2,#REF!,0),0)</f>
        <v>#REF!</v>
      </c>
      <c r="H809" s="48"/>
      <c r="I809" s="48"/>
      <c r="J809" s="48" t="e">
        <f>$J$765*1</f>
        <v>#REF!</v>
      </c>
      <c r="K809" s="48"/>
      <c r="L809" s="48"/>
      <c r="M809" s="48"/>
      <c r="N809" s="48" t="e">
        <f>$N$765*1</f>
        <v>#REF!</v>
      </c>
      <c r="O809" s="48"/>
      <c r="P809" s="48"/>
      <c r="Q809" s="48"/>
      <c r="R809" s="371" t="e">
        <f t="shared" ref="R809:AA809" si="758">$G809*H809</f>
        <v>#REF!</v>
      </c>
      <c r="S809" s="371" t="e">
        <f t="shared" si="758"/>
        <v>#REF!</v>
      </c>
      <c r="T809" s="371" t="e">
        <f t="shared" si="758"/>
        <v>#REF!</v>
      </c>
      <c r="U809" s="371" t="e">
        <f t="shared" si="758"/>
        <v>#REF!</v>
      </c>
      <c r="V809" s="371" t="e">
        <f t="shared" si="758"/>
        <v>#REF!</v>
      </c>
      <c r="W809" s="371" t="e">
        <f t="shared" si="758"/>
        <v>#REF!</v>
      </c>
      <c r="X809" s="371" t="e">
        <f t="shared" si="758"/>
        <v>#REF!</v>
      </c>
      <c r="Y809" s="371" t="e">
        <f t="shared" si="758"/>
        <v>#REF!</v>
      </c>
      <c r="Z809" s="371" t="e">
        <f t="shared" si="758"/>
        <v>#REF!</v>
      </c>
      <c r="AA809" s="371" t="e">
        <f t="shared" si="758"/>
        <v>#REF!</v>
      </c>
      <c r="AB809" s="50"/>
    </row>
    <row r="810" outlineLevel="2" spans="1:28">
      <c r="A810" s="52">
        <f>MAX($A$6:A809)+1</f>
        <v>670</v>
      </c>
      <c r="B810" s="51" t="s">
        <v>349</v>
      </c>
      <c r="C810" s="51" t="e">
        <f>VLOOKUP($B810,#REF!,MATCH(C$2,#REF!,0),0)</f>
        <v>#REF!</v>
      </c>
      <c r="D810" s="136"/>
      <c r="E810" s="136"/>
      <c r="F810" s="136" t="e">
        <f>VLOOKUP($B810,#REF!,MATCH(F$2,#REF!,0),0)</f>
        <v>#REF!</v>
      </c>
      <c r="G810" s="137" t="e">
        <f>VLOOKUP($B810,#REF!,MATCH(G$2,#REF!,0),0)</f>
        <v>#REF!</v>
      </c>
      <c r="H810" s="48"/>
      <c r="I810" s="48"/>
      <c r="J810" s="48" t="e">
        <f>$J$765*1</f>
        <v>#REF!</v>
      </c>
      <c r="K810" s="48"/>
      <c r="L810" s="48"/>
      <c r="M810" s="48"/>
      <c r="N810" s="48" t="e">
        <f>$N$765*1</f>
        <v>#REF!</v>
      </c>
      <c r="O810" s="48"/>
      <c r="P810" s="48"/>
      <c r="Q810" s="48"/>
      <c r="R810" s="371" t="e">
        <f t="shared" ref="R810:AA810" si="759">$G810*H810</f>
        <v>#REF!</v>
      </c>
      <c r="S810" s="371" t="e">
        <f t="shared" si="759"/>
        <v>#REF!</v>
      </c>
      <c r="T810" s="371" t="e">
        <f t="shared" si="759"/>
        <v>#REF!</v>
      </c>
      <c r="U810" s="371" t="e">
        <f t="shared" si="759"/>
        <v>#REF!</v>
      </c>
      <c r="V810" s="371" t="e">
        <f t="shared" si="759"/>
        <v>#REF!</v>
      </c>
      <c r="W810" s="371" t="e">
        <f t="shared" si="759"/>
        <v>#REF!</v>
      </c>
      <c r="X810" s="371" t="e">
        <f t="shared" si="759"/>
        <v>#REF!</v>
      </c>
      <c r="Y810" s="371" t="e">
        <f t="shared" si="759"/>
        <v>#REF!</v>
      </c>
      <c r="Z810" s="371" t="e">
        <f t="shared" si="759"/>
        <v>#REF!</v>
      </c>
      <c r="AA810" s="371" t="e">
        <f t="shared" si="759"/>
        <v>#REF!</v>
      </c>
      <c r="AB810" s="50"/>
    </row>
    <row r="811" s="122" customFormat="1" outlineLevel="2" spans="1:28">
      <c r="A811" s="130"/>
      <c r="B811" s="154" t="s">
        <v>704</v>
      </c>
      <c r="C811" s="154"/>
      <c r="D811" s="154"/>
      <c r="E811" s="154"/>
      <c r="F811" s="130"/>
      <c r="G811" s="134"/>
      <c r="H811" s="134"/>
      <c r="I811" s="134"/>
      <c r="J811" s="134"/>
      <c r="K811" s="134"/>
      <c r="L811" s="134"/>
      <c r="M811" s="134"/>
      <c r="N811" s="134"/>
      <c r="O811" s="134"/>
      <c r="P811" s="134"/>
      <c r="Q811" s="134"/>
      <c r="R811" s="367"/>
      <c r="S811" s="367"/>
      <c r="T811" s="367"/>
      <c r="U811" s="367"/>
      <c r="V811" s="371"/>
      <c r="W811" s="367"/>
      <c r="X811" s="367"/>
      <c r="Y811" s="367"/>
      <c r="Z811" s="367"/>
      <c r="AA811" s="367"/>
      <c r="AB811" s="130"/>
    </row>
    <row r="812" ht="28.8" outlineLevel="2" spans="1:28">
      <c r="A812" s="52">
        <f>MAX($A$6:A811)+1</f>
        <v>671</v>
      </c>
      <c r="B812" s="51" t="s">
        <v>705</v>
      </c>
      <c r="C812" s="51" t="e">
        <f>VLOOKUP($B812,#REF!,MATCH(C$2,#REF!,0),0)</f>
        <v>#REF!</v>
      </c>
      <c r="D812" s="136"/>
      <c r="E812" s="136"/>
      <c r="F812" s="136" t="e">
        <f>VLOOKUP($B812,#REF!,MATCH(F$2,#REF!,0),0)</f>
        <v>#REF!</v>
      </c>
      <c r="G812" s="137" t="e">
        <f>VLOOKUP($B812,#REF!,MATCH(G$2,#REF!,0),0)</f>
        <v>#REF!</v>
      </c>
      <c r="H812" s="48" t="e">
        <f>H765*2022.59329558929</f>
        <v>#REF!</v>
      </c>
      <c r="I812" s="48" t="e">
        <f>I765*2022.59329558929</f>
        <v>#REF!</v>
      </c>
      <c r="J812" s="48" t="e">
        <f>$J$765*1134.55193646281</f>
        <v>#REF!</v>
      </c>
      <c r="K812" s="48" t="e">
        <f>$K$765*3692.27954076816</f>
        <v>#REF!</v>
      </c>
      <c r="L812" s="48" t="e">
        <f>$L$765*3692.27954076816</f>
        <v>#REF!</v>
      </c>
      <c r="M812" s="48" t="e">
        <f>$M$765*1</f>
        <v>#REF!</v>
      </c>
      <c r="N812" s="48" t="e">
        <f>$N$765*1</f>
        <v>#REF!</v>
      </c>
      <c r="O812" s="48" t="e">
        <f>$O$765*1</f>
        <v>#REF!</v>
      </c>
      <c r="P812" s="48"/>
      <c r="Q812" s="48"/>
      <c r="R812" s="371" t="e">
        <f>$G812*H812</f>
        <v>#REF!</v>
      </c>
      <c r="S812" s="371" t="e">
        <f t="shared" ref="S812:AA812" si="760">$G812*I812</f>
        <v>#REF!</v>
      </c>
      <c r="T812" s="371" t="e">
        <f t="shared" si="760"/>
        <v>#REF!</v>
      </c>
      <c r="U812" s="371" t="e">
        <f t="shared" si="760"/>
        <v>#REF!</v>
      </c>
      <c r="V812" s="371" t="e">
        <f t="shared" si="760"/>
        <v>#REF!</v>
      </c>
      <c r="W812" s="371" t="e">
        <f t="shared" si="760"/>
        <v>#REF!</v>
      </c>
      <c r="X812" s="371" t="e">
        <f t="shared" si="760"/>
        <v>#REF!</v>
      </c>
      <c r="Y812" s="371" t="e">
        <f t="shared" si="760"/>
        <v>#REF!</v>
      </c>
      <c r="Z812" s="371" t="e">
        <f t="shared" si="760"/>
        <v>#REF!</v>
      </c>
      <c r="AA812" s="371" t="e">
        <f t="shared" si="760"/>
        <v>#REF!</v>
      </c>
      <c r="AB812" s="50"/>
    </row>
    <row r="813" ht="28.8" outlineLevel="2" spans="1:28">
      <c r="A813" s="52">
        <f>MAX($A$6:A812)+1</f>
        <v>672</v>
      </c>
      <c r="B813" s="51" t="s">
        <v>706</v>
      </c>
      <c r="C813" s="51" t="e">
        <f>VLOOKUP($B813,#REF!,MATCH(C$2,#REF!,0),0)</f>
        <v>#REF!</v>
      </c>
      <c r="D813" s="136"/>
      <c r="E813" s="136"/>
      <c r="F813" s="136" t="e">
        <f>VLOOKUP($B813,#REF!,MATCH(F$2,#REF!,0),0)</f>
        <v>#REF!</v>
      </c>
      <c r="G813" s="137" t="e">
        <f>VLOOKUP($B813,#REF!,MATCH(G$2,#REF!,0),0)</f>
        <v>#REF!</v>
      </c>
      <c r="H813" s="48" t="e">
        <f>H765*1</f>
        <v>#REF!</v>
      </c>
      <c r="I813" s="48" t="e">
        <f>I765*1</f>
        <v>#REF!</v>
      </c>
      <c r="J813" s="48" t="e">
        <f>$J$765*1</f>
        <v>#REF!</v>
      </c>
      <c r="K813" s="48" t="e">
        <f>$K$765*1</f>
        <v>#REF!</v>
      </c>
      <c r="L813" s="48" t="e">
        <f>$L$765*1</f>
        <v>#REF!</v>
      </c>
      <c r="M813" s="48" t="e">
        <f>$M$765*1</f>
        <v>#REF!</v>
      </c>
      <c r="N813" s="48" t="e">
        <f>$N$765*1</f>
        <v>#REF!</v>
      </c>
      <c r="O813" s="48" t="e">
        <f>$O$765*1</f>
        <v>#REF!</v>
      </c>
      <c r="P813" s="48"/>
      <c r="Q813" s="48"/>
      <c r="R813" s="371" t="e">
        <f t="shared" ref="R813:R865" si="761">$G813*H813</f>
        <v>#REF!</v>
      </c>
      <c r="S813" s="371" t="e">
        <f t="shared" ref="S813:S865" si="762">$G813*I813</f>
        <v>#REF!</v>
      </c>
      <c r="T813" s="371" t="e">
        <f t="shared" ref="T813:T865" si="763">$G813*J813</f>
        <v>#REF!</v>
      </c>
      <c r="U813" s="371" t="e">
        <f t="shared" ref="U813:U865" si="764">$G813*K813</f>
        <v>#REF!</v>
      </c>
      <c r="V813" s="371" t="e">
        <f t="shared" ref="V813:V865" si="765">$G813*L813</f>
        <v>#REF!</v>
      </c>
      <c r="W813" s="371" t="e">
        <f t="shared" ref="W813:W865" si="766">$G813*M813</f>
        <v>#REF!</v>
      </c>
      <c r="X813" s="371" t="e">
        <f t="shared" ref="X813:X865" si="767">$G813*N813</f>
        <v>#REF!</v>
      </c>
      <c r="Y813" s="371" t="e">
        <f t="shared" ref="Y813:Y865" si="768">$G813*O813</f>
        <v>#REF!</v>
      </c>
      <c r="Z813" s="371" t="e">
        <f t="shared" ref="Z813:Z865" si="769">$G813*P813</f>
        <v>#REF!</v>
      </c>
      <c r="AA813" s="371" t="e">
        <f t="shared" ref="AA813:AA865" si="770">$G813*Q813</f>
        <v>#REF!</v>
      </c>
      <c r="AB813" s="50"/>
    </row>
    <row r="814" ht="28.8" outlineLevel="2" spans="1:28">
      <c r="A814" s="52">
        <f>MAX($A$6:A813)+1</f>
        <v>673</v>
      </c>
      <c r="B814" s="51" t="s">
        <v>707</v>
      </c>
      <c r="C814" s="51" t="e">
        <f>VLOOKUP($B814,#REF!,MATCH(C$2,#REF!,0),0)</f>
        <v>#REF!</v>
      </c>
      <c r="D814" s="136"/>
      <c r="E814" s="136"/>
      <c r="F814" s="136" t="e">
        <f>VLOOKUP($B814,#REF!,MATCH(F$2,#REF!,0),0)</f>
        <v>#REF!</v>
      </c>
      <c r="G814" s="137" t="e">
        <f>VLOOKUP($B814,#REF!,MATCH(G$2,#REF!,0),0)</f>
        <v>#REF!</v>
      </c>
      <c r="H814" s="48" t="e">
        <f>H765*8.25626836488704</f>
        <v>#REF!</v>
      </c>
      <c r="I814" s="48" t="e">
        <f>I765*8.25626836488704</f>
        <v>#REF!</v>
      </c>
      <c r="J814" s="48" t="e">
        <f>$J$765*1</f>
        <v>#REF!</v>
      </c>
      <c r="K814" s="48" t="e">
        <f>$K$765*1</f>
        <v>#REF!</v>
      </c>
      <c r="L814" s="48" t="e">
        <f>$L$765*1</f>
        <v>#REF!</v>
      </c>
      <c r="M814" s="48" t="e">
        <f>$M$765*1</f>
        <v>#REF!</v>
      </c>
      <c r="N814" s="48" t="e">
        <f>$N$765*1</f>
        <v>#REF!</v>
      </c>
      <c r="O814" s="48" t="e">
        <f>$O$765*1</f>
        <v>#REF!</v>
      </c>
      <c r="P814" s="48"/>
      <c r="Q814" s="48"/>
      <c r="R814" s="371" t="e">
        <f t="shared" si="761"/>
        <v>#REF!</v>
      </c>
      <c r="S814" s="371" t="e">
        <f t="shared" si="762"/>
        <v>#REF!</v>
      </c>
      <c r="T814" s="371" t="e">
        <f t="shared" si="763"/>
        <v>#REF!</v>
      </c>
      <c r="U814" s="371" t="e">
        <f t="shared" si="764"/>
        <v>#REF!</v>
      </c>
      <c r="V814" s="371" t="e">
        <f t="shared" si="765"/>
        <v>#REF!</v>
      </c>
      <c r="W814" s="371" t="e">
        <f t="shared" si="766"/>
        <v>#REF!</v>
      </c>
      <c r="X814" s="371" t="e">
        <f t="shared" si="767"/>
        <v>#REF!</v>
      </c>
      <c r="Y814" s="371" t="e">
        <f t="shared" si="768"/>
        <v>#REF!</v>
      </c>
      <c r="Z814" s="371" t="e">
        <f t="shared" si="769"/>
        <v>#REF!</v>
      </c>
      <c r="AA814" s="371" t="e">
        <f t="shared" si="770"/>
        <v>#REF!</v>
      </c>
      <c r="AB814" s="50"/>
    </row>
    <row r="815" ht="28.8" outlineLevel="2" spans="1:28">
      <c r="A815" s="52">
        <f>MAX($A$6:A814)+1</f>
        <v>674</v>
      </c>
      <c r="B815" s="51" t="s">
        <v>708</v>
      </c>
      <c r="C815" s="51" t="e">
        <f>VLOOKUP($B815,#REF!,MATCH(C$2,#REF!,0),0)</f>
        <v>#REF!</v>
      </c>
      <c r="D815" s="136"/>
      <c r="E815" s="136"/>
      <c r="F815" s="136" t="e">
        <f>VLOOKUP($B815,#REF!,MATCH(F$2,#REF!,0),0)</f>
        <v>#REF!</v>
      </c>
      <c r="G815" s="137" t="e">
        <f>VLOOKUP($B815,#REF!,MATCH(G$2,#REF!,0),0)</f>
        <v>#REF!</v>
      </c>
      <c r="H815" s="48" t="e">
        <f>H765*1</f>
        <v>#REF!</v>
      </c>
      <c r="I815" s="48" t="e">
        <f>I765*1</f>
        <v>#REF!</v>
      </c>
      <c r="J815" s="48" t="e">
        <f>$J$765*191.814018586698</f>
        <v>#REF!</v>
      </c>
      <c r="K815" s="48" t="e">
        <f>$K$765*624.238480142426</f>
        <v>#REF!</v>
      </c>
      <c r="L815" s="48" t="e">
        <f>$L$765*624.238480142426</f>
        <v>#REF!</v>
      </c>
      <c r="M815" s="48" t="e">
        <f>$M$765*1</f>
        <v>#REF!</v>
      </c>
      <c r="N815" s="48" t="e">
        <f>$N$765*1</f>
        <v>#REF!</v>
      </c>
      <c r="O815" s="48" t="e">
        <f>$O$765*1</f>
        <v>#REF!</v>
      </c>
      <c r="P815" s="48"/>
      <c r="Q815" s="48"/>
      <c r="R815" s="371" t="e">
        <f t="shared" si="761"/>
        <v>#REF!</v>
      </c>
      <c r="S815" s="371" t="e">
        <f t="shared" si="762"/>
        <v>#REF!</v>
      </c>
      <c r="T815" s="371" t="e">
        <f t="shared" si="763"/>
        <v>#REF!</v>
      </c>
      <c r="U815" s="371" t="e">
        <f t="shared" si="764"/>
        <v>#REF!</v>
      </c>
      <c r="V815" s="371" t="e">
        <f t="shared" si="765"/>
        <v>#REF!</v>
      </c>
      <c r="W815" s="371" t="e">
        <f t="shared" si="766"/>
        <v>#REF!</v>
      </c>
      <c r="X815" s="371" t="e">
        <f t="shared" si="767"/>
        <v>#REF!</v>
      </c>
      <c r="Y815" s="371" t="e">
        <f t="shared" si="768"/>
        <v>#REF!</v>
      </c>
      <c r="Z815" s="371" t="e">
        <f t="shared" si="769"/>
        <v>#REF!</v>
      </c>
      <c r="AA815" s="371" t="e">
        <f t="shared" si="770"/>
        <v>#REF!</v>
      </c>
      <c r="AB815" s="50"/>
    </row>
    <row r="816" ht="28.8" outlineLevel="2" spans="1:28">
      <c r="A816" s="52">
        <f>MAX($A$6:A815)+1</f>
        <v>675</v>
      </c>
      <c r="B816" s="51" t="s">
        <v>709</v>
      </c>
      <c r="C816" s="51" t="e">
        <f>VLOOKUP($B816,#REF!,MATCH(C$2,#REF!,0),0)</f>
        <v>#REF!</v>
      </c>
      <c r="D816" s="136"/>
      <c r="E816" s="136"/>
      <c r="F816" s="136" t="e">
        <f>VLOOKUP($B816,#REF!,MATCH(F$2,#REF!,0),0)</f>
        <v>#REF!</v>
      </c>
      <c r="G816" s="137" t="e">
        <f>VLOOKUP($B816,#REF!,MATCH(G$2,#REF!,0),0)</f>
        <v>#REF!</v>
      </c>
      <c r="H816" s="48" t="e">
        <f>H765*39.4530306480616</f>
        <v>#REF!</v>
      </c>
      <c r="I816" s="48" t="e">
        <f>I765*39.4530306480616</f>
        <v>#REF!</v>
      </c>
      <c r="J816" s="48" t="e">
        <f>$J$765*22.5139796351761</f>
        <v>#REF!</v>
      </c>
      <c r="K816" s="48" t="e">
        <f>$K$765*73.2693706798471</f>
        <v>#REF!</v>
      </c>
      <c r="L816" s="48" t="e">
        <f>$L$765*73.2693706798471</f>
        <v>#REF!</v>
      </c>
      <c r="M816" s="48" t="e">
        <f>$M$765*1</f>
        <v>#REF!</v>
      </c>
      <c r="N816" s="48" t="e">
        <f>$N$765*1</f>
        <v>#REF!</v>
      </c>
      <c r="O816" s="48" t="e">
        <f>$O$765*1</f>
        <v>#REF!</v>
      </c>
      <c r="P816" s="48"/>
      <c r="Q816" s="48"/>
      <c r="R816" s="371" t="e">
        <f t="shared" si="761"/>
        <v>#REF!</v>
      </c>
      <c r="S816" s="371" t="e">
        <f t="shared" si="762"/>
        <v>#REF!</v>
      </c>
      <c r="T816" s="371" t="e">
        <f t="shared" si="763"/>
        <v>#REF!</v>
      </c>
      <c r="U816" s="371" t="e">
        <f t="shared" si="764"/>
        <v>#REF!</v>
      </c>
      <c r="V816" s="371" t="e">
        <f t="shared" si="765"/>
        <v>#REF!</v>
      </c>
      <c r="W816" s="371" t="e">
        <f t="shared" si="766"/>
        <v>#REF!</v>
      </c>
      <c r="X816" s="371" t="e">
        <f t="shared" si="767"/>
        <v>#REF!</v>
      </c>
      <c r="Y816" s="371" t="e">
        <f t="shared" si="768"/>
        <v>#REF!</v>
      </c>
      <c r="Z816" s="371" t="e">
        <f t="shared" si="769"/>
        <v>#REF!</v>
      </c>
      <c r="AA816" s="371" t="e">
        <f t="shared" si="770"/>
        <v>#REF!</v>
      </c>
      <c r="AB816" s="50"/>
    </row>
    <row r="817" ht="28.8" outlineLevel="2" spans="1:28">
      <c r="A817" s="52">
        <f>MAX($A$6:A816)+1</f>
        <v>676</v>
      </c>
      <c r="B817" s="51" t="s">
        <v>710</v>
      </c>
      <c r="C817" s="51" t="e">
        <f>VLOOKUP($B817,#REF!,MATCH(C$2,#REF!,0),0)</f>
        <v>#REF!</v>
      </c>
      <c r="D817" s="136"/>
      <c r="E817" s="136"/>
      <c r="F817" s="136" t="e">
        <f>VLOOKUP($B817,#REF!,MATCH(F$2,#REF!,0),0)</f>
        <v>#REF!</v>
      </c>
      <c r="G817" s="137" t="e">
        <f>VLOOKUP($B817,#REF!,MATCH(G$2,#REF!,0),0)</f>
        <v>#REF!</v>
      </c>
      <c r="H817" s="48" t="e">
        <f>H765*1</f>
        <v>#REF!</v>
      </c>
      <c r="I817" s="48" t="e">
        <f>I765*1</f>
        <v>#REF!</v>
      </c>
      <c r="J817" s="48" t="e">
        <f>$J$765*6.61427650298959</f>
        <v>#REF!</v>
      </c>
      <c r="K817" s="48" t="e">
        <f>$K$765*21.5254648324975</f>
        <v>#REF!</v>
      </c>
      <c r="L817" s="48" t="e">
        <f>$L$765*21.5254648324975</f>
        <v>#REF!</v>
      </c>
      <c r="M817" s="48" t="e">
        <f>$M$765*464.001687997453</f>
        <v>#REF!</v>
      </c>
      <c r="N817" s="48" t="e">
        <f>$N$765*535.95</f>
        <v>#REF!</v>
      </c>
      <c r="O817" s="48" t="e">
        <f>$O$765*464.001687997453</f>
        <v>#REF!</v>
      </c>
      <c r="P817" s="48"/>
      <c r="Q817" s="48"/>
      <c r="R817" s="371" t="e">
        <f t="shared" si="761"/>
        <v>#REF!</v>
      </c>
      <c r="S817" s="371" t="e">
        <f t="shared" si="762"/>
        <v>#REF!</v>
      </c>
      <c r="T817" s="371" t="e">
        <f t="shared" si="763"/>
        <v>#REF!</v>
      </c>
      <c r="U817" s="371" t="e">
        <f t="shared" si="764"/>
        <v>#REF!</v>
      </c>
      <c r="V817" s="371" t="e">
        <f t="shared" si="765"/>
        <v>#REF!</v>
      </c>
      <c r="W817" s="371" t="e">
        <f t="shared" si="766"/>
        <v>#REF!</v>
      </c>
      <c r="X817" s="371" t="e">
        <f t="shared" si="767"/>
        <v>#REF!</v>
      </c>
      <c r="Y817" s="371" t="e">
        <f t="shared" si="768"/>
        <v>#REF!</v>
      </c>
      <c r="Z817" s="371" t="e">
        <f t="shared" si="769"/>
        <v>#REF!</v>
      </c>
      <c r="AA817" s="371" t="e">
        <f t="shared" si="770"/>
        <v>#REF!</v>
      </c>
      <c r="AB817" s="50"/>
    </row>
    <row r="818" ht="28.8" outlineLevel="2" spans="1:28">
      <c r="A818" s="52">
        <f>MAX($A$6:A817)+1</f>
        <v>677</v>
      </c>
      <c r="B818" s="51" t="s">
        <v>711</v>
      </c>
      <c r="C818" s="51" t="e">
        <f>VLOOKUP($B818,#REF!,MATCH(C$2,#REF!,0),0)</f>
        <v>#REF!</v>
      </c>
      <c r="D818" s="136"/>
      <c r="E818" s="136"/>
      <c r="F818" s="136" t="e">
        <f>VLOOKUP($B818,#REF!,MATCH(F$2,#REF!,0),0)</f>
        <v>#REF!</v>
      </c>
      <c r="G818" s="137" t="e">
        <f>VLOOKUP($B818,#REF!,MATCH(G$2,#REF!,0),0)</f>
        <v>#REF!</v>
      </c>
      <c r="H818" s="48" t="e">
        <f>H765*1</f>
        <v>#REF!</v>
      </c>
      <c r="I818" s="48" t="e">
        <f>I765*1</f>
        <v>#REF!</v>
      </c>
      <c r="J818" s="48" t="e">
        <f>$J$765*3.02730347636831</f>
        <v>#REF!</v>
      </c>
      <c r="K818" s="48" t="e">
        <f>$K$765*9.85203967333537</f>
        <v>#REF!</v>
      </c>
      <c r="L818" s="48" t="e">
        <f>$L$765*9.85203967333537</f>
        <v>#REF!</v>
      </c>
      <c r="M818" s="48" t="e">
        <f t="shared" ref="M818:M835" si="771">$M$765*1</f>
        <v>#REF!</v>
      </c>
      <c r="N818" s="48" t="e">
        <f t="shared" ref="N818:N835" si="772">$N$765*1</f>
        <v>#REF!</v>
      </c>
      <c r="O818" s="48" t="e">
        <f t="shared" ref="O818:O835" si="773">$O$765*1</f>
        <v>#REF!</v>
      </c>
      <c r="P818" s="48"/>
      <c r="Q818" s="48"/>
      <c r="R818" s="371" t="e">
        <f t="shared" si="761"/>
        <v>#REF!</v>
      </c>
      <c r="S818" s="371" t="e">
        <f t="shared" si="762"/>
        <v>#REF!</v>
      </c>
      <c r="T818" s="371" t="e">
        <f t="shared" si="763"/>
        <v>#REF!</v>
      </c>
      <c r="U818" s="371" t="e">
        <f t="shared" si="764"/>
        <v>#REF!</v>
      </c>
      <c r="V818" s="371" t="e">
        <f t="shared" si="765"/>
        <v>#REF!</v>
      </c>
      <c r="W818" s="371" t="e">
        <f t="shared" si="766"/>
        <v>#REF!</v>
      </c>
      <c r="X818" s="371" t="e">
        <f t="shared" si="767"/>
        <v>#REF!</v>
      </c>
      <c r="Y818" s="371" t="e">
        <f t="shared" si="768"/>
        <v>#REF!</v>
      </c>
      <c r="Z818" s="371" t="e">
        <f t="shared" si="769"/>
        <v>#REF!</v>
      </c>
      <c r="AA818" s="371" t="e">
        <f t="shared" si="770"/>
        <v>#REF!</v>
      </c>
      <c r="AB818" s="50"/>
    </row>
    <row r="819" ht="28.8" outlineLevel="2" spans="1:28">
      <c r="A819" s="52">
        <f>MAX($A$6:A818)+1</f>
        <v>678</v>
      </c>
      <c r="B819" s="51" t="s">
        <v>712</v>
      </c>
      <c r="C819" s="51" t="e">
        <f>VLOOKUP($B819,#REF!,MATCH(C$2,#REF!,0),0)</f>
        <v>#REF!</v>
      </c>
      <c r="D819" s="136"/>
      <c r="E819" s="136"/>
      <c r="F819" s="136" t="e">
        <f>VLOOKUP($B819,#REF!,MATCH(F$2,#REF!,0),0)</f>
        <v>#REF!</v>
      </c>
      <c r="G819" s="137" t="e">
        <f>VLOOKUP($B819,#REF!,MATCH(G$2,#REF!,0),0)</f>
        <v>#REF!</v>
      </c>
      <c r="H819" s="48" t="e">
        <f>H765*1</f>
        <v>#REF!</v>
      </c>
      <c r="I819" s="48" t="e">
        <f>I765*1</f>
        <v>#REF!</v>
      </c>
      <c r="J819" s="48" t="e">
        <f>$J$765*3.02730347636831</f>
        <v>#REF!</v>
      </c>
      <c r="K819" s="48" t="e">
        <f>$K$765*9.85203967333537</f>
        <v>#REF!</v>
      </c>
      <c r="L819" s="48" t="e">
        <f>$L$765*9.85203967333537</f>
        <v>#REF!</v>
      </c>
      <c r="M819" s="48" t="e">
        <f t="shared" si="771"/>
        <v>#REF!</v>
      </c>
      <c r="N819" s="48" t="e">
        <f t="shared" si="772"/>
        <v>#REF!</v>
      </c>
      <c r="O819" s="48" t="e">
        <f t="shared" si="773"/>
        <v>#REF!</v>
      </c>
      <c r="P819" s="48"/>
      <c r="Q819" s="48"/>
      <c r="R819" s="371" t="e">
        <f t="shared" si="761"/>
        <v>#REF!</v>
      </c>
      <c r="S819" s="371" t="e">
        <f t="shared" si="762"/>
        <v>#REF!</v>
      </c>
      <c r="T819" s="371" t="e">
        <f t="shared" si="763"/>
        <v>#REF!</v>
      </c>
      <c r="U819" s="371" t="e">
        <f t="shared" si="764"/>
        <v>#REF!</v>
      </c>
      <c r="V819" s="371" t="e">
        <f t="shared" si="765"/>
        <v>#REF!</v>
      </c>
      <c r="W819" s="371" t="e">
        <f t="shared" si="766"/>
        <v>#REF!</v>
      </c>
      <c r="X819" s="371" t="e">
        <f t="shared" si="767"/>
        <v>#REF!</v>
      </c>
      <c r="Y819" s="371" t="e">
        <f t="shared" si="768"/>
        <v>#REF!</v>
      </c>
      <c r="Z819" s="371" t="e">
        <f t="shared" si="769"/>
        <v>#REF!</v>
      </c>
      <c r="AA819" s="371" t="e">
        <f t="shared" si="770"/>
        <v>#REF!</v>
      </c>
      <c r="AB819" s="50"/>
    </row>
    <row r="820" ht="28.8" outlineLevel="2" spans="1:28">
      <c r="A820" s="52">
        <f>MAX($A$6:A819)+1</f>
        <v>679</v>
      </c>
      <c r="B820" s="51" t="s">
        <v>713</v>
      </c>
      <c r="C820" s="51" t="e">
        <f>VLOOKUP($B820,#REF!,MATCH(C$2,#REF!,0),0)</f>
        <v>#REF!</v>
      </c>
      <c r="D820" s="136"/>
      <c r="E820" s="136"/>
      <c r="F820" s="136" t="e">
        <f>VLOOKUP($B820,#REF!,MATCH(F$2,#REF!,0),0)</f>
        <v>#REF!</v>
      </c>
      <c r="G820" s="137" t="e">
        <f>VLOOKUP($B820,#REF!,MATCH(G$2,#REF!,0),0)</f>
        <v>#REF!</v>
      </c>
      <c r="H820" s="48" t="e">
        <f>H765*1</f>
        <v>#REF!</v>
      </c>
      <c r="I820" s="48" t="e">
        <f>I765*1</f>
        <v>#REF!</v>
      </c>
      <c r="J820" s="48" t="e">
        <f>$J$765*1</f>
        <v>#REF!</v>
      </c>
      <c r="K820" s="48" t="e">
        <f>$K$765*1</f>
        <v>#REF!</v>
      </c>
      <c r="L820" s="48" t="e">
        <f>$L$765*1</f>
        <v>#REF!</v>
      </c>
      <c r="M820" s="48" t="e">
        <f t="shared" si="771"/>
        <v>#REF!</v>
      </c>
      <c r="N820" s="48" t="e">
        <f t="shared" si="772"/>
        <v>#REF!</v>
      </c>
      <c r="O820" s="48" t="e">
        <f t="shared" si="773"/>
        <v>#REF!</v>
      </c>
      <c r="P820" s="48"/>
      <c r="Q820" s="48"/>
      <c r="R820" s="371" t="e">
        <f t="shared" si="761"/>
        <v>#REF!</v>
      </c>
      <c r="S820" s="371" t="e">
        <f t="shared" si="762"/>
        <v>#REF!</v>
      </c>
      <c r="T820" s="371" t="e">
        <f t="shared" si="763"/>
        <v>#REF!</v>
      </c>
      <c r="U820" s="371" t="e">
        <f t="shared" si="764"/>
        <v>#REF!</v>
      </c>
      <c r="V820" s="371" t="e">
        <f t="shared" si="765"/>
        <v>#REF!</v>
      </c>
      <c r="W820" s="371" t="e">
        <f t="shared" si="766"/>
        <v>#REF!</v>
      </c>
      <c r="X820" s="371" t="e">
        <f t="shared" si="767"/>
        <v>#REF!</v>
      </c>
      <c r="Y820" s="371" t="e">
        <f t="shared" si="768"/>
        <v>#REF!</v>
      </c>
      <c r="Z820" s="371" t="e">
        <f t="shared" si="769"/>
        <v>#REF!</v>
      </c>
      <c r="AA820" s="371" t="e">
        <f t="shared" si="770"/>
        <v>#REF!</v>
      </c>
      <c r="AB820" s="50"/>
    </row>
    <row r="821" ht="28.8" outlineLevel="2" spans="1:28">
      <c r="A821" s="52">
        <f>MAX($A$6:A820)+1</f>
        <v>680</v>
      </c>
      <c r="B821" s="51" t="s">
        <v>714</v>
      </c>
      <c r="C821" s="51" t="e">
        <f>VLOOKUP($B821,#REF!,MATCH(C$2,#REF!,0),0)</f>
        <v>#REF!</v>
      </c>
      <c r="D821" s="136"/>
      <c r="E821" s="136"/>
      <c r="F821" s="136" t="e">
        <f>VLOOKUP($B821,#REF!,MATCH(F$2,#REF!,0),0)</f>
        <v>#REF!</v>
      </c>
      <c r="G821" s="137" t="e">
        <f>VLOOKUP($B821,#REF!,MATCH(G$2,#REF!,0),0)</f>
        <v>#REF!</v>
      </c>
      <c r="H821" s="48" t="e">
        <f>H765*206.676144453431</f>
        <v>#REF!</v>
      </c>
      <c r="I821" s="48" t="e">
        <f>I765*206.676144453431</f>
        <v>#REF!</v>
      </c>
      <c r="J821" s="48" t="e">
        <f>$J$765*318.935325069156</f>
        <v>#REF!</v>
      </c>
      <c r="K821" s="48" t="e">
        <f>$K$765*1037.94135617316</f>
        <v>#REF!</v>
      </c>
      <c r="L821" s="48" t="e">
        <f>$L$765*1037.94135617316</f>
        <v>#REF!</v>
      </c>
      <c r="M821" s="48" t="e">
        <f t="shared" si="771"/>
        <v>#REF!</v>
      </c>
      <c r="N821" s="48" t="e">
        <f t="shared" si="772"/>
        <v>#REF!</v>
      </c>
      <c r="O821" s="48" t="e">
        <f t="shared" si="773"/>
        <v>#REF!</v>
      </c>
      <c r="P821" s="48"/>
      <c r="Q821" s="48"/>
      <c r="R821" s="371" t="e">
        <f t="shared" si="761"/>
        <v>#REF!</v>
      </c>
      <c r="S821" s="371" t="e">
        <f t="shared" si="762"/>
        <v>#REF!</v>
      </c>
      <c r="T821" s="371" t="e">
        <f t="shared" si="763"/>
        <v>#REF!</v>
      </c>
      <c r="U821" s="371" t="e">
        <f t="shared" si="764"/>
        <v>#REF!</v>
      </c>
      <c r="V821" s="371" t="e">
        <f t="shared" si="765"/>
        <v>#REF!</v>
      </c>
      <c r="W821" s="371" t="e">
        <f t="shared" si="766"/>
        <v>#REF!</v>
      </c>
      <c r="X821" s="371" t="e">
        <f t="shared" si="767"/>
        <v>#REF!</v>
      </c>
      <c r="Y821" s="371" t="e">
        <f t="shared" si="768"/>
        <v>#REF!</v>
      </c>
      <c r="Z821" s="371" t="e">
        <f t="shared" si="769"/>
        <v>#REF!</v>
      </c>
      <c r="AA821" s="371" t="e">
        <f t="shared" si="770"/>
        <v>#REF!</v>
      </c>
      <c r="AB821" s="50"/>
    </row>
    <row r="822" ht="28.8" outlineLevel="2" spans="1:28">
      <c r="A822" s="52">
        <f>MAX($A$6:A821)+1</f>
        <v>681</v>
      </c>
      <c r="B822" s="51" t="s">
        <v>715</v>
      </c>
      <c r="C822" s="51" t="e">
        <f>VLOOKUP($B822,#REF!,MATCH(C$2,#REF!,0),0)</f>
        <v>#REF!</v>
      </c>
      <c r="D822" s="136"/>
      <c r="E822" s="136"/>
      <c r="F822" s="136" t="e">
        <f>VLOOKUP($B822,#REF!,MATCH(F$2,#REF!,0),0)</f>
        <v>#REF!</v>
      </c>
      <c r="G822" s="137" t="e">
        <f>VLOOKUP($B822,#REF!,MATCH(G$2,#REF!,0),0)</f>
        <v>#REF!</v>
      </c>
      <c r="H822" s="48" t="e">
        <f>H765*1</f>
        <v>#REF!</v>
      </c>
      <c r="I822" s="48" t="e">
        <f>I765*1</f>
        <v>#REF!</v>
      </c>
      <c r="J822" s="48" t="e">
        <f>$J$765*1</f>
        <v>#REF!</v>
      </c>
      <c r="K822" s="48" t="e">
        <f>$K$765*1</f>
        <v>#REF!</v>
      </c>
      <c r="L822" s="48" t="e">
        <f>$L$765*1</f>
        <v>#REF!</v>
      </c>
      <c r="M822" s="48" t="e">
        <f t="shared" si="771"/>
        <v>#REF!</v>
      </c>
      <c r="N822" s="48" t="e">
        <f t="shared" si="772"/>
        <v>#REF!</v>
      </c>
      <c r="O822" s="48" t="e">
        <f t="shared" si="773"/>
        <v>#REF!</v>
      </c>
      <c r="P822" s="48"/>
      <c r="Q822" s="48"/>
      <c r="R822" s="371" t="e">
        <f t="shared" si="761"/>
        <v>#REF!</v>
      </c>
      <c r="S822" s="371" t="e">
        <f t="shared" si="762"/>
        <v>#REF!</v>
      </c>
      <c r="T822" s="371" t="e">
        <f t="shared" si="763"/>
        <v>#REF!</v>
      </c>
      <c r="U822" s="371" t="e">
        <f t="shared" si="764"/>
        <v>#REF!</v>
      </c>
      <c r="V822" s="371" t="e">
        <f t="shared" si="765"/>
        <v>#REF!</v>
      </c>
      <c r="W822" s="371" t="e">
        <f t="shared" si="766"/>
        <v>#REF!</v>
      </c>
      <c r="X822" s="371" t="e">
        <f t="shared" si="767"/>
        <v>#REF!</v>
      </c>
      <c r="Y822" s="371" t="e">
        <f t="shared" si="768"/>
        <v>#REF!</v>
      </c>
      <c r="Z822" s="371" t="e">
        <f t="shared" si="769"/>
        <v>#REF!</v>
      </c>
      <c r="AA822" s="371" t="e">
        <f t="shared" si="770"/>
        <v>#REF!</v>
      </c>
      <c r="AB822" s="50"/>
    </row>
    <row r="823" ht="28.8" outlineLevel="2" spans="1:28">
      <c r="A823" s="52">
        <f>MAX($A$6:A822)+1</f>
        <v>682</v>
      </c>
      <c r="B823" s="51" t="s">
        <v>716</v>
      </c>
      <c r="C823" s="51" t="e">
        <f>VLOOKUP($B823,#REF!,MATCH(C$2,#REF!,0),0)</f>
        <v>#REF!</v>
      </c>
      <c r="D823" s="136"/>
      <c r="E823" s="136"/>
      <c r="F823" s="136" t="e">
        <f>VLOOKUP($B823,#REF!,MATCH(F$2,#REF!,0),0)</f>
        <v>#REF!</v>
      </c>
      <c r="G823" s="137" t="e">
        <f>VLOOKUP($B823,#REF!,MATCH(G$2,#REF!,0),0)</f>
        <v>#REF!</v>
      </c>
      <c r="H823" s="48" t="e">
        <f>H765*113.0473668423</f>
        <v>#REF!</v>
      </c>
      <c r="I823" s="48" t="e">
        <f>I765*113.0473668423</f>
        <v>#REF!</v>
      </c>
      <c r="J823" s="48" t="e">
        <f>$J$765*160.065491372348</f>
        <v>#REF!</v>
      </c>
      <c r="K823" s="48" t="e">
        <f>$K$765*520.916248946438</f>
        <v>#REF!</v>
      </c>
      <c r="L823" s="48" t="e">
        <f>$L$765*520.916248946438</f>
        <v>#REF!</v>
      </c>
      <c r="M823" s="48" t="e">
        <f t="shared" si="771"/>
        <v>#REF!</v>
      </c>
      <c r="N823" s="48" t="e">
        <f t="shared" si="772"/>
        <v>#REF!</v>
      </c>
      <c r="O823" s="48" t="e">
        <f t="shared" si="773"/>
        <v>#REF!</v>
      </c>
      <c r="P823" s="48"/>
      <c r="Q823" s="48"/>
      <c r="R823" s="371" t="e">
        <f t="shared" si="761"/>
        <v>#REF!</v>
      </c>
      <c r="S823" s="371" t="e">
        <f t="shared" si="762"/>
        <v>#REF!</v>
      </c>
      <c r="T823" s="371" t="e">
        <f t="shared" si="763"/>
        <v>#REF!</v>
      </c>
      <c r="U823" s="371" t="e">
        <f t="shared" si="764"/>
        <v>#REF!</v>
      </c>
      <c r="V823" s="371" t="e">
        <f t="shared" si="765"/>
        <v>#REF!</v>
      </c>
      <c r="W823" s="371" t="e">
        <f t="shared" si="766"/>
        <v>#REF!</v>
      </c>
      <c r="X823" s="371" t="e">
        <f t="shared" si="767"/>
        <v>#REF!</v>
      </c>
      <c r="Y823" s="371" t="e">
        <f t="shared" si="768"/>
        <v>#REF!</v>
      </c>
      <c r="Z823" s="371" t="e">
        <f t="shared" si="769"/>
        <v>#REF!</v>
      </c>
      <c r="AA823" s="371" t="e">
        <f t="shared" si="770"/>
        <v>#REF!</v>
      </c>
      <c r="AB823" s="50"/>
    </row>
    <row r="824" ht="28.8" outlineLevel="2" spans="1:28">
      <c r="A824" s="52">
        <f>MAX($A$6:A823)+1</f>
        <v>683</v>
      </c>
      <c r="B824" s="51" t="s">
        <v>717</v>
      </c>
      <c r="C824" s="51" t="e">
        <f>VLOOKUP($B824,#REF!,MATCH(C$2,#REF!,0),0)</f>
        <v>#REF!</v>
      </c>
      <c r="D824" s="136"/>
      <c r="E824" s="136"/>
      <c r="F824" s="136" t="e">
        <f>VLOOKUP($B824,#REF!,MATCH(F$2,#REF!,0),0)</f>
        <v>#REF!</v>
      </c>
      <c r="G824" s="137" t="e">
        <f>VLOOKUP($B824,#REF!,MATCH(G$2,#REF!,0),0)</f>
        <v>#REF!</v>
      </c>
      <c r="H824" s="48" t="e">
        <f>H765*69.6394104390298</f>
        <v>#REF!</v>
      </c>
      <c r="I824" s="48" t="e">
        <f>I765*69.6394104390298</f>
        <v>#REF!</v>
      </c>
      <c r="J824" s="48" t="e">
        <f>$J$765*77.0054422098057</f>
        <v>#REF!</v>
      </c>
      <c r="K824" s="48" t="e">
        <f>$K$765*250.606084799884</f>
        <v>#REF!</v>
      </c>
      <c r="L824" s="48" t="e">
        <f>$L$765*250.606084799884</f>
        <v>#REF!</v>
      </c>
      <c r="M824" s="48" t="e">
        <f t="shared" si="771"/>
        <v>#REF!</v>
      </c>
      <c r="N824" s="48" t="e">
        <f t="shared" si="772"/>
        <v>#REF!</v>
      </c>
      <c r="O824" s="48" t="e">
        <f t="shared" si="773"/>
        <v>#REF!</v>
      </c>
      <c r="P824" s="48"/>
      <c r="Q824" s="48"/>
      <c r="R824" s="371" t="e">
        <f t="shared" si="761"/>
        <v>#REF!</v>
      </c>
      <c r="S824" s="371" t="e">
        <f t="shared" si="762"/>
        <v>#REF!</v>
      </c>
      <c r="T824" s="371" t="e">
        <f t="shared" si="763"/>
        <v>#REF!</v>
      </c>
      <c r="U824" s="371" t="e">
        <f t="shared" si="764"/>
        <v>#REF!</v>
      </c>
      <c r="V824" s="371" t="e">
        <f t="shared" si="765"/>
        <v>#REF!</v>
      </c>
      <c r="W824" s="371" t="e">
        <f t="shared" si="766"/>
        <v>#REF!</v>
      </c>
      <c r="X824" s="371" t="e">
        <f t="shared" si="767"/>
        <v>#REF!</v>
      </c>
      <c r="Y824" s="371" t="e">
        <f t="shared" si="768"/>
        <v>#REF!</v>
      </c>
      <c r="Z824" s="371" t="e">
        <f t="shared" si="769"/>
        <v>#REF!</v>
      </c>
      <c r="AA824" s="371" t="e">
        <f t="shared" si="770"/>
        <v>#REF!</v>
      </c>
      <c r="AB824" s="50"/>
    </row>
    <row r="825" ht="28.8" outlineLevel="2" spans="1:28">
      <c r="A825" s="52">
        <f>MAX($A$6:A824)+1</f>
        <v>684</v>
      </c>
      <c r="B825" s="51" t="s">
        <v>718</v>
      </c>
      <c r="C825" s="51" t="e">
        <f>VLOOKUP($B825,#REF!,MATCH(C$2,#REF!,0),0)</f>
        <v>#REF!</v>
      </c>
      <c r="D825" s="136"/>
      <c r="E825" s="136"/>
      <c r="F825" s="136" t="e">
        <f>VLOOKUP($B825,#REF!,MATCH(F$2,#REF!,0),0)</f>
        <v>#REF!</v>
      </c>
      <c r="G825" s="137" t="e">
        <f>VLOOKUP($B825,#REF!,MATCH(G$2,#REF!,0),0)</f>
        <v>#REF!</v>
      </c>
      <c r="H825" s="48" t="e">
        <f>H765*1</f>
        <v>#REF!</v>
      </c>
      <c r="I825" s="48" t="e">
        <f>I765*1</f>
        <v>#REF!</v>
      </c>
      <c r="J825" s="48" t="e">
        <f>$J$765*1</f>
        <v>#REF!</v>
      </c>
      <c r="K825" s="48" t="e">
        <f t="shared" ref="K825:K833" si="774">$K$765*1</f>
        <v>#REF!</v>
      </c>
      <c r="L825" s="48" t="e">
        <f t="shared" ref="L825:L833" si="775">$L$765*1</f>
        <v>#REF!</v>
      </c>
      <c r="M825" s="48" t="e">
        <f t="shared" si="771"/>
        <v>#REF!</v>
      </c>
      <c r="N825" s="48" t="e">
        <f t="shared" si="772"/>
        <v>#REF!</v>
      </c>
      <c r="O825" s="48" t="e">
        <f t="shared" si="773"/>
        <v>#REF!</v>
      </c>
      <c r="P825" s="48"/>
      <c r="Q825" s="48"/>
      <c r="R825" s="371" t="e">
        <f t="shared" si="761"/>
        <v>#REF!</v>
      </c>
      <c r="S825" s="371" t="e">
        <f t="shared" si="762"/>
        <v>#REF!</v>
      </c>
      <c r="T825" s="371" t="e">
        <f t="shared" si="763"/>
        <v>#REF!</v>
      </c>
      <c r="U825" s="371" t="e">
        <f t="shared" si="764"/>
        <v>#REF!</v>
      </c>
      <c r="V825" s="371" t="e">
        <f t="shared" si="765"/>
        <v>#REF!</v>
      </c>
      <c r="W825" s="371" t="e">
        <f t="shared" si="766"/>
        <v>#REF!</v>
      </c>
      <c r="X825" s="371" t="e">
        <f t="shared" si="767"/>
        <v>#REF!</v>
      </c>
      <c r="Y825" s="371" t="e">
        <f t="shared" si="768"/>
        <v>#REF!</v>
      </c>
      <c r="Z825" s="371" t="e">
        <f t="shared" si="769"/>
        <v>#REF!</v>
      </c>
      <c r="AA825" s="371" t="e">
        <f t="shared" si="770"/>
        <v>#REF!</v>
      </c>
      <c r="AB825" s="50"/>
    </row>
    <row r="826" ht="28.8" outlineLevel="2" spans="1:28">
      <c r="A826" s="52">
        <f>MAX($A$6:A825)+1</f>
        <v>685</v>
      </c>
      <c r="B826" s="51" t="s">
        <v>719</v>
      </c>
      <c r="C826" s="51" t="e">
        <f>VLOOKUP($B826,#REF!,MATCH(C$2,#REF!,0),0)</f>
        <v>#REF!</v>
      </c>
      <c r="D826" s="136"/>
      <c r="E826" s="136"/>
      <c r="F826" s="136" t="e">
        <f>VLOOKUP($B826,#REF!,MATCH(F$2,#REF!,0),0)</f>
        <v>#REF!</v>
      </c>
      <c r="G826" s="137" t="e">
        <f>VLOOKUP($B826,#REF!,MATCH(G$2,#REF!,0),0)</f>
        <v>#REF!</v>
      </c>
      <c r="H826" s="48" t="e">
        <f>H765*1</f>
        <v>#REF!</v>
      </c>
      <c r="I826" s="48" t="e">
        <f>I765*1</f>
        <v>#REF!</v>
      </c>
      <c r="J826" s="48" t="e">
        <f>$J$765*1</f>
        <v>#REF!</v>
      </c>
      <c r="K826" s="48" t="e">
        <f t="shared" si="774"/>
        <v>#REF!</v>
      </c>
      <c r="L826" s="48" t="e">
        <f t="shared" si="775"/>
        <v>#REF!</v>
      </c>
      <c r="M826" s="48" t="e">
        <f t="shared" si="771"/>
        <v>#REF!</v>
      </c>
      <c r="N826" s="48" t="e">
        <f t="shared" si="772"/>
        <v>#REF!</v>
      </c>
      <c r="O826" s="48" t="e">
        <f t="shared" si="773"/>
        <v>#REF!</v>
      </c>
      <c r="P826" s="48"/>
      <c r="Q826" s="48"/>
      <c r="R826" s="371" t="e">
        <f t="shared" si="761"/>
        <v>#REF!</v>
      </c>
      <c r="S826" s="371" t="e">
        <f t="shared" si="762"/>
        <v>#REF!</v>
      </c>
      <c r="T826" s="371" t="e">
        <f t="shared" si="763"/>
        <v>#REF!</v>
      </c>
      <c r="U826" s="371" t="e">
        <f t="shared" si="764"/>
        <v>#REF!</v>
      </c>
      <c r="V826" s="371" t="e">
        <f t="shared" si="765"/>
        <v>#REF!</v>
      </c>
      <c r="W826" s="371" t="e">
        <f t="shared" si="766"/>
        <v>#REF!</v>
      </c>
      <c r="X826" s="371" t="e">
        <f t="shared" si="767"/>
        <v>#REF!</v>
      </c>
      <c r="Y826" s="371" t="e">
        <f t="shared" si="768"/>
        <v>#REF!</v>
      </c>
      <c r="Z826" s="371" t="e">
        <f t="shared" si="769"/>
        <v>#REF!</v>
      </c>
      <c r="AA826" s="371" t="e">
        <f t="shared" si="770"/>
        <v>#REF!</v>
      </c>
      <c r="AB826" s="50"/>
    </row>
    <row r="827" ht="28.8" outlineLevel="2" spans="1:28">
      <c r="A827" s="52">
        <f>MAX($A$6:A826)+1</f>
        <v>686</v>
      </c>
      <c r="B827" s="51" t="s">
        <v>720</v>
      </c>
      <c r="C827" s="51" t="e">
        <f>VLOOKUP($B827,#REF!,MATCH(C$2,#REF!,0),0)</f>
        <v>#REF!</v>
      </c>
      <c r="D827" s="136"/>
      <c r="E827" s="136"/>
      <c r="F827" s="136" t="e">
        <f>VLOOKUP($B827,#REF!,MATCH(F$2,#REF!,0),0)</f>
        <v>#REF!</v>
      </c>
      <c r="G827" s="137" t="e">
        <f>VLOOKUP($B827,#REF!,MATCH(G$2,#REF!,0),0)</f>
        <v>#REF!</v>
      </c>
      <c r="H827" s="48" t="e">
        <f>H765*1</f>
        <v>#REF!</v>
      </c>
      <c r="I827" s="48" t="e">
        <f>I765*1</f>
        <v>#REF!</v>
      </c>
      <c r="J827" s="48" t="e">
        <f>$J$765*1</f>
        <v>#REF!</v>
      </c>
      <c r="K827" s="48" t="e">
        <f t="shared" si="774"/>
        <v>#REF!</v>
      </c>
      <c r="L827" s="48" t="e">
        <f t="shared" si="775"/>
        <v>#REF!</v>
      </c>
      <c r="M827" s="48" t="e">
        <f t="shared" si="771"/>
        <v>#REF!</v>
      </c>
      <c r="N827" s="48" t="e">
        <f t="shared" si="772"/>
        <v>#REF!</v>
      </c>
      <c r="O827" s="48" t="e">
        <f t="shared" si="773"/>
        <v>#REF!</v>
      </c>
      <c r="P827" s="48"/>
      <c r="Q827" s="48"/>
      <c r="R827" s="371" t="e">
        <f t="shared" si="761"/>
        <v>#REF!</v>
      </c>
      <c r="S827" s="371" t="e">
        <f t="shared" si="762"/>
        <v>#REF!</v>
      </c>
      <c r="T827" s="371" t="e">
        <f t="shared" si="763"/>
        <v>#REF!</v>
      </c>
      <c r="U827" s="371" t="e">
        <f t="shared" si="764"/>
        <v>#REF!</v>
      </c>
      <c r="V827" s="371" t="e">
        <f t="shared" si="765"/>
        <v>#REF!</v>
      </c>
      <c r="W827" s="371" t="e">
        <f t="shared" si="766"/>
        <v>#REF!</v>
      </c>
      <c r="X827" s="371" t="e">
        <f t="shared" si="767"/>
        <v>#REF!</v>
      </c>
      <c r="Y827" s="371" t="e">
        <f t="shared" si="768"/>
        <v>#REF!</v>
      </c>
      <c r="Z827" s="371" t="e">
        <f t="shared" si="769"/>
        <v>#REF!</v>
      </c>
      <c r="AA827" s="371" t="e">
        <f t="shared" si="770"/>
        <v>#REF!</v>
      </c>
      <c r="AB827" s="50"/>
    </row>
    <row r="828" ht="28.8" outlineLevel="2" spans="1:28">
      <c r="A828" s="52">
        <f>MAX($A$6:A827)+1</f>
        <v>687</v>
      </c>
      <c r="B828" s="51" t="s">
        <v>721</v>
      </c>
      <c r="C828" s="51" t="e">
        <f>VLOOKUP($B828,#REF!,MATCH(C$2,#REF!,0),0)</f>
        <v>#REF!</v>
      </c>
      <c r="D828" s="136"/>
      <c r="E828" s="136"/>
      <c r="F828" s="136" t="e">
        <f>VLOOKUP($B828,#REF!,MATCH(F$2,#REF!,0),0)</f>
        <v>#REF!</v>
      </c>
      <c r="G828" s="137" t="e">
        <f>VLOOKUP($B828,#REF!,MATCH(G$2,#REF!,0),0)</f>
        <v>#REF!</v>
      </c>
      <c r="H828" s="48" t="e">
        <f>H765*1</f>
        <v>#REF!</v>
      </c>
      <c r="I828" s="48" t="e">
        <f>I765*1</f>
        <v>#REF!</v>
      </c>
      <c r="J828" s="48" t="e">
        <f>$J$765*1</f>
        <v>#REF!</v>
      </c>
      <c r="K828" s="48" t="e">
        <f t="shared" si="774"/>
        <v>#REF!</v>
      </c>
      <c r="L828" s="48" t="e">
        <f t="shared" si="775"/>
        <v>#REF!</v>
      </c>
      <c r="M828" s="48" t="e">
        <f t="shared" si="771"/>
        <v>#REF!</v>
      </c>
      <c r="N828" s="48" t="e">
        <f t="shared" si="772"/>
        <v>#REF!</v>
      </c>
      <c r="O828" s="48" t="e">
        <f t="shared" si="773"/>
        <v>#REF!</v>
      </c>
      <c r="P828" s="48"/>
      <c r="Q828" s="48"/>
      <c r="R828" s="371" t="e">
        <f t="shared" si="761"/>
        <v>#REF!</v>
      </c>
      <c r="S828" s="371" t="e">
        <f t="shared" si="762"/>
        <v>#REF!</v>
      </c>
      <c r="T828" s="371" t="e">
        <f t="shared" si="763"/>
        <v>#REF!</v>
      </c>
      <c r="U828" s="371" t="e">
        <f t="shared" si="764"/>
        <v>#REF!</v>
      </c>
      <c r="V828" s="371" t="e">
        <f t="shared" si="765"/>
        <v>#REF!</v>
      </c>
      <c r="W828" s="371" t="e">
        <f t="shared" si="766"/>
        <v>#REF!</v>
      </c>
      <c r="X828" s="371" t="e">
        <f t="shared" si="767"/>
        <v>#REF!</v>
      </c>
      <c r="Y828" s="371" t="e">
        <f t="shared" si="768"/>
        <v>#REF!</v>
      </c>
      <c r="Z828" s="371" t="e">
        <f t="shared" si="769"/>
        <v>#REF!</v>
      </c>
      <c r="AA828" s="371" t="e">
        <f t="shared" si="770"/>
        <v>#REF!</v>
      </c>
      <c r="AB828" s="50"/>
    </row>
    <row r="829" ht="28.8" outlineLevel="2" spans="1:28">
      <c r="A829" s="52">
        <f>MAX($A$6:A828)+1</f>
        <v>688</v>
      </c>
      <c r="B829" s="51" t="s">
        <v>722</v>
      </c>
      <c r="C829" s="51" t="e">
        <f>VLOOKUP($B829,#REF!,MATCH(C$2,#REF!,0),0)</f>
        <v>#REF!</v>
      </c>
      <c r="D829" s="136"/>
      <c r="E829" s="136"/>
      <c r="F829" s="136" t="e">
        <f>VLOOKUP($B829,#REF!,MATCH(F$2,#REF!,0),0)</f>
        <v>#REF!</v>
      </c>
      <c r="G829" s="137" t="e">
        <f>VLOOKUP($B829,#REF!,MATCH(G$2,#REF!,0),0)</f>
        <v>#REF!</v>
      </c>
      <c r="H829" s="48" t="e">
        <f>H765*69.7645054142553</f>
        <v>#REF!</v>
      </c>
      <c r="I829" s="48" t="e">
        <f>I765*69.7645054142553</f>
        <v>#REF!</v>
      </c>
      <c r="J829" s="48" t="e">
        <f>$J$765*1</f>
        <v>#REF!</v>
      </c>
      <c r="K829" s="48" t="e">
        <f t="shared" si="774"/>
        <v>#REF!</v>
      </c>
      <c r="L829" s="48" t="e">
        <f t="shared" si="775"/>
        <v>#REF!</v>
      </c>
      <c r="M829" s="48" t="e">
        <f t="shared" si="771"/>
        <v>#REF!</v>
      </c>
      <c r="N829" s="48" t="e">
        <f t="shared" si="772"/>
        <v>#REF!</v>
      </c>
      <c r="O829" s="48" t="e">
        <f t="shared" si="773"/>
        <v>#REF!</v>
      </c>
      <c r="P829" s="48"/>
      <c r="Q829" s="48"/>
      <c r="R829" s="371" t="e">
        <f t="shared" si="761"/>
        <v>#REF!</v>
      </c>
      <c r="S829" s="371" t="e">
        <f t="shared" si="762"/>
        <v>#REF!</v>
      </c>
      <c r="T829" s="371" t="e">
        <f t="shared" si="763"/>
        <v>#REF!</v>
      </c>
      <c r="U829" s="371" t="e">
        <f t="shared" si="764"/>
        <v>#REF!</v>
      </c>
      <c r="V829" s="371" t="e">
        <f t="shared" si="765"/>
        <v>#REF!</v>
      </c>
      <c r="W829" s="371" t="e">
        <f t="shared" si="766"/>
        <v>#REF!</v>
      </c>
      <c r="X829" s="371" t="e">
        <f t="shared" si="767"/>
        <v>#REF!</v>
      </c>
      <c r="Y829" s="371" t="e">
        <f t="shared" si="768"/>
        <v>#REF!</v>
      </c>
      <c r="Z829" s="371" t="e">
        <f t="shared" si="769"/>
        <v>#REF!</v>
      </c>
      <c r="AA829" s="371" t="e">
        <f t="shared" si="770"/>
        <v>#REF!</v>
      </c>
      <c r="AB829" s="50"/>
    </row>
    <row r="830" ht="28.8" outlineLevel="2" spans="1:28">
      <c r="A830" s="52">
        <f>MAX($A$6:A829)+1</f>
        <v>689</v>
      </c>
      <c r="B830" s="51" t="s">
        <v>723</v>
      </c>
      <c r="C830" s="51" t="e">
        <f>VLOOKUP($B830,#REF!,MATCH(C$2,#REF!,0),0)</f>
        <v>#REF!</v>
      </c>
      <c r="D830" s="136"/>
      <c r="E830" s="136"/>
      <c r="F830" s="136" t="e">
        <f>VLOOKUP($B830,#REF!,MATCH(F$2,#REF!,0),0)</f>
        <v>#REF!</v>
      </c>
      <c r="G830" s="137" t="e">
        <f>VLOOKUP($B830,#REF!,MATCH(G$2,#REF!,0),0)</f>
        <v>#REF!</v>
      </c>
      <c r="H830" s="48" t="e">
        <f>H765*78.3286998720053</f>
        <v>#REF!</v>
      </c>
      <c r="I830" s="48" t="e">
        <f>I765*78.3286998720053</f>
        <v>#REF!</v>
      </c>
      <c r="J830" s="48" t="e">
        <f t="shared" ref="J830:J865" si="776">$J$765*1</f>
        <v>#REF!</v>
      </c>
      <c r="K830" s="48" t="e">
        <f t="shared" si="774"/>
        <v>#REF!</v>
      </c>
      <c r="L830" s="48" t="e">
        <f t="shared" si="775"/>
        <v>#REF!</v>
      </c>
      <c r="M830" s="48" t="e">
        <f t="shared" si="771"/>
        <v>#REF!</v>
      </c>
      <c r="N830" s="48" t="e">
        <f t="shared" si="772"/>
        <v>#REF!</v>
      </c>
      <c r="O830" s="48" t="e">
        <f t="shared" si="773"/>
        <v>#REF!</v>
      </c>
      <c r="P830" s="48"/>
      <c r="Q830" s="48"/>
      <c r="R830" s="371" t="e">
        <f t="shared" si="761"/>
        <v>#REF!</v>
      </c>
      <c r="S830" s="371" t="e">
        <f t="shared" si="762"/>
        <v>#REF!</v>
      </c>
      <c r="T830" s="371" t="e">
        <f t="shared" si="763"/>
        <v>#REF!</v>
      </c>
      <c r="U830" s="371" t="e">
        <f t="shared" si="764"/>
        <v>#REF!</v>
      </c>
      <c r="V830" s="371" t="e">
        <f t="shared" si="765"/>
        <v>#REF!</v>
      </c>
      <c r="W830" s="371" t="e">
        <f t="shared" si="766"/>
        <v>#REF!</v>
      </c>
      <c r="X830" s="371" t="e">
        <f t="shared" si="767"/>
        <v>#REF!</v>
      </c>
      <c r="Y830" s="371" t="e">
        <f t="shared" si="768"/>
        <v>#REF!</v>
      </c>
      <c r="Z830" s="371" t="e">
        <f t="shared" si="769"/>
        <v>#REF!</v>
      </c>
      <c r="AA830" s="371" t="e">
        <f t="shared" si="770"/>
        <v>#REF!</v>
      </c>
      <c r="AB830" s="50"/>
    </row>
    <row r="831" ht="28.8" outlineLevel="2" spans="1:28">
      <c r="A831" s="52">
        <f>MAX($A$6:A830)+1</f>
        <v>690</v>
      </c>
      <c r="B831" s="51" t="s">
        <v>724</v>
      </c>
      <c r="C831" s="51" t="e">
        <f>VLOOKUP($B831,#REF!,MATCH(C$2,#REF!,0),0)</f>
        <v>#REF!</v>
      </c>
      <c r="D831" s="136"/>
      <c r="E831" s="136"/>
      <c r="F831" s="136" t="e">
        <f>VLOOKUP($B831,#REF!,MATCH(F$2,#REF!,0),0)</f>
        <v>#REF!</v>
      </c>
      <c r="G831" s="137" t="e">
        <f>VLOOKUP($B831,#REF!,MATCH(G$2,#REF!,0),0)</f>
        <v>#REF!</v>
      </c>
      <c r="H831" s="48" t="e">
        <f>H765*51.8566785761961</f>
        <v>#REF!</v>
      </c>
      <c r="I831" s="48" t="e">
        <f>I765*51.8566785761961</f>
        <v>#REF!</v>
      </c>
      <c r="J831" s="48" t="e">
        <f t="shared" si="776"/>
        <v>#REF!</v>
      </c>
      <c r="K831" s="48" t="e">
        <f t="shared" si="774"/>
        <v>#REF!</v>
      </c>
      <c r="L831" s="48" t="e">
        <f t="shared" si="775"/>
        <v>#REF!</v>
      </c>
      <c r="M831" s="48" t="e">
        <f t="shared" si="771"/>
        <v>#REF!</v>
      </c>
      <c r="N831" s="48" t="e">
        <f t="shared" si="772"/>
        <v>#REF!</v>
      </c>
      <c r="O831" s="48" t="e">
        <f t="shared" si="773"/>
        <v>#REF!</v>
      </c>
      <c r="P831" s="48"/>
      <c r="Q831" s="48"/>
      <c r="R831" s="371" t="e">
        <f t="shared" si="761"/>
        <v>#REF!</v>
      </c>
      <c r="S831" s="371" t="e">
        <f t="shared" si="762"/>
        <v>#REF!</v>
      </c>
      <c r="T831" s="371" t="e">
        <f t="shared" si="763"/>
        <v>#REF!</v>
      </c>
      <c r="U831" s="371" t="e">
        <f t="shared" si="764"/>
        <v>#REF!</v>
      </c>
      <c r="V831" s="371" t="e">
        <f t="shared" si="765"/>
        <v>#REF!</v>
      </c>
      <c r="W831" s="371" t="e">
        <f t="shared" si="766"/>
        <v>#REF!</v>
      </c>
      <c r="X831" s="371" t="e">
        <f t="shared" si="767"/>
        <v>#REF!</v>
      </c>
      <c r="Y831" s="371" t="e">
        <f t="shared" si="768"/>
        <v>#REF!</v>
      </c>
      <c r="Z831" s="371" t="e">
        <f t="shared" si="769"/>
        <v>#REF!</v>
      </c>
      <c r="AA831" s="371" t="e">
        <f t="shared" si="770"/>
        <v>#REF!</v>
      </c>
      <c r="AB831" s="50"/>
    </row>
    <row r="832" ht="28.8" outlineLevel="2" spans="1:28">
      <c r="A832" s="52">
        <f>MAX($A$6:A831)+1</f>
        <v>691</v>
      </c>
      <c r="B832" s="51" t="s">
        <v>725</v>
      </c>
      <c r="C832" s="51" t="e">
        <f>VLOOKUP($B832,#REF!,MATCH(C$2,#REF!,0),0)</f>
        <v>#REF!</v>
      </c>
      <c r="D832" s="136"/>
      <c r="E832" s="136"/>
      <c r="F832" s="136" t="e">
        <f>VLOOKUP($B832,#REF!,MATCH(F$2,#REF!,0),0)</f>
        <v>#REF!</v>
      </c>
      <c r="G832" s="137" t="e">
        <f>VLOOKUP($B832,#REF!,MATCH(G$2,#REF!,0),0)</f>
        <v>#REF!</v>
      </c>
      <c r="H832" s="48" t="e">
        <f>H765*29.5320368436344</f>
        <v>#REF!</v>
      </c>
      <c r="I832" s="48" t="e">
        <f>I765*29.5320368436344</f>
        <v>#REF!</v>
      </c>
      <c r="J832" s="48" t="e">
        <f t="shared" si="776"/>
        <v>#REF!</v>
      </c>
      <c r="K832" s="48" t="e">
        <f t="shared" si="774"/>
        <v>#REF!</v>
      </c>
      <c r="L832" s="48" t="e">
        <f t="shared" si="775"/>
        <v>#REF!</v>
      </c>
      <c r="M832" s="48" t="e">
        <f t="shared" si="771"/>
        <v>#REF!</v>
      </c>
      <c r="N832" s="48" t="e">
        <f t="shared" si="772"/>
        <v>#REF!</v>
      </c>
      <c r="O832" s="48" t="e">
        <f t="shared" si="773"/>
        <v>#REF!</v>
      </c>
      <c r="P832" s="48"/>
      <c r="Q832" s="48"/>
      <c r="R832" s="371" t="e">
        <f t="shared" si="761"/>
        <v>#REF!</v>
      </c>
      <c r="S832" s="371" t="e">
        <f t="shared" si="762"/>
        <v>#REF!</v>
      </c>
      <c r="T832" s="371" t="e">
        <f t="shared" si="763"/>
        <v>#REF!</v>
      </c>
      <c r="U832" s="371" t="e">
        <f t="shared" si="764"/>
        <v>#REF!</v>
      </c>
      <c r="V832" s="371" t="e">
        <f t="shared" si="765"/>
        <v>#REF!</v>
      </c>
      <c r="W832" s="371" t="e">
        <f t="shared" si="766"/>
        <v>#REF!</v>
      </c>
      <c r="X832" s="371" t="e">
        <f t="shared" si="767"/>
        <v>#REF!</v>
      </c>
      <c r="Y832" s="371" t="e">
        <f t="shared" si="768"/>
        <v>#REF!</v>
      </c>
      <c r="Z832" s="371" t="e">
        <f t="shared" si="769"/>
        <v>#REF!</v>
      </c>
      <c r="AA832" s="371" t="e">
        <f t="shared" si="770"/>
        <v>#REF!</v>
      </c>
      <c r="AB832" s="50"/>
    </row>
    <row r="833" ht="28.8" outlineLevel="2" spans="1:28">
      <c r="A833" s="52">
        <f>MAX($A$6:A832)+1</f>
        <v>692</v>
      </c>
      <c r="B833" s="51" t="s">
        <v>726</v>
      </c>
      <c r="C833" s="51" t="e">
        <f>VLOOKUP($B833,#REF!,MATCH(C$2,#REF!,0),0)</f>
        <v>#REF!</v>
      </c>
      <c r="D833" s="136"/>
      <c r="E833" s="136"/>
      <c r="F833" s="136" t="e">
        <f>VLOOKUP($B833,#REF!,MATCH(F$2,#REF!,0),0)</f>
        <v>#REF!</v>
      </c>
      <c r="G833" s="137" t="e">
        <f>VLOOKUP($B833,#REF!,MATCH(G$2,#REF!,0),0)</f>
        <v>#REF!</v>
      </c>
      <c r="H833" s="48" t="e">
        <f>H765*27.5112718592215</f>
        <v>#REF!</v>
      </c>
      <c r="I833" s="48" t="e">
        <f>I765*27.5112718592215</f>
        <v>#REF!</v>
      </c>
      <c r="J833" s="48" t="e">
        <f t="shared" si="776"/>
        <v>#REF!</v>
      </c>
      <c r="K833" s="48" t="e">
        <f t="shared" si="774"/>
        <v>#REF!</v>
      </c>
      <c r="L833" s="48" t="e">
        <f t="shared" si="775"/>
        <v>#REF!</v>
      </c>
      <c r="M833" s="48" t="e">
        <f t="shared" si="771"/>
        <v>#REF!</v>
      </c>
      <c r="N833" s="48" t="e">
        <f t="shared" si="772"/>
        <v>#REF!</v>
      </c>
      <c r="O833" s="48" t="e">
        <f t="shared" si="773"/>
        <v>#REF!</v>
      </c>
      <c r="P833" s="48"/>
      <c r="Q833" s="48"/>
      <c r="R833" s="371" t="e">
        <f t="shared" si="761"/>
        <v>#REF!</v>
      </c>
      <c r="S833" s="371" t="e">
        <f t="shared" si="762"/>
        <v>#REF!</v>
      </c>
      <c r="T833" s="371" t="e">
        <f t="shared" si="763"/>
        <v>#REF!</v>
      </c>
      <c r="U833" s="371" t="e">
        <f t="shared" si="764"/>
        <v>#REF!</v>
      </c>
      <c r="V833" s="371" t="e">
        <f t="shared" si="765"/>
        <v>#REF!</v>
      </c>
      <c r="W833" s="371" t="e">
        <f t="shared" si="766"/>
        <v>#REF!</v>
      </c>
      <c r="X833" s="371" t="e">
        <f t="shared" si="767"/>
        <v>#REF!</v>
      </c>
      <c r="Y833" s="371" t="e">
        <f t="shared" si="768"/>
        <v>#REF!</v>
      </c>
      <c r="Z833" s="371" t="e">
        <f t="shared" si="769"/>
        <v>#REF!</v>
      </c>
      <c r="AA833" s="371" t="e">
        <f t="shared" si="770"/>
        <v>#REF!</v>
      </c>
      <c r="AB833" s="50"/>
    </row>
    <row r="834" ht="28.8" outlineLevel="2" spans="1:28">
      <c r="A834" s="52">
        <f>MAX($A$6:A833)+1</f>
        <v>693</v>
      </c>
      <c r="B834" s="51" t="s">
        <v>727</v>
      </c>
      <c r="C834" s="51" t="e">
        <f>VLOOKUP($B834,#REF!,MATCH(C$2,#REF!,0),0)</f>
        <v>#REF!</v>
      </c>
      <c r="D834" s="136"/>
      <c r="E834" s="136"/>
      <c r="F834" s="136" t="e">
        <f>VLOOKUP($B834,#REF!,MATCH(F$2,#REF!,0),0)</f>
        <v>#REF!</v>
      </c>
      <c r="G834" s="137" t="e">
        <f>VLOOKUP($B834,#REF!,MATCH(G$2,#REF!,0),0)</f>
        <v>#REF!</v>
      </c>
      <c r="H834" s="48" t="e">
        <f>H765*28.0982559737415</f>
        <v>#REF!</v>
      </c>
      <c r="I834" s="48" t="e">
        <f>I765*28.0982559737415</f>
        <v>#REF!</v>
      </c>
      <c r="J834" s="48" t="e">
        <f>$J$765*6.61427650298959</f>
        <v>#REF!</v>
      </c>
      <c r="K834" s="48" t="e">
        <f>$K$765*21.5254648324975</f>
        <v>#REF!</v>
      </c>
      <c r="L834" s="48" t="e">
        <f>$L$765*21.5254648324975</f>
        <v>#REF!</v>
      </c>
      <c r="M834" s="48" t="e">
        <f t="shared" si="771"/>
        <v>#REF!</v>
      </c>
      <c r="N834" s="48" t="e">
        <f t="shared" si="772"/>
        <v>#REF!</v>
      </c>
      <c r="O834" s="48" t="e">
        <f t="shared" si="773"/>
        <v>#REF!</v>
      </c>
      <c r="P834" s="48"/>
      <c r="Q834" s="48"/>
      <c r="R834" s="371" t="e">
        <f t="shared" si="761"/>
        <v>#REF!</v>
      </c>
      <c r="S834" s="371" t="e">
        <f t="shared" si="762"/>
        <v>#REF!</v>
      </c>
      <c r="T834" s="371" t="e">
        <f t="shared" si="763"/>
        <v>#REF!</v>
      </c>
      <c r="U834" s="371" t="e">
        <f t="shared" si="764"/>
        <v>#REF!</v>
      </c>
      <c r="V834" s="371" t="e">
        <f t="shared" si="765"/>
        <v>#REF!</v>
      </c>
      <c r="W834" s="371" t="e">
        <f t="shared" si="766"/>
        <v>#REF!</v>
      </c>
      <c r="X834" s="371" t="e">
        <f t="shared" si="767"/>
        <v>#REF!</v>
      </c>
      <c r="Y834" s="371" t="e">
        <f t="shared" si="768"/>
        <v>#REF!</v>
      </c>
      <c r="Z834" s="371" t="e">
        <f t="shared" si="769"/>
        <v>#REF!</v>
      </c>
      <c r="AA834" s="371" t="e">
        <f t="shared" si="770"/>
        <v>#REF!</v>
      </c>
      <c r="AB834" s="50"/>
    </row>
    <row r="835" ht="28.8" outlineLevel="2" spans="1:28">
      <c r="A835" s="52">
        <f>MAX($A$6:A834)+1</f>
        <v>694</v>
      </c>
      <c r="B835" s="51" t="s">
        <v>728</v>
      </c>
      <c r="C835" s="51" t="e">
        <f>VLOOKUP($B835,#REF!,MATCH(C$2,#REF!,0),0)</f>
        <v>#REF!</v>
      </c>
      <c r="D835" s="136"/>
      <c r="E835" s="136"/>
      <c r="F835" s="136" t="e">
        <f>VLOOKUP($B835,#REF!,MATCH(F$2,#REF!,0),0)</f>
        <v>#REF!</v>
      </c>
      <c r="G835" s="137" t="e">
        <f>VLOOKUP($B835,#REF!,MATCH(G$2,#REF!,0),0)</f>
        <v>#REF!</v>
      </c>
      <c r="H835" s="48" t="e">
        <f>H765*3.8490761607865</f>
        <v>#REF!</v>
      </c>
      <c r="I835" s="48" t="e">
        <f>I765*3.8490761607865</f>
        <v>#REF!</v>
      </c>
      <c r="J835" s="48" t="e">
        <f t="shared" si="776"/>
        <v>#REF!</v>
      </c>
      <c r="K835" s="48" t="e">
        <f t="shared" ref="K835:K865" si="777">$K$765*1</f>
        <v>#REF!</v>
      </c>
      <c r="L835" s="48" t="e">
        <f t="shared" ref="L835:L865" si="778">$L$765*1</f>
        <v>#REF!</v>
      </c>
      <c r="M835" s="48" t="e">
        <f t="shared" si="771"/>
        <v>#REF!</v>
      </c>
      <c r="N835" s="48" t="e">
        <f t="shared" si="772"/>
        <v>#REF!</v>
      </c>
      <c r="O835" s="48" t="e">
        <f t="shared" si="773"/>
        <v>#REF!</v>
      </c>
      <c r="P835" s="48"/>
      <c r="Q835" s="48"/>
      <c r="R835" s="371" t="e">
        <f t="shared" si="761"/>
        <v>#REF!</v>
      </c>
      <c r="S835" s="371" t="e">
        <f t="shared" si="762"/>
        <v>#REF!</v>
      </c>
      <c r="T835" s="371" t="e">
        <f t="shared" si="763"/>
        <v>#REF!</v>
      </c>
      <c r="U835" s="371" t="e">
        <f t="shared" si="764"/>
        <v>#REF!</v>
      </c>
      <c r="V835" s="371" t="e">
        <f t="shared" si="765"/>
        <v>#REF!</v>
      </c>
      <c r="W835" s="371" t="e">
        <f t="shared" si="766"/>
        <v>#REF!</v>
      </c>
      <c r="X835" s="371" t="e">
        <f t="shared" si="767"/>
        <v>#REF!</v>
      </c>
      <c r="Y835" s="371" t="e">
        <f t="shared" si="768"/>
        <v>#REF!</v>
      </c>
      <c r="Z835" s="371" t="e">
        <f t="shared" si="769"/>
        <v>#REF!</v>
      </c>
      <c r="AA835" s="371" t="e">
        <f t="shared" si="770"/>
        <v>#REF!</v>
      </c>
      <c r="AB835" s="50"/>
    </row>
    <row r="836" ht="28.8" outlineLevel="2" spans="1:28">
      <c r="A836" s="52">
        <f>MAX($A$6:A835)+1</f>
        <v>695</v>
      </c>
      <c r="B836" s="51" t="s">
        <v>729</v>
      </c>
      <c r="C836" s="51" t="e">
        <f>VLOOKUP($B836,#REF!,MATCH(C$2,#REF!,0),0)</f>
        <v>#REF!</v>
      </c>
      <c r="D836" s="136"/>
      <c r="E836" s="136"/>
      <c r="F836" s="136" t="e">
        <f>VLOOKUP($B836,#REF!,MATCH(F$2,#REF!,0),0)</f>
        <v>#REF!</v>
      </c>
      <c r="G836" s="137" t="e">
        <f>VLOOKUP($B836,#REF!,MATCH(G$2,#REF!,0),0)</f>
        <v>#REF!</v>
      </c>
      <c r="H836" s="48" t="e">
        <f>H765*1</f>
        <v>#REF!</v>
      </c>
      <c r="I836" s="48" t="e">
        <f>I765*1</f>
        <v>#REF!</v>
      </c>
      <c r="J836" s="48" t="e">
        <f t="shared" si="776"/>
        <v>#REF!</v>
      </c>
      <c r="K836" s="48" t="e">
        <f t="shared" si="777"/>
        <v>#REF!</v>
      </c>
      <c r="L836" s="48" t="e">
        <f t="shared" si="778"/>
        <v>#REF!</v>
      </c>
      <c r="M836" s="48" t="e">
        <f>$M$765*346.652189748488</f>
        <v>#REF!</v>
      </c>
      <c r="N836" s="48" t="e">
        <f>$N$765*400.4</f>
        <v>#REF!</v>
      </c>
      <c r="O836" s="48" t="e">
        <f>$O$765*346.652189748488</f>
        <v>#REF!</v>
      </c>
      <c r="P836" s="48"/>
      <c r="Q836" s="48"/>
      <c r="R836" s="371" t="e">
        <f t="shared" si="761"/>
        <v>#REF!</v>
      </c>
      <c r="S836" s="371" t="e">
        <f t="shared" si="762"/>
        <v>#REF!</v>
      </c>
      <c r="T836" s="371" t="e">
        <f t="shared" si="763"/>
        <v>#REF!</v>
      </c>
      <c r="U836" s="371" t="e">
        <f t="shared" si="764"/>
        <v>#REF!</v>
      </c>
      <c r="V836" s="371" t="e">
        <f t="shared" si="765"/>
        <v>#REF!</v>
      </c>
      <c r="W836" s="371" t="e">
        <f t="shared" si="766"/>
        <v>#REF!</v>
      </c>
      <c r="X836" s="371" t="e">
        <f t="shared" si="767"/>
        <v>#REF!</v>
      </c>
      <c r="Y836" s="371" t="e">
        <f t="shared" si="768"/>
        <v>#REF!</v>
      </c>
      <c r="Z836" s="371" t="e">
        <f t="shared" si="769"/>
        <v>#REF!</v>
      </c>
      <c r="AA836" s="371" t="e">
        <f t="shared" si="770"/>
        <v>#REF!</v>
      </c>
      <c r="AB836" s="50"/>
    </row>
    <row r="837" ht="28.8" outlineLevel="2" spans="1:28">
      <c r="A837" s="52">
        <f>MAX($A$6:A836)+1</f>
        <v>696</v>
      </c>
      <c r="B837" s="51" t="s">
        <v>730</v>
      </c>
      <c r="C837" s="51" t="e">
        <f>VLOOKUP($B837,#REF!,MATCH(C$2,#REF!,0),0)</f>
        <v>#REF!</v>
      </c>
      <c r="D837" s="136"/>
      <c r="E837" s="136"/>
      <c r="F837" s="136" t="e">
        <f>VLOOKUP($B837,#REF!,MATCH(F$2,#REF!,0),0)</f>
        <v>#REF!</v>
      </c>
      <c r="G837" s="137" t="e">
        <f>VLOOKUP($B837,#REF!,MATCH(G$2,#REF!,0),0)</f>
        <v>#REF!</v>
      </c>
      <c r="H837" s="48" t="e">
        <f>H765*1</f>
        <v>#REF!</v>
      </c>
      <c r="I837" s="48" t="e">
        <f>I765*1</f>
        <v>#REF!</v>
      </c>
      <c r="J837" s="48" t="e">
        <f t="shared" si="776"/>
        <v>#REF!</v>
      </c>
      <c r="K837" s="48" t="e">
        <f t="shared" si="777"/>
        <v>#REF!</v>
      </c>
      <c r="L837" s="48" t="e">
        <f t="shared" si="778"/>
        <v>#REF!</v>
      </c>
      <c r="M837" s="48" t="e">
        <f>$M$765*314.435443489335</f>
        <v>#REF!</v>
      </c>
      <c r="N837" s="48" t="e">
        <f>$N$765*363.19</f>
        <v>#REF!</v>
      </c>
      <c r="O837" s="48" t="e">
        <f>$O$765*314.435443489335</f>
        <v>#REF!</v>
      </c>
      <c r="P837" s="48"/>
      <c r="Q837" s="48"/>
      <c r="R837" s="371" t="e">
        <f t="shared" si="761"/>
        <v>#REF!</v>
      </c>
      <c r="S837" s="371" t="e">
        <f t="shared" si="762"/>
        <v>#REF!</v>
      </c>
      <c r="T837" s="371" t="e">
        <f t="shared" si="763"/>
        <v>#REF!</v>
      </c>
      <c r="U837" s="371" t="e">
        <f t="shared" si="764"/>
        <v>#REF!</v>
      </c>
      <c r="V837" s="371" t="e">
        <f t="shared" si="765"/>
        <v>#REF!</v>
      </c>
      <c r="W837" s="371" t="e">
        <f t="shared" si="766"/>
        <v>#REF!</v>
      </c>
      <c r="X837" s="371" t="e">
        <f t="shared" si="767"/>
        <v>#REF!</v>
      </c>
      <c r="Y837" s="371" t="e">
        <f t="shared" si="768"/>
        <v>#REF!</v>
      </c>
      <c r="Z837" s="371" t="e">
        <f t="shared" si="769"/>
        <v>#REF!</v>
      </c>
      <c r="AA837" s="371" t="e">
        <f t="shared" si="770"/>
        <v>#REF!</v>
      </c>
      <c r="AB837" s="50"/>
    </row>
    <row r="838" ht="28.8" outlineLevel="2" spans="1:28">
      <c r="A838" s="52">
        <f>MAX($A$6:A837)+1</f>
        <v>697</v>
      </c>
      <c r="B838" s="51" t="s">
        <v>731</v>
      </c>
      <c r="C838" s="51" t="e">
        <f>VLOOKUP($B838,#REF!,MATCH(C$2,#REF!,0),0)</f>
        <v>#REF!</v>
      </c>
      <c r="D838" s="136"/>
      <c r="E838" s="136"/>
      <c r="F838" s="136" t="e">
        <f>VLOOKUP($B838,#REF!,MATCH(F$2,#REF!,0),0)</f>
        <v>#REF!</v>
      </c>
      <c r="G838" s="137" t="e">
        <f>VLOOKUP($B838,#REF!,MATCH(G$2,#REF!,0),0)</f>
        <v>#REF!</v>
      </c>
      <c r="H838" s="48" t="e">
        <f>H765*1</f>
        <v>#REF!</v>
      </c>
      <c r="I838" s="48" t="e">
        <f>I765*1</f>
        <v>#REF!</v>
      </c>
      <c r="J838" s="48" t="e">
        <f t="shared" si="776"/>
        <v>#REF!</v>
      </c>
      <c r="K838" s="48" t="e">
        <f t="shared" si="777"/>
        <v>#REF!</v>
      </c>
      <c r="L838" s="48" t="e">
        <f t="shared" si="778"/>
        <v>#REF!</v>
      </c>
      <c r="M838" s="48" t="e">
        <f>$M$765*532.381731932505</f>
        <v>#REF!</v>
      </c>
      <c r="N838" s="48" t="e">
        <f>$N$765*614.93</f>
        <v>#REF!</v>
      </c>
      <c r="O838" s="48" t="e">
        <f>$O$765*532.381731932505</f>
        <v>#REF!</v>
      </c>
      <c r="P838" s="48"/>
      <c r="Q838" s="48"/>
      <c r="R838" s="371" t="e">
        <f t="shared" si="761"/>
        <v>#REF!</v>
      </c>
      <c r="S838" s="371" t="e">
        <f t="shared" si="762"/>
        <v>#REF!</v>
      </c>
      <c r="T838" s="371" t="e">
        <f t="shared" si="763"/>
        <v>#REF!</v>
      </c>
      <c r="U838" s="371" t="e">
        <f t="shared" si="764"/>
        <v>#REF!</v>
      </c>
      <c r="V838" s="371" t="e">
        <f t="shared" si="765"/>
        <v>#REF!</v>
      </c>
      <c r="W838" s="371" t="e">
        <f t="shared" si="766"/>
        <v>#REF!</v>
      </c>
      <c r="X838" s="371" t="e">
        <f t="shared" si="767"/>
        <v>#REF!</v>
      </c>
      <c r="Y838" s="371" t="e">
        <f t="shared" si="768"/>
        <v>#REF!</v>
      </c>
      <c r="Z838" s="371" t="e">
        <f t="shared" si="769"/>
        <v>#REF!</v>
      </c>
      <c r="AA838" s="371" t="e">
        <f t="shared" si="770"/>
        <v>#REF!</v>
      </c>
      <c r="AB838" s="50"/>
    </row>
    <row r="839" ht="28.8" outlineLevel="2" spans="1:28">
      <c r="A839" s="52">
        <f>MAX($A$6:A838)+1</f>
        <v>698</v>
      </c>
      <c r="B839" s="51" t="s">
        <v>732</v>
      </c>
      <c r="C839" s="51" t="e">
        <f>VLOOKUP($B839,#REF!,MATCH(C$2,#REF!,0),0)</f>
        <v>#REF!</v>
      </c>
      <c r="D839" s="136"/>
      <c r="E839" s="136"/>
      <c r="F839" s="136" t="e">
        <f>VLOOKUP($B839,#REF!,MATCH(F$2,#REF!,0),0)</f>
        <v>#REF!</v>
      </c>
      <c r="G839" s="137" t="e">
        <f>VLOOKUP($B839,#REF!,MATCH(G$2,#REF!,0),0)</f>
        <v>#REF!</v>
      </c>
      <c r="H839" s="48" t="e">
        <f>H765*1</f>
        <v>#REF!</v>
      </c>
      <c r="I839" s="48" t="e">
        <f>I765*1</f>
        <v>#REF!</v>
      </c>
      <c r="J839" s="48" t="e">
        <f t="shared" si="776"/>
        <v>#REF!</v>
      </c>
      <c r="K839" s="48" t="e">
        <f t="shared" si="777"/>
        <v>#REF!</v>
      </c>
      <c r="L839" s="48" t="e">
        <f t="shared" si="778"/>
        <v>#REF!</v>
      </c>
      <c r="M839" s="48" t="e">
        <f>$M$765*1</f>
        <v>#REF!</v>
      </c>
      <c r="N839" s="48" t="e">
        <f>$N$765*1</f>
        <v>#REF!</v>
      </c>
      <c r="O839" s="48" t="e">
        <f>$O$765*1</f>
        <v>#REF!</v>
      </c>
      <c r="P839" s="48"/>
      <c r="Q839" s="48"/>
      <c r="R839" s="371" t="e">
        <f t="shared" si="761"/>
        <v>#REF!</v>
      </c>
      <c r="S839" s="371" t="e">
        <f t="shared" si="762"/>
        <v>#REF!</v>
      </c>
      <c r="T839" s="371" t="e">
        <f t="shared" si="763"/>
        <v>#REF!</v>
      </c>
      <c r="U839" s="371" t="e">
        <f t="shared" si="764"/>
        <v>#REF!</v>
      </c>
      <c r="V839" s="371" t="e">
        <f t="shared" si="765"/>
        <v>#REF!</v>
      </c>
      <c r="W839" s="371" t="e">
        <f t="shared" si="766"/>
        <v>#REF!</v>
      </c>
      <c r="X839" s="371" t="e">
        <f t="shared" si="767"/>
        <v>#REF!</v>
      </c>
      <c r="Y839" s="371" t="e">
        <f t="shared" si="768"/>
        <v>#REF!</v>
      </c>
      <c r="Z839" s="371" t="e">
        <f t="shared" si="769"/>
        <v>#REF!</v>
      </c>
      <c r="AA839" s="371" t="e">
        <f t="shared" si="770"/>
        <v>#REF!</v>
      </c>
      <c r="AB839" s="50"/>
    </row>
    <row r="840" ht="28.8" outlineLevel="2" spans="1:28">
      <c r="A840" s="52">
        <f>MAX($A$6:A839)+1</f>
        <v>699</v>
      </c>
      <c r="B840" s="51" t="s">
        <v>733</v>
      </c>
      <c r="C840" s="51" t="e">
        <f>VLOOKUP($B840,#REF!,MATCH(C$2,#REF!,0),0)</f>
        <v>#REF!</v>
      </c>
      <c r="D840" s="136"/>
      <c r="E840" s="136"/>
      <c r="F840" s="136" t="e">
        <f>VLOOKUP($B840,#REF!,MATCH(F$2,#REF!,0),0)</f>
        <v>#REF!</v>
      </c>
      <c r="G840" s="137" t="e">
        <f>VLOOKUP($B840,#REF!,MATCH(G$2,#REF!,0),0)</f>
        <v>#REF!</v>
      </c>
      <c r="H840" s="48" t="e">
        <f>H765*1</f>
        <v>#REF!</v>
      </c>
      <c r="I840" s="48" t="e">
        <f>I765*1</f>
        <v>#REF!</v>
      </c>
      <c r="J840" s="48" t="e">
        <f t="shared" si="776"/>
        <v>#REF!</v>
      </c>
      <c r="K840" s="48" t="e">
        <f t="shared" si="777"/>
        <v>#REF!</v>
      </c>
      <c r="L840" s="48" t="e">
        <f t="shared" si="778"/>
        <v>#REF!</v>
      </c>
      <c r="M840" s="48" t="e">
        <f>$M$765*1</f>
        <v>#REF!</v>
      </c>
      <c r="N840" s="48" t="e">
        <f>$N$765*1</f>
        <v>#REF!</v>
      </c>
      <c r="O840" s="48" t="e">
        <f>$O$765*1</f>
        <v>#REF!</v>
      </c>
      <c r="P840" s="48"/>
      <c r="Q840" s="48"/>
      <c r="R840" s="371" t="e">
        <f t="shared" si="761"/>
        <v>#REF!</v>
      </c>
      <c r="S840" s="371" t="e">
        <f t="shared" si="762"/>
        <v>#REF!</v>
      </c>
      <c r="T840" s="371" t="e">
        <f t="shared" si="763"/>
        <v>#REF!</v>
      </c>
      <c r="U840" s="371" t="e">
        <f t="shared" si="764"/>
        <v>#REF!</v>
      </c>
      <c r="V840" s="371" t="e">
        <f t="shared" si="765"/>
        <v>#REF!</v>
      </c>
      <c r="W840" s="371" t="e">
        <f t="shared" si="766"/>
        <v>#REF!</v>
      </c>
      <c r="X840" s="371" t="e">
        <f t="shared" si="767"/>
        <v>#REF!</v>
      </c>
      <c r="Y840" s="371" t="e">
        <f t="shared" si="768"/>
        <v>#REF!</v>
      </c>
      <c r="Z840" s="371" t="e">
        <f t="shared" si="769"/>
        <v>#REF!</v>
      </c>
      <c r="AA840" s="371" t="e">
        <f t="shared" si="770"/>
        <v>#REF!</v>
      </c>
      <c r="AB840" s="50"/>
    </row>
    <row r="841" ht="28.8" outlineLevel="2" spans="1:28">
      <c r="A841" s="52">
        <f>MAX($A$6:A840)+1</f>
        <v>700</v>
      </c>
      <c r="B841" s="51" t="s">
        <v>734</v>
      </c>
      <c r="C841" s="51" t="e">
        <f>VLOOKUP($B841,#REF!,MATCH(C$2,#REF!,0),0)</f>
        <v>#REF!</v>
      </c>
      <c r="D841" s="136"/>
      <c r="E841" s="136"/>
      <c r="F841" s="136" t="e">
        <f>VLOOKUP($B841,#REF!,MATCH(F$2,#REF!,0),0)</f>
        <v>#REF!</v>
      </c>
      <c r="G841" s="137" t="e">
        <f>VLOOKUP($B841,#REF!,MATCH(G$2,#REF!,0),0)</f>
        <v>#REF!</v>
      </c>
      <c r="H841" s="48" t="e">
        <f>H765*1</f>
        <v>#REF!</v>
      </c>
      <c r="I841" s="48" t="e">
        <f>I765*1</f>
        <v>#REF!</v>
      </c>
      <c r="J841" s="48" t="e">
        <f t="shared" si="776"/>
        <v>#REF!</v>
      </c>
      <c r="K841" s="48" t="e">
        <f t="shared" si="777"/>
        <v>#REF!</v>
      </c>
      <c r="L841" s="48" t="e">
        <f t="shared" si="778"/>
        <v>#REF!</v>
      </c>
      <c r="M841" s="48" t="e">
        <f>$M$765*1</f>
        <v>#REF!</v>
      </c>
      <c r="N841" s="48" t="e">
        <f>$N$765*1</f>
        <v>#REF!</v>
      </c>
      <c r="O841" s="48" t="e">
        <f>$O$765*1</f>
        <v>#REF!</v>
      </c>
      <c r="P841" s="48"/>
      <c r="Q841" s="48"/>
      <c r="R841" s="371" t="e">
        <f t="shared" si="761"/>
        <v>#REF!</v>
      </c>
      <c r="S841" s="371" t="e">
        <f t="shared" si="762"/>
        <v>#REF!</v>
      </c>
      <c r="T841" s="371" t="e">
        <f t="shared" si="763"/>
        <v>#REF!</v>
      </c>
      <c r="U841" s="371" t="e">
        <f t="shared" si="764"/>
        <v>#REF!</v>
      </c>
      <c r="V841" s="371" t="e">
        <f t="shared" si="765"/>
        <v>#REF!</v>
      </c>
      <c r="W841" s="371" t="e">
        <f t="shared" si="766"/>
        <v>#REF!</v>
      </c>
      <c r="X841" s="371" t="e">
        <f t="shared" si="767"/>
        <v>#REF!</v>
      </c>
      <c r="Y841" s="371" t="e">
        <f t="shared" si="768"/>
        <v>#REF!</v>
      </c>
      <c r="Z841" s="371" t="e">
        <f t="shared" si="769"/>
        <v>#REF!</v>
      </c>
      <c r="AA841" s="371" t="e">
        <f t="shared" si="770"/>
        <v>#REF!</v>
      </c>
      <c r="AB841" s="50"/>
    </row>
    <row r="842" ht="28.8" outlineLevel="2" spans="1:28">
      <c r="A842" s="52">
        <f>MAX($A$6:A841)+1</f>
        <v>701</v>
      </c>
      <c r="B842" s="51" t="s">
        <v>735</v>
      </c>
      <c r="C842" s="51" t="e">
        <f>VLOOKUP($B842,#REF!,MATCH(C$2,#REF!,0),0)</f>
        <v>#REF!</v>
      </c>
      <c r="D842" s="136"/>
      <c r="E842" s="136"/>
      <c r="F842" s="136" t="e">
        <f>VLOOKUP($B842,#REF!,MATCH(F$2,#REF!,0),0)</f>
        <v>#REF!</v>
      </c>
      <c r="G842" s="137" t="e">
        <f>VLOOKUP($B842,#REF!,MATCH(G$2,#REF!,0),0)</f>
        <v>#REF!</v>
      </c>
      <c r="H842" s="48" t="e">
        <f>H765*1</f>
        <v>#REF!</v>
      </c>
      <c r="I842" s="48" t="e">
        <f>I765*1</f>
        <v>#REF!</v>
      </c>
      <c r="J842" s="48" t="e">
        <f t="shared" si="776"/>
        <v>#REF!</v>
      </c>
      <c r="K842" s="48" t="e">
        <f t="shared" si="777"/>
        <v>#REF!</v>
      </c>
      <c r="L842" s="48" t="e">
        <f t="shared" si="778"/>
        <v>#REF!</v>
      </c>
      <c r="M842" s="48" t="e">
        <f>$M$765*1</f>
        <v>#REF!</v>
      </c>
      <c r="N842" s="48" t="e">
        <f>$N$765*1</f>
        <v>#REF!</v>
      </c>
      <c r="O842" s="48" t="e">
        <f>$O$765*1</f>
        <v>#REF!</v>
      </c>
      <c r="P842" s="48"/>
      <c r="Q842" s="48"/>
      <c r="R842" s="371" t="e">
        <f t="shared" si="761"/>
        <v>#REF!</v>
      </c>
      <c r="S842" s="371" t="e">
        <f t="shared" si="762"/>
        <v>#REF!</v>
      </c>
      <c r="T842" s="371" t="e">
        <f t="shared" si="763"/>
        <v>#REF!</v>
      </c>
      <c r="U842" s="371" t="e">
        <f t="shared" si="764"/>
        <v>#REF!</v>
      </c>
      <c r="V842" s="371" t="e">
        <f t="shared" si="765"/>
        <v>#REF!</v>
      </c>
      <c r="W842" s="371" t="e">
        <f t="shared" si="766"/>
        <v>#REF!</v>
      </c>
      <c r="X842" s="371" t="e">
        <f t="shared" si="767"/>
        <v>#REF!</v>
      </c>
      <c r="Y842" s="371" t="e">
        <f t="shared" si="768"/>
        <v>#REF!</v>
      </c>
      <c r="Z842" s="371" t="e">
        <f t="shared" si="769"/>
        <v>#REF!</v>
      </c>
      <c r="AA842" s="371" t="e">
        <f t="shared" si="770"/>
        <v>#REF!</v>
      </c>
      <c r="AB842" s="50"/>
    </row>
    <row r="843" ht="28.8" outlineLevel="2" spans="1:28">
      <c r="A843" s="52">
        <f>MAX($A$6:A842)+1</f>
        <v>702</v>
      </c>
      <c r="B843" s="51" t="s">
        <v>736</v>
      </c>
      <c r="C843" s="51" t="e">
        <f>VLOOKUP($B843,#REF!,MATCH(C$2,#REF!,0),0)</f>
        <v>#REF!</v>
      </c>
      <c r="D843" s="136"/>
      <c r="E843" s="136"/>
      <c r="F843" s="136" t="e">
        <f>VLOOKUP($B843,#REF!,MATCH(F$2,#REF!,0),0)</f>
        <v>#REF!</v>
      </c>
      <c r="G843" s="137" t="e">
        <f>VLOOKUP($B843,#REF!,MATCH(G$2,#REF!,0),0)</f>
        <v>#REF!</v>
      </c>
      <c r="H843" s="48" t="e">
        <f>H765*1</f>
        <v>#REF!</v>
      </c>
      <c r="I843" s="48" t="e">
        <f>I765*1</f>
        <v>#REF!</v>
      </c>
      <c r="J843" s="48" t="e">
        <f t="shared" si="776"/>
        <v>#REF!</v>
      </c>
      <c r="K843" s="48" t="e">
        <f t="shared" si="777"/>
        <v>#REF!</v>
      </c>
      <c r="L843" s="48" t="e">
        <f t="shared" si="778"/>
        <v>#REF!</v>
      </c>
      <c r="M843" s="48" t="e">
        <f>$M$765*1</f>
        <v>#REF!</v>
      </c>
      <c r="N843" s="48" t="e">
        <f>$N$765*1</f>
        <v>#REF!</v>
      </c>
      <c r="O843" s="48" t="e">
        <f>$O$765*1</f>
        <v>#REF!</v>
      </c>
      <c r="P843" s="48"/>
      <c r="Q843" s="48"/>
      <c r="R843" s="371" t="e">
        <f t="shared" si="761"/>
        <v>#REF!</v>
      </c>
      <c r="S843" s="371" t="e">
        <f t="shared" si="762"/>
        <v>#REF!</v>
      </c>
      <c r="T843" s="371" t="e">
        <f t="shared" si="763"/>
        <v>#REF!</v>
      </c>
      <c r="U843" s="371" t="e">
        <f t="shared" si="764"/>
        <v>#REF!</v>
      </c>
      <c r="V843" s="371" t="e">
        <f t="shared" si="765"/>
        <v>#REF!</v>
      </c>
      <c r="W843" s="371" t="e">
        <f t="shared" si="766"/>
        <v>#REF!</v>
      </c>
      <c r="X843" s="371" t="e">
        <f t="shared" si="767"/>
        <v>#REF!</v>
      </c>
      <c r="Y843" s="371" t="e">
        <f t="shared" si="768"/>
        <v>#REF!</v>
      </c>
      <c r="Z843" s="371" t="e">
        <f t="shared" si="769"/>
        <v>#REF!</v>
      </c>
      <c r="AA843" s="371" t="e">
        <f t="shared" si="770"/>
        <v>#REF!</v>
      </c>
      <c r="AB843" s="50"/>
    </row>
    <row r="844" ht="28.8" outlineLevel="2" spans="1:28">
      <c r="A844" s="52">
        <f>MAX($A$6:A843)+1</f>
        <v>703</v>
      </c>
      <c r="B844" s="51" t="s">
        <v>737</v>
      </c>
      <c r="C844" s="51" t="e">
        <f>VLOOKUP($B844,#REF!,MATCH(C$2,#REF!,0),0)</f>
        <v>#REF!</v>
      </c>
      <c r="D844" s="136"/>
      <c r="E844" s="136"/>
      <c r="F844" s="136" t="e">
        <f>VLOOKUP($B844,#REF!,MATCH(F$2,#REF!,0),0)</f>
        <v>#REF!</v>
      </c>
      <c r="G844" s="137" t="e">
        <f>VLOOKUP($B844,#REF!,MATCH(G$2,#REF!,0),0)</f>
        <v>#REF!</v>
      </c>
      <c r="H844" s="48" t="e">
        <f>H765*1</f>
        <v>#REF!</v>
      </c>
      <c r="I844" s="48" t="e">
        <f>I765*1</f>
        <v>#REF!</v>
      </c>
      <c r="J844" s="48" t="e">
        <f t="shared" si="776"/>
        <v>#REF!</v>
      </c>
      <c r="K844" s="48" t="e">
        <f t="shared" si="777"/>
        <v>#REF!</v>
      </c>
      <c r="L844" s="48" t="e">
        <f t="shared" si="778"/>
        <v>#REF!</v>
      </c>
      <c r="M844" s="48" t="e">
        <f>$M$765*19.3300477554919</f>
        <v>#REF!</v>
      </c>
      <c r="N844" s="48" t="e">
        <f>$N$765*22.3</f>
        <v>#REF!</v>
      </c>
      <c r="O844" s="48" t="e">
        <f>$O$765*19.3300477554919</f>
        <v>#REF!</v>
      </c>
      <c r="P844" s="48"/>
      <c r="Q844" s="48"/>
      <c r="R844" s="371" t="e">
        <f t="shared" si="761"/>
        <v>#REF!</v>
      </c>
      <c r="S844" s="371" t="e">
        <f t="shared" si="762"/>
        <v>#REF!</v>
      </c>
      <c r="T844" s="371" t="e">
        <f t="shared" si="763"/>
        <v>#REF!</v>
      </c>
      <c r="U844" s="371" t="e">
        <f t="shared" si="764"/>
        <v>#REF!</v>
      </c>
      <c r="V844" s="371" t="e">
        <f t="shared" si="765"/>
        <v>#REF!</v>
      </c>
      <c r="W844" s="371" t="e">
        <f t="shared" si="766"/>
        <v>#REF!</v>
      </c>
      <c r="X844" s="371" t="e">
        <f t="shared" si="767"/>
        <v>#REF!</v>
      </c>
      <c r="Y844" s="371" t="e">
        <f t="shared" si="768"/>
        <v>#REF!</v>
      </c>
      <c r="Z844" s="371" t="e">
        <f t="shared" si="769"/>
        <v>#REF!</v>
      </c>
      <c r="AA844" s="371" t="e">
        <f t="shared" si="770"/>
        <v>#REF!</v>
      </c>
      <c r="AB844" s="50"/>
    </row>
    <row r="845" ht="28.8" outlineLevel="2" spans="1:28">
      <c r="A845" s="52">
        <f>MAX($A$6:A844)+1</f>
        <v>704</v>
      </c>
      <c r="B845" s="51" t="s">
        <v>738</v>
      </c>
      <c r="C845" s="51" t="e">
        <f>VLOOKUP($B845,#REF!,MATCH(C$2,#REF!,0),0)</f>
        <v>#REF!</v>
      </c>
      <c r="D845" s="136"/>
      <c r="E845" s="136"/>
      <c r="F845" s="136" t="e">
        <f>VLOOKUP($B845,#REF!,MATCH(F$2,#REF!,0),0)</f>
        <v>#REF!</v>
      </c>
      <c r="G845" s="137" t="e">
        <f>VLOOKUP($B845,#REF!,MATCH(G$2,#REF!,0),0)</f>
        <v>#REF!</v>
      </c>
      <c r="H845" s="48" t="e">
        <f>H765*1</f>
        <v>#REF!</v>
      </c>
      <c r="I845" s="48" t="e">
        <f>I765*1</f>
        <v>#REF!</v>
      </c>
      <c r="J845" s="48" t="e">
        <f t="shared" si="776"/>
        <v>#REF!</v>
      </c>
      <c r="K845" s="48" t="e">
        <f t="shared" si="777"/>
        <v>#REF!</v>
      </c>
      <c r="L845" s="48" t="e">
        <f t="shared" si="778"/>
        <v>#REF!</v>
      </c>
      <c r="M845" s="48" t="e">
        <f>$M$765*107.926099968163</f>
        <v>#REF!</v>
      </c>
      <c r="N845" s="48" t="e">
        <f>$N$765*124.66</f>
        <v>#REF!</v>
      </c>
      <c r="O845" s="48" t="e">
        <f>$O$765*107.926099968163</f>
        <v>#REF!</v>
      </c>
      <c r="P845" s="48"/>
      <c r="Q845" s="48"/>
      <c r="R845" s="371" t="e">
        <f t="shared" si="761"/>
        <v>#REF!</v>
      </c>
      <c r="S845" s="371" t="e">
        <f t="shared" si="762"/>
        <v>#REF!</v>
      </c>
      <c r="T845" s="371" t="e">
        <f t="shared" si="763"/>
        <v>#REF!</v>
      </c>
      <c r="U845" s="371" t="e">
        <f t="shared" si="764"/>
        <v>#REF!</v>
      </c>
      <c r="V845" s="371" t="e">
        <f t="shared" si="765"/>
        <v>#REF!</v>
      </c>
      <c r="W845" s="371" t="e">
        <f t="shared" si="766"/>
        <v>#REF!</v>
      </c>
      <c r="X845" s="371" t="e">
        <f t="shared" si="767"/>
        <v>#REF!</v>
      </c>
      <c r="Y845" s="371" t="e">
        <f t="shared" si="768"/>
        <v>#REF!</v>
      </c>
      <c r="Z845" s="371" t="e">
        <f t="shared" si="769"/>
        <v>#REF!</v>
      </c>
      <c r="AA845" s="371" t="e">
        <f t="shared" si="770"/>
        <v>#REF!</v>
      </c>
      <c r="AB845" s="50"/>
    </row>
    <row r="846" ht="28.8" outlineLevel="2" spans="1:28">
      <c r="A846" s="52">
        <f>MAX($A$6:A845)+1</f>
        <v>705</v>
      </c>
      <c r="B846" s="51" t="s">
        <v>739</v>
      </c>
      <c r="C846" s="51" t="e">
        <f>VLOOKUP($B846,#REF!,MATCH(C$2,#REF!,0),0)</f>
        <v>#REF!</v>
      </c>
      <c r="D846" s="136"/>
      <c r="E846" s="136"/>
      <c r="F846" s="136" t="e">
        <f>VLOOKUP($B846,#REF!,MATCH(F$2,#REF!,0),0)</f>
        <v>#REF!</v>
      </c>
      <c r="G846" s="137" t="e">
        <f>VLOOKUP($B846,#REF!,MATCH(G$2,#REF!,0),0)</f>
        <v>#REF!</v>
      </c>
      <c r="H846" s="48" t="e">
        <f>H765*1</f>
        <v>#REF!</v>
      </c>
      <c r="I846" s="48" t="e">
        <f>I765*1</f>
        <v>#REF!</v>
      </c>
      <c r="J846" s="48" t="e">
        <f t="shared" si="776"/>
        <v>#REF!</v>
      </c>
      <c r="K846" s="48" t="e">
        <f t="shared" si="777"/>
        <v>#REF!</v>
      </c>
      <c r="L846" s="48" t="e">
        <f t="shared" si="778"/>
        <v>#REF!</v>
      </c>
      <c r="M846" s="48" t="e">
        <f>$M$765*215.852199936326</f>
        <v>#REF!</v>
      </c>
      <c r="N846" s="48" t="e">
        <f>$N$765*249.32</f>
        <v>#REF!</v>
      </c>
      <c r="O846" s="48" t="e">
        <f>$O$765*215.852199936326</f>
        <v>#REF!</v>
      </c>
      <c r="P846" s="48"/>
      <c r="Q846" s="48"/>
      <c r="R846" s="371" t="e">
        <f t="shared" si="761"/>
        <v>#REF!</v>
      </c>
      <c r="S846" s="371" t="e">
        <f t="shared" si="762"/>
        <v>#REF!</v>
      </c>
      <c r="T846" s="371" t="e">
        <f t="shared" si="763"/>
        <v>#REF!</v>
      </c>
      <c r="U846" s="371" t="e">
        <f t="shared" si="764"/>
        <v>#REF!</v>
      </c>
      <c r="V846" s="371" t="e">
        <f t="shared" si="765"/>
        <v>#REF!</v>
      </c>
      <c r="W846" s="371" t="e">
        <f t="shared" si="766"/>
        <v>#REF!</v>
      </c>
      <c r="X846" s="371" t="e">
        <f t="shared" si="767"/>
        <v>#REF!</v>
      </c>
      <c r="Y846" s="371" t="e">
        <f t="shared" si="768"/>
        <v>#REF!</v>
      </c>
      <c r="Z846" s="371" t="e">
        <f t="shared" si="769"/>
        <v>#REF!</v>
      </c>
      <c r="AA846" s="371" t="e">
        <f t="shared" si="770"/>
        <v>#REF!</v>
      </c>
      <c r="AB846" s="50"/>
    </row>
    <row r="847" ht="28.8" outlineLevel="2" spans="1:28">
      <c r="A847" s="52">
        <f>MAX($A$6:A846)+1</f>
        <v>706</v>
      </c>
      <c r="B847" s="51" t="s">
        <v>740</v>
      </c>
      <c r="C847" s="51" t="e">
        <f>VLOOKUP($B847,#REF!,MATCH(C$2,#REF!,0),0)</f>
        <v>#REF!</v>
      </c>
      <c r="D847" s="136"/>
      <c r="E847" s="136"/>
      <c r="F847" s="136" t="e">
        <f>VLOOKUP($B847,#REF!,MATCH(F$2,#REF!,0),0)</f>
        <v>#REF!</v>
      </c>
      <c r="G847" s="137" t="e">
        <f>VLOOKUP($B847,#REF!,MATCH(G$2,#REF!,0),0)</f>
        <v>#REF!</v>
      </c>
      <c r="H847" s="48" t="e">
        <f>H765*1</f>
        <v>#REF!</v>
      </c>
      <c r="I847" s="48" t="e">
        <f>I765*1</f>
        <v>#REF!</v>
      </c>
      <c r="J847" s="48" t="e">
        <f t="shared" si="776"/>
        <v>#REF!</v>
      </c>
      <c r="K847" s="48" t="e">
        <f t="shared" si="777"/>
        <v>#REF!</v>
      </c>
      <c r="L847" s="48" t="e">
        <f t="shared" si="778"/>
        <v>#REF!</v>
      </c>
      <c r="M847" s="48" t="e">
        <f>$M$765*344.034579114931</f>
        <v>#REF!</v>
      </c>
      <c r="N847" s="48" t="e">
        <f>$N$765*397.38</f>
        <v>#REF!</v>
      </c>
      <c r="O847" s="48" t="e">
        <f>$O$765*344.034579114931</f>
        <v>#REF!</v>
      </c>
      <c r="P847" s="48"/>
      <c r="Q847" s="48"/>
      <c r="R847" s="371" t="e">
        <f t="shared" si="761"/>
        <v>#REF!</v>
      </c>
      <c r="S847" s="371" t="e">
        <f t="shared" si="762"/>
        <v>#REF!</v>
      </c>
      <c r="T847" s="371" t="e">
        <f t="shared" si="763"/>
        <v>#REF!</v>
      </c>
      <c r="U847" s="371" t="e">
        <f t="shared" si="764"/>
        <v>#REF!</v>
      </c>
      <c r="V847" s="371" t="e">
        <f t="shared" si="765"/>
        <v>#REF!</v>
      </c>
      <c r="W847" s="371" t="e">
        <f t="shared" si="766"/>
        <v>#REF!</v>
      </c>
      <c r="X847" s="371" t="e">
        <f t="shared" si="767"/>
        <v>#REF!</v>
      </c>
      <c r="Y847" s="371" t="e">
        <f t="shared" si="768"/>
        <v>#REF!</v>
      </c>
      <c r="Z847" s="371" t="e">
        <f t="shared" si="769"/>
        <v>#REF!</v>
      </c>
      <c r="AA847" s="371" t="e">
        <f t="shared" si="770"/>
        <v>#REF!</v>
      </c>
      <c r="AB847" s="50"/>
    </row>
    <row r="848" ht="28.8" outlineLevel="2" spans="1:28">
      <c r="A848" s="52">
        <f>MAX($A$6:A847)+1</f>
        <v>707</v>
      </c>
      <c r="B848" s="51" t="s">
        <v>741</v>
      </c>
      <c r="C848" s="51" t="e">
        <f>VLOOKUP($B848,#REF!,MATCH(C$2,#REF!,0),0)</f>
        <v>#REF!</v>
      </c>
      <c r="D848" s="136"/>
      <c r="E848" s="136"/>
      <c r="F848" s="136" t="e">
        <f>VLOOKUP($B848,#REF!,MATCH(F$2,#REF!,0),0)</f>
        <v>#REF!</v>
      </c>
      <c r="G848" s="137" t="e">
        <f>VLOOKUP($B848,#REF!,MATCH(G$2,#REF!,0),0)</f>
        <v>#REF!</v>
      </c>
      <c r="H848" s="48" t="e">
        <f>H765*1</f>
        <v>#REF!</v>
      </c>
      <c r="I848" s="48" t="e">
        <f>I765*1</f>
        <v>#REF!</v>
      </c>
      <c r="J848" s="48" t="e">
        <f t="shared" si="776"/>
        <v>#REF!</v>
      </c>
      <c r="K848" s="48" t="e">
        <f t="shared" si="777"/>
        <v>#REF!</v>
      </c>
      <c r="L848" s="48" t="e">
        <f t="shared" si="778"/>
        <v>#REF!</v>
      </c>
      <c r="M848" s="48" t="e">
        <f>$M$765*15.2626835402738</f>
        <v>#REF!</v>
      </c>
      <c r="N848" s="48" t="e">
        <f>$N$765*17.63</f>
        <v>#REF!</v>
      </c>
      <c r="O848" s="48" t="e">
        <f>$O$765*15.2626835402738</f>
        <v>#REF!</v>
      </c>
      <c r="P848" s="48"/>
      <c r="Q848" s="48"/>
      <c r="R848" s="371" t="e">
        <f t="shared" si="761"/>
        <v>#REF!</v>
      </c>
      <c r="S848" s="371" t="e">
        <f t="shared" si="762"/>
        <v>#REF!</v>
      </c>
      <c r="T848" s="371" t="e">
        <f t="shared" si="763"/>
        <v>#REF!</v>
      </c>
      <c r="U848" s="371" t="e">
        <f t="shared" si="764"/>
        <v>#REF!</v>
      </c>
      <c r="V848" s="371" t="e">
        <f t="shared" si="765"/>
        <v>#REF!</v>
      </c>
      <c r="W848" s="371" t="e">
        <f t="shared" si="766"/>
        <v>#REF!</v>
      </c>
      <c r="X848" s="371" t="e">
        <f t="shared" si="767"/>
        <v>#REF!</v>
      </c>
      <c r="Y848" s="371" t="e">
        <f t="shared" si="768"/>
        <v>#REF!</v>
      </c>
      <c r="Z848" s="371" t="e">
        <f t="shared" si="769"/>
        <v>#REF!</v>
      </c>
      <c r="AA848" s="371" t="e">
        <f t="shared" si="770"/>
        <v>#REF!</v>
      </c>
      <c r="AB848" s="50"/>
    </row>
    <row r="849" ht="28.8" outlineLevel="2" spans="1:28">
      <c r="A849" s="52">
        <f>MAX($A$6:A848)+1</f>
        <v>708</v>
      </c>
      <c r="B849" s="51" t="s">
        <v>742</v>
      </c>
      <c r="C849" s="51" t="e">
        <f>VLOOKUP($B849,#REF!,MATCH(C$2,#REF!,0),0)</f>
        <v>#REF!</v>
      </c>
      <c r="D849" s="136"/>
      <c r="E849" s="136"/>
      <c r="F849" s="136" t="e">
        <f>VLOOKUP($B849,#REF!,MATCH(F$2,#REF!,0),0)</f>
        <v>#REF!</v>
      </c>
      <c r="G849" s="137" t="e">
        <f>VLOOKUP($B849,#REF!,MATCH(G$2,#REF!,0),0)</f>
        <v>#REF!</v>
      </c>
      <c r="H849" s="48" t="e">
        <f>H765*1</f>
        <v>#REF!</v>
      </c>
      <c r="I849" s="48" t="e">
        <f>I765*1</f>
        <v>#REF!</v>
      </c>
      <c r="J849" s="48" t="e">
        <f t="shared" si="776"/>
        <v>#REF!</v>
      </c>
      <c r="K849" s="48" t="e">
        <f t="shared" si="777"/>
        <v>#REF!</v>
      </c>
      <c r="L849" s="48" t="e">
        <f t="shared" si="778"/>
        <v>#REF!</v>
      </c>
      <c r="M849" s="48" t="e">
        <f>$M$765*13.1081886341929</f>
        <v>#REF!</v>
      </c>
      <c r="N849" s="48" t="e">
        <f>$N$765*15.14</f>
        <v>#REF!</v>
      </c>
      <c r="O849" s="48" t="e">
        <f>$O$765*13.1081886341929</f>
        <v>#REF!</v>
      </c>
      <c r="P849" s="48"/>
      <c r="Q849" s="48"/>
      <c r="R849" s="371" t="e">
        <f t="shared" si="761"/>
        <v>#REF!</v>
      </c>
      <c r="S849" s="371" t="e">
        <f t="shared" si="762"/>
        <v>#REF!</v>
      </c>
      <c r="T849" s="371" t="e">
        <f t="shared" si="763"/>
        <v>#REF!</v>
      </c>
      <c r="U849" s="371" t="e">
        <f t="shared" si="764"/>
        <v>#REF!</v>
      </c>
      <c r="V849" s="371" t="e">
        <f t="shared" si="765"/>
        <v>#REF!</v>
      </c>
      <c r="W849" s="371" t="e">
        <f t="shared" si="766"/>
        <v>#REF!</v>
      </c>
      <c r="X849" s="371" t="e">
        <f t="shared" si="767"/>
        <v>#REF!</v>
      </c>
      <c r="Y849" s="371" t="e">
        <f t="shared" si="768"/>
        <v>#REF!</v>
      </c>
      <c r="Z849" s="371" t="e">
        <f t="shared" si="769"/>
        <v>#REF!</v>
      </c>
      <c r="AA849" s="371" t="e">
        <f t="shared" si="770"/>
        <v>#REF!</v>
      </c>
      <c r="AB849" s="50"/>
    </row>
    <row r="850" ht="43.2" outlineLevel="2" spans="1:28">
      <c r="A850" s="52">
        <f>MAX($A$6:A849)+1</f>
        <v>709</v>
      </c>
      <c r="B850" s="51" t="s">
        <v>743</v>
      </c>
      <c r="C850" s="51" t="e">
        <f>VLOOKUP($B850,#REF!,MATCH(C$2,#REF!,0),0)</f>
        <v>#REF!</v>
      </c>
      <c r="D850" s="136"/>
      <c r="E850" s="136"/>
      <c r="F850" s="136" t="e">
        <f>VLOOKUP($B850,#REF!,MATCH(F$2,#REF!,0),0)</f>
        <v>#REF!</v>
      </c>
      <c r="G850" s="137" t="e">
        <f>VLOOKUP($B850,#REF!,MATCH(G$2,#REF!,0),0)</f>
        <v>#REF!</v>
      </c>
      <c r="H850" s="48" t="e">
        <f>H765*1</f>
        <v>#REF!</v>
      </c>
      <c r="I850" s="48" t="e">
        <f>I765*1</f>
        <v>#REF!</v>
      </c>
      <c r="J850" s="48" t="e">
        <f t="shared" si="776"/>
        <v>#REF!</v>
      </c>
      <c r="K850" s="48" t="e">
        <f t="shared" si="777"/>
        <v>#REF!</v>
      </c>
      <c r="L850" s="48" t="e">
        <f t="shared" si="778"/>
        <v>#REF!</v>
      </c>
      <c r="M850" s="48" t="e">
        <f>$M$765*244.202936644381</f>
        <v>#REF!</v>
      </c>
      <c r="N850" s="48" t="e">
        <f>$N$765*282.07</f>
        <v>#REF!</v>
      </c>
      <c r="O850" s="48" t="e">
        <f>$O$765*244.202936644381</f>
        <v>#REF!</v>
      </c>
      <c r="P850" s="48"/>
      <c r="Q850" s="48"/>
      <c r="R850" s="371" t="e">
        <f t="shared" si="761"/>
        <v>#REF!</v>
      </c>
      <c r="S850" s="371" t="e">
        <f t="shared" si="762"/>
        <v>#REF!</v>
      </c>
      <c r="T850" s="371" t="e">
        <f t="shared" si="763"/>
        <v>#REF!</v>
      </c>
      <c r="U850" s="371" t="e">
        <f t="shared" si="764"/>
        <v>#REF!</v>
      </c>
      <c r="V850" s="371" t="e">
        <f t="shared" si="765"/>
        <v>#REF!</v>
      </c>
      <c r="W850" s="371" t="e">
        <f t="shared" si="766"/>
        <v>#REF!</v>
      </c>
      <c r="X850" s="371" t="e">
        <f t="shared" si="767"/>
        <v>#REF!</v>
      </c>
      <c r="Y850" s="371" t="e">
        <f t="shared" si="768"/>
        <v>#REF!</v>
      </c>
      <c r="Z850" s="371" t="e">
        <f t="shared" si="769"/>
        <v>#REF!</v>
      </c>
      <c r="AA850" s="371" t="e">
        <f t="shared" si="770"/>
        <v>#REF!</v>
      </c>
      <c r="AB850" s="50"/>
    </row>
    <row r="851" ht="43.2" outlineLevel="2" spans="1:28">
      <c r="A851" s="52">
        <f>MAX($A$6:A850)+1</f>
        <v>710</v>
      </c>
      <c r="B851" s="51" t="s">
        <v>744</v>
      </c>
      <c r="C851" s="51" t="e">
        <f>VLOOKUP($B851,#REF!,MATCH(C$2,#REF!,0),0)</f>
        <v>#REF!</v>
      </c>
      <c r="D851" s="136"/>
      <c r="E851" s="136"/>
      <c r="F851" s="136" t="e">
        <f>VLOOKUP($B851,#REF!,MATCH(F$2,#REF!,0),0)</f>
        <v>#REF!</v>
      </c>
      <c r="G851" s="137" t="e">
        <f>VLOOKUP($B851,#REF!,MATCH(G$2,#REF!,0),0)</f>
        <v>#REF!</v>
      </c>
      <c r="H851" s="48" t="e">
        <f>H765*1</f>
        <v>#REF!</v>
      </c>
      <c r="I851" s="48" t="e">
        <f>I765*1</f>
        <v>#REF!</v>
      </c>
      <c r="J851" s="48" t="e">
        <f t="shared" si="776"/>
        <v>#REF!</v>
      </c>
      <c r="K851" s="48" t="e">
        <f t="shared" si="777"/>
        <v>#REF!</v>
      </c>
      <c r="L851" s="48" t="e">
        <f t="shared" si="778"/>
        <v>#REF!</v>
      </c>
      <c r="M851" s="48" t="e">
        <f>$M$765*203.368210760904</f>
        <v>#REF!</v>
      </c>
      <c r="N851" s="48" t="e">
        <f>$N$765*234.9</f>
        <v>#REF!</v>
      </c>
      <c r="O851" s="48" t="e">
        <f>$O$765*203.368210760904</f>
        <v>#REF!</v>
      </c>
      <c r="P851" s="48"/>
      <c r="Q851" s="48"/>
      <c r="R851" s="371" t="e">
        <f t="shared" si="761"/>
        <v>#REF!</v>
      </c>
      <c r="S851" s="371" t="e">
        <f t="shared" si="762"/>
        <v>#REF!</v>
      </c>
      <c r="T851" s="371" t="e">
        <f t="shared" si="763"/>
        <v>#REF!</v>
      </c>
      <c r="U851" s="371" t="e">
        <f t="shared" si="764"/>
        <v>#REF!</v>
      </c>
      <c r="V851" s="371" t="e">
        <f t="shared" si="765"/>
        <v>#REF!</v>
      </c>
      <c r="W851" s="371" t="e">
        <f t="shared" si="766"/>
        <v>#REF!</v>
      </c>
      <c r="X851" s="371" t="e">
        <f t="shared" si="767"/>
        <v>#REF!</v>
      </c>
      <c r="Y851" s="371" t="e">
        <f t="shared" si="768"/>
        <v>#REF!</v>
      </c>
      <c r="Z851" s="371" t="e">
        <f t="shared" si="769"/>
        <v>#REF!</v>
      </c>
      <c r="AA851" s="371" t="e">
        <f t="shared" si="770"/>
        <v>#REF!</v>
      </c>
      <c r="AB851" s="50"/>
    </row>
    <row r="852" ht="28.8" outlineLevel="2" spans="1:28">
      <c r="A852" s="52">
        <f>MAX($A$6:A851)+1</f>
        <v>711</v>
      </c>
      <c r="B852" s="51" t="s">
        <v>745</v>
      </c>
      <c r="C852" s="51" t="e">
        <f>VLOOKUP($B852,#REF!,MATCH(C$2,#REF!,0),0)</f>
        <v>#REF!</v>
      </c>
      <c r="D852" s="136"/>
      <c r="E852" s="136"/>
      <c r="F852" s="136" t="e">
        <f>VLOOKUP($B852,#REF!,MATCH(F$2,#REF!,0),0)</f>
        <v>#REF!</v>
      </c>
      <c r="G852" s="137" t="e">
        <f>VLOOKUP($B852,#REF!,MATCH(G$2,#REF!,0),0)</f>
        <v>#REF!</v>
      </c>
      <c r="H852" s="48" t="e">
        <f>H765*1</f>
        <v>#REF!</v>
      </c>
      <c r="I852" s="48" t="e">
        <f>I765*1</f>
        <v>#REF!</v>
      </c>
      <c r="J852" s="48" t="e">
        <f t="shared" si="776"/>
        <v>#REF!</v>
      </c>
      <c r="K852" s="48" t="e">
        <f t="shared" si="777"/>
        <v>#REF!</v>
      </c>
      <c r="L852" s="48" t="e">
        <f t="shared" si="778"/>
        <v>#REF!</v>
      </c>
      <c r="M852" s="48" t="e">
        <f>$M$765*295.991356255969</f>
        <v>#REF!</v>
      </c>
      <c r="N852" s="48" t="e">
        <f>$N$765*341.89</f>
        <v>#REF!</v>
      </c>
      <c r="O852" s="48" t="e">
        <f>$O$765*295.991356255969</f>
        <v>#REF!</v>
      </c>
      <c r="P852" s="48"/>
      <c r="Q852" s="48"/>
      <c r="R852" s="371" t="e">
        <f t="shared" si="761"/>
        <v>#REF!</v>
      </c>
      <c r="S852" s="371" t="e">
        <f t="shared" si="762"/>
        <v>#REF!</v>
      </c>
      <c r="T852" s="371" t="e">
        <f t="shared" si="763"/>
        <v>#REF!</v>
      </c>
      <c r="U852" s="371" t="e">
        <f t="shared" si="764"/>
        <v>#REF!</v>
      </c>
      <c r="V852" s="371" t="e">
        <f t="shared" si="765"/>
        <v>#REF!</v>
      </c>
      <c r="W852" s="371" t="e">
        <f t="shared" si="766"/>
        <v>#REF!</v>
      </c>
      <c r="X852" s="371" t="e">
        <f t="shared" si="767"/>
        <v>#REF!</v>
      </c>
      <c r="Y852" s="371" t="e">
        <f t="shared" si="768"/>
        <v>#REF!</v>
      </c>
      <c r="Z852" s="371" t="e">
        <f t="shared" si="769"/>
        <v>#REF!</v>
      </c>
      <c r="AA852" s="371" t="e">
        <f t="shared" si="770"/>
        <v>#REF!</v>
      </c>
      <c r="AB852" s="50"/>
    </row>
    <row r="853" outlineLevel="2" spans="1:28">
      <c r="A853" s="52">
        <f>MAX($A$6:A852)+1</f>
        <v>712</v>
      </c>
      <c r="B853" s="51" t="s">
        <v>746</v>
      </c>
      <c r="C853" s="51" t="e">
        <f>VLOOKUP($B853,#REF!,MATCH(C$2,#REF!,0),0)</f>
        <v>#REF!</v>
      </c>
      <c r="D853" s="136"/>
      <c r="E853" s="136"/>
      <c r="F853" s="136" t="e">
        <f>VLOOKUP($B853,#REF!,MATCH(F$2,#REF!,0),0)</f>
        <v>#REF!</v>
      </c>
      <c r="G853" s="137" t="e">
        <f>VLOOKUP($B853,#REF!,MATCH(G$2,#REF!,0),0)</f>
        <v>#REF!</v>
      </c>
      <c r="H853" s="48" t="e">
        <f>H765*1</f>
        <v>#REF!</v>
      </c>
      <c r="I853" s="48" t="e">
        <f>I765*1</f>
        <v>#REF!</v>
      </c>
      <c r="J853" s="48" t="e">
        <f t="shared" si="776"/>
        <v>#REF!</v>
      </c>
      <c r="K853" s="48" t="e">
        <f t="shared" si="777"/>
        <v>#REF!</v>
      </c>
      <c r="L853" s="48" t="e">
        <f t="shared" si="778"/>
        <v>#REF!</v>
      </c>
      <c r="M853" s="48" t="e">
        <f t="shared" ref="M853:M865" si="779">$M$765*1</f>
        <v>#REF!</v>
      </c>
      <c r="N853" s="48" t="e">
        <f t="shared" ref="N853:N865" si="780">$N$765*1</f>
        <v>#REF!</v>
      </c>
      <c r="O853" s="48" t="e">
        <f t="shared" ref="O853:O865" si="781">$O$765*1</f>
        <v>#REF!</v>
      </c>
      <c r="P853" s="48"/>
      <c r="Q853" s="48"/>
      <c r="R853" s="371" t="e">
        <f t="shared" si="761"/>
        <v>#REF!</v>
      </c>
      <c r="S853" s="371" t="e">
        <f t="shared" si="762"/>
        <v>#REF!</v>
      </c>
      <c r="T853" s="371" t="e">
        <f t="shared" si="763"/>
        <v>#REF!</v>
      </c>
      <c r="U853" s="371" t="e">
        <f t="shared" si="764"/>
        <v>#REF!</v>
      </c>
      <c r="V853" s="371" t="e">
        <f t="shared" si="765"/>
        <v>#REF!</v>
      </c>
      <c r="W853" s="371" t="e">
        <f t="shared" si="766"/>
        <v>#REF!</v>
      </c>
      <c r="X853" s="371" t="e">
        <f t="shared" si="767"/>
        <v>#REF!</v>
      </c>
      <c r="Y853" s="371" t="e">
        <f t="shared" si="768"/>
        <v>#REF!</v>
      </c>
      <c r="Z853" s="371" t="e">
        <f t="shared" si="769"/>
        <v>#REF!</v>
      </c>
      <c r="AA853" s="371" t="e">
        <f t="shared" si="770"/>
        <v>#REF!</v>
      </c>
      <c r="AB853" s="50"/>
    </row>
    <row r="854" outlineLevel="2" spans="1:28">
      <c r="A854" s="52">
        <f>MAX($A$6:A853)+1</f>
        <v>713</v>
      </c>
      <c r="B854" s="51" t="s">
        <v>747</v>
      </c>
      <c r="C854" s="51" t="e">
        <f>VLOOKUP($B854,#REF!,MATCH(C$2,#REF!,0),0)</f>
        <v>#REF!</v>
      </c>
      <c r="D854" s="136"/>
      <c r="E854" s="136"/>
      <c r="F854" s="136" t="e">
        <f>VLOOKUP($B854,#REF!,MATCH(F$2,#REF!,0),0)</f>
        <v>#REF!</v>
      </c>
      <c r="G854" s="137" t="e">
        <f>VLOOKUP($B854,#REF!,MATCH(G$2,#REF!,0),0)</f>
        <v>#REF!</v>
      </c>
      <c r="H854" s="48" t="e">
        <f>H765*1</f>
        <v>#REF!</v>
      </c>
      <c r="I854" s="48" t="e">
        <f>I765*1</f>
        <v>#REF!</v>
      </c>
      <c r="J854" s="48" t="e">
        <f t="shared" si="776"/>
        <v>#REF!</v>
      </c>
      <c r="K854" s="48" t="e">
        <f t="shared" si="777"/>
        <v>#REF!</v>
      </c>
      <c r="L854" s="48" t="e">
        <f t="shared" si="778"/>
        <v>#REF!</v>
      </c>
      <c r="M854" s="48" t="e">
        <f t="shared" si="779"/>
        <v>#REF!</v>
      </c>
      <c r="N854" s="48" t="e">
        <f t="shared" si="780"/>
        <v>#REF!</v>
      </c>
      <c r="O854" s="48" t="e">
        <f t="shared" si="781"/>
        <v>#REF!</v>
      </c>
      <c r="P854" s="48"/>
      <c r="Q854" s="48"/>
      <c r="R854" s="371" t="e">
        <f t="shared" si="761"/>
        <v>#REF!</v>
      </c>
      <c r="S854" s="371" t="e">
        <f t="shared" si="762"/>
        <v>#REF!</v>
      </c>
      <c r="T854" s="371" t="e">
        <f t="shared" si="763"/>
        <v>#REF!</v>
      </c>
      <c r="U854" s="371" t="e">
        <f t="shared" si="764"/>
        <v>#REF!</v>
      </c>
      <c r="V854" s="371" t="e">
        <f t="shared" si="765"/>
        <v>#REF!</v>
      </c>
      <c r="W854" s="371" t="e">
        <f t="shared" si="766"/>
        <v>#REF!</v>
      </c>
      <c r="X854" s="371" t="e">
        <f t="shared" si="767"/>
        <v>#REF!</v>
      </c>
      <c r="Y854" s="371" t="e">
        <f t="shared" si="768"/>
        <v>#REF!</v>
      </c>
      <c r="Z854" s="371" t="e">
        <f t="shared" si="769"/>
        <v>#REF!</v>
      </c>
      <c r="AA854" s="371" t="e">
        <f t="shared" si="770"/>
        <v>#REF!</v>
      </c>
      <c r="AB854" s="50"/>
    </row>
    <row r="855" outlineLevel="2" spans="1:28">
      <c r="A855" s="52">
        <f>MAX($A$6:A854)+1</f>
        <v>714</v>
      </c>
      <c r="B855" s="51" t="s">
        <v>748</v>
      </c>
      <c r="C855" s="51" t="e">
        <f>VLOOKUP($B855,#REF!,MATCH(C$2,#REF!,0),0)</f>
        <v>#REF!</v>
      </c>
      <c r="D855" s="136"/>
      <c r="E855" s="136"/>
      <c r="F855" s="136" t="e">
        <f>VLOOKUP($B855,#REF!,MATCH(F$2,#REF!,0),0)</f>
        <v>#REF!</v>
      </c>
      <c r="G855" s="137" t="e">
        <f>VLOOKUP($B855,#REF!,MATCH(G$2,#REF!,0),0)</f>
        <v>#REF!</v>
      </c>
      <c r="H855" s="48" t="e">
        <f>H765*1</f>
        <v>#REF!</v>
      </c>
      <c r="I855" s="48" t="e">
        <f>I765*1</f>
        <v>#REF!</v>
      </c>
      <c r="J855" s="48" t="e">
        <f t="shared" si="776"/>
        <v>#REF!</v>
      </c>
      <c r="K855" s="48" t="e">
        <f t="shared" si="777"/>
        <v>#REF!</v>
      </c>
      <c r="L855" s="48" t="e">
        <f t="shared" si="778"/>
        <v>#REF!</v>
      </c>
      <c r="M855" s="48" t="e">
        <f t="shared" si="779"/>
        <v>#REF!</v>
      </c>
      <c r="N855" s="48" t="e">
        <f t="shared" si="780"/>
        <v>#REF!</v>
      </c>
      <c r="O855" s="48" t="e">
        <f t="shared" si="781"/>
        <v>#REF!</v>
      </c>
      <c r="P855" s="48"/>
      <c r="Q855" s="48"/>
      <c r="R855" s="371" t="e">
        <f t="shared" si="761"/>
        <v>#REF!</v>
      </c>
      <c r="S855" s="371" t="e">
        <f t="shared" si="762"/>
        <v>#REF!</v>
      </c>
      <c r="T855" s="371" t="e">
        <f t="shared" si="763"/>
        <v>#REF!</v>
      </c>
      <c r="U855" s="371" t="e">
        <f t="shared" si="764"/>
        <v>#REF!</v>
      </c>
      <c r="V855" s="371" t="e">
        <f t="shared" si="765"/>
        <v>#REF!</v>
      </c>
      <c r="W855" s="371" t="e">
        <f t="shared" si="766"/>
        <v>#REF!</v>
      </c>
      <c r="X855" s="371" t="e">
        <f t="shared" si="767"/>
        <v>#REF!</v>
      </c>
      <c r="Y855" s="371" t="e">
        <f t="shared" si="768"/>
        <v>#REF!</v>
      </c>
      <c r="Z855" s="371" t="e">
        <f t="shared" si="769"/>
        <v>#REF!</v>
      </c>
      <c r="AA855" s="371" t="e">
        <f t="shared" si="770"/>
        <v>#REF!</v>
      </c>
      <c r="AB855" s="50"/>
    </row>
    <row r="856" outlineLevel="2" spans="1:28">
      <c r="A856" s="52">
        <f>MAX($A$6:A855)+1</f>
        <v>715</v>
      </c>
      <c r="B856" s="51" t="s">
        <v>749</v>
      </c>
      <c r="C856" s="51" t="e">
        <f>VLOOKUP($B856,#REF!,MATCH(C$2,#REF!,0),0)</f>
        <v>#REF!</v>
      </c>
      <c r="D856" s="136"/>
      <c r="E856" s="136"/>
      <c r="F856" s="136" t="e">
        <f>VLOOKUP($B856,#REF!,MATCH(F$2,#REF!,0),0)</f>
        <v>#REF!</v>
      </c>
      <c r="G856" s="137" t="e">
        <f>VLOOKUP($B856,#REF!,MATCH(G$2,#REF!,0),0)</f>
        <v>#REF!</v>
      </c>
      <c r="H856" s="48" t="e">
        <f>H765*1</f>
        <v>#REF!</v>
      </c>
      <c r="I856" s="48" t="e">
        <f>I765*1</f>
        <v>#REF!</v>
      </c>
      <c r="J856" s="48" t="e">
        <f t="shared" si="776"/>
        <v>#REF!</v>
      </c>
      <c r="K856" s="48" t="e">
        <f t="shared" si="777"/>
        <v>#REF!</v>
      </c>
      <c r="L856" s="48" t="e">
        <f t="shared" si="778"/>
        <v>#REF!</v>
      </c>
      <c r="M856" s="48" t="e">
        <f t="shared" si="779"/>
        <v>#REF!</v>
      </c>
      <c r="N856" s="48" t="e">
        <f t="shared" si="780"/>
        <v>#REF!</v>
      </c>
      <c r="O856" s="48" t="e">
        <f t="shared" si="781"/>
        <v>#REF!</v>
      </c>
      <c r="P856" s="48"/>
      <c r="Q856" s="48"/>
      <c r="R856" s="371" t="e">
        <f t="shared" si="761"/>
        <v>#REF!</v>
      </c>
      <c r="S856" s="371" t="e">
        <f t="shared" si="762"/>
        <v>#REF!</v>
      </c>
      <c r="T856" s="371" t="e">
        <f t="shared" si="763"/>
        <v>#REF!</v>
      </c>
      <c r="U856" s="371" t="e">
        <f t="shared" si="764"/>
        <v>#REF!</v>
      </c>
      <c r="V856" s="371" t="e">
        <f t="shared" si="765"/>
        <v>#REF!</v>
      </c>
      <c r="W856" s="371" t="e">
        <f t="shared" si="766"/>
        <v>#REF!</v>
      </c>
      <c r="X856" s="371" t="e">
        <f t="shared" si="767"/>
        <v>#REF!</v>
      </c>
      <c r="Y856" s="371" t="e">
        <f t="shared" si="768"/>
        <v>#REF!</v>
      </c>
      <c r="Z856" s="371" t="e">
        <f t="shared" si="769"/>
        <v>#REF!</v>
      </c>
      <c r="AA856" s="371" t="e">
        <f t="shared" si="770"/>
        <v>#REF!</v>
      </c>
      <c r="AB856" s="50"/>
    </row>
    <row r="857" outlineLevel="2" spans="1:28">
      <c r="A857" s="52">
        <f>MAX($A$6:A856)+1</f>
        <v>716</v>
      </c>
      <c r="B857" s="51" t="s">
        <v>750</v>
      </c>
      <c r="C857" s="51" t="e">
        <f>VLOOKUP($B857,#REF!,MATCH(C$2,#REF!,0),0)</f>
        <v>#REF!</v>
      </c>
      <c r="D857" s="136"/>
      <c r="E857" s="136"/>
      <c r="F857" s="136" t="e">
        <f>VLOOKUP($B857,#REF!,MATCH(F$2,#REF!,0),0)</f>
        <v>#REF!</v>
      </c>
      <c r="G857" s="137" t="e">
        <f>VLOOKUP($B857,#REF!,MATCH(G$2,#REF!,0),0)</f>
        <v>#REF!</v>
      </c>
      <c r="H857" s="48" t="e">
        <f>H765*1</f>
        <v>#REF!</v>
      </c>
      <c r="I857" s="48" t="e">
        <f>I765*1</f>
        <v>#REF!</v>
      </c>
      <c r="J857" s="48" t="e">
        <f t="shared" si="776"/>
        <v>#REF!</v>
      </c>
      <c r="K857" s="48" t="e">
        <f t="shared" si="777"/>
        <v>#REF!</v>
      </c>
      <c r="L857" s="48" t="e">
        <f t="shared" si="778"/>
        <v>#REF!</v>
      </c>
      <c r="M857" s="48" t="e">
        <f t="shared" si="779"/>
        <v>#REF!</v>
      </c>
      <c r="N857" s="48" t="e">
        <f t="shared" si="780"/>
        <v>#REF!</v>
      </c>
      <c r="O857" s="48" t="e">
        <f t="shared" si="781"/>
        <v>#REF!</v>
      </c>
      <c r="P857" s="48"/>
      <c r="Q857" s="48"/>
      <c r="R857" s="371" t="e">
        <f t="shared" si="761"/>
        <v>#REF!</v>
      </c>
      <c r="S857" s="371" t="e">
        <f t="shared" si="762"/>
        <v>#REF!</v>
      </c>
      <c r="T857" s="371" t="e">
        <f t="shared" si="763"/>
        <v>#REF!</v>
      </c>
      <c r="U857" s="371" t="e">
        <f t="shared" si="764"/>
        <v>#REF!</v>
      </c>
      <c r="V857" s="371" t="e">
        <f t="shared" si="765"/>
        <v>#REF!</v>
      </c>
      <c r="W857" s="371" t="e">
        <f t="shared" si="766"/>
        <v>#REF!</v>
      </c>
      <c r="X857" s="371" t="e">
        <f t="shared" si="767"/>
        <v>#REF!</v>
      </c>
      <c r="Y857" s="371" t="e">
        <f t="shared" si="768"/>
        <v>#REF!</v>
      </c>
      <c r="Z857" s="371" t="e">
        <f t="shared" si="769"/>
        <v>#REF!</v>
      </c>
      <c r="AA857" s="371" t="e">
        <f t="shared" si="770"/>
        <v>#REF!</v>
      </c>
      <c r="AB857" s="50"/>
    </row>
    <row r="858" outlineLevel="2" spans="1:28">
      <c r="A858" s="52">
        <f>MAX($A$6:A857)+1</f>
        <v>717</v>
      </c>
      <c r="B858" s="51" t="s">
        <v>751</v>
      </c>
      <c r="C858" s="51" t="e">
        <f>VLOOKUP($B858,#REF!,MATCH(C$2,#REF!,0),0)</f>
        <v>#REF!</v>
      </c>
      <c r="D858" s="136"/>
      <c r="E858" s="136"/>
      <c r="F858" s="136" t="e">
        <f>VLOOKUP($B858,#REF!,MATCH(F$2,#REF!,0),0)</f>
        <v>#REF!</v>
      </c>
      <c r="G858" s="137" t="e">
        <f>VLOOKUP($B858,#REF!,MATCH(G$2,#REF!,0),0)</f>
        <v>#REF!</v>
      </c>
      <c r="H858" s="48" t="e">
        <f>H765*1</f>
        <v>#REF!</v>
      </c>
      <c r="I858" s="48" t="e">
        <f t="shared" ref="I858:I865" si="782">$I$765*1</f>
        <v>#REF!</v>
      </c>
      <c r="J858" s="48" t="e">
        <f t="shared" si="776"/>
        <v>#REF!</v>
      </c>
      <c r="K858" s="48" t="e">
        <f t="shared" si="777"/>
        <v>#REF!</v>
      </c>
      <c r="L858" s="48" t="e">
        <f t="shared" si="778"/>
        <v>#REF!</v>
      </c>
      <c r="M858" s="48" t="e">
        <f t="shared" si="779"/>
        <v>#REF!</v>
      </c>
      <c r="N858" s="48" t="e">
        <f t="shared" si="780"/>
        <v>#REF!</v>
      </c>
      <c r="O858" s="48" t="e">
        <f t="shared" si="781"/>
        <v>#REF!</v>
      </c>
      <c r="P858" s="48"/>
      <c r="Q858" s="48"/>
      <c r="R858" s="371" t="e">
        <f t="shared" si="761"/>
        <v>#REF!</v>
      </c>
      <c r="S858" s="371" t="e">
        <f t="shared" si="762"/>
        <v>#REF!</v>
      </c>
      <c r="T858" s="371" t="e">
        <f t="shared" si="763"/>
        <v>#REF!</v>
      </c>
      <c r="U858" s="371" t="e">
        <f t="shared" si="764"/>
        <v>#REF!</v>
      </c>
      <c r="V858" s="371" t="e">
        <f t="shared" si="765"/>
        <v>#REF!</v>
      </c>
      <c r="W858" s="371" t="e">
        <f t="shared" si="766"/>
        <v>#REF!</v>
      </c>
      <c r="X858" s="371" t="e">
        <f t="shared" si="767"/>
        <v>#REF!</v>
      </c>
      <c r="Y858" s="371" t="e">
        <f t="shared" si="768"/>
        <v>#REF!</v>
      </c>
      <c r="Z858" s="371" t="e">
        <f t="shared" si="769"/>
        <v>#REF!</v>
      </c>
      <c r="AA858" s="371" t="e">
        <f t="shared" si="770"/>
        <v>#REF!</v>
      </c>
      <c r="AB858" s="50"/>
    </row>
    <row r="859" outlineLevel="2" spans="1:28">
      <c r="A859" s="52">
        <f>MAX($A$6:A858)+1</f>
        <v>718</v>
      </c>
      <c r="B859" s="51" t="s">
        <v>752</v>
      </c>
      <c r="C859" s="51" t="e">
        <f>VLOOKUP($B859,#REF!,MATCH(C$2,#REF!,0),0)</f>
        <v>#REF!</v>
      </c>
      <c r="D859" s="136"/>
      <c r="E859" s="136"/>
      <c r="F859" s="136" t="e">
        <f>VLOOKUP($B859,#REF!,MATCH(F$2,#REF!,0),0)</f>
        <v>#REF!</v>
      </c>
      <c r="G859" s="137" t="e">
        <f>VLOOKUP($B859,#REF!,MATCH(G$2,#REF!,0),0)</f>
        <v>#REF!</v>
      </c>
      <c r="H859" s="48" t="e">
        <f>H765*1</f>
        <v>#REF!</v>
      </c>
      <c r="I859" s="48" t="e">
        <f t="shared" si="782"/>
        <v>#REF!</v>
      </c>
      <c r="J859" s="48" t="e">
        <f t="shared" si="776"/>
        <v>#REF!</v>
      </c>
      <c r="K859" s="48" t="e">
        <f t="shared" si="777"/>
        <v>#REF!</v>
      </c>
      <c r="L859" s="48" t="e">
        <f t="shared" si="778"/>
        <v>#REF!</v>
      </c>
      <c r="M859" s="48" t="e">
        <f t="shared" si="779"/>
        <v>#REF!</v>
      </c>
      <c r="N859" s="48" t="e">
        <f t="shared" si="780"/>
        <v>#REF!</v>
      </c>
      <c r="O859" s="48" t="e">
        <f t="shared" si="781"/>
        <v>#REF!</v>
      </c>
      <c r="P859" s="48"/>
      <c r="Q859" s="48"/>
      <c r="R859" s="371" t="e">
        <f t="shared" si="761"/>
        <v>#REF!</v>
      </c>
      <c r="S859" s="371" t="e">
        <f t="shared" si="762"/>
        <v>#REF!</v>
      </c>
      <c r="T859" s="371" t="e">
        <f t="shared" si="763"/>
        <v>#REF!</v>
      </c>
      <c r="U859" s="371" t="e">
        <f t="shared" si="764"/>
        <v>#REF!</v>
      </c>
      <c r="V859" s="371" t="e">
        <f t="shared" si="765"/>
        <v>#REF!</v>
      </c>
      <c r="W859" s="371" t="e">
        <f t="shared" si="766"/>
        <v>#REF!</v>
      </c>
      <c r="X859" s="371" t="e">
        <f t="shared" si="767"/>
        <v>#REF!</v>
      </c>
      <c r="Y859" s="371" t="e">
        <f t="shared" si="768"/>
        <v>#REF!</v>
      </c>
      <c r="Z859" s="371" t="e">
        <f t="shared" si="769"/>
        <v>#REF!</v>
      </c>
      <c r="AA859" s="371" t="e">
        <f t="shared" si="770"/>
        <v>#REF!</v>
      </c>
      <c r="AB859" s="50"/>
    </row>
    <row r="860" outlineLevel="2" spans="1:28">
      <c r="A860" s="52">
        <f>MAX($A$6:A859)+1</f>
        <v>719</v>
      </c>
      <c r="B860" s="51" t="s">
        <v>753</v>
      </c>
      <c r="C860" s="51" t="e">
        <f>VLOOKUP($B860,#REF!,MATCH(C$2,#REF!,0),0)</f>
        <v>#REF!</v>
      </c>
      <c r="D860" s="136"/>
      <c r="E860" s="136"/>
      <c r="F860" s="136" t="e">
        <f>VLOOKUP($B860,#REF!,MATCH(F$2,#REF!,0),0)</f>
        <v>#REF!</v>
      </c>
      <c r="G860" s="137" t="e">
        <f>VLOOKUP($B860,#REF!,MATCH(G$2,#REF!,0),0)</f>
        <v>#REF!</v>
      </c>
      <c r="H860" s="48" t="e">
        <f>H765*1</f>
        <v>#REF!</v>
      </c>
      <c r="I860" s="48" t="e">
        <f t="shared" si="782"/>
        <v>#REF!</v>
      </c>
      <c r="J860" s="48" t="e">
        <f t="shared" si="776"/>
        <v>#REF!</v>
      </c>
      <c r="K860" s="48" t="e">
        <f t="shared" si="777"/>
        <v>#REF!</v>
      </c>
      <c r="L860" s="48" t="e">
        <f t="shared" si="778"/>
        <v>#REF!</v>
      </c>
      <c r="M860" s="48" t="e">
        <f t="shared" si="779"/>
        <v>#REF!</v>
      </c>
      <c r="N860" s="48" t="e">
        <f t="shared" si="780"/>
        <v>#REF!</v>
      </c>
      <c r="O860" s="48" t="e">
        <f t="shared" si="781"/>
        <v>#REF!</v>
      </c>
      <c r="P860" s="48"/>
      <c r="Q860" s="48"/>
      <c r="R860" s="371" t="e">
        <f t="shared" si="761"/>
        <v>#REF!</v>
      </c>
      <c r="S860" s="371" t="e">
        <f t="shared" si="762"/>
        <v>#REF!</v>
      </c>
      <c r="T860" s="371" t="e">
        <f t="shared" si="763"/>
        <v>#REF!</v>
      </c>
      <c r="U860" s="371" t="e">
        <f t="shared" si="764"/>
        <v>#REF!</v>
      </c>
      <c r="V860" s="371" t="e">
        <f t="shared" si="765"/>
        <v>#REF!</v>
      </c>
      <c r="W860" s="371" t="e">
        <f t="shared" si="766"/>
        <v>#REF!</v>
      </c>
      <c r="X860" s="371" t="e">
        <f t="shared" si="767"/>
        <v>#REF!</v>
      </c>
      <c r="Y860" s="371" t="e">
        <f t="shared" si="768"/>
        <v>#REF!</v>
      </c>
      <c r="Z860" s="371" t="e">
        <f t="shared" si="769"/>
        <v>#REF!</v>
      </c>
      <c r="AA860" s="371" t="e">
        <f t="shared" si="770"/>
        <v>#REF!</v>
      </c>
      <c r="AB860" s="50"/>
    </row>
    <row r="861" outlineLevel="2" spans="1:28">
      <c r="A861" s="52">
        <f>MAX($A$6:A860)+1</f>
        <v>720</v>
      </c>
      <c r="B861" s="51" t="s">
        <v>754</v>
      </c>
      <c r="C861" s="51" t="e">
        <f>VLOOKUP($B861,#REF!,MATCH(C$2,#REF!,0),0)</f>
        <v>#REF!</v>
      </c>
      <c r="D861" s="136"/>
      <c r="E861" s="136"/>
      <c r="F861" s="136" t="e">
        <f>VLOOKUP($B861,#REF!,MATCH(F$2,#REF!,0),0)</f>
        <v>#REF!</v>
      </c>
      <c r="G861" s="137" t="e">
        <f>VLOOKUP($B861,#REF!,MATCH(G$2,#REF!,0),0)</f>
        <v>#REF!</v>
      </c>
      <c r="H861" s="48" t="e">
        <f>H765*1</f>
        <v>#REF!</v>
      </c>
      <c r="I861" s="48" t="e">
        <f t="shared" si="782"/>
        <v>#REF!</v>
      </c>
      <c r="J861" s="48" t="e">
        <f t="shared" si="776"/>
        <v>#REF!</v>
      </c>
      <c r="K861" s="48" t="e">
        <f t="shared" si="777"/>
        <v>#REF!</v>
      </c>
      <c r="L861" s="48" t="e">
        <f t="shared" si="778"/>
        <v>#REF!</v>
      </c>
      <c r="M861" s="48" t="e">
        <f t="shared" si="779"/>
        <v>#REF!</v>
      </c>
      <c r="N861" s="48" t="e">
        <f t="shared" si="780"/>
        <v>#REF!</v>
      </c>
      <c r="O861" s="48" t="e">
        <f t="shared" si="781"/>
        <v>#REF!</v>
      </c>
      <c r="P861" s="48"/>
      <c r="Q861" s="48"/>
      <c r="R861" s="371" t="e">
        <f t="shared" si="761"/>
        <v>#REF!</v>
      </c>
      <c r="S861" s="371" t="e">
        <f t="shared" si="762"/>
        <v>#REF!</v>
      </c>
      <c r="T861" s="371" t="e">
        <f t="shared" si="763"/>
        <v>#REF!</v>
      </c>
      <c r="U861" s="371" t="e">
        <f t="shared" si="764"/>
        <v>#REF!</v>
      </c>
      <c r="V861" s="371" t="e">
        <f t="shared" si="765"/>
        <v>#REF!</v>
      </c>
      <c r="W861" s="371" t="e">
        <f t="shared" si="766"/>
        <v>#REF!</v>
      </c>
      <c r="X861" s="371" t="e">
        <f t="shared" si="767"/>
        <v>#REF!</v>
      </c>
      <c r="Y861" s="371" t="e">
        <f t="shared" si="768"/>
        <v>#REF!</v>
      </c>
      <c r="Z861" s="371" t="e">
        <f t="shared" si="769"/>
        <v>#REF!</v>
      </c>
      <c r="AA861" s="371" t="e">
        <f t="shared" si="770"/>
        <v>#REF!</v>
      </c>
      <c r="AB861" s="50"/>
    </row>
    <row r="862" ht="28.8" outlineLevel="2" spans="1:28">
      <c r="A862" s="52">
        <f>MAX($A$6:A861)+1</f>
        <v>721</v>
      </c>
      <c r="B862" s="51" t="s">
        <v>755</v>
      </c>
      <c r="C862" s="51" t="e">
        <f>VLOOKUP($B862,#REF!,MATCH(C$2,#REF!,0),0)</f>
        <v>#REF!</v>
      </c>
      <c r="D862" s="136"/>
      <c r="E862" s="136"/>
      <c r="F862" s="136" t="e">
        <f>VLOOKUP($B862,#REF!,MATCH(F$2,#REF!,0),0)</f>
        <v>#REF!</v>
      </c>
      <c r="G862" s="137" t="e">
        <f>VLOOKUP($B862,#REF!,MATCH(G$2,#REF!,0),0)</f>
        <v>#REF!</v>
      </c>
      <c r="H862" s="48" t="e">
        <f>H765*1</f>
        <v>#REF!</v>
      </c>
      <c r="I862" s="48" t="e">
        <f t="shared" si="782"/>
        <v>#REF!</v>
      </c>
      <c r="J862" s="48" t="e">
        <f t="shared" si="776"/>
        <v>#REF!</v>
      </c>
      <c r="K862" s="48" t="e">
        <f t="shared" si="777"/>
        <v>#REF!</v>
      </c>
      <c r="L862" s="48" t="e">
        <f t="shared" si="778"/>
        <v>#REF!</v>
      </c>
      <c r="M862" s="48" t="e">
        <f t="shared" si="779"/>
        <v>#REF!</v>
      </c>
      <c r="N862" s="48" t="e">
        <f t="shared" si="780"/>
        <v>#REF!</v>
      </c>
      <c r="O862" s="48" t="e">
        <f t="shared" si="781"/>
        <v>#REF!</v>
      </c>
      <c r="P862" s="48"/>
      <c r="Q862" s="48"/>
      <c r="R862" s="371" t="e">
        <f t="shared" si="761"/>
        <v>#REF!</v>
      </c>
      <c r="S862" s="371" t="e">
        <f t="shared" si="762"/>
        <v>#REF!</v>
      </c>
      <c r="T862" s="371" t="e">
        <f t="shared" si="763"/>
        <v>#REF!</v>
      </c>
      <c r="U862" s="371" t="e">
        <f t="shared" si="764"/>
        <v>#REF!</v>
      </c>
      <c r="V862" s="371" t="e">
        <f t="shared" si="765"/>
        <v>#REF!</v>
      </c>
      <c r="W862" s="371" t="e">
        <f t="shared" si="766"/>
        <v>#REF!</v>
      </c>
      <c r="X862" s="371" t="e">
        <f t="shared" si="767"/>
        <v>#REF!</v>
      </c>
      <c r="Y862" s="371" t="e">
        <f t="shared" si="768"/>
        <v>#REF!</v>
      </c>
      <c r="Z862" s="371" t="e">
        <f t="shared" si="769"/>
        <v>#REF!</v>
      </c>
      <c r="AA862" s="371" t="e">
        <f t="shared" si="770"/>
        <v>#REF!</v>
      </c>
      <c r="AB862" s="50"/>
    </row>
    <row r="863" ht="28.8" outlineLevel="2" spans="1:28">
      <c r="A863" s="52">
        <f>MAX($A$6:A862)+1</f>
        <v>722</v>
      </c>
      <c r="B863" s="51" t="s">
        <v>756</v>
      </c>
      <c r="C863" s="51" t="e">
        <f>VLOOKUP($B863,#REF!,MATCH(C$2,#REF!,0),0)</f>
        <v>#REF!</v>
      </c>
      <c r="D863" s="136"/>
      <c r="E863" s="136"/>
      <c r="F863" s="136" t="e">
        <f>VLOOKUP($B863,#REF!,MATCH(F$2,#REF!,0),0)</f>
        <v>#REF!</v>
      </c>
      <c r="G863" s="137" t="e">
        <f>VLOOKUP($B863,#REF!,MATCH(G$2,#REF!,0),0)</f>
        <v>#REF!</v>
      </c>
      <c r="H863" s="48" t="e">
        <f>H765*1</f>
        <v>#REF!</v>
      </c>
      <c r="I863" s="48" t="e">
        <f t="shared" si="782"/>
        <v>#REF!</v>
      </c>
      <c r="J863" s="48" t="e">
        <f t="shared" si="776"/>
        <v>#REF!</v>
      </c>
      <c r="K863" s="48" t="e">
        <f t="shared" si="777"/>
        <v>#REF!</v>
      </c>
      <c r="L863" s="48" t="e">
        <f t="shared" si="778"/>
        <v>#REF!</v>
      </c>
      <c r="M863" s="48" t="e">
        <f t="shared" si="779"/>
        <v>#REF!</v>
      </c>
      <c r="N863" s="48" t="e">
        <f t="shared" si="780"/>
        <v>#REF!</v>
      </c>
      <c r="O863" s="48" t="e">
        <f t="shared" si="781"/>
        <v>#REF!</v>
      </c>
      <c r="P863" s="48"/>
      <c r="Q863" s="48"/>
      <c r="R863" s="371" t="e">
        <f t="shared" si="761"/>
        <v>#REF!</v>
      </c>
      <c r="S863" s="371" t="e">
        <f t="shared" si="762"/>
        <v>#REF!</v>
      </c>
      <c r="T863" s="371" t="e">
        <f t="shared" si="763"/>
        <v>#REF!</v>
      </c>
      <c r="U863" s="371" t="e">
        <f t="shared" si="764"/>
        <v>#REF!</v>
      </c>
      <c r="V863" s="371" t="e">
        <f t="shared" si="765"/>
        <v>#REF!</v>
      </c>
      <c r="W863" s="371" t="e">
        <f t="shared" si="766"/>
        <v>#REF!</v>
      </c>
      <c r="X863" s="371" t="e">
        <f t="shared" si="767"/>
        <v>#REF!</v>
      </c>
      <c r="Y863" s="371" t="e">
        <f t="shared" si="768"/>
        <v>#REF!</v>
      </c>
      <c r="Z863" s="371" t="e">
        <f t="shared" si="769"/>
        <v>#REF!</v>
      </c>
      <c r="AA863" s="371" t="e">
        <f t="shared" si="770"/>
        <v>#REF!</v>
      </c>
      <c r="AB863" s="50"/>
    </row>
    <row r="864" outlineLevel="2" spans="1:28">
      <c r="A864" s="52">
        <f>MAX($A$6:A863)+1</f>
        <v>723</v>
      </c>
      <c r="B864" s="51" t="s">
        <v>757</v>
      </c>
      <c r="C864" s="51" t="e">
        <f>VLOOKUP($B864,#REF!,MATCH(C$2,#REF!,0),0)</f>
        <v>#REF!</v>
      </c>
      <c r="D864" s="136"/>
      <c r="E864" s="136"/>
      <c r="F864" s="136" t="e">
        <f>VLOOKUP($B864,#REF!,MATCH(F$2,#REF!,0),0)</f>
        <v>#REF!</v>
      </c>
      <c r="G864" s="137" t="e">
        <f>VLOOKUP($B864,#REF!,MATCH(G$2,#REF!,0),0)</f>
        <v>#REF!</v>
      </c>
      <c r="H864" s="48" t="e">
        <f>H765*1</f>
        <v>#REF!</v>
      </c>
      <c r="I864" s="48" t="e">
        <f t="shared" si="782"/>
        <v>#REF!</v>
      </c>
      <c r="J864" s="48" t="e">
        <f t="shared" si="776"/>
        <v>#REF!</v>
      </c>
      <c r="K864" s="48" t="e">
        <f t="shared" si="777"/>
        <v>#REF!</v>
      </c>
      <c r="L864" s="48" t="e">
        <f t="shared" si="778"/>
        <v>#REF!</v>
      </c>
      <c r="M864" s="48" t="e">
        <f t="shared" si="779"/>
        <v>#REF!</v>
      </c>
      <c r="N864" s="48" t="e">
        <f t="shared" si="780"/>
        <v>#REF!</v>
      </c>
      <c r="O864" s="48" t="e">
        <f t="shared" si="781"/>
        <v>#REF!</v>
      </c>
      <c r="P864" s="48"/>
      <c r="Q864" s="48"/>
      <c r="R864" s="371" t="e">
        <f t="shared" si="761"/>
        <v>#REF!</v>
      </c>
      <c r="S864" s="371" t="e">
        <f t="shared" si="762"/>
        <v>#REF!</v>
      </c>
      <c r="T864" s="371" t="e">
        <f t="shared" si="763"/>
        <v>#REF!</v>
      </c>
      <c r="U864" s="371" t="e">
        <f t="shared" si="764"/>
        <v>#REF!</v>
      </c>
      <c r="V864" s="371" t="e">
        <f t="shared" si="765"/>
        <v>#REF!</v>
      </c>
      <c r="W864" s="371" t="e">
        <f t="shared" si="766"/>
        <v>#REF!</v>
      </c>
      <c r="X864" s="371" t="e">
        <f t="shared" si="767"/>
        <v>#REF!</v>
      </c>
      <c r="Y864" s="371" t="e">
        <f t="shared" si="768"/>
        <v>#REF!</v>
      </c>
      <c r="Z864" s="371" t="e">
        <f t="shared" si="769"/>
        <v>#REF!</v>
      </c>
      <c r="AA864" s="371" t="e">
        <f t="shared" si="770"/>
        <v>#REF!</v>
      </c>
      <c r="AB864" s="50"/>
    </row>
    <row r="865" ht="28.8" outlineLevel="2" spans="1:28">
      <c r="A865" s="52">
        <f>MAX($A$6:A864)+1</f>
        <v>724</v>
      </c>
      <c r="B865" s="51" t="s">
        <v>758</v>
      </c>
      <c r="C865" s="51" t="e">
        <f>VLOOKUP($B865,#REF!,MATCH(C$2,#REF!,0),0)</f>
        <v>#REF!</v>
      </c>
      <c r="D865" s="136"/>
      <c r="E865" s="136"/>
      <c r="F865" s="136" t="e">
        <f>VLOOKUP($B865,#REF!,MATCH(F$2,#REF!,0),0)</f>
        <v>#REF!</v>
      </c>
      <c r="G865" s="137" t="e">
        <f>VLOOKUP($B865,#REF!,MATCH(G$2,#REF!,0),0)</f>
        <v>#REF!</v>
      </c>
      <c r="H865" s="48" t="e">
        <f>H765*1</f>
        <v>#REF!</v>
      </c>
      <c r="I865" s="48" t="e">
        <f t="shared" si="782"/>
        <v>#REF!</v>
      </c>
      <c r="J865" s="48" t="e">
        <f t="shared" si="776"/>
        <v>#REF!</v>
      </c>
      <c r="K865" s="48" t="e">
        <f t="shared" si="777"/>
        <v>#REF!</v>
      </c>
      <c r="L865" s="48" t="e">
        <f t="shared" si="778"/>
        <v>#REF!</v>
      </c>
      <c r="M865" s="48" t="e">
        <f t="shared" si="779"/>
        <v>#REF!</v>
      </c>
      <c r="N865" s="48" t="e">
        <f t="shared" si="780"/>
        <v>#REF!</v>
      </c>
      <c r="O865" s="48" t="e">
        <f t="shared" si="781"/>
        <v>#REF!</v>
      </c>
      <c r="P865" s="48"/>
      <c r="Q865" s="48"/>
      <c r="R865" s="371" t="e">
        <f t="shared" si="761"/>
        <v>#REF!</v>
      </c>
      <c r="S865" s="371" t="e">
        <f t="shared" si="762"/>
        <v>#REF!</v>
      </c>
      <c r="T865" s="371" t="e">
        <f t="shared" si="763"/>
        <v>#REF!</v>
      </c>
      <c r="U865" s="371" t="e">
        <f t="shared" si="764"/>
        <v>#REF!</v>
      </c>
      <c r="V865" s="371" t="e">
        <f t="shared" si="765"/>
        <v>#REF!</v>
      </c>
      <c r="W865" s="371" t="e">
        <f t="shared" si="766"/>
        <v>#REF!</v>
      </c>
      <c r="X865" s="371" t="e">
        <f t="shared" si="767"/>
        <v>#REF!</v>
      </c>
      <c r="Y865" s="371" t="e">
        <f t="shared" si="768"/>
        <v>#REF!</v>
      </c>
      <c r="Z865" s="371" t="e">
        <f t="shared" si="769"/>
        <v>#REF!</v>
      </c>
      <c r="AA865" s="371" t="e">
        <f t="shared" si="770"/>
        <v>#REF!</v>
      </c>
      <c r="AB865" s="50"/>
    </row>
    <row r="866" s="29" customFormat="1" ht="28.8" outlineLevel="1" spans="1:28">
      <c r="A866" s="40"/>
      <c r="B866" s="41" t="str">
        <f>目录!H20</f>
        <v>A.06.03外墙饰面工程</v>
      </c>
      <c r="C866" s="41"/>
      <c r="D866" s="141"/>
      <c r="E866" s="141"/>
      <c r="F866" s="40"/>
      <c r="G866" s="43"/>
      <c r="H866" s="43"/>
      <c r="I866" s="43"/>
      <c r="J866" s="43"/>
      <c r="K866" s="43"/>
      <c r="L866" s="43"/>
      <c r="M866" s="43"/>
      <c r="N866" s="43"/>
      <c r="O866" s="43"/>
      <c r="P866" s="43"/>
      <c r="Q866" s="43"/>
      <c r="R866" s="369" t="e">
        <f t="shared" ref="R866:AA866" si="783">SUM(R867:R903)</f>
        <v>#REF!</v>
      </c>
      <c r="S866" s="369" t="e">
        <f t="shared" si="783"/>
        <v>#REF!</v>
      </c>
      <c r="T866" s="369" t="e">
        <f t="shared" si="783"/>
        <v>#REF!</v>
      </c>
      <c r="U866" s="369" t="e">
        <f t="shared" si="783"/>
        <v>#REF!</v>
      </c>
      <c r="V866" s="369" t="e">
        <f t="shared" si="783"/>
        <v>#REF!</v>
      </c>
      <c r="W866" s="369" t="e">
        <f t="shared" si="783"/>
        <v>#REF!</v>
      </c>
      <c r="X866" s="369" t="e">
        <f t="shared" si="783"/>
        <v>#REF!</v>
      </c>
      <c r="Y866" s="369" t="e">
        <f t="shared" si="783"/>
        <v>#REF!</v>
      </c>
      <c r="Z866" s="369" t="e">
        <f t="shared" si="783"/>
        <v>#REF!</v>
      </c>
      <c r="AA866" s="369" t="e">
        <f t="shared" si="783"/>
        <v>#REF!</v>
      </c>
      <c r="AB866" s="40"/>
    </row>
    <row r="867" s="122" customFormat="1" outlineLevel="2" spans="1:28">
      <c r="A867" s="130"/>
      <c r="B867" s="154" t="s">
        <v>759</v>
      </c>
      <c r="C867" s="154"/>
      <c r="D867" s="154"/>
      <c r="E867" s="154"/>
      <c r="F867" s="130"/>
      <c r="G867" s="134"/>
      <c r="H867" s="134"/>
      <c r="I867" s="134"/>
      <c r="J867" s="134"/>
      <c r="K867" s="134"/>
      <c r="L867" s="134"/>
      <c r="M867" s="134"/>
      <c r="N867" s="134"/>
      <c r="O867" s="134"/>
      <c r="P867" s="134"/>
      <c r="Q867" s="134"/>
      <c r="R867" s="367"/>
      <c r="S867" s="367"/>
      <c r="T867" s="367"/>
      <c r="U867" s="367"/>
      <c r="V867" s="371">
        <f>$G867*L867</f>
        <v>0</v>
      </c>
      <c r="W867" s="367"/>
      <c r="X867" s="367"/>
      <c r="Y867" s="367"/>
      <c r="Z867" s="367"/>
      <c r="AA867" s="367"/>
      <c r="AB867" s="130"/>
    </row>
    <row r="868" ht="28.8" outlineLevel="2" spans="1:28">
      <c r="A868" s="52">
        <f>MAX($A$6:A867)+1</f>
        <v>725</v>
      </c>
      <c r="B868" s="51" t="s">
        <v>760</v>
      </c>
      <c r="C868" s="51" t="e">
        <f>VLOOKUP($B868,#REF!,MATCH(C$2,#REF!,0),0)</f>
        <v>#REF!</v>
      </c>
      <c r="D868" s="136"/>
      <c r="E868" s="136"/>
      <c r="F868" s="136" t="e">
        <f>VLOOKUP($B868,#REF!,MATCH(F$2,#REF!,0),0)</f>
        <v>#REF!</v>
      </c>
      <c r="G868" s="137" t="e">
        <f>VLOOKUP($B868,#REF!,MATCH(G$2,#REF!,0),0)</f>
        <v>#REF!</v>
      </c>
      <c r="H868" s="48" t="e">
        <f>H765*829.389308435873</f>
        <v>#REF!</v>
      </c>
      <c r="I868" s="48" t="e">
        <f>$I$765*829.389308435873</f>
        <v>#REF!</v>
      </c>
      <c r="J868" s="48" t="e">
        <f>$J$765*965.480853236387</f>
        <v>#REF!</v>
      </c>
      <c r="K868" s="48" t="e">
        <f>$K$765*3142.05554354978</f>
        <v>#REF!</v>
      </c>
      <c r="L868" s="48" t="e">
        <f>$L$765*3142.05554354978</f>
        <v>#REF!</v>
      </c>
      <c r="M868" s="48" t="e">
        <f>$M$765*876.879426774912</f>
        <v>#REF!</v>
      </c>
      <c r="N868" s="48" t="e">
        <f>$N$765*1012.84</f>
        <v>#REF!</v>
      </c>
      <c r="O868" s="48" t="e">
        <f>$O$765*876.879426774912</f>
        <v>#REF!</v>
      </c>
      <c r="P868" s="48"/>
      <c r="Q868" s="48"/>
      <c r="R868" s="371" t="e">
        <f>$G868*H868</f>
        <v>#REF!</v>
      </c>
      <c r="S868" s="371" t="e">
        <f t="shared" ref="S868:AA868" si="784">$G868*I868</f>
        <v>#REF!</v>
      </c>
      <c r="T868" s="371" t="e">
        <f t="shared" si="784"/>
        <v>#REF!</v>
      </c>
      <c r="U868" s="371" t="e">
        <f t="shared" si="784"/>
        <v>#REF!</v>
      </c>
      <c r="V868" s="371" t="e">
        <f t="shared" si="784"/>
        <v>#REF!</v>
      </c>
      <c r="W868" s="371" t="e">
        <f t="shared" si="784"/>
        <v>#REF!</v>
      </c>
      <c r="X868" s="371" t="e">
        <f t="shared" si="784"/>
        <v>#REF!</v>
      </c>
      <c r="Y868" s="371" t="e">
        <f t="shared" si="784"/>
        <v>#REF!</v>
      </c>
      <c r="Z868" s="371" t="e">
        <f t="shared" si="784"/>
        <v>#REF!</v>
      </c>
      <c r="AA868" s="371" t="e">
        <f t="shared" si="784"/>
        <v>#REF!</v>
      </c>
      <c r="AB868" s="50"/>
    </row>
    <row r="869" outlineLevel="2" spans="1:28">
      <c r="A869" s="52">
        <f>MAX($A$6:A868)+1</f>
        <v>726</v>
      </c>
      <c r="B869" s="51" t="s">
        <v>761</v>
      </c>
      <c r="C869" s="51" t="e">
        <f>VLOOKUP($B869,#REF!,MATCH(C$2,#REF!,0),0)</f>
        <v>#REF!</v>
      </c>
      <c r="D869" s="136"/>
      <c r="E869" s="136"/>
      <c r="F869" s="136" t="e">
        <f>VLOOKUP($B869,#REF!,MATCH(F$2,#REF!,0),0)</f>
        <v>#REF!</v>
      </c>
      <c r="G869" s="137" t="e">
        <f>VLOOKUP($B869,#REF!,MATCH(G$2,#REF!,0),0)</f>
        <v>#REF!</v>
      </c>
      <c r="H869" s="48"/>
      <c r="I869" s="48"/>
      <c r="J869" s="48"/>
      <c r="K869" s="48"/>
      <c r="L869" s="48"/>
      <c r="M869" s="48"/>
      <c r="N869" s="48"/>
      <c r="O869" s="48"/>
      <c r="P869" s="48"/>
      <c r="Q869" s="48"/>
      <c r="R869" s="371" t="e">
        <f t="shared" ref="R869:AA869" si="785">$G869*H869</f>
        <v>#REF!</v>
      </c>
      <c r="S869" s="371" t="e">
        <f t="shared" si="785"/>
        <v>#REF!</v>
      </c>
      <c r="T869" s="371" t="e">
        <f t="shared" si="785"/>
        <v>#REF!</v>
      </c>
      <c r="U869" s="371" t="e">
        <f t="shared" si="785"/>
        <v>#REF!</v>
      </c>
      <c r="V869" s="371" t="e">
        <f t="shared" si="785"/>
        <v>#REF!</v>
      </c>
      <c r="W869" s="371" t="e">
        <f t="shared" si="785"/>
        <v>#REF!</v>
      </c>
      <c r="X869" s="371" t="e">
        <f t="shared" si="785"/>
        <v>#REF!</v>
      </c>
      <c r="Y869" s="371" t="e">
        <f t="shared" si="785"/>
        <v>#REF!</v>
      </c>
      <c r="Z869" s="371" t="e">
        <f t="shared" si="785"/>
        <v>#REF!</v>
      </c>
      <c r="AA869" s="371" t="e">
        <f t="shared" si="785"/>
        <v>#REF!</v>
      </c>
      <c r="AB869" s="50"/>
    </row>
    <row r="870" ht="28.8" outlineLevel="2" spans="1:28">
      <c r="A870" s="52">
        <f>MAX($A$6:A869)+1</f>
        <v>727</v>
      </c>
      <c r="B870" s="51" t="s">
        <v>762</v>
      </c>
      <c r="C870" s="51" t="e">
        <f>VLOOKUP($B870,#REF!,MATCH(C$2,#REF!,0),0)</f>
        <v>#REF!</v>
      </c>
      <c r="D870" s="136"/>
      <c r="E870" s="136"/>
      <c r="F870" s="136" t="e">
        <f>VLOOKUP($B870,#REF!,MATCH(F$2,#REF!,0),0)</f>
        <v>#REF!</v>
      </c>
      <c r="G870" s="137" t="e">
        <f>VLOOKUP($B870,#REF!,MATCH(G$2,#REF!,0),0)</f>
        <v>#REF!</v>
      </c>
      <c r="H870" s="48">
        <v>5877.82941350776</v>
      </c>
      <c r="I870" s="48">
        <v>5877.04987834062</v>
      </c>
      <c r="J870" s="48">
        <v>3194.97696502594</v>
      </c>
      <c r="K870" s="48">
        <v>1597.48848251297</v>
      </c>
      <c r="L870" s="48">
        <v>1063.03363601453</v>
      </c>
      <c r="M870" s="48">
        <v>0.447383608319959</v>
      </c>
      <c r="N870" s="48">
        <v>0.387326835678695</v>
      </c>
      <c r="O870" s="48">
        <v>0.447383608319959</v>
      </c>
      <c r="P870" s="48"/>
      <c r="Q870" s="48"/>
      <c r="R870" s="371" t="e">
        <f t="shared" ref="R870:R881" si="786">$G870*H870</f>
        <v>#REF!</v>
      </c>
      <c r="S870" s="371" t="e">
        <f t="shared" ref="S870:S881" si="787">$G870*I870</f>
        <v>#REF!</v>
      </c>
      <c r="T870" s="371" t="e">
        <f t="shared" ref="T870:T881" si="788">$G870*J870</f>
        <v>#REF!</v>
      </c>
      <c r="U870" s="371" t="e">
        <f t="shared" ref="U870:U881" si="789">$G870*K870</f>
        <v>#REF!</v>
      </c>
      <c r="V870" s="371" t="e">
        <f t="shared" ref="V870:V881" si="790">$G870*L870</f>
        <v>#REF!</v>
      </c>
      <c r="W870" s="371" t="e">
        <f t="shared" ref="W870:W881" si="791">$G870*M870</f>
        <v>#REF!</v>
      </c>
      <c r="X870" s="371" t="e">
        <f t="shared" ref="X870:X881" si="792">$G870*N870</f>
        <v>#REF!</v>
      </c>
      <c r="Y870" s="371" t="e">
        <f t="shared" ref="Y870:Y881" si="793">$G870*O870</f>
        <v>#REF!</v>
      </c>
      <c r="Z870" s="371" t="e">
        <f t="shared" ref="Z870:Z881" si="794">$G870*P870</f>
        <v>#REF!</v>
      </c>
      <c r="AA870" s="371" t="e">
        <f t="shared" ref="AA870:AA881" si="795">$G870*Q870</f>
        <v>#REF!</v>
      </c>
      <c r="AB870" s="50"/>
    </row>
    <row r="871" ht="28.8" outlineLevel="2" spans="1:28">
      <c r="A871" s="52">
        <f>MAX($A$6:A870)+1</f>
        <v>728</v>
      </c>
      <c r="B871" s="51" t="s">
        <v>763</v>
      </c>
      <c r="C871" s="51" t="e">
        <f>VLOOKUP($B871,#REF!,MATCH(C$2,#REF!,0),0)</f>
        <v>#REF!</v>
      </c>
      <c r="D871" s="136"/>
      <c r="E871" s="136"/>
      <c r="F871" s="136" t="e">
        <f>VLOOKUP($B871,#REF!,MATCH(F$2,#REF!,0),0)</f>
        <v>#REF!</v>
      </c>
      <c r="G871" s="137" t="e">
        <f>VLOOKUP($B871,#REF!,MATCH(G$2,#REF!,0),0)</f>
        <v>#REF!</v>
      </c>
      <c r="H871" s="48" t="e">
        <f>H765*1183.61978751305</f>
        <v>#REF!</v>
      </c>
      <c r="I871" s="48" t="e">
        <f>$I$765*1183.61978751305</f>
        <v>#REF!</v>
      </c>
      <c r="J871" s="48" t="e">
        <f>$J$765*1237.59473252188</f>
        <v>#REF!</v>
      </c>
      <c r="K871" s="48" t="e">
        <f>$K$765*2013.81072289183</f>
        <v>#REF!</v>
      </c>
      <c r="L871" s="48" t="e">
        <f>$L$765*2013.81072289183</f>
        <v>#REF!</v>
      </c>
      <c r="M871" s="48" t="e">
        <f>$M$765*1</f>
        <v>#REF!</v>
      </c>
      <c r="N871" s="48" t="e">
        <f>$N$765*1</f>
        <v>#REF!</v>
      </c>
      <c r="O871" s="48" t="e">
        <f>$O$765*1</f>
        <v>#REF!</v>
      </c>
      <c r="P871" s="48"/>
      <c r="Q871" s="48"/>
      <c r="R871" s="371" t="e">
        <f t="shared" si="786"/>
        <v>#REF!</v>
      </c>
      <c r="S871" s="371" t="e">
        <f t="shared" si="787"/>
        <v>#REF!</v>
      </c>
      <c r="T871" s="371" t="e">
        <f t="shared" si="788"/>
        <v>#REF!</v>
      </c>
      <c r="U871" s="371" t="e">
        <f t="shared" si="789"/>
        <v>#REF!</v>
      </c>
      <c r="V871" s="371" t="e">
        <f t="shared" si="790"/>
        <v>#REF!</v>
      </c>
      <c r="W871" s="371" t="e">
        <f t="shared" si="791"/>
        <v>#REF!</v>
      </c>
      <c r="X871" s="371" t="e">
        <f t="shared" si="792"/>
        <v>#REF!</v>
      </c>
      <c r="Y871" s="371" t="e">
        <f t="shared" si="793"/>
        <v>#REF!</v>
      </c>
      <c r="Z871" s="371" t="e">
        <f t="shared" si="794"/>
        <v>#REF!</v>
      </c>
      <c r="AA871" s="371" t="e">
        <f t="shared" si="795"/>
        <v>#REF!</v>
      </c>
      <c r="AB871" s="50"/>
    </row>
    <row r="872" ht="28.8" outlineLevel="2" spans="1:28">
      <c r="A872" s="52">
        <f>MAX($A$6:A871)+1</f>
        <v>729</v>
      </c>
      <c r="B872" s="51" t="s">
        <v>764</v>
      </c>
      <c r="C872" s="51" t="e">
        <f>VLOOKUP($B872,#REF!,MATCH(C$2,#REF!,0),0)</f>
        <v>#REF!</v>
      </c>
      <c r="D872" s="136"/>
      <c r="E872" s="136"/>
      <c r="F872" s="136" t="e">
        <f>VLOOKUP($B872,#REF!,MATCH(F$2,#REF!,0),0)</f>
        <v>#REF!</v>
      </c>
      <c r="G872" s="137" t="e">
        <f>VLOOKUP($B872,#REF!,MATCH(G$2,#REF!,0),0)</f>
        <v>#REF!</v>
      </c>
      <c r="H872" s="48" t="e">
        <f>H765*1</f>
        <v>#REF!</v>
      </c>
      <c r="I872" s="48" t="e">
        <f>$I$765*1</f>
        <v>#REF!</v>
      </c>
      <c r="J872" s="48" t="e">
        <f>$J$765*1</f>
        <v>#REF!</v>
      </c>
      <c r="K872" s="48" t="e">
        <f>$K$765*1</f>
        <v>#REF!</v>
      </c>
      <c r="L872" s="48" t="e">
        <f>$L$765*1</f>
        <v>#REF!</v>
      </c>
      <c r="M872" s="48" t="e">
        <f>$M$765*1112.33350326329</f>
        <v>#REF!</v>
      </c>
      <c r="N872" s="48" t="e">
        <f>$N$765*2569.61</f>
        <v>#REF!</v>
      </c>
      <c r="O872" s="48" t="e">
        <f>$O$765*1112.33350326329</f>
        <v>#REF!</v>
      </c>
      <c r="P872" s="48"/>
      <c r="Q872" s="48"/>
      <c r="R872" s="371" t="e">
        <f t="shared" si="786"/>
        <v>#REF!</v>
      </c>
      <c r="S872" s="371" t="e">
        <f t="shared" si="787"/>
        <v>#REF!</v>
      </c>
      <c r="T872" s="371" t="e">
        <f t="shared" si="788"/>
        <v>#REF!</v>
      </c>
      <c r="U872" s="371" t="e">
        <f t="shared" si="789"/>
        <v>#REF!</v>
      </c>
      <c r="V872" s="371" t="e">
        <f t="shared" si="790"/>
        <v>#REF!</v>
      </c>
      <c r="W872" s="371" t="e">
        <f t="shared" si="791"/>
        <v>#REF!</v>
      </c>
      <c r="X872" s="371" t="e">
        <f t="shared" si="792"/>
        <v>#REF!</v>
      </c>
      <c r="Y872" s="371" t="e">
        <f t="shared" si="793"/>
        <v>#REF!</v>
      </c>
      <c r="Z872" s="371" t="e">
        <f t="shared" si="794"/>
        <v>#REF!</v>
      </c>
      <c r="AA872" s="371" t="e">
        <f t="shared" si="795"/>
        <v>#REF!</v>
      </c>
      <c r="AB872" s="50"/>
    </row>
    <row r="873" ht="28.8" outlineLevel="2" spans="1:28">
      <c r="A873" s="52">
        <f>MAX($A$6:A872)+1</f>
        <v>730</v>
      </c>
      <c r="B873" s="51" t="s">
        <v>765</v>
      </c>
      <c r="C873" s="51" t="e">
        <f>VLOOKUP($B873,#REF!,MATCH(C$2,#REF!,0),0)</f>
        <v>#REF!</v>
      </c>
      <c r="D873" s="136"/>
      <c r="E873" s="136"/>
      <c r="F873" s="136" t="e">
        <f>VLOOKUP($B873,#REF!,MATCH(F$2,#REF!,0),0)</f>
        <v>#REF!</v>
      </c>
      <c r="G873" s="137" t="e">
        <f>VLOOKUP($B873,#REF!,MATCH(G$2,#REF!,0),0)</f>
        <v>#REF!</v>
      </c>
      <c r="H873" s="48" t="e">
        <f>H765*95.813128332378</f>
        <v>#REF!</v>
      </c>
      <c r="I873" s="48" t="e">
        <f>$I$765*95.813128332378</f>
        <v>#REF!</v>
      </c>
      <c r="J873" s="48" t="e">
        <f>$J$765*148.71946321722</f>
        <v>#REF!</v>
      </c>
      <c r="K873" s="48" t="e">
        <f>$K$765*483.99179773377</f>
        <v>#REF!</v>
      </c>
      <c r="L873" s="48" t="e">
        <f>$L$765*483.99179773377</f>
        <v>#REF!</v>
      </c>
      <c r="M873" s="48" t="e">
        <f>$M$765*1</f>
        <v>#REF!</v>
      </c>
      <c r="N873" s="48" t="e">
        <f>$N$765*1</f>
        <v>#REF!</v>
      </c>
      <c r="O873" s="48" t="e">
        <f>$O$765*1</f>
        <v>#REF!</v>
      </c>
      <c r="P873" s="48"/>
      <c r="Q873" s="48"/>
      <c r="R873" s="371" t="e">
        <f t="shared" si="786"/>
        <v>#REF!</v>
      </c>
      <c r="S873" s="371" t="e">
        <f t="shared" si="787"/>
        <v>#REF!</v>
      </c>
      <c r="T873" s="371" t="e">
        <f t="shared" si="788"/>
        <v>#REF!</v>
      </c>
      <c r="U873" s="371" t="e">
        <f t="shared" si="789"/>
        <v>#REF!</v>
      </c>
      <c r="V873" s="371" t="e">
        <f t="shared" si="790"/>
        <v>#REF!</v>
      </c>
      <c r="W873" s="371" t="e">
        <f t="shared" si="791"/>
        <v>#REF!</v>
      </c>
      <c r="X873" s="371" t="e">
        <f t="shared" si="792"/>
        <v>#REF!</v>
      </c>
      <c r="Y873" s="371" t="e">
        <f t="shared" si="793"/>
        <v>#REF!</v>
      </c>
      <c r="Z873" s="371" t="e">
        <f t="shared" si="794"/>
        <v>#REF!</v>
      </c>
      <c r="AA873" s="371" t="e">
        <f t="shared" si="795"/>
        <v>#REF!</v>
      </c>
      <c r="AB873" s="50"/>
    </row>
    <row r="874" ht="28.8" outlineLevel="2" spans="1:28">
      <c r="A874" s="52">
        <f>MAX($A$6:A873)+1</f>
        <v>731</v>
      </c>
      <c r="B874" s="51" t="s">
        <v>766</v>
      </c>
      <c r="C874" s="51" t="e">
        <f>VLOOKUP($B874,#REF!,MATCH(C$2,#REF!,0),0)</f>
        <v>#REF!</v>
      </c>
      <c r="D874" s="136"/>
      <c r="E874" s="136"/>
      <c r="F874" s="136" t="e">
        <f>VLOOKUP($B874,#REF!,MATCH(F$2,#REF!,0),0)</f>
        <v>#REF!</v>
      </c>
      <c r="G874" s="137" t="e">
        <f>VLOOKUP($B874,#REF!,MATCH(G$2,#REF!,0),0)</f>
        <v>#REF!</v>
      </c>
      <c r="H874" s="48" t="e">
        <f>H765*1</f>
        <v>#REF!</v>
      </c>
      <c r="I874" s="48" t="e">
        <f>$I$765*1</f>
        <v>#REF!</v>
      </c>
      <c r="J874" s="48" t="e">
        <f>$J$765*1</f>
        <v>#REF!</v>
      </c>
      <c r="K874" s="48" t="e">
        <f>$K$765*1</f>
        <v>#REF!</v>
      </c>
      <c r="L874" s="48" t="e">
        <f>$L$765*1</f>
        <v>#REF!</v>
      </c>
      <c r="M874" s="48" t="e">
        <f>$M$765*120.752392072588</f>
        <v>#REF!</v>
      </c>
      <c r="N874" s="48" t="e">
        <f>$N$765*139.48</f>
        <v>#REF!</v>
      </c>
      <c r="O874" s="48" t="e">
        <f>$O$765*120.752392072588</f>
        <v>#REF!</v>
      </c>
      <c r="P874" s="48"/>
      <c r="Q874" s="48"/>
      <c r="R874" s="371" t="e">
        <f t="shared" si="786"/>
        <v>#REF!</v>
      </c>
      <c r="S874" s="371" t="e">
        <f t="shared" si="787"/>
        <v>#REF!</v>
      </c>
      <c r="T874" s="371" t="e">
        <f t="shared" si="788"/>
        <v>#REF!</v>
      </c>
      <c r="U874" s="371" t="e">
        <f t="shared" si="789"/>
        <v>#REF!</v>
      </c>
      <c r="V874" s="371" t="e">
        <f t="shared" si="790"/>
        <v>#REF!</v>
      </c>
      <c r="W874" s="371" t="e">
        <f t="shared" si="791"/>
        <v>#REF!</v>
      </c>
      <c r="X874" s="371" t="e">
        <f t="shared" si="792"/>
        <v>#REF!</v>
      </c>
      <c r="Y874" s="371" t="e">
        <f t="shared" si="793"/>
        <v>#REF!</v>
      </c>
      <c r="Z874" s="371" t="e">
        <f t="shared" si="794"/>
        <v>#REF!</v>
      </c>
      <c r="AA874" s="371" t="e">
        <f t="shared" si="795"/>
        <v>#REF!</v>
      </c>
      <c r="AB874" s="50"/>
    </row>
    <row r="875" ht="28.8" outlineLevel="2" spans="1:28">
      <c r="A875" s="52">
        <f>MAX($A$6:A874)+1</f>
        <v>732</v>
      </c>
      <c r="B875" s="51" t="s">
        <v>767</v>
      </c>
      <c r="C875" s="51" t="e">
        <f>VLOOKUP($B875,#REF!,MATCH(C$2,#REF!,0),0)</f>
        <v>#REF!</v>
      </c>
      <c r="D875" s="136"/>
      <c r="E875" s="136"/>
      <c r="F875" s="136" t="e">
        <f>VLOOKUP($B875,#REF!,MATCH(F$2,#REF!,0),0)</f>
        <v>#REF!</v>
      </c>
      <c r="G875" s="137" t="e">
        <f>VLOOKUP($B875,#REF!,MATCH(G$2,#REF!,0),0)</f>
        <v>#REF!</v>
      </c>
      <c r="H875" s="48" t="e">
        <f>H765*1</f>
        <v>#REF!</v>
      </c>
      <c r="I875" s="48" t="e">
        <f>$I$765*1</f>
        <v>#REF!</v>
      </c>
      <c r="J875" s="48" t="e">
        <f>$J$765*1</f>
        <v>#REF!</v>
      </c>
      <c r="K875" s="48" t="e">
        <f>$K$765*6233.77461549126</f>
        <v>#REF!</v>
      </c>
      <c r="L875" s="48" t="e">
        <f>$L$765*6233.77461549126</f>
        <v>#REF!</v>
      </c>
      <c r="M875" s="48" t="e">
        <f>$M$765*1112.33350326329</f>
        <v>#REF!</v>
      </c>
      <c r="N875" s="48" t="e">
        <f>$N$765*1</f>
        <v>#REF!</v>
      </c>
      <c r="O875" s="48" t="e">
        <f>$O$765*1112.33350326329</f>
        <v>#REF!</v>
      </c>
      <c r="P875" s="48"/>
      <c r="Q875" s="48"/>
      <c r="R875" s="371" t="e">
        <f t="shared" si="786"/>
        <v>#REF!</v>
      </c>
      <c r="S875" s="371" t="e">
        <f t="shared" si="787"/>
        <v>#REF!</v>
      </c>
      <c r="T875" s="371" t="e">
        <f t="shared" si="788"/>
        <v>#REF!</v>
      </c>
      <c r="U875" s="371" t="e">
        <f t="shared" si="789"/>
        <v>#REF!</v>
      </c>
      <c r="V875" s="371" t="e">
        <f t="shared" si="790"/>
        <v>#REF!</v>
      </c>
      <c r="W875" s="371" t="e">
        <f t="shared" si="791"/>
        <v>#REF!</v>
      </c>
      <c r="X875" s="371" t="e">
        <f t="shared" si="792"/>
        <v>#REF!</v>
      </c>
      <c r="Y875" s="371" t="e">
        <f t="shared" si="793"/>
        <v>#REF!</v>
      </c>
      <c r="Z875" s="371" t="e">
        <f t="shared" si="794"/>
        <v>#REF!</v>
      </c>
      <c r="AA875" s="371" t="e">
        <f t="shared" si="795"/>
        <v>#REF!</v>
      </c>
      <c r="AB875" s="50"/>
    </row>
    <row r="876" ht="28.8" outlineLevel="2" spans="1:28">
      <c r="A876" s="52">
        <f>MAX($A$6:A875)+1</f>
        <v>733</v>
      </c>
      <c r="B876" s="51" t="s">
        <v>768</v>
      </c>
      <c r="C876" s="51" t="e">
        <f>VLOOKUP($B876,#REF!,MATCH(C$2,#REF!,0),0)</f>
        <v>#REF!</v>
      </c>
      <c r="D876" s="136"/>
      <c r="E876" s="136"/>
      <c r="F876" s="136" t="e">
        <f>VLOOKUP($B876,#REF!,MATCH(F$2,#REF!,0),0)</f>
        <v>#REF!</v>
      </c>
      <c r="G876" s="137" t="e">
        <f>VLOOKUP($B876,#REF!,MATCH(G$2,#REF!,0),0)</f>
        <v>#REF!</v>
      </c>
      <c r="H876" s="48" t="e">
        <f>H765*1</f>
        <v>#REF!</v>
      </c>
      <c r="I876" s="48" t="e">
        <f>$I$765*1</f>
        <v>#REF!</v>
      </c>
      <c r="J876" s="48" t="e">
        <f>$J$765*1</f>
        <v>#REF!</v>
      </c>
      <c r="K876" s="48" t="e">
        <f>$K$765*1</f>
        <v>#REF!</v>
      </c>
      <c r="L876" s="48" t="e">
        <f>$L$765*1</f>
        <v>#REF!</v>
      </c>
      <c r="M876" s="48" t="e">
        <f>$M$765*1</f>
        <v>#REF!</v>
      </c>
      <c r="N876" s="48" t="e">
        <f>$N$765*1</f>
        <v>#REF!</v>
      </c>
      <c r="O876" s="48" t="e">
        <f>$O$765*1</f>
        <v>#REF!</v>
      </c>
      <c r="P876" s="48"/>
      <c r="Q876" s="48"/>
      <c r="R876" s="371" t="e">
        <f t="shared" si="786"/>
        <v>#REF!</v>
      </c>
      <c r="S876" s="371" t="e">
        <f t="shared" si="787"/>
        <v>#REF!</v>
      </c>
      <c r="T876" s="371" t="e">
        <f t="shared" si="788"/>
        <v>#REF!</v>
      </c>
      <c r="U876" s="371" t="e">
        <f t="shared" si="789"/>
        <v>#REF!</v>
      </c>
      <c r="V876" s="371" t="e">
        <f t="shared" si="790"/>
        <v>#REF!</v>
      </c>
      <c r="W876" s="371" t="e">
        <f t="shared" si="791"/>
        <v>#REF!</v>
      </c>
      <c r="X876" s="371" t="e">
        <f t="shared" si="792"/>
        <v>#REF!</v>
      </c>
      <c r="Y876" s="371" t="e">
        <f t="shared" si="793"/>
        <v>#REF!</v>
      </c>
      <c r="Z876" s="371" t="e">
        <f t="shared" si="794"/>
        <v>#REF!</v>
      </c>
      <c r="AA876" s="371" t="e">
        <f t="shared" si="795"/>
        <v>#REF!</v>
      </c>
      <c r="AB876" s="50"/>
    </row>
    <row r="877" ht="28.8" outlineLevel="2" spans="1:28">
      <c r="A877" s="52">
        <f>MAX($A$6:A876)+1</f>
        <v>734</v>
      </c>
      <c r="B877" s="51" t="s">
        <v>769</v>
      </c>
      <c r="C877" s="51" t="e">
        <f>VLOOKUP($B877,#REF!,MATCH(C$2,#REF!,0),0)</f>
        <v>#REF!</v>
      </c>
      <c r="D877" s="136"/>
      <c r="E877" s="136"/>
      <c r="F877" s="136" t="e">
        <f>VLOOKUP($B877,#REF!,MATCH(F$2,#REF!,0),0)</f>
        <v>#REF!</v>
      </c>
      <c r="G877" s="137" t="e">
        <f>VLOOKUP($B877,#REF!,MATCH(G$2,#REF!,0),0)</f>
        <v>#REF!</v>
      </c>
      <c r="H877" s="48" t="e">
        <f>H765*1</f>
        <v>#REF!</v>
      </c>
      <c r="I877" s="48" t="e">
        <f>$I$765*1</f>
        <v>#REF!</v>
      </c>
      <c r="J877" s="48" t="e">
        <f>$J$765*1</f>
        <v>#REF!</v>
      </c>
      <c r="K877" s="48" t="e">
        <f>$K$765*1</f>
        <v>#REF!</v>
      </c>
      <c r="L877" s="48" t="e">
        <f>$L$765*1</f>
        <v>#REF!</v>
      </c>
      <c r="M877" s="48" t="e">
        <f>$M$765*1</f>
        <v>#REF!</v>
      </c>
      <c r="N877" s="48" t="e">
        <f>$N$765*1</f>
        <v>#REF!</v>
      </c>
      <c r="O877" s="48" t="e">
        <f>$O$765*1</f>
        <v>#REF!</v>
      </c>
      <c r="P877" s="48"/>
      <c r="Q877" s="48"/>
      <c r="R877" s="371" t="e">
        <f t="shared" si="786"/>
        <v>#REF!</v>
      </c>
      <c r="S877" s="371" t="e">
        <f t="shared" si="787"/>
        <v>#REF!</v>
      </c>
      <c r="T877" s="371" t="e">
        <f t="shared" si="788"/>
        <v>#REF!</v>
      </c>
      <c r="U877" s="371" t="e">
        <f t="shared" si="789"/>
        <v>#REF!</v>
      </c>
      <c r="V877" s="371" t="e">
        <f t="shared" si="790"/>
        <v>#REF!</v>
      </c>
      <c r="W877" s="371" t="e">
        <f t="shared" si="791"/>
        <v>#REF!</v>
      </c>
      <c r="X877" s="371" t="e">
        <f t="shared" si="792"/>
        <v>#REF!</v>
      </c>
      <c r="Y877" s="371" t="e">
        <f t="shared" si="793"/>
        <v>#REF!</v>
      </c>
      <c r="Z877" s="371" t="e">
        <f t="shared" si="794"/>
        <v>#REF!</v>
      </c>
      <c r="AA877" s="371" t="e">
        <f t="shared" si="795"/>
        <v>#REF!</v>
      </c>
      <c r="AB877" s="50"/>
    </row>
    <row r="878" ht="28.8" outlineLevel="2" spans="1:28">
      <c r="A878" s="52">
        <f>MAX($A$6:A877)+1</f>
        <v>735</v>
      </c>
      <c r="B878" s="51" t="s">
        <v>770</v>
      </c>
      <c r="C878" s="51" t="e">
        <f>VLOOKUP($B878,#REF!,MATCH(C$2,#REF!,0),0)</f>
        <v>#REF!</v>
      </c>
      <c r="D878" s="136"/>
      <c r="E878" s="136"/>
      <c r="F878" s="136" t="e">
        <f>VLOOKUP($B878,#REF!,MATCH(F$2,#REF!,0),0)</f>
        <v>#REF!</v>
      </c>
      <c r="G878" s="137" t="e">
        <f>VLOOKUP($B878,#REF!,MATCH(G$2,#REF!,0),0)</f>
        <v>#REF!</v>
      </c>
      <c r="H878" s="48" t="e">
        <f>H765*1</f>
        <v>#REF!</v>
      </c>
      <c r="I878" s="48" t="e">
        <f>$I$765*1</f>
        <v>#REF!</v>
      </c>
      <c r="J878" s="48" t="e">
        <f>$J$765*1</f>
        <v>#REF!</v>
      </c>
      <c r="K878" s="48" t="e">
        <f>$K$765*1</f>
        <v>#REF!</v>
      </c>
      <c r="L878" s="48" t="e">
        <f>$L$765*1</f>
        <v>#REF!</v>
      </c>
      <c r="M878" s="48" t="e">
        <f>$M$765*1</f>
        <v>#REF!</v>
      </c>
      <c r="N878" s="48" t="e">
        <f>$N$765*1</f>
        <v>#REF!</v>
      </c>
      <c r="O878" s="48" t="e">
        <f>$O$765*1</f>
        <v>#REF!</v>
      </c>
      <c r="P878" s="48"/>
      <c r="Q878" s="48"/>
      <c r="R878" s="371" t="e">
        <f t="shared" si="786"/>
        <v>#REF!</v>
      </c>
      <c r="S878" s="371" t="e">
        <f t="shared" si="787"/>
        <v>#REF!</v>
      </c>
      <c r="T878" s="371" t="e">
        <f t="shared" si="788"/>
        <v>#REF!</v>
      </c>
      <c r="U878" s="371" t="e">
        <f t="shared" si="789"/>
        <v>#REF!</v>
      </c>
      <c r="V878" s="371" t="e">
        <f t="shared" si="790"/>
        <v>#REF!</v>
      </c>
      <c r="W878" s="371" t="e">
        <f t="shared" si="791"/>
        <v>#REF!</v>
      </c>
      <c r="X878" s="371" t="e">
        <f t="shared" si="792"/>
        <v>#REF!</v>
      </c>
      <c r="Y878" s="371" t="e">
        <f t="shared" si="793"/>
        <v>#REF!</v>
      </c>
      <c r="Z878" s="371" t="e">
        <f t="shared" si="794"/>
        <v>#REF!</v>
      </c>
      <c r="AA878" s="371" t="e">
        <f t="shared" si="795"/>
        <v>#REF!</v>
      </c>
      <c r="AB878" s="50"/>
    </row>
    <row r="879" outlineLevel="2" spans="1:28">
      <c r="A879" s="52">
        <f>MAX($A$6:A878)+1</f>
        <v>736</v>
      </c>
      <c r="B879" s="51" t="s">
        <v>771</v>
      </c>
      <c r="C879" s="51" t="e">
        <f>VLOOKUP($B879,#REF!,MATCH(C$2,#REF!,0),0)</f>
        <v>#REF!</v>
      </c>
      <c r="D879" s="136"/>
      <c r="E879" s="136"/>
      <c r="F879" s="136" t="e">
        <f>VLOOKUP($B879,#REF!,MATCH(F$2,#REF!,0),0)</f>
        <v>#REF!</v>
      </c>
      <c r="G879" s="137" t="e">
        <f>VLOOKUP($B879,#REF!,MATCH(G$2,#REF!,0),0)</f>
        <v>#REF!</v>
      </c>
      <c r="H879" s="48"/>
      <c r="I879" s="48"/>
      <c r="J879" s="48"/>
      <c r="K879" s="48"/>
      <c r="L879" s="48"/>
      <c r="M879" s="48"/>
      <c r="N879" s="48"/>
      <c r="O879" s="48"/>
      <c r="P879" s="48"/>
      <c r="Q879" s="48"/>
      <c r="R879" s="371" t="e">
        <f t="shared" si="786"/>
        <v>#REF!</v>
      </c>
      <c r="S879" s="371" t="e">
        <f t="shared" si="787"/>
        <v>#REF!</v>
      </c>
      <c r="T879" s="371" t="e">
        <f t="shared" si="788"/>
        <v>#REF!</v>
      </c>
      <c r="U879" s="371" t="e">
        <f t="shared" si="789"/>
        <v>#REF!</v>
      </c>
      <c r="V879" s="371" t="e">
        <f t="shared" si="790"/>
        <v>#REF!</v>
      </c>
      <c r="W879" s="371" t="e">
        <f t="shared" si="791"/>
        <v>#REF!</v>
      </c>
      <c r="X879" s="371" t="e">
        <f t="shared" si="792"/>
        <v>#REF!</v>
      </c>
      <c r="Y879" s="371" t="e">
        <f t="shared" si="793"/>
        <v>#REF!</v>
      </c>
      <c r="Z879" s="371" t="e">
        <f t="shared" si="794"/>
        <v>#REF!</v>
      </c>
      <c r="AA879" s="371" t="e">
        <f t="shared" si="795"/>
        <v>#REF!</v>
      </c>
      <c r="AB879" s="50"/>
    </row>
    <row r="880" outlineLevel="2" spans="1:28">
      <c r="A880" s="52">
        <f>MAX($A$6:A879)+1</f>
        <v>737</v>
      </c>
      <c r="B880" s="51" t="s">
        <v>772</v>
      </c>
      <c r="C880" s="51" t="e">
        <f>VLOOKUP($B880,#REF!,MATCH(C$2,#REF!,0),0)</f>
        <v>#REF!</v>
      </c>
      <c r="D880" s="136"/>
      <c r="E880" s="136"/>
      <c r="F880" s="136" t="e">
        <f>VLOOKUP($B880,#REF!,MATCH(F$2,#REF!,0),0)</f>
        <v>#REF!</v>
      </c>
      <c r="G880" s="137" t="e">
        <f>VLOOKUP($B880,#REF!,MATCH(G$2,#REF!,0),0)</f>
        <v>#REF!</v>
      </c>
      <c r="H880" s="48"/>
      <c r="I880" s="48"/>
      <c r="J880" s="48"/>
      <c r="K880" s="48"/>
      <c r="L880" s="48"/>
      <c r="M880" s="48"/>
      <c r="N880" s="48"/>
      <c r="O880" s="48"/>
      <c r="P880" s="48"/>
      <c r="Q880" s="48"/>
      <c r="R880" s="371" t="e">
        <f t="shared" si="786"/>
        <v>#REF!</v>
      </c>
      <c r="S880" s="371" t="e">
        <f t="shared" si="787"/>
        <v>#REF!</v>
      </c>
      <c r="T880" s="371" t="e">
        <f t="shared" si="788"/>
        <v>#REF!</v>
      </c>
      <c r="U880" s="371" t="e">
        <f t="shared" si="789"/>
        <v>#REF!</v>
      </c>
      <c r="V880" s="371" t="e">
        <f t="shared" si="790"/>
        <v>#REF!</v>
      </c>
      <c r="W880" s="371" t="e">
        <f t="shared" si="791"/>
        <v>#REF!</v>
      </c>
      <c r="X880" s="371" t="e">
        <f t="shared" si="792"/>
        <v>#REF!</v>
      </c>
      <c r="Y880" s="371" t="e">
        <f t="shared" si="793"/>
        <v>#REF!</v>
      </c>
      <c r="Z880" s="371" t="e">
        <f t="shared" si="794"/>
        <v>#REF!</v>
      </c>
      <c r="AA880" s="371" t="e">
        <f t="shared" si="795"/>
        <v>#REF!</v>
      </c>
      <c r="AB880" s="50"/>
    </row>
    <row r="881" outlineLevel="2" spans="1:28">
      <c r="A881" s="52">
        <f>MAX($A$6:A880)+1</f>
        <v>738</v>
      </c>
      <c r="B881" s="51" t="s">
        <v>773</v>
      </c>
      <c r="C881" s="51" t="e">
        <f>VLOOKUP($B881,#REF!,MATCH(C$2,#REF!,0),0)</f>
        <v>#REF!</v>
      </c>
      <c r="D881" s="136"/>
      <c r="E881" s="136"/>
      <c r="F881" s="136" t="e">
        <f>VLOOKUP($B881,#REF!,MATCH(F$2,#REF!,0),0)</f>
        <v>#REF!</v>
      </c>
      <c r="G881" s="137" t="e">
        <f>VLOOKUP($B881,#REF!,MATCH(G$2,#REF!,0),0)</f>
        <v>#REF!</v>
      </c>
      <c r="H881" s="48"/>
      <c r="I881" s="48"/>
      <c r="J881" s="48"/>
      <c r="K881" s="48" t="e">
        <f>$K$765*1</f>
        <v>#REF!</v>
      </c>
      <c r="L881" s="48" t="e">
        <f>$L$765*1</f>
        <v>#REF!</v>
      </c>
      <c r="M881" s="48" t="e">
        <f>$M$765*1</f>
        <v>#REF!</v>
      </c>
      <c r="N881" s="48"/>
      <c r="O881" s="48" t="e">
        <f>$O$765*1</f>
        <v>#REF!</v>
      </c>
      <c r="P881" s="48"/>
      <c r="Q881" s="48"/>
      <c r="R881" s="371" t="e">
        <f t="shared" si="786"/>
        <v>#REF!</v>
      </c>
      <c r="S881" s="371" t="e">
        <f t="shared" si="787"/>
        <v>#REF!</v>
      </c>
      <c r="T881" s="371" t="e">
        <f t="shared" si="788"/>
        <v>#REF!</v>
      </c>
      <c r="U881" s="371" t="e">
        <f t="shared" si="789"/>
        <v>#REF!</v>
      </c>
      <c r="V881" s="371" t="e">
        <f t="shared" si="790"/>
        <v>#REF!</v>
      </c>
      <c r="W881" s="371" t="e">
        <f t="shared" si="791"/>
        <v>#REF!</v>
      </c>
      <c r="X881" s="371" t="e">
        <f t="shared" si="792"/>
        <v>#REF!</v>
      </c>
      <c r="Y881" s="371" t="e">
        <f t="shared" si="793"/>
        <v>#REF!</v>
      </c>
      <c r="Z881" s="371" t="e">
        <f t="shared" si="794"/>
        <v>#REF!</v>
      </c>
      <c r="AA881" s="371" t="e">
        <f t="shared" si="795"/>
        <v>#REF!</v>
      </c>
      <c r="AB881" s="50"/>
    </row>
    <row r="882" s="122" customFormat="1" outlineLevel="2" spans="1:28">
      <c r="A882" s="130"/>
      <c r="B882" s="154" t="s">
        <v>774</v>
      </c>
      <c r="C882" s="154"/>
      <c r="D882" s="154"/>
      <c r="E882" s="154"/>
      <c r="F882" s="130"/>
      <c r="G882" s="134"/>
      <c r="H882" s="134"/>
      <c r="I882" s="134"/>
      <c r="J882" s="134"/>
      <c r="K882" s="134"/>
      <c r="L882" s="134"/>
      <c r="M882" s="134"/>
      <c r="N882" s="134"/>
      <c r="O882" s="134"/>
      <c r="P882" s="134"/>
      <c r="Q882" s="134"/>
      <c r="R882" s="367"/>
      <c r="S882" s="367"/>
      <c r="T882" s="367"/>
      <c r="U882" s="367"/>
      <c r="V882" s="371"/>
      <c r="W882" s="367"/>
      <c r="X882" s="367"/>
      <c r="Y882" s="367"/>
      <c r="Z882" s="367"/>
      <c r="AA882" s="367"/>
      <c r="AB882" s="130"/>
    </row>
    <row r="883" ht="28.8" outlineLevel="2" spans="1:28">
      <c r="A883" s="52">
        <f>MAX($A$6:A882)+1</f>
        <v>739</v>
      </c>
      <c r="B883" s="51" t="s">
        <v>775</v>
      </c>
      <c r="C883" s="51" t="e">
        <f>VLOOKUP($B883,#REF!,MATCH(C$2,#REF!,0),0)</f>
        <v>#REF!</v>
      </c>
      <c r="D883" s="136"/>
      <c r="E883" s="136"/>
      <c r="F883" s="136" t="e">
        <f>VLOOKUP($B883,#REF!,MATCH(F$2,#REF!,0),0)</f>
        <v>#REF!</v>
      </c>
      <c r="G883" s="137" t="e">
        <f>VLOOKUP($B883,#REF!,MATCH(G$2,#REF!,0),0)</f>
        <v>#REF!</v>
      </c>
      <c r="H883" s="48" t="e">
        <f>H765*346.359118328373</f>
        <v>#REF!</v>
      </c>
      <c r="I883" s="48" t="e">
        <f>$I$765*346.359118328373</f>
        <v>#REF!</v>
      </c>
      <c r="J883" s="48" t="e">
        <f>$J$765*208.718582956839</f>
        <v>#REF!</v>
      </c>
      <c r="K883" s="48" t="e">
        <f>$K$765*679.252600839328</f>
        <v>#REF!</v>
      </c>
      <c r="L883" s="48" t="e">
        <f>$L$765*679.252600839328</f>
        <v>#REF!</v>
      </c>
      <c r="M883" s="48" t="e">
        <f>$M$765*1</f>
        <v>#REF!</v>
      </c>
      <c r="N883" s="48" t="e">
        <f>$N$765*1</f>
        <v>#REF!</v>
      </c>
      <c r="O883" s="48" t="e">
        <f>$O$765*1</f>
        <v>#REF!</v>
      </c>
      <c r="P883" s="48"/>
      <c r="Q883" s="48"/>
      <c r="R883" s="371" t="e">
        <f>$G883*H883</f>
        <v>#REF!</v>
      </c>
      <c r="S883" s="371" t="e">
        <f t="shared" ref="S883:AA883" si="796">$G883*I883</f>
        <v>#REF!</v>
      </c>
      <c r="T883" s="371" t="e">
        <f t="shared" si="796"/>
        <v>#REF!</v>
      </c>
      <c r="U883" s="371" t="e">
        <f t="shared" si="796"/>
        <v>#REF!</v>
      </c>
      <c r="V883" s="371" t="e">
        <f t="shared" si="796"/>
        <v>#REF!</v>
      </c>
      <c r="W883" s="371" t="e">
        <f t="shared" si="796"/>
        <v>#REF!</v>
      </c>
      <c r="X883" s="371" t="e">
        <f t="shared" si="796"/>
        <v>#REF!</v>
      </c>
      <c r="Y883" s="371" t="e">
        <f t="shared" si="796"/>
        <v>#REF!</v>
      </c>
      <c r="Z883" s="371" t="e">
        <f t="shared" si="796"/>
        <v>#REF!</v>
      </c>
      <c r="AA883" s="371" t="e">
        <f t="shared" si="796"/>
        <v>#REF!</v>
      </c>
      <c r="AB883" s="50"/>
    </row>
    <row r="884" ht="28.8" outlineLevel="2" spans="1:28">
      <c r="A884" s="52">
        <f>MAX($A$6:A883)+1</f>
        <v>740</v>
      </c>
      <c r="B884" s="51" t="s">
        <v>776</v>
      </c>
      <c r="C884" s="51" t="e">
        <f>VLOOKUP($B884,#REF!,MATCH(C$2,#REF!,0),0)</f>
        <v>#REF!</v>
      </c>
      <c r="D884" s="136"/>
      <c r="E884" s="136"/>
      <c r="F884" s="136" t="e">
        <f>VLOOKUP($B884,#REF!,MATCH(F$2,#REF!,0),0)</f>
        <v>#REF!</v>
      </c>
      <c r="G884" s="137" t="e">
        <f>VLOOKUP($B884,#REF!,MATCH(G$2,#REF!,0),0)</f>
        <v>#REF!</v>
      </c>
      <c r="H884" s="48" t="e">
        <f>H765*697.770149117779</f>
        <v>#REF!</v>
      </c>
      <c r="I884" s="48" t="e">
        <f>$I$765*697.770149117779</f>
        <v>#REF!</v>
      </c>
      <c r="J884" s="48" t="e">
        <f>$J$765*296.281428046416</f>
        <v>#REF!</v>
      </c>
      <c r="K884" s="48" t="e">
        <f>$K$765*964.216639121852</f>
        <v>#REF!</v>
      </c>
      <c r="L884" s="48" t="e">
        <f>$L$765*964.216639121852</f>
        <v>#REF!</v>
      </c>
      <c r="M884" s="48" t="e">
        <f>$M$765*1</f>
        <v>#REF!</v>
      </c>
      <c r="N884" s="48" t="e">
        <f>$N$765*1</f>
        <v>#REF!</v>
      </c>
      <c r="O884" s="48" t="e">
        <f>$O$765*1</f>
        <v>#REF!</v>
      </c>
      <c r="P884" s="48"/>
      <c r="Q884" s="48"/>
      <c r="R884" s="371" t="e">
        <f t="shared" ref="R884:R890" si="797">$G884*H884</f>
        <v>#REF!</v>
      </c>
      <c r="S884" s="371" t="e">
        <f t="shared" ref="S884:S890" si="798">$G884*I884</f>
        <v>#REF!</v>
      </c>
      <c r="T884" s="371" t="e">
        <f t="shared" ref="T884:T890" si="799">$G884*J884</f>
        <v>#REF!</v>
      </c>
      <c r="U884" s="371" t="e">
        <f t="shared" ref="U884:U890" si="800">$G884*K884</f>
        <v>#REF!</v>
      </c>
      <c r="V884" s="371" t="e">
        <f t="shared" ref="V884:V890" si="801">$G884*L884</f>
        <v>#REF!</v>
      </c>
      <c r="W884" s="371" t="e">
        <f t="shared" ref="W884:W890" si="802">$G884*M884</f>
        <v>#REF!</v>
      </c>
      <c r="X884" s="371" t="e">
        <f t="shared" ref="X884:X890" si="803">$G884*N884</f>
        <v>#REF!</v>
      </c>
      <c r="Y884" s="371" t="e">
        <f t="shared" ref="Y884:Y890" si="804">$G884*O884</f>
        <v>#REF!</v>
      </c>
      <c r="Z884" s="371" t="e">
        <f t="shared" ref="Z884:Z890" si="805">$G884*P884</f>
        <v>#REF!</v>
      </c>
      <c r="AA884" s="371" t="e">
        <f t="shared" ref="AA884:AA890" si="806">$G884*Q884</f>
        <v>#REF!</v>
      </c>
      <c r="AB884" s="50"/>
    </row>
    <row r="885" ht="28.8" outlineLevel="2" spans="1:28">
      <c r="A885" s="52">
        <f>MAX($A$6:A884)+1</f>
        <v>741</v>
      </c>
      <c r="B885" s="51" t="s">
        <v>777</v>
      </c>
      <c r="C885" s="51" t="e">
        <f>VLOOKUP($B885,#REF!,MATCH(C$2,#REF!,0),0)</f>
        <v>#REF!</v>
      </c>
      <c r="D885" s="136"/>
      <c r="E885" s="136"/>
      <c r="F885" s="136" t="e">
        <f>VLOOKUP($B885,#REF!,MATCH(F$2,#REF!,0),0)</f>
        <v>#REF!</v>
      </c>
      <c r="G885" s="137" t="e">
        <f>VLOOKUP($B885,#REF!,MATCH(G$2,#REF!,0),0)</f>
        <v>#REF!</v>
      </c>
      <c r="H885" s="48" t="e">
        <f>H765*1218.19411412732</f>
        <v>#REF!</v>
      </c>
      <c r="I885" s="48" t="e">
        <f>$I$765*1218.19411412732</f>
        <v>#REF!</v>
      </c>
      <c r="J885" s="48" t="e">
        <f>$J$765*616.819443191296</f>
        <v>#REF!</v>
      </c>
      <c r="K885" s="48" t="e">
        <f>$K$765*2007.37378100442</f>
        <v>#REF!</v>
      </c>
      <c r="L885" s="48" t="e">
        <f>$L$765*2007.37378100442</f>
        <v>#REF!</v>
      </c>
      <c r="M885" s="48" t="e">
        <f>$M$765*1</f>
        <v>#REF!</v>
      </c>
      <c r="N885" s="48" t="e">
        <f>$N$765*1</f>
        <v>#REF!</v>
      </c>
      <c r="O885" s="48" t="e">
        <f>$O$765*1</f>
        <v>#REF!</v>
      </c>
      <c r="P885" s="48"/>
      <c r="Q885" s="48"/>
      <c r="R885" s="371" t="e">
        <f t="shared" si="797"/>
        <v>#REF!</v>
      </c>
      <c r="S885" s="371" t="e">
        <f t="shared" si="798"/>
        <v>#REF!</v>
      </c>
      <c r="T885" s="371" t="e">
        <f t="shared" si="799"/>
        <v>#REF!</v>
      </c>
      <c r="U885" s="371" t="e">
        <f t="shared" si="800"/>
        <v>#REF!</v>
      </c>
      <c r="V885" s="371" t="e">
        <f t="shared" si="801"/>
        <v>#REF!</v>
      </c>
      <c r="W885" s="371" t="e">
        <f t="shared" si="802"/>
        <v>#REF!</v>
      </c>
      <c r="X885" s="371" t="e">
        <f t="shared" si="803"/>
        <v>#REF!</v>
      </c>
      <c r="Y885" s="371" t="e">
        <f t="shared" si="804"/>
        <v>#REF!</v>
      </c>
      <c r="Z885" s="371" t="e">
        <f t="shared" si="805"/>
        <v>#REF!</v>
      </c>
      <c r="AA885" s="371" t="e">
        <f t="shared" si="806"/>
        <v>#REF!</v>
      </c>
      <c r="AB885" s="50"/>
    </row>
    <row r="886" ht="56" customHeight="1" outlineLevel="2" spans="1:28">
      <c r="A886" s="52">
        <f>MAX($A$6:A885)+1</f>
        <v>742</v>
      </c>
      <c r="B886" s="51" t="s">
        <v>778</v>
      </c>
      <c r="C886" s="51" t="e">
        <f>VLOOKUP($B886,#REF!,MATCH(C$2,#REF!,0),0)</f>
        <v>#REF!</v>
      </c>
      <c r="D886" s="136"/>
      <c r="E886" s="136"/>
      <c r="F886" s="136" t="e">
        <f>VLOOKUP($B886,#REF!,MATCH(F$2,#REF!,0),0)</f>
        <v>#REF!</v>
      </c>
      <c r="G886" s="137" t="e">
        <f>VLOOKUP($B886,#REF!,MATCH(G$2,#REF!,0),0)</f>
        <v>#REF!</v>
      </c>
      <c r="H886" s="48" t="e">
        <f>H765*795.767628171403</f>
        <v>#REF!</v>
      </c>
      <c r="I886" s="48" t="e">
        <f>$I$765*795.767628171403</f>
        <v>#REF!</v>
      </c>
      <c r="J886" s="48" t="e">
        <f>$J$765*662.546989399464</f>
        <v>#REF!</v>
      </c>
      <c r="K886" s="48" t="e">
        <f>$K$765*2156.1892542214</f>
        <v>#REF!</v>
      </c>
      <c r="L886" s="48" t="e">
        <f>$L$765*2156.1892542214</f>
        <v>#REF!</v>
      </c>
      <c r="M886" s="48" t="e">
        <f>$M$765*1</f>
        <v>#REF!</v>
      </c>
      <c r="N886" s="48" t="e">
        <f>$N$765*1</f>
        <v>#REF!</v>
      </c>
      <c r="O886" s="48" t="e">
        <f>$O$765*1</f>
        <v>#REF!</v>
      </c>
      <c r="P886" s="48"/>
      <c r="Q886" s="48"/>
      <c r="R886" s="371" t="e">
        <f t="shared" si="797"/>
        <v>#REF!</v>
      </c>
      <c r="S886" s="371" t="e">
        <f t="shared" si="798"/>
        <v>#REF!</v>
      </c>
      <c r="T886" s="371" t="e">
        <f t="shared" si="799"/>
        <v>#REF!</v>
      </c>
      <c r="U886" s="371" t="e">
        <f t="shared" si="800"/>
        <v>#REF!</v>
      </c>
      <c r="V886" s="371" t="e">
        <f t="shared" si="801"/>
        <v>#REF!</v>
      </c>
      <c r="W886" s="371" t="e">
        <f t="shared" si="802"/>
        <v>#REF!</v>
      </c>
      <c r="X886" s="371" t="e">
        <f t="shared" si="803"/>
        <v>#REF!</v>
      </c>
      <c r="Y886" s="371" t="e">
        <f t="shared" si="804"/>
        <v>#REF!</v>
      </c>
      <c r="Z886" s="371" t="e">
        <f t="shared" si="805"/>
        <v>#REF!</v>
      </c>
      <c r="AA886" s="371" t="e">
        <f t="shared" si="806"/>
        <v>#REF!</v>
      </c>
      <c r="AB886" s="50"/>
    </row>
    <row r="887" ht="42" customHeight="1" outlineLevel="2" spans="1:28">
      <c r="A887" s="52">
        <f>MAX($A$6:A886)+1</f>
        <v>743</v>
      </c>
      <c r="B887" s="51" t="s">
        <v>779</v>
      </c>
      <c r="C887" s="51" t="e">
        <f>VLOOKUP($B887,#REF!,MATCH(C$2,#REF!,0),0)</f>
        <v>#REF!</v>
      </c>
      <c r="D887" s="136"/>
      <c r="E887" s="136"/>
      <c r="F887" s="136" t="e">
        <f>VLOOKUP($B887,#REF!,MATCH(F$2,#REF!,0),0)</f>
        <v>#REF!</v>
      </c>
      <c r="G887" s="137" t="e">
        <f>VLOOKUP($B887,#REF!,MATCH(G$2,#REF!,0),0)</f>
        <v>#REF!</v>
      </c>
      <c r="H887" s="48" t="e">
        <f>H765*1</f>
        <v>#REF!</v>
      </c>
      <c r="I887" s="48" t="e">
        <f>$I$765*1</f>
        <v>#REF!</v>
      </c>
      <c r="J887" s="48" t="e">
        <f>$J$765*1</f>
        <v>#REF!</v>
      </c>
      <c r="K887" s="48" t="e">
        <f>$K$765*1</f>
        <v>#REF!</v>
      </c>
      <c r="L887" s="48" t="e">
        <f>$L$765*1</f>
        <v>#REF!</v>
      </c>
      <c r="M887" s="48" t="e">
        <f>$M$765*45.1</f>
        <v>#REF!</v>
      </c>
      <c r="N887" s="48"/>
      <c r="O887" s="48" t="e">
        <f>$O$765*45.1</f>
        <v>#REF!</v>
      </c>
      <c r="P887" s="48"/>
      <c r="Q887" s="48"/>
      <c r="R887" s="371" t="e">
        <f t="shared" si="797"/>
        <v>#REF!</v>
      </c>
      <c r="S887" s="371" t="e">
        <f t="shared" si="798"/>
        <v>#REF!</v>
      </c>
      <c r="T887" s="371" t="e">
        <f t="shared" si="799"/>
        <v>#REF!</v>
      </c>
      <c r="U887" s="371" t="e">
        <f t="shared" si="800"/>
        <v>#REF!</v>
      </c>
      <c r="V887" s="371" t="e">
        <f t="shared" si="801"/>
        <v>#REF!</v>
      </c>
      <c r="W887" s="371" t="e">
        <f t="shared" si="802"/>
        <v>#REF!</v>
      </c>
      <c r="X887" s="371" t="e">
        <f t="shared" si="803"/>
        <v>#REF!</v>
      </c>
      <c r="Y887" s="371" t="e">
        <f t="shared" si="804"/>
        <v>#REF!</v>
      </c>
      <c r="Z887" s="371" t="e">
        <f t="shared" si="805"/>
        <v>#REF!</v>
      </c>
      <c r="AA887" s="371" t="e">
        <f t="shared" si="806"/>
        <v>#REF!</v>
      </c>
      <c r="AB887" s="50"/>
    </row>
    <row r="888" ht="28.8" outlineLevel="2" spans="1:28">
      <c r="A888" s="52">
        <f>MAX($A$6:A887)+1</f>
        <v>744</v>
      </c>
      <c r="B888" s="51" t="s">
        <v>780</v>
      </c>
      <c r="C888" s="51" t="e">
        <f>VLOOKUP($B888,#REF!,MATCH(C$2,#REF!,0),0)</f>
        <v>#REF!</v>
      </c>
      <c r="D888" s="136"/>
      <c r="E888" s="136"/>
      <c r="F888" s="136" t="e">
        <f>VLOOKUP($B888,#REF!,MATCH(F$2,#REF!,0),0)</f>
        <v>#REF!</v>
      </c>
      <c r="G888" s="137" t="e">
        <f>VLOOKUP($B888,#REF!,MATCH(G$2,#REF!,0),0)</f>
        <v>#REF!</v>
      </c>
      <c r="H888" s="48" t="e">
        <f>H765*1</f>
        <v>#REF!</v>
      </c>
      <c r="I888" s="48" t="e">
        <f>$I$765*1</f>
        <v>#REF!</v>
      </c>
      <c r="J888" s="48" t="e">
        <f>$J$765*1</f>
        <v>#REF!</v>
      </c>
      <c r="K888" s="48" t="e">
        <f>$K$765*1</f>
        <v>#REF!</v>
      </c>
      <c r="L888" s="48" t="e">
        <f>$L$765*1</f>
        <v>#REF!</v>
      </c>
      <c r="M888" s="48" t="e">
        <f>$M$765*23.3</f>
        <v>#REF!</v>
      </c>
      <c r="N888" s="48"/>
      <c r="O888" s="48" t="e">
        <f>$O$765*23.3</f>
        <v>#REF!</v>
      </c>
      <c r="P888" s="48"/>
      <c r="Q888" s="48"/>
      <c r="R888" s="371" t="e">
        <f t="shared" si="797"/>
        <v>#REF!</v>
      </c>
      <c r="S888" s="371" t="e">
        <f t="shared" si="798"/>
        <v>#REF!</v>
      </c>
      <c r="T888" s="371" t="e">
        <f t="shared" si="799"/>
        <v>#REF!</v>
      </c>
      <c r="U888" s="371" t="e">
        <f t="shared" si="800"/>
        <v>#REF!</v>
      </c>
      <c r="V888" s="371" t="e">
        <f t="shared" si="801"/>
        <v>#REF!</v>
      </c>
      <c r="W888" s="371" t="e">
        <f t="shared" si="802"/>
        <v>#REF!</v>
      </c>
      <c r="X888" s="371" t="e">
        <f t="shared" si="803"/>
        <v>#REF!</v>
      </c>
      <c r="Y888" s="371" t="e">
        <f t="shared" si="804"/>
        <v>#REF!</v>
      </c>
      <c r="Z888" s="371" t="e">
        <f t="shared" si="805"/>
        <v>#REF!</v>
      </c>
      <c r="AA888" s="371" t="e">
        <f t="shared" si="806"/>
        <v>#REF!</v>
      </c>
      <c r="AB888" s="50"/>
    </row>
    <row r="889" outlineLevel="2" spans="1:28">
      <c r="A889" s="52">
        <f>MAX($A$6:A888)+1</f>
        <v>745</v>
      </c>
      <c r="B889" s="51" t="s">
        <v>781</v>
      </c>
      <c r="C889" s="51" t="e">
        <f>VLOOKUP($B889,#REF!,MATCH(C$2,#REF!,0),0)</f>
        <v>#REF!</v>
      </c>
      <c r="D889" s="136"/>
      <c r="E889" s="136"/>
      <c r="F889" s="136" t="e">
        <f>VLOOKUP($B889,#REF!,MATCH(F$2,#REF!,0),0)</f>
        <v>#REF!</v>
      </c>
      <c r="G889" s="137" t="e">
        <f>VLOOKUP($B889,#REF!,MATCH(G$2,#REF!,0),0)</f>
        <v>#REF!</v>
      </c>
      <c r="H889" s="48" t="e">
        <f>H765*1</f>
        <v>#REF!</v>
      </c>
      <c r="I889" s="48" t="e">
        <f>$I$765*1</f>
        <v>#REF!</v>
      </c>
      <c r="J889" s="48" t="e">
        <f>$J$765*1</f>
        <v>#REF!</v>
      </c>
      <c r="K889" s="48" t="e">
        <f>$K$765*1</f>
        <v>#REF!</v>
      </c>
      <c r="L889" s="48" t="e">
        <f>$L$765*1</f>
        <v>#REF!</v>
      </c>
      <c r="M889" s="48" t="e">
        <f>$M$765*9.5</f>
        <v>#REF!</v>
      </c>
      <c r="N889" s="48"/>
      <c r="O889" s="48" t="e">
        <f>$O$765*9.5</f>
        <v>#REF!</v>
      </c>
      <c r="P889" s="48"/>
      <c r="Q889" s="48"/>
      <c r="R889" s="371" t="e">
        <f t="shared" si="797"/>
        <v>#REF!</v>
      </c>
      <c r="S889" s="371" t="e">
        <f t="shared" si="798"/>
        <v>#REF!</v>
      </c>
      <c r="T889" s="371" t="e">
        <f t="shared" si="799"/>
        <v>#REF!</v>
      </c>
      <c r="U889" s="371" t="e">
        <f t="shared" si="800"/>
        <v>#REF!</v>
      </c>
      <c r="V889" s="371" t="e">
        <f t="shared" si="801"/>
        <v>#REF!</v>
      </c>
      <c r="W889" s="371" t="e">
        <f t="shared" si="802"/>
        <v>#REF!</v>
      </c>
      <c r="X889" s="371" t="e">
        <f t="shared" si="803"/>
        <v>#REF!</v>
      </c>
      <c r="Y889" s="371" t="e">
        <f t="shared" si="804"/>
        <v>#REF!</v>
      </c>
      <c r="Z889" s="371" t="e">
        <f t="shared" si="805"/>
        <v>#REF!</v>
      </c>
      <c r="AA889" s="371" t="e">
        <f t="shared" si="806"/>
        <v>#REF!</v>
      </c>
      <c r="AB889" s="50"/>
    </row>
    <row r="890" ht="43.2" outlineLevel="2" spans="1:28">
      <c r="A890" s="52">
        <f>MAX($A$6:A889)+1</f>
        <v>746</v>
      </c>
      <c r="B890" s="51" t="s">
        <v>782</v>
      </c>
      <c r="C890" s="51" t="e">
        <f>VLOOKUP($B890,#REF!,MATCH(C$2,#REF!,0),0)</f>
        <v>#REF!</v>
      </c>
      <c r="D890" s="136"/>
      <c r="E890" s="136"/>
      <c r="F890" s="136" t="e">
        <f>VLOOKUP($B890,#REF!,MATCH(F$2,#REF!,0),0)</f>
        <v>#REF!</v>
      </c>
      <c r="G890" s="137" t="e">
        <f>VLOOKUP($B890,#REF!,MATCH(G$2,#REF!,0),0)</f>
        <v>#REF!</v>
      </c>
      <c r="H890" s="48" t="e">
        <f>H765*1</f>
        <v>#REF!</v>
      </c>
      <c r="I890" s="48" t="e">
        <f>$I$765*1</f>
        <v>#REF!</v>
      </c>
      <c r="J890" s="48" t="e">
        <f>$J$765*1</f>
        <v>#REF!</v>
      </c>
      <c r="K890" s="48" t="e">
        <f>$K$765*1</f>
        <v>#REF!</v>
      </c>
      <c r="L890" s="48" t="e">
        <f>$L$765*1</f>
        <v>#REF!</v>
      </c>
      <c r="M890" s="48" t="e">
        <f>$M$765*973.569936485196</f>
        <v>#REF!</v>
      </c>
      <c r="N890" s="48" t="e">
        <f>$N$765*1124.53</f>
        <v>#REF!</v>
      </c>
      <c r="O890" s="48" t="e">
        <f>$O$765*973.569936485196</f>
        <v>#REF!</v>
      </c>
      <c r="P890" s="48"/>
      <c r="Q890" s="48"/>
      <c r="R890" s="371" t="e">
        <f t="shared" si="797"/>
        <v>#REF!</v>
      </c>
      <c r="S890" s="371" t="e">
        <f t="shared" si="798"/>
        <v>#REF!</v>
      </c>
      <c r="T890" s="371" t="e">
        <f t="shared" si="799"/>
        <v>#REF!</v>
      </c>
      <c r="U890" s="371" t="e">
        <f t="shared" si="800"/>
        <v>#REF!</v>
      </c>
      <c r="V890" s="371" t="e">
        <f t="shared" si="801"/>
        <v>#REF!</v>
      </c>
      <c r="W890" s="371" t="e">
        <f t="shared" si="802"/>
        <v>#REF!</v>
      </c>
      <c r="X890" s="371" t="e">
        <f t="shared" si="803"/>
        <v>#REF!</v>
      </c>
      <c r="Y890" s="371" t="e">
        <f t="shared" si="804"/>
        <v>#REF!</v>
      </c>
      <c r="Z890" s="371" t="e">
        <f t="shared" si="805"/>
        <v>#REF!</v>
      </c>
      <c r="AA890" s="371" t="e">
        <f t="shared" si="806"/>
        <v>#REF!</v>
      </c>
      <c r="AB890" s="50"/>
    </row>
    <row r="891" s="122" customFormat="1" outlineLevel="2" spans="1:28">
      <c r="A891" s="130"/>
      <c r="B891" s="154" t="s">
        <v>783</v>
      </c>
      <c r="C891" s="154"/>
      <c r="D891" s="154"/>
      <c r="E891" s="154"/>
      <c r="F891" s="130"/>
      <c r="G891" s="134"/>
      <c r="H891" s="134"/>
      <c r="I891" s="134"/>
      <c r="J891" s="134"/>
      <c r="K891" s="134"/>
      <c r="L891" s="134"/>
      <c r="M891" s="134"/>
      <c r="N891" s="134"/>
      <c r="O891" s="134"/>
      <c r="P891" s="134"/>
      <c r="Q891" s="134"/>
      <c r="R891" s="367"/>
      <c r="S891" s="367"/>
      <c r="T891" s="367"/>
      <c r="U891" s="367"/>
      <c r="V891" s="371"/>
      <c r="W891" s="367"/>
      <c r="X891" s="367"/>
      <c r="Y891" s="367"/>
      <c r="Z891" s="367"/>
      <c r="AA891" s="367"/>
      <c r="AB891" s="130"/>
    </row>
    <row r="892" s="1" customFormat="1" outlineLevel="2" spans="1:28">
      <c r="A892" s="52">
        <f>MAX($A$6:A891)+1</f>
        <v>747</v>
      </c>
      <c r="B892" s="374" t="s">
        <v>368</v>
      </c>
      <c r="C892" s="51" t="e">
        <f>VLOOKUP($B892,#REF!,MATCH(C$2,#REF!,0),0)</f>
        <v>#REF!</v>
      </c>
      <c r="D892" s="136"/>
      <c r="E892" s="136"/>
      <c r="F892" s="136" t="e">
        <f>VLOOKUP($B892,#REF!,MATCH(F$2,#REF!,0),0)</f>
        <v>#REF!</v>
      </c>
      <c r="G892" s="137" t="e">
        <f>VLOOKUP($B892,#REF!,MATCH(G$2,#REF!,0),0)</f>
        <v>#REF!</v>
      </c>
      <c r="H892" s="48" t="e">
        <f>H765*5270.49187351294</f>
        <v>#REF!</v>
      </c>
      <c r="I892" s="48" t="e">
        <f>$I$765*5270.49187351294</f>
        <v>#REF!</v>
      </c>
      <c r="J892" s="48" t="e">
        <f>$J$765*4454.91874096358</f>
        <v>#REF!</v>
      </c>
      <c r="K892" s="48" t="e">
        <f>$K$765*14498.0628866819</f>
        <v>#REF!</v>
      </c>
      <c r="L892" s="48" t="e">
        <f>$L$765*14498.0628866819</f>
        <v>#REF!</v>
      </c>
      <c r="M892" s="48" t="e">
        <f>$M$765*1</f>
        <v>#REF!</v>
      </c>
      <c r="N892" s="48" t="e">
        <f>$N$765*1</f>
        <v>#REF!</v>
      </c>
      <c r="O892" s="48" t="e">
        <f>$O$765*1</f>
        <v>#REF!</v>
      </c>
      <c r="P892" s="139"/>
      <c r="Q892" s="139"/>
      <c r="R892" s="371" t="e">
        <f>$G892*H892</f>
        <v>#REF!</v>
      </c>
      <c r="S892" s="371" t="e">
        <f t="shared" ref="S892:AA892" si="807">$G892*I892</f>
        <v>#REF!</v>
      </c>
      <c r="T892" s="371" t="e">
        <f t="shared" si="807"/>
        <v>#REF!</v>
      </c>
      <c r="U892" s="371" t="e">
        <f t="shared" si="807"/>
        <v>#REF!</v>
      </c>
      <c r="V892" s="371" t="e">
        <f t="shared" si="807"/>
        <v>#REF!</v>
      </c>
      <c r="W892" s="371" t="e">
        <f t="shared" si="807"/>
        <v>#REF!</v>
      </c>
      <c r="X892" s="371" t="e">
        <f t="shared" si="807"/>
        <v>#REF!</v>
      </c>
      <c r="Y892" s="371" t="e">
        <f t="shared" si="807"/>
        <v>#REF!</v>
      </c>
      <c r="Z892" s="371" t="e">
        <f t="shared" si="807"/>
        <v>#REF!</v>
      </c>
      <c r="AA892" s="371" t="e">
        <f t="shared" si="807"/>
        <v>#REF!</v>
      </c>
      <c r="AB892" s="26"/>
    </row>
    <row r="893" ht="28.8" outlineLevel="2" spans="1:28">
      <c r="A893" s="52">
        <f>MAX($A$6:A892)+1</f>
        <v>748</v>
      </c>
      <c r="B893" s="51" t="s">
        <v>784</v>
      </c>
      <c r="C893" s="51" t="e">
        <f>VLOOKUP($B893,#REF!,MATCH(C$2,#REF!,0),0)</f>
        <v>#REF!</v>
      </c>
      <c r="D893" s="136"/>
      <c r="E893" s="136"/>
      <c r="F893" s="136" t="e">
        <f>VLOOKUP($B893,#REF!,MATCH(F$2,#REF!,0),0)</f>
        <v>#REF!</v>
      </c>
      <c r="G893" s="137" t="e">
        <f>VLOOKUP($B893,#REF!,MATCH(G$2,#REF!,0),0)</f>
        <v>#REF!</v>
      </c>
      <c r="H893" s="48" t="e">
        <f>H765*5270.49187351294</f>
        <v>#REF!</v>
      </c>
      <c r="I893" s="48" t="e">
        <f>$I$765*5270.49187351294</f>
        <v>#REF!</v>
      </c>
      <c r="J893" s="48" t="e">
        <f>$J$765*4454.91874096358</f>
        <v>#REF!</v>
      </c>
      <c r="K893" s="48" t="e">
        <f>$K$765*14498.0628866819</f>
        <v>#REF!</v>
      </c>
      <c r="L893" s="48" t="e">
        <f>$L$765*14498.0628866819</f>
        <v>#REF!</v>
      </c>
      <c r="M893" s="48" t="e">
        <f>$M$765*1</f>
        <v>#REF!</v>
      </c>
      <c r="N893" s="48" t="e">
        <f>$N$765*1</f>
        <v>#REF!</v>
      </c>
      <c r="O893" s="48" t="e">
        <f>$O$765*1</f>
        <v>#REF!</v>
      </c>
      <c r="P893" s="48"/>
      <c r="Q893" s="48"/>
      <c r="R893" s="371" t="e">
        <f t="shared" ref="R893:AA893" si="808">$G893*H893</f>
        <v>#REF!</v>
      </c>
      <c r="S893" s="371" t="e">
        <f t="shared" si="808"/>
        <v>#REF!</v>
      </c>
      <c r="T893" s="371" t="e">
        <f t="shared" si="808"/>
        <v>#REF!</v>
      </c>
      <c r="U893" s="371" t="e">
        <f t="shared" si="808"/>
        <v>#REF!</v>
      </c>
      <c r="V893" s="371" t="e">
        <f t="shared" si="808"/>
        <v>#REF!</v>
      </c>
      <c r="W893" s="371" t="e">
        <f t="shared" si="808"/>
        <v>#REF!</v>
      </c>
      <c r="X893" s="371" t="e">
        <f t="shared" si="808"/>
        <v>#REF!</v>
      </c>
      <c r="Y893" s="371" t="e">
        <f t="shared" si="808"/>
        <v>#REF!</v>
      </c>
      <c r="Z893" s="371" t="e">
        <f t="shared" si="808"/>
        <v>#REF!</v>
      </c>
      <c r="AA893" s="371" t="e">
        <f t="shared" si="808"/>
        <v>#REF!</v>
      </c>
      <c r="AB893" s="50"/>
    </row>
    <row r="894" ht="28.8" outlineLevel="2" spans="1:28">
      <c r="A894" s="52">
        <f>MAX($A$6:A893)+1</f>
        <v>749</v>
      </c>
      <c r="B894" s="51" t="s">
        <v>785</v>
      </c>
      <c r="C894" s="51" t="e">
        <f>VLOOKUP($B894,#REF!,MATCH(C$2,#REF!,0),0)</f>
        <v>#REF!</v>
      </c>
      <c r="D894" s="136"/>
      <c r="E894" s="136"/>
      <c r="F894" s="136" t="e">
        <f>VLOOKUP($B894,#REF!,MATCH(F$2,#REF!,0),0)</f>
        <v>#REF!</v>
      </c>
      <c r="G894" s="137" t="e">
        <f>VLOOKUP($B894,#REF!,MATCH(G$2,#REF!,0),0)</f>
        <v>#REF!</v>
      </c>
      <c r="H894" s="48"/>
      <c r="I894" s="48"/>
      <c r="J894" s="48"/>
      <c r="K894" s="48"/>
      <c r="L894" s="48"/>
      <c r="M894" s="48"/>
      <c r="N894" s="48"/>
      <c r="O894" s="48"/>
      <c r="P894" s="48"/>
      <c r="Q894" s="48"/>
      <c r="R894" s="371" t="e">
        <f t="shared" ref="R894:AA894" si="809">$G894*H894</f>
        <v>#REF!</v>
      </c>
      <c r="S894" s="371" t="e">
        <f t="shared" si="809"/>
        <v>#REF!</v>
      </c>
      <c r="T894" s="371" t="e">
        <f t="shared" si="809"/>
        <v>#REF!</v>
      </c>
      <c r="U894" s="371" t="e">
        <f t="shared" si="809"/>
        <v>#REF!</v>
      </c>
      <c r="V894" s="371" t="e">
        <f t="shared" si="809"/>
        <v>#REF!</v>
      </c>
      <c r="W894" s="371" t="e">
        <f t="shared" si="809"/>
        <v>#REF!</v>
      </c>
      <c r="X894" s="371" t="e">
        <f t="shared" si="809"/>
        <v>#REF!</v>
      </c>
      <c r="Y894" s="371" t="e">
        <f t="shared" si="809"/>
        <v>#REF!</v>
      </c>
      <c r="Z894" s="371" t="e">
        <f t="shared" si="809"/>
        <v>#REF!</v>
      </c>
      <c r="AA894" s="371" t="e">
        <f t="shared" si="809"/>
        <v>#REF!</v>
      </c>
      <c r="AB894" s="50"/>
    </row>
    <row r="895" ht="28.8" outlineLevel="2" spans="1:28">
      <c r="A895" s="52">
        <f>MAX($A$6:A894)+1</f>
        <v>750</v>
      </c>
      <c r="B895" s="51" t="s">
        <v>786</v>
      </c>
      <c r="C895" s="51" t="e">
        <f>VLOOKUP($B895,#REF!,MATCH(C$2,#REF!,0),0)</f>
        <v>#REF!</v>
      </c>
      <c r="D895" s="136"/>
      <c r="E895" s="136"/>
      <c r="F895" s="136" t="e">
        <f>VLOOKUP($B895,#REF!,MATCH(F$2,#REF!,0),0)</f>
        <v>#REF!</v>
      </c>
      <c r="G895" s="137" t="e">
        <f>VLOOKUP($B895,#REF!,MATCH(G$2,#REF!,0),0)</f>
        <v>#REF!</v>
      </c>
      <c r="H895" s="48" t="e">
        <f>H765*1</f>
        <v>#REF!</v>
      </c>
      <c r="I895" s="48" t="e">
        <f>$I$765*1</f>
        <v>#REF!</v>
      </c>
      <c r="J895" s="48" t="e">
        <f>$J$765*1</f>
        <v>#REF!</v>
      </c>
      <c r="K895" s="48" t="e">
        <f>$K$765*1</f>
        <v>#REF!</v>
      </c>
      <c r="L895" s="48" t="e">
        <f>$L$765*1</f>
        <v>#REF!</v>
      </c>
      <c r="M895" s="48" t="e">
        <f t="shared" ref="M895:M903" si="810">$M$765*1</f>
        <v>#REF!</v>
      </c>
      <c r="N895" s="48" t="e">
        <f t="shared" ref="N895:N903" si="811">$N$765*1</f>
        <v>#REF!</v>
      </c>
      <c r="O895" s="48" t="e">
        <f t="shared" ref="O895:O903" si="812">$O$765*1</f>
        <v>#REF!</v>
      </c>
      <c r="P895" s="48"/>
      <c r="Q895" s="48"/>
      <c r="R895" s="371" t="e">
        <f t="shared" ref="R895:AA895" si="813">$G895*H895</f>
        <v>#REF!</v>
      </c>
      <c r="S895" s="371" t="e">
        <f t="shared" si="813"/>
        <v>#REF!</v>
      </c>
      <c r="T895" s="371" t="e">
        <f t="shared" si="813"/>
        <v>#REF!</v>
      </c>
      <c r="U895" s="371" t="e">
        <f t="shared" si="813"/>
        <v>#REF!</v>
      </c>
      <c r="V895" s="371" t="e">
        <f t="shared" si="813"/>
        <v>#REF!</v>
      </c>
      <c r="W895" s="371" t="e">
        <f t="shared" si="813"/>
        <v>#REF!</v>
      </c>
      <c r="X895" s="371" t="e">
        <f t="shared" si="813"/>
        <v>#REF!</v>
      </c>
      <c r="Y895" s="371" t="e">
        <f t="shared" si="813"/>
        <v>#REF!</v>
      </c>
      <c r="Z895" s="371" t="e">
        <f t="shared" si="813"/>
        <v>#REF!</v>
      </c>
      <c r="AA895" s="371" t="e">
        <f t="shared" si="813"/>
        <v>#REF!</v>
      </c>
      <c r="AB895" s="50"/>
    </row>
    <row r="896" outlineLevel="2" spans="1:28">
      <c r="A896" s="52">
        <f>MAX($A$6:A895)+1</f>
        <v>751</v>
      </c>
      <c r="B896" s="51" t="s">
        <v>348</v>
      </c>
      <c r="C896" s="51" t="e">
        <f>VLOOKUP($B896,#REF!,MATCH(C$2,#REF!,0),0)</f>
        <v>#REF!</v>
      </c>
      <c r="D896" s="136"/>
      <c r="E896" s="136"/>
      <c r="F896" s="136" t="e">
        <f>VLOOKUP($B896,#REF!,MATCH(F$2,#REF!,0),0)</f>
        <v>#REF!</v>
      </c>
      <c r="G896" s="137" t="e">
        <f>VLOOKUP($B896,#REF!,MATCH(G$2,#REF!,0),0)</f>
        <v>#REF!</v>
      </c>
      <c r="H896" s="48" t="e">
        <f>H765*5270.49187351294</f>
        <v>#REF!</v>
      </c>
      <c r="I896" s="48" t="e">
        <f>$I$765*5270.49187351294</f>
        <v>#REF!</v>
      </c>
      <c r="J896" s="48" t="e">
        <f>$J$765*4454.91874096358</f>
        <v>#REF!</v>
      </c>
      <c r="K896" s="48" t="e">
        <f>$K$765*14498.0628866819</f>
        <v>#REF!</v>
      </c>
      <c r="L896" s="48" t="e">
        <f>$L$765*14498.0628866819</f>
        <v>#REF!</v>
      </c>
      <c r="M896" s="48" t="e">
        <f t="shared" si="810"/>
        <v>#REF!</v>
      </c>
      <c r="N896" s="48" t="e">
        <f t="shared" si="811"/>
        <v>#REF!</v>
      </c>
      <c r="O896" s="48" t="e">
        <f t="shared" si="812"/>
        <v>#REF!</v>
      </c>
      <c r="P896" s="48"/>
      <c r="Q896" s="48"/>
      <c r="R896" s="371" t="e">
        <f t="shared" ref="R896:AA896" si="814">$G896*H896</f>
        <v>#REF!</v>
      </c>
      <c r="S896" s="371" t="e">
        <f t="shared" si="814"/>
        <v>#REF!</v>
      </c>
      <c r="T896" s="371" t="e">
        <f t="shared" si="814"/>
        <v>#REF!</v>
      </c>
      <c r="U896" s="371" t="e">
        <f t="shared" si="814"/>
        <v>#REF!</v>
      </c>
      <c r="V896" s="371" t="e">
        <f t="shared" si="814"/>
        <v>#REF!</v>
      </c>
      <c r="W896" s="371" t="e">
        <f t="shared" si="814"/>
        <v>#REF!</v>
      </c>
      <c r="X896" s="371" t="e">
        <f t="shared" si="814"/>
        <v>#REF!</v>
      </c>
      <c r="Y896" s="371" t="e">
        <f t="shared" si="814"/>
        <v>#REF!</v>
      </c>
      <c r="Z896" s="371" t="e">
        <f t="shared" si="814"/>
        <v>#REF!</v>
      </c>
      <c r="AA896" s="371" t="e">
        <f t="shared" si="814"/>
        <v>#REF!</v>
      </c>
      <c r="AB896" s="50"/>
    </row>
    <row r="897" outlineLevel="2" spans="1:28">
      <c r="A897" s="52">
        <f>MAX($A$6:A896)+1</f>
        <v>752</v>
      </c>
      <c r="B897" s="51" t="s">
        <v>349</v>
      </c>
      <c r="C897" s="51" t="e">
        <f>VLOOKUP($B897,#REF!,MATCH(C$2,#REF!,0),0)</f>
        <v>#REF!</v>
      </c>
      <c r="D897" s="136"/>
      <c r="E897" s="136"/>
      <c r="F897" s="136" t="e">
        <f>VLOOKUP($B897,#REF!,MATCH(F$2,#REF!,0),0)</f>
        <v>#REF!</v>
      </c>
      <c r="G897" s="137" t="e">
        <f>VLOOKUP($B897,#REF!,MATCH(G$2,#REF!,0),0)</f>
        <v>#REF!</v>
      </c>
      <c r="H897" s="48" t="e">
        <f>H765*5270.49187351294</f>
        <v>#REF!</v>
      </c>
      <c r="I897" s="48" t="e">
        <f>$I$765*5270.49187351294</f>
        <v>#REF!</v>
      </c>
      <c r="J897" s="48" t="e">
        <f>$J$765*4454.91874096358</f>
        <v>#REF!</v>
      </c>
      <c r="K897" s="48" t="e">
        <f>$K$765*14498.0628866819</f>
        <v>#REF!</v>
      </c>
      <c r="L897" s="48" t="e">
        <f>$L$765*14498.0628866819</f>
        <v>#REF!</v>
      </c>
      <c r="M897" s="48" t="e">
        <f t="shared" si="810"/>
        <v>#REF!</v>
      </c>
      <c r="N897" s="48" t="e">
        <f t="shared" si="811"/>
        <v>#REF!</v>
      </c>
      <c r="O897" s="48" t="e">
        <f t="shared" si="812"/>
        <v>#REF!</v>
      </c>
      <c r="P897" s="48"/>
      <c r="Q897" s="48"/>
      <c r="R897" s="371" t="e">
        <f t="shared" ref="R897:AA897" si="815">$G897*H897</f>
        <v>#REF!</v>
      </c>
      <c r="S897" s="371" t="e">
        <f t="shared" si="815"/>
        <v>#REF!</v>
      </c>
      <c r="T897" s="371" t="e">
        <f t="shared" si="815"/>
        <v>#REF!</v>
      </c>
      <c r="U897" s="371" t="e">
        <f t="shared" si="815"/>
        <v>#REF!</v>
      </c>
      <c r="V897" s="371" t="e">
        <f t="shared" si="815"/>
        <v>#REF!</v>
      </c>
      <c r="W897" s="371" t="e">
        <f t="shared" si="815"/>
        <v>#REF!</v>
      </c>
      <c r="X897" s="371" t="e">
        <f t="shared" si="815"/>
        <v>#REF!</v>
      </c>
      <c r="Y897" s="371" t="e">
        <f t="shared" si="815"/>
        <v>#REF!</v>
      </c>
      <c r="Z897" s="371" t="e">
        <f t="shared" si="815"/>
        <v>#REF!</v>
      </c>
      <c r="AA897" s="371" t="e">
        <f t="shared" si="815"/>
        <v>#REF!</v>
      </c>
      <c r="AB897" s="50"/>
    </row>
    <row r="898" ht="28.8" outlineLevel="2" spans="1:28">
      <c r="A898" s="52">
        <f>MAX($A$6:A897)+1</f>
        <v>753</v>
      </c>
      <c r="B898" s="51" t="s">
        <v>787</v>
      </c>
      <c r="C898" s="51" t="e">
        <f>VLOOKUP($B898,#REF!,MATCH(C$2,#REF!,0),0)</f>
        <v>#REF!</v>
      </c>
      <c r="D898" s="136"/>
      <c r="E898" s="136"/>
      <c r="F898" s="136" t="e">
        <f>VLOOKUP($B898,#REF!,MATCH(F$2,#REF!,0),0)</f>
        <v>#REF!</v>
      </c>
      <c r="G898" s="137" t="e">
        <f>VLOOKUP($B898,#REF!,MATCH(G$2,#REF!,0),0)</f>
        <v>#REF!</v>
      </c>
      <c r="H898" s="48" t="e">
        <f>H765*1</f>
        <v>#REF!</v>
      </c>
      <c r="I898" s="48" t="e">
        <f t="shared" ref="I898:I903" si="816">$I$765*1</f>
        <v>#REF!</v>
      </c>
      <c r="J898" s="48" t="e">
        <f t="shared" ref="J898:J903" si="817">$J$765*1</f>
        <v>#REF!</v>
      </c>
      <c r="K898" s="48" t="e">
        <f t="shared" ref="K898:K903" si="818">$K$765*1</f>
        <v>#REF!</v>
      </c>
      <c r="L898" s="48" t="e">
        <f t="shared" ref="L898:L903" si="819">$L$765*1</f>
        <v>#REF!</v>
      </c>
      <c r="M898" s="48" t="e">
        <f t="shared" si="810"/>
        <v>#REF!</v>
      </c>
      <c r="N898" s="48" t="e">
        <f t="shared" si="811"/>
        <v>#REF!</v>
      </c>
      <c r="O898" s="48" t="e">
        <f t="shared" si="812"/>
        <v>#REF!</v>
      </c>
      <c r="P898" s="48"/>
      <c r="Q898" s="48"/>
      <c r="R898" s="371" t="e">
        <f t="shared" ref="R898:AA898" si="820">$G898*H898</f>
        <v>#REF!</v>
      </c>
      <c r="S898" s="371" t="e">
        <f t="shared" si="820"/>
        <v>#REF!</v>
      </c>
      <c r="T898" s="371" t="e">
        <f t="shared" si="820"/>
        <v>#REF!</v>
      </c>
      <c r="U898" s="371" t="e">
        <f t="shared" si="820"/>
        <v>#REF!</v>
      </c>
      <c r="V898" s="371" t="e">
        <f t="shared" si="820"/>
        <v>#REF!</v>
      </c>
      <c r="W898" s="371" t="e">
        <f t="shared" si="820"/>
        <v>#REF!</v>
      </c>
      <c r="X898" s="371" t="e">
        <f t="shared" si="820"/>
        <v>#REF!</v>
      </c>
      <c r="Y898" s="371" t="e">
        <f t="shared" si="820"/>
        <v>#REF!</v>
      </c>
      <c r="Z898" s="371" t="e">
        <f t="shared" si="820"/>
        <v>#REF!</v>
      </c>
      <c r="AA898" s="371" t="e">
        <f t="shared" si="820"/>
        <v>#REF!</v>
      </c>
      <c r="AB898" s="50"/>
    </row>
    <row r="899" ht="28.8" outlineLevel="2" spans="1:28">
      <c r="A899" s="52">
        <f>MAX($A$6:A898)+1</f>
        <v>754</v>
      </c>
      <c r="B899" s="51" t="s">
        <v>788</v>
      </c>
      <c r="C899" s="51" t="e">
        <f>VLOOKUP($B899,#REF!,MATCH(C$2,#REF!,0),0)</f>
        <v>#REF!</v>
      </c>
      <c r="D899" s="136"/>
      <c r="E899" s="136"/>
      <c r="F899" s="136" t="e">
        <f>VLOOKUP($B899,#REF!,MATCH(F$2,#REF!,0),0)</f>
        <v>#REF!</v>
      </c>
      <c r="G899" s="137" t="e">
        <f>VLOOKUP($B899,#REF!,MATCH(G$2,#REF!,0),0)</f>
        <v>#REF!</v>
      </c>
      <c r="H899" s="48" t="e">
        <f>H765*1</f>
        <v>#REF!</v>
      </c>
      <c r="I899" s="48" t="e">
        <f t="shared" si="816"/>
        <v>#REF!</v>
      </c>
      <c r="J899" s="48" t="e">
        <f t="shared" si="817"/>
        <v>#REF!</v>
      </c>
      <c r="K899" s="48" t="e">
        <f t="shared" si="818"/>
        <v>#REF!</v>
      </c>
      <c r="L899" s="48" t="e">
        <f t="shared" si="819"/>
        <v>#REF!</v>
      </c>
      <c r="M899" s="48" t="e">
        <f t="shared" si="810"/>
        <v>#REF!</v>
      </c>
      <c r="N899" s="48" t="e">
        <f t="shared" si="811"/>
        <v>#REF!</v>
      </c>
      <c r="O899" s="48" t="e">
        <f t="shared" si="812"/>
        <v>#REF!</v>
      </c>
      <c r="P899" s="48"/>
      <c r="Q899" s="48"/>
      <c r="R899" s="371" t="e">
        <f t="shared" ref="R899:AA899" si="821">$G899*H899</f>
        <v>#REF!</v>
      </c>
      <c r="S899" s="371" t="e">
        <f t="shared" si="821"/>
        <v>#REF!</v>
      </c>
      <c r="T899" s="371" t="e">
        <f t="shared" si="821"/>
        <v>#REF!</v>
      </c>
      <c r="U899" s="371" t="e">
        <f t="shared" si="821"/>
        <v>#REF!</v>
      </c>
      <c r="V899" s="371" t="e">
        <f t="shared" si="821"/>
        <v>#REF!</v>
      </c>
      <c r="W899" s="371" t="e">
        <f t="shared" si="821"/>
        <v>#REF!</v>
      </c>
      <c r="X899" s="371" t="e">
        <f t="shared" si="821"/>
        <v>#REF!</v>
      </c>
      <c r="Y899" s="371" t="e">
        <f t="shared" si="821"/>
        <v>#REF!</v>
      </c>
      <c r="Z899" s="371" t="e">
        <f t="shared" si="821"/>
        <v>#REF!</v>
      </c>
      <c r="AA899" s="371" t="e">
        <f t="shared" si="821"/>
        <v>#REF!</v>
      </c>
      <c r="AB899" s="50"/>
    </row>
    <row r="900" ht="28.8" outlineLevel="2" spans="1:28">
      <c r="A900" s="52">
        <f>MAX($A$6:A899)+1</f>
        <v>755</v>
      </c>
      <c r="B900" s="51" t="s">
        <v>789</v>
      </c>
      <c r="C900" s="51" t="e">
        <f>VLOOKUP($B900,#REF!,MATCH(C$2,#REF!,0),0)</f>
        <v>#REF!</v>
      </c>
      <c r="D900" s="136"/>
      <c r="E900" s="136"/>
      <c r="F900" s="136" t="e">
        <f>VLOOKUP($B900,#REF!,MATCH(F$2,#REF!,0),0)</f>
        <v>#REF!</v>
      </c>
      <c r="G900" s="137" t="e">
        <f>VLOOKUP($B900,#REF!,MATCH(G$2,#REF!,0),0)</f>
        <v>#REF!</v>
      </c>
      <c r="H900" s="48" t="e">
        <f>H765*1</f>
        <v>#REF!</v>
      </c>
      <c r="I900" s="48" t="e">
        <f t="shared" si="816"/>
        <v>#REF!</v>
      </c>
      <c r="J900" s="48" t="e">
        <f t="shared" si="817"/>
        <v>#REF!</v>
      </c>
      <c r="K900" s="48" t="e">
        <f t="shared" si="818"/>
        <v>#REF!</v>
      </c>
      <c r="L900" s="48" t="e">
        <f t="shared" si="819"/>
        <v>#REF!</v>
      </c>
      <c r="M900" s="48" t="e">
        <f t="shared" si="810"/>
        <v>#REF!</v>
      </c>
      <c r="N900" s="48" t="e">
        <f t="shared" si="811"/>
        <v>#REF!</v>
      </c>
      <c r="O900" s="48" t="e">
        <f t="shared" si="812"/>
        <v>#REF!</v>
      </c>
      <c r="P900" s="48"/>
      <c r="Q900" s="48"/>
      <c r="R900" s="371" t="e">
        <f t="shared" ref="R900:AA900" si="822">$G900*H900</f>
        <v>#REF!</v>
      </c>
      <c r="S900" s="371" t="e">
        <f t="shared" si="822"/>
        <v>#REF!</v>
      </c>
      <c r="T900" s="371" t="e">
        <f t="shared" si="822"/>
        <v>#REF!</v>
      </c>
      <c r="U900" s="371" t="e">
        <f t="shared" si="822"/>
        <v>#REF!</v>
      </c>
      <c r="V900" s="371" t="e">
        <f t="shared" si="822"/>
        <v>#REF!</v>
      </c>
      <c r="W900" s="371" t="e">
        <f t="shared" si="822"/>
        <v>#REF!</v>
      </c>
      <c r="X900" s="371" t="e">
        <f t="shared" si="822"/>
        <v>#REF!</v>
      </c>
      <c r="Y900" s="371" t="e">
        <f t="shared" si="822"/>
        <v>#REF!</v>
      </c>
      <c r="Z900" s="371" t="e">
        <f t="shared" si="822"/>
        <v>#REF!</v>
      </c>
      <c r="AA900" s="371" t="e">
        <f t="shared" si="822"/>
        <v>#REF!</v>
      </c>
      <c r="AB900" s="50"/>
    </row>
    <row r="901" ht="28.8" outlineLevel="2" spans="1:28">
      <c r="A901" s="52">
        <f>MAX($A$6:A900)+1</f>
        <v>756</v>
      </c>
      <c r="B901" s="51" t="s">
        <v>790</v>
      </c>
      <c r="C901" s="51" t="e">
        <f>VLOOKUP($B901,#REF!,MATCH(C$2,#REF!,0),0)</f>
        <v>#REF!</v>
      </c>
      <c r="D901" s="136"/>
      <c r="E901" s="136"/>
      <c r="F901" s="136" t="e">
        <f>VLOOKUP($B901,#REF!,MATCH(F$2,#REF!,0),0)</f>
        <v>#REF!</v>
      </c>
      <c r="G901" s="137" t="e">
        <f>VLOOKUP($B901,#REF!,MATCH(G$2,#REF!,0),0)</f>
        <v>#REF!</v>
      </c>
      <c r="H901" s="48" t="e">
        <f>H765*1</f>
        <v>#REF!</v>
      </c>
      <c r="I901" s="48" t="e">
        <f t="shared" si="816"/>
        <v>#REF!</v>
      </c>
      <c r="J901" s="48" t="e">
        <f t="shared" si="817"/>
        <v>#REF!</v>
      </c>
      <c r="K901" s="48" t="e">
        <f t="shared" si="818"/>
        <v>#REF!</v>
      </c>
      <c r="L901" s="48" t="e">
        <f t="shared" si="819"/>
        <v>#REF!</v>
      </c>
      <c r="M901" s="48" t="e">
        <f t="shared" si="810"/>
        <v>#REF!</v>
      </c>
      <c r="N901" s="48" t="e">
        <f t="shared" si="811"/>
        <v>#REF!</v>
      </c>
      <c r="O901" s="48" t="e">
        <f t="shared" si="812"/>
        <v>#REF!</v>
      </c>
      <c r="P901" s="48"/>
      <c r="Q901" s="48"/>
      <c r="R901" s="371" t="e">
        <f t="shared" ref="R901:AA901" si="823">$G901*H901</f>
        <v>#REF!</v>
      </c>
      <c r="S901" s="371" t="e">
        <f t="shared" si="823"/>
        <v>#REF!</v>
      </c>
      <c r="T901" s="371" t="e">
        <f t="shared" si="823"/>
        <v>#REF!</v>
      </c>
      <c r="U901" s="371" t="e">
        <f t="shared" si="823"/>
        <v>#REF!</v>
      </c>
      <c r="V901" s="371" t="e">
        <f t="shared" si="823"/>
        <v>#REF!</v>
      </c>
      <c r="W901" s="371" t="e">
        <f t="shared" si="823"/>
        <v>#REF!</v>
      </c>
      <c r="X901" s="371" t="e">
        <f t="shared" si="823"/>
        <v>#REF!</v>
      </c>
      <c r="Y901" s="371" t="e">
        <f t="shared" si="823"/>
        <v>#REF!</v>
      </c>
      <c r="Z901" s="371" t="e">
        <f t="shared" si="823"/>
        <v>#REF!</v>
      </c>
      <c r="AA901" s="371" t="e">
        <f t="shared" si="823"/>
        <v>#REF!</v>
      </c>
      <c r="AB901" s="50"/>
    </row>
    <row r="902" ht="28.8" outlineLevel="2" spans="1:28">
      <c r="A902" s="52">
        <f>MAX($A$6:A901)+1</f>
        <v>757</v>
      </c>
      <c r="B902" s="51" t="s">
        <v>791</v>
      </c>
      <c r="C902" s="51" t="e">
        <f>VLOOKUP($B902,#REF!,MATCH(C$2,#REF!,0),0)</f>
        <v>#REF!</v>
      </c>
      <c r="D902" s="136"/>
      <c r="E902" s="136"/>
      <c r="F902" s="136" t="e">
        <f>VLOOKUP($B902,#REF!,MATCH(F$2,#REF!,0),0)</f>
        <v>#REF!</v>
      </c>
      <c r="G902" s="137" t="e">
        <f>VLOOKUP($B902,#REF!,MATCH(G$2,#REF!,0),0)</f>
        <v>#REF!</v>
      </c>
      <c r="H902" s="48" t="e">
        <f>H765*1</f>
        <v>#REF!</v>
      </c>
      <c r="I902" s="48" t="e">
        <f t="shared" si="816"/>
        <v>#REF!</v>
      </c>
      <c r="J902" s="48" t="e">
        <f t="shared" si="817"/>
        <v>#REF!</v>
      </c>
      <c r="K902" s="48" t="e">
        <f t="shared" si="818"/>
        <v>#REF!</v>
      </c>
      <c r="L902" s="48" t="e">
        <f t="shared" si="819"/>
        <v>#REF!</v>
      </c>
      <c r="M902" s="48" t="e">
        <f t="shared" si="810"/>
        <v>#REF!</v>
      </c>
      <c r="N902" s="48" t="e">
        <f t="shared" si="811"/>
        <v>#REF!</v>
      </c>
      <c r="O902" s="48" t="e">
        <f t="shared" si="812"/>
        <v>#REF!</v>
      </c>
      <c r="P902" s="48"/>
      <c r="Q902" s="48"/>
      <c r="R902" s="371" t="e">
        <f t="shared" ref="R902:AA902" si="824">$G902*H902</f>
        <v>#REF!</v>
      </c>
      <c r="S902" s="371" t="e">
        <f t="shared" si="824"/>
        <v>#REF!</v>
      </c>
      <c r="T902" s="371" t="e">
        <f t="shared" si="824"/>
        <v>#REF!</v>
      </c>
      <c r="U902" s="371" t="e">
        <f t="shared" si="824"/>
        <v>#REF!</v>
      </c>
      <c r="V902" s="371" t="e">
        <f t="shared" si="824"/>
        <v>#REF!</v>
      </c>
      <c r="W902" s="371" t="e">
        <f t="shared" si="824"/>
        <v>#REF!</v>
      </c>
      <c r="X902" s="371" t="e">
        <f t="shared" si="824"/>
        <v>#REF!</v>
      </c>
      <c r="Y902" s="371" t="e">
        <f t="shared" si="824"/>
        <v>#REF!</v>
      </c>
      <c r="Z902" s="371" t="e">
        <f t="shared" si="824"/>
        <v>#REF!</v>
      </c>
      <c r="AA902" s="371" t="e">
        <f t="shared" si="824"/>
        <v>#REF!</v>
      </c>
      <c r="AB902" s="50"/>
    </row>
    <row r="903" ht="28.8" outlineLevel="2" spans="1:28">
      <c r="A903" s="52">
        <f>MAX($A$6:A902)+1</f>
        <v>758</v>
      </c>
      <c r="B903" s="51" t="s">
        <v>792</v>
      </c>
      <c r="C903" s="51" t="e">
        <f>VLOOKUP($B903,#REF!,MATCH(C$2,#REF!,0),0)</f>
        <v>#REF!</v>
      </c>
      <c r="D903" s="136"/>
      <c r="E903" s="136"/>
      <c r="F903" s="136" t="e">
        <f>VLOOKUP($B903,#REF!,MATCH(F$2,#REF!,0),0)</f>
        <v>#REF!</v>
      </c>
      <c r="G903" s="137" t="e">
        <f>VLOOKUP($B903,#REF!,MATCH(G$2,#REF!,0),0)</f>
        <v>#REF!</v>
      </c>
      <c r="H903" s="48" t="e">
        <f>H765*1</f>
        <v>#REF!</v>
      </c>
      <c r="I903" s="48" t="e">
        <f t="shared" si="816"/>
        <v>#REF!</v>
      </c>
      <c r="J903" s="48" t="e">
        <f t="shared" si="817"/>
        <v>#REF!</v>
      </c>
      <c r="K903" s="48" t="e">
        <f t="shared" si="818"/>
        <v>#REF!</v>
      </c>
      <c r="L903" s="48" t="e">
        <f t="shared" si="819"/>
        <v>#REF!</v>
      </c>
      <c r="M903" s="48" t="e">
        <f t="shared" si="810"/>
        <v>#REF!</v>
      </c>
      <c r="N903" s="48" t="e">
        <f t="shared" si="811"/>
        <v>#REF!</v>
      </c>
      <c r="O903" s="48" t="e">
        <f t="shared" si="812"/>
        <v>#REF!</v>
      </c>
      <c r="P903" s="48"/>
      <c r="Q903" s="48"/>
      <c r="R903" s="371" t="e">
        <f t="shared" ref="R903:AA903" si="825">$G903*H903</f>
        <v>#REF!</v>
      </c>
      <c r="S903" s="371" t="e">
        <f t="shared" si="825"/>
        <v>#REF!</v>
      </c>
      <c r="T903" s="371" t="e">
        <f t="shared" si="825"/>
        <v>#REF!</v>
      </c>
      <c r="U903" s="371" t="e">
        <f t="shared" si="825"/>
        <v>#REF!</v>
      </c>
      <c r="V903" s="371" t="e">
        <f t="shared" si="825"/>
        <v>#REF!</v>
      </c>
      <c r="W903" s="371" t="e">
        <f t="shared" si="825"/>
        <v>#REF!</v>
      </c>
      <c r="X903" s="371" t="e">
        <f t="shared" si="825"/>
        <v>#REF!</v>
      </c>
      <c r="Y903" s="371" t="e">
        <f t="shared" si="825"/>
        <v>#REF!</v>
      </c>
      <c r="Z903" s="371" t="e">
        <f t="shared" si="825"/>
        <v>#REF!</v>
      </c>
      <c r="AA903" s="371" t="e">
        <f t="shared" si="825"/>
        <v>#REF!</v>
      </c>
      <c r="AB903" s="50"/>
    </row>
    <row r="904" s="29" customFormat="1" ht="28.8" outlineLevel="1" spans="1:28">
      <c r="A904" s="40"/>
      <c r="B904" s="41" t="str">
        <f>目录!H21</f>
        <v>A.06.04外墙措施工程</v>
      </c>
      <c r="C904" s="41"/>
      <c r="D904" s="141"/>
      <c r="E904" s="141"/>
      <c r="F904" s="40"/>
      <c r="G904" s="43"/>
      <c r="H904" s="43"/>
      <c r="I904" s="43"/>
      <c r="J904" s="43"/>
      <c r="K904" s="43"/>
      <c r="L904" s="43"/>
      <c r="M904" s="43"/>
      <c r="N904" s="43"/>
      <c r="O904" s="43"/>
      <c r="P904" s="43"/>
      <c r="Q904" s="43"/>
      <c r="R904" s="369" t="e">
        <f t="shared" ref="R904:AA904" si="826">SUM(R905:R906)</f>
        <v>#REF!</v>
      </c>
      <c r="S904" s="369" t="e">
        <f t="shared" si="826"/>
        <v>#REF!</v>
      </c>
      <c r="T904" s="369" t="e">
        <f t="shared" si="826"/>
        <v>#REF!</v>
      </c>
      <c r="U904" s="369" t="e">
        <f t="shared" si="826"/>
        <v>#REF!</v>
      </c>
      <c r="V904" s="369" t="e">
        <f t="shared" si="826"/>
        <v>#REF!</v>
      </c>
      <c r="W904" s="369" t="e">
        <f t="shared" si="826"/>
        <v>#REF!</v>
      </c>
      <c r="X904" s="369" t="e">
        <f t="shared" si="826"/>
        <v>#REF!</v>
      </c>
      <c r="Y904" s="369" t="e">
        <f t="shared" si="826"/>
        <v>#REF!</v>
      </c>
      <c r="Z904" s="369" t="e">
        <f t="shared" si="826"/>
        <v>#REF!</v>
      </c>
      <c r="AA904" s="369" t="e">
        <f t="shared" si="826"/>
        <v>#REF!</v>
      </c>
      <c r="AB904" s="40"/>
    </row>
    <row r="905" outlineLevel="2" spans="1:28">
      <c r="A905" s="52">
        <f>MAX($A$6:A904)+1</f>
        <v>759</v>
      </c>
      <c r="B905" s="51" t="s">
        <v>793</v>
      </c>
      <c r="C905" s="51" t="e">
        <f>VLOOKUP($B905,#REF!,MATCH(C$2,#REF!,0),0)</f>
        <v>#REF!</v>
      </c>
      <c r="D905" s="136"/>
      <c r="E905" s="136"/>
      <c r="F905" s="136" t="e">
        <f>VLOOKUP($B905,#REF!,MATCH(F$2,#REF!,0),0)</f>
        <v>#REF!</v>
      </c>
      <c r="G905" s="137" t="e">
        <f>VLOOKUP($B905,#REF!,MATCH(G$2,#REF!,0),0)</f>
        <v>#REF!</v>
      </c>
      <c r="H905" s="48" t="e">
        <f>H765*6537.43453721663</f>
        <v>#REF!</v>
      </c>
      <c r="I905" s="48" t="e">
        <f>$I$765*6537.43453721663</f>
        <v>#REF!</v>
      </c>
      <c r="J905" s="48" t="e">
        <f>$J$765*5583.00903807346</f>
        <v>#REF!</v>
      </c>
      <c r="K905" s="48" t="e">
        <f>$K$765*18169.3137041137</f>
        <v>#REF!</v>
      </c>
      <c r="L905" s="48" t="e">
        <f>$L$765*18169.3137041137</f>
        <v>#REF!</v>
      </c>
      <c r="M905" s="48" t="e">
        <f>$M$765*2597.72912</f>
        <v>#REF!</v>
      </c>
      <c r="N905" s="48" t="e">
        <f>$N$765*2597.72912</f>
        <v>#REF!</v>
      </c>
      <c r="O905" s="48" t="e">
        <f>$O$765*2597.72912</f>
        <v>#REF!</v>
      </c>
      <c r="P905" s="48"/>
      <c r="Q905" s="48"/>
      <c r="R905" s="371" t="e">
        <f>$G905*H905</f>
        <v>#REF!</v>
      </c>
      <c r="S905" s="371" t="e">
        <f t="shared" ref="S905:AA905" si="827">$G905*I905</f>
        <v>#REF!</v>
      </c>
      <c r="T905" s="371" t="e">
        <f t="shared" si="827"/>
        <v>#REF!</v>
      </c>
      <c r="U905" s="371" t="e">
        <f t="shared" si="827"/>
        <v>#REF!</v>
      </c>
      <c r="V905" s="371" t="e">
        <f t="shared" si="827"/>
        <v>#REF!</v>
      </c>
      <c r="W905" s="371" t="e">
        <f t="shared" si="827"/>
        <v>#REF!</v>
      </c>
      <c r="X905" s="371" t="e">
        <f t="shared" si="827"/>
        <v>#REF!</v>
      </c>
      <c r="Y905" s="371" t="e">
        <f t="shared" si="827"/>
        <v>#REF!</v>
      </c>
      <c r="Z905" s="371" t="e">
        <f t="shared" si="827"/>
        <v>#REF!</v>
      </c>
      <c r="AA905" s="371" t="e">
        <f t="shared" si="827"/>
        <v>#REF!</v>
      </c>
      <c r="AB905" s="50"/>
    </row>
    <row r="906" outlineLevel="2" spans="1:28">
      <c r="A906" s="52">
        <f>MAX($A$6:A905)+1</f>
        <v>760</v>
      </c>
      <c r="B906" s="51" t="s">
        <v>794</v>
      </c>
      <c r="C906" s="51" t="e">
        <f>VLOOKUP($B906,#REF!,MATCH(C$2,#REF!,0),0)</f>
        <v>#REF!</v>
      </c>
      <c r="D906" s="136"/>
      <c r="E906" s="136"/>
      <c r="F906" s="136" t="e">
        <f>VLOOKUP($B906,#REF!,MATCH(F$2,#REF!,0),0)</f>
        <v>#REF!</v>
      </c>
      <c r="G906" s="137" t="e">
        <f>VLOOKUP($B906,#REF!,MATCH(G$2,#REF!,0),0)</f>
        <v>#REF!</v>
      </c>
      <c r="H906" s="48" t="e">
        <f>H765*1</f>
        <v>#REF!</v>
      </c>
      <c r="I906" s="48" t="e">
        <f>$I$765*1</f>
        <v>#REF!</v>
      </c>
      <c r="J906" s="48" t="e">
        <f>$J$765*1</f>
        <v>#REF!</v>
      </c>
      <c r="K906" s="48" t="e">
        <f>$K$765*1</f>
        <v>#REF!</v>
      </c>
      <c r="L906" s="48" t="e">
        <f>$L$765*1</f>
        <v>#REF!</v>
      </c>
      <c r="M906" s="48" t="e">
        <f>$M$765*0.5</f>
        <v>#REF!</v>
      </c>
      <c r="N906" s="48" t="e">
        <f>$N$765*0.5</f>
        <v>#REF!</v>
      </c>
      <c r="O906" s="48" t="e">
        <f>$O$765*0.5</f>
        <v>#REF!</v>
      </c>
      <c r="P906" s="48"/>
      <c r="Q906" s="48"/>
      <c r="R906" s="371" t="e">
        <f t="shared" ref="R906:AA906" si="828">$G906*H906</f>
        <v>#REF!</v>
      </c>
      <c r="S906" s="371" t="e">
        <f t="shared" si="828"/>
        <v>#REF!</v>
      </c>
      <c r="T906" s="371" t="e">
        <f t="shared" si="828"/>
        <v>#REF!</v>
      </c>
      <c r="U906" s="371" t="e">
        <f t="shared" si="828"/>
        <v>#REF!</v>
      </c>
      <c r="V906" s="371" t="e">
        <f t="shared" si="828"/>
        <v>#REF!</v>
      </c>
      <c r="W906" s="371" t="e">
        <f t="shared" si="828"/>
        <v>#REF!</v>
      </c>
      <c r="X906" s="371" t="e">
        <f t="shared" si="828"/>
        <v>#REF!</v>
      </c>
      <c r="Y906" s="371" t="e">
        <f t="shared" si="828"/>
        <v>#REF!</v>
      </c>
      <c r="Z906" s="371" t="e">
        <f t="shared" si="828"/>
        <v>#REF!</v>
      </c>
      <c r="AA906" s="371" t="e">
        <f t="shared" si="828"/>
        <v>#REF!</v>
      </c>
      <c r="AB906" s="50"/>
    </row>
    <row r="907" spans="21:23">
      <c r="U907" s="377"/>
      <c r="V907" s="377"/>
      <c r="W907" s="377"/>
    </row>
    <row r="908" spans="21:23">
      <c r="U908" s="377"/>
      <c r="V908" s="377"/>
      <c r="W908" s="377"/>
    </row>
    <row r="909" spans="21:23">
      <c r="U909" s="377"/>
      <c r="V909" s="377"/>
      <c r="W909" s="377"/>
    </row>
    <row r="910" spans="21:23">
      <c r="U910" s="377"/>
      <c r="V910" s="377"/>
      <c r="W910" s="377"/>
    </row>
    <row r="911" spans="21:23">
      <c r="U911" s="377"/>
      <c r="V911" s="377"/>
      <c r="W911" s="377"/>
    </row>
    <row r="912" spans="21:23">
      <c r="U912" s="377"/>
      <c r="V912" s="377"/>
      <c r="W912" s="377"/>
    </row>
    <row r="913" spans="21:23">
      <c r="U913" s="377"/>
      <c r="V913" s="377"/>
      <c r="W913" s="377"/>
    </row>
  </sheetData>
  <autoFilter ref="A1:AB906">
    <extLst/>
  </autoFilter>
  <mergeCells count="116">
    <mergeCell ref="A1:G1"/>
    <mergeCell ref="H1:Q1"/>
    <mergeCell ref="R1:AA1"/>
    <mergeCell ref="D2:E2"/>
    <mergeCell ref="H2:L2"/>
    <mergeCell ref="M2:O2"/>
    <mergeCell ref="P2:Q2"/>
    <mergeCell ref="R2:V2"/>
    <mergeCell ref="W2:Y2"/>
    <mergeCell ref="Z2:AA2"/>
    <mergeCell ref="B98:C98"/>
    <mergeCell ref="B102:C102"/>
    <mergeCell ref="B128:C128"/>
    <mergeCell ref="B134:C134"/>
    <mergeCell ref="B138:C138"/>
    <mergeCell ref="B143:C143"/>
    <mergeCell ref="B149:C149"/>
    <mergeCell ref="B153:C153"/>
    <mergeCell ref="B158:C158"/>
    <mergeCell ref="B162:C162"/>
    <mergeCell ref="B167:C167"/>
    <mergeCell ref="B171:C171"/>
    <mergeCell ref="B175:C175"/>
    <mergeCell ref="B178:C178"/>
    <mergeCell ref="B183:C183"/>
    <mergeCell ref="B187:C187"/>
    <mergeCell ref="B202:C202"/>
    <mergeCell ref="B209:C209"/>
    <mergeCell ref="B216:C216"/>
    <mergeCell ref="B240:C240"/>
    <mergeCell ref="B246:C246"/>
    <mergeCell ref="B251:C251"/>
    <mergeCell ref="B260:C260"/>
    <mergeCell ref="B264:C264"/>
    <mergeCell ref="B267:C267"/>
    <mergeCell ref="B271:C271"/>
    <mergeCell ref="B276:C276"/>
    <mergeCell ref="B280:C280"/>
    <mergeCell ref="B283:C283"/>
    <mergeCell ref="B356:C356"/>
    <mergeCell ref="B362:C362"/>
    <mergeCell ref="B368:C368"/>
    <mergeCell ref="B372:C372"/>
    <mergeCell ref="B395:C395"/>
    <mergeCell ref="B404:C404"/>
    <mergeCell ref="B413:C413"/>
    <mergeCell ref="B421:C421"/>
    <mergeCell ref="B428:C428"/>
    <mergeCell ref="B434:C434"/>
    <mergeCell ref="B439:C439"/>
    <mergeCell ref="B446:C446"/>
    <mergeCell ref="B453:C453"/>
    <mergeCell ref="B475:C475"/>
    <mergeCell ref="B480:C480"/>
    <mergeCell ref="B485:C485"/>
    <mergeCell ref="B494:C494"/>
    <mergeCell ref="B500:C500"/>
    <mergeCell ref="B504:C504"/>
    <mergeCell ref="B512:C512"/>
    <mergeCell ref="B519:C519"/>
    <mergeCell ref="B525:C525"/>
    <mergeCell ref="B527:C527"/>
    <mergeCell ref="B531:C531"/>
    <mergeCell ref="B538:C538"/>
    <mergeCell ref="B543:C543"/>
    <mergeCell ref="B550:C550"/>
    <mergeCell ref="B558:C558"/>
    <mergeCell ref="B566:C566"/>
    <mergeCell ref="B581:C581"/>
    <mergeCell ref="B586:C586"/>
    <mergeCell ref="B593:C593"/>
    <mergeCell ref="B599:C599"/>
    <mergeCell ref="B607:C607"/>
    <mergeCell ref="B610:C610"/>
    <mergeCell ref="B617:C617"/>
    <mergeCell ref="B625:C625"/>
    <mergeCell ref="B631:C631"/>
    <mergeCell ref="B634:C634"/>
    <mergeCell ref="B638:C638"/>
    <mergeCell ref="B643:C643"/>
    <mergeCell ref="B651:C651"/>
    <mergeCell ref="B658:C658"/>
    <mergeCell ref="B663:C663"/>
    <mergeCell ref="B669:C669"/>
    <mergeCell ref="B672:C672"/>
    <mergeCell ref="B675:C675"/>
    <mergeCell ref="B678:C678"/>
    <mergeCell ref="B681:C681"/>
    <mergeCell ref="B685:C685"/>
    <mergeCell ref="B689:C689"/>
    <mergeCell ref="B694:C694"/>
    <mergeCell ref="B699:C699"/>
    <mergeCell ref="B703:C703"/>
    <mergeCell ref="B706:C706"/>
    <mergeCell ref="B709:C709"/>
    <mergeCell ref="B713:C713"/>
    <mergeCell ref="B717:C717"/>
    <mergeCell ref="B722:C722"/>
    <mergeCell ref="B728:C728"/>
    <mergeCell ref="B748:C748"/>
    <mergeCell ref="B752:C752"/>
    <mergeCell ref="B774:C774"/>
    <mergeCell ref="B779:C779"/>
    <mergeCell ref="B793:C793"/>
    <mergeCell ref="B800:C800"/>
    <mergeCell ref="B807:C807"/>
    <mergeCell ref="B811:C811"/>
    <mergeCell ref="B867:C867"/>
    <mergeCell ref="B882:C882"/>
    <mergeCell ref="B891:C891"/>
    <mergeCell ref="A2:A3"/>
    <mergeCell ref="B2:B3"/>
    <mergeCell ref="C2:C3"/>
    <mergeCell ref="F2:F3"/>
    <mergeCell ref="G2:G3"/>
    <mergeCell ref="AB2:AB3"/>
  </mergeCells>
  <dataValidations count="1">
    <dataValidation type="list" allowBlank="1" showInputMessage="1" showErrorMessage="1" sqref="D7:E7 D8:E8 D9:E9 D10:E10 D11:E11 D12:E12 D14:E14 D15:E15 D16:E16 D17:E17 D18:E18 D19:E19 D20:E20 D21:E21 D23:E23 D24:E24 D25:E25 D26:E26 D27:E27 D28:E28 D29:E29 D30:E30 D31:E31 D32:E32 D33:E33 D34:E34 D35:E35 D36:E36 D37:E37 D38:E38 D39:E39 D40:E40 D41:E41 D42:E42 D43:E43 D44:E44 D45:E45 D46:E46 D47:E47 D48:E48 D49:E49 D50:E50 D51:E51 D52:E52 D53:E53 D54:E54 D55:E55 D56:E56 D57:E57 D58:E58 D59:E59 D60:E60 D61:E61 D62:E62 D63:E63 D64:E64 D65:E65 D66:E66 D67:E67 D68:E68 D69:E69 D70:E70 D84 D85 D86 D87 D88:E88 D90:E90 D91:E91 D93:E93 D94:E94 D95:E95 D96:E96 D97:E97 D99:E99 D100:E100 D101:E101 D103:E103 D104:E104 D105:E105 D107:E107 D108:E108 D109:E109 D110:E110 D111:E111 D112:E112 D113:E113 D114:E114 D116:E116 D117:E117 D118:E118 D121:E121 D125:E125 D126:E126 D131:E131 D132:E132 D133:E133 D135:E135 D136:E136 D137:E137 D139:E139 D140:E140 D141:E141 D142:E142 D144:E144 D145:E145 D146:E146 D147:E147 D150:E150 D151:E151 D152:E152 D154:E154 D155:E155 D156:E156 D157:E157 D159:E159 D160:E160 D161:E161 D163:E163 D164:E164 D165:E165 D166:E166 D168:E168 D169:E169 D170:E170 D172:E172 D173:E173 D174:E174 D176:E176 D177:E177 D179:E179 D180:E180 D181:E181 D182:E182 D184:E184 D185:E185 D186:E186 D190:E190 D191:E191 D192:E192 D193:E193 D194:E194 D195:E195 D196:E196 D197:E197 D198:E198 D199:E199 D200:E200 D201:E201 D203:E203 D204:E204 D205:E205 D206:E206 D207:E207 D208:E208 D210:E210 D211:E211 D212:E212 D213:E213 D214:E214 D215:E215 D217:E217 D218:E218 D219:E219 D220:E220 D221:E221 D222:E222 D223:E223 D224:E224 D225:E225 D226:E226 D228:E228 D229:E229 D232:E232 D233:E233 D234:E234 D237 E237 D238:E238 D239:E239 D241:E241 D242:E242 D243:E243 D244:E244 D245:E245 D247:E247 D248:E248 D249:E249 D250:E250 D252:E252 D253:E253 D254:E254 D255:E255 D256:E256 D257:E257 D258:E258 D261:E261 D262:E262 D263:E263 D265:E265 D266:E266 D268:E268 D269:E269 D270:E270 D272:E272 D273:E273 D274:E274 D275:E275 D277:E277 D278:E278 D279:E279 D281:E281 D282:E282 D284:E284 D285:E285 D287:E287 D288:E288 D289:E289 D290:E290 D291:E291 D292:E292 D293:E293 D294:E294 D295:E295 D296:E296 D298:E298 D300:E300 D301:E301 D302:E302 D303:E303 D304:E304 D305:E305 D306:E306 D307:E307 D308:E308 D309:E309 D310:E310 D311:E311 D312:E312 D313:E313 D314:E314 D315:E315 D316:E316 D317:E317 D318:E318 D319:E319 D320:E320 D322:E322 D323:E323 D324:E324 D325:E325 D326:E326 D327:E327 D328:E328 D329:E329 D330:E330 D331:E331 D332:E332 D333:E333 D334:E334 D335:E335 D336:E336 D337:E337 D339:E339 D340:E340 D341:E341 D342:E342 D343:E343 D344:E344 D345:E345 D346:E346 D347:E347 D348:E348 D350:E350 D351:E351 D352:E352 D353:E353 D354:E354 D355:E355 D357:E357 D358:E358 D359:E359 D360:E360 D361:E361 D363:E363 D364:E364 D365:E365 D366:E366 D367:E367 D369:E369 D370:E370 D371:E371 D373:E373 D374:E374 D375:E375 D376:E376 D377:E377 D378:E378 D380:E380 D381:E381 D382:E382 D383:E383 D384:E384 D385:E385 D386:E386 D388:E388 D389:E389 D390:E390 D391:E391 D392:E392 D393:E393 D396:E396 D397:E397 D398:E398 D399:E399 D400:E400 D403:E403 D405:E405 D406:E406 D407:E407 D408:E408 D409:E409 D410:E410 D411:E411 D412:E412 D414:E414 D415:E415 D416:E416 D417:E417 D420:E420 D422:E422 D423:E423 D424:E424 D425:E425 D426:E426 D427:E427 D429:E429 D430:E430 D431:E431 D432:E432 D433:E433 D435:E435 D436:E436 D437:E437 D438:E438 D440:E440 D441:E441 D442:E442 D443:E443 D444:E444 D445:E445 D447:E447 D448:E448 D449:E449 D450:E450 D451:E451 D452:E452 D454:E454 D455:E455 D456:E456 D457:E457 D458:E458 D459:E459 D461:E461 D462:E462 D463:E463 D464:E464 D465:E465 D466:E466 D467:E467 D468:E468 D469:E469 D470:E470 D471:E471 D472:E472 D473:E473 D474:E474 D476:E476 D477:E477 D478:E478 D479:E479 D481:E481 D482:E482 D483:E483 D484:E484 D486:E486 D487:E487 D488:E488 D489:E489 D490:E490 D492:E492 D493:E493 D495:E495 D496:E496 D497:E497 D498:E498 D499:E499 D501:E501 D502:E502 D503:E503 D505:E505 D506:E506 D507:E507 D508:E508 D509:E509 D510:E510 D511:E511 D513:E513 D514:E514 D515:E515 D516:E516 D517:E517 D518:E518 D520:E520 D521:E521 D522:E522 D523:E523 D524:E524 D526:E526 D528:E528 D529:E529 D530:E530 D532:E532 D533:E533 D534:E534 D535:E535 D536:E536 D537:E537 D539:E539 D540:E540 D541:E541 D542:E542 D544:E544 D545:E545 D546:E546 D547:E547 D548:E548 D549:E549 D551:E551 D552:E552 D553:E553 D554:E554 D555:E555 D556:E556 D557:E557 D559:E559 D560:E560 D561:E561 D562:E562 D563:E563 D564:E564 D565:E565 D569:E569 D570:E570 D571:E571 D572:E572 D573:E573 D574:E574 D575:E575 D576:E576 D577:E577 D578:E578 D579:E579 D580:E580 D582:E582 D585:E585 D589:E589 D590:E590 D591:E591 D592:E592 D594:E594 D595:E595 D596:E596 D597:E597 D598:E598 D600:E600 D601:E601 D602:E602 D603:E603 D604:E604 D605:E605 D606:E606 D608:E608 D609:E609 D611:E611 D612:E612 D613:E613 D614:E614 D615:E615 D616:E616 D620:E620 D621:E621 D622:E622 D623:E623 D624:E624 D628:E628 D629:E629 D630:E630 D632:E632 D633:E633 D635:E635 D636:E636 D637:E637 D639:E639 D640:E640 D641:E641 D642:E642 D644:E644 D645:E645 D646:E646 D647:E647 D648:E648 D649:E649 D652:E652 D653:E653 D654:E654 D655:E655 D656:E656 D659:E659 D660:E660 D661:E661 D662:E662 D664:E664 D665:E665 D666:E666 D667:E667 D668:E668 D670:E670 D671:E671 D673:E673 D674:E674 D676:E676 D677:E677 D679:E679 D680:E680 D682:E682 D683:E683 D684:E684 D686:E686 D687:E687 D688:E688 D690:E690 D691:E691 D692:E692 D693:E693 D695:E695 D696:E696 D697:E697 D698:E698 D700:E700 D701:E701 D702:E702 D704:E704 D705:E705 D707:E707 D708:E708 D710:E710 D711:E711 D712:E712 D714:E714 D715:E715 D716:E716 D718:E718 D719:E719 D720:E720 D721:E721 D723:E723 D724:E724 D727:E727 D729:E729 D730:E730 D731:E731 D732:E732 D733:E733 D734:E734 D735:E735 D736:E736 D737:E737 D738:E738 D739:E739 D740:E740 D741:E741 D742:E742 D743:E743 D744:E744 D745:E745 D746:E746 D747:E747 D749:E749 D750:E750 D751:E751 D753:E753 D754:E754 D755:E755 D756:E756 D757:E757 D758:E758 D760:E760 D762:E762 D763:E763 D766:E766 D767:E767 D768:E768 D769:E769 D770:E770 D771:E771 D772:E772 D773:E773 D775:E775 D776:E776 D777:E777 D778:E778 D780:E780 D781:E781 D782:E782 D783:E783 D784:E784 D785:E785 D786:E786 D787:E787 D788:E788 D789:E789 D790:E790 D791:E791 D792:E792 D794:E794 D795:E795 D796:E796 D797:E797 D798:E798 D799:E799 D801:E801 D804:E804 D806:E806 D808:E808 D809:E809 D810:E810 D812:E812 D813:E813 D814:E814 D815:E815 D816:E816 D817:E817 D818:E818 D819:E819 D820:E820 D821:E821 D822:E822 D823:E823 D824:E824 D825:E825 D826:E826 D827:E827 D828:E828 D829:E829 D830:E830 D831:E831 D832:E832 D833:E833 D834:E834 D835:E835 D836:E836 D837:E837 D838:E838 D839:E839 D840:E840 D841:E841 D842:E842 D843:E843 D844:E844 D845:E845 D846:E846 D847:E847 D848:E848 D849:E849 D850:E850 D851:E851 D852:E852 D853:E853 D854:E854 D855:E855 D856:E856 D857:E857 D858:E858 D859:E859 D860:E860 D861:E861 D862:E862 D863:E863 D864:E864 D865:E865 D870:E870 D871:E871 D872:E872 D873:E873 D874:E874 D875:E875 D876:E876 D877:E877 D878:E878 D879:E879 D880:E880 D881:E881 D883:E883 D884:E884 D885:E885 D886:E886 D887:E887 D888:E888 D889:E889 D890:E890 D892:E892 D895:E895 D896:E896 D897:E897 D898:E898 D899:E899 D900:E900 D901:E901 D902:E902 D903:E903 D905:E905 D906:E906 D119:D120 D122:D124 D129:D130 D188:D189 D230:D231 D235:D236 D401:D402 D418:D419 D567:D568 D583:D584 D587:D588 D618:D619 D626:D627 D725:D726 D802:D803 D868:D869 D893:D894 E84:E87 E119:E120 E122:E124 E129:E130 E188:E189 E230:E231 E235:E236 E401:E402 E418:E419 E567:E568 E583:E584 E587:E588 E618:E619 E626:E627 E725:E726 E802:E803 E868:E869 E893:E894 D72:E83">
      <formula1>指标分析!$B$26:$B$68</formula1>
    </dataValidation>
  </dataValidations>
  <pageMargins left="0.751388888888889" right="0.751388888888889" top="1" bottom="1" header="0.5" footer="0.5"/>
  <pageSetup paperSize="9" scale="5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907"/>
  <sheetViews>
    <sheetView view="pageBreakPreview" zoomScale="115" zoomScaleNormal="100" topLeftCell="B1" workbookViewId="0">
      <pane xSplit="2" ySplit="4" topLeftCell="D5" activePane="bottomRight" state="frozen"/>
      <selection/>
      <selection pane="topRight"/>
      <selection pane="bottomLeft"/>
      <selection pane="bottomRight" activeCell="I8" sqref="I8"/>
    </sheetView>
  </sheetViews>
  <sheetFormatPr defaultColWidth="9" defaultRowHeight="17.4"/>
  <cols>
    <col min="1" max="1" width="9.37962962962963" style="31" customWidth="1"/>
    <col min="2" max="2" width="9.37962962962963" style="166" customWidth="1"/>
    <col min="3" max="3" width="22.3055555555556" style="166" customWidth="1"/>
    <col min="4" max="4" width="9.37962962962963" style="161" customWidth="1"/>
    <col min="5" max="5" width="9.37962962962963" style="167" customWidth="1"/>
    <col min="6" max="6" width="9.37962962962963" style="168" customWidth="1"/>
    <col min="7" max="7" width="9.37962962962963" style="169" customWidth="1"/>
    <col min="8" max="8" width="9.37962962962963" style="161" customWidth="1"/>
    <col min="9" max="9" width="15.5277777777778" style="161" customWidth="1"/>
    <col min="10" max="10" width="9.37962962962963" style="64" customWidth="1"/>
    <col min="11" max="11" width="9.37962962962963" style="170" customWidth="1"/>
    <col min="12" max="12" width="9.37962962962963" style="64" customWidth="1"/>
    <col min="13" max="13" width="10.0833333333333" style="7" customWidth="1"/>
    <col min="14" max="14" width="10.0833333333333" style="31" customWidth="1"/>
    <col min="15" max="15" width="13.9166666666667" style="31" customWidth="1"/>
    <col min="16" max="16" width="7.22222222222222" style="171" customWidth="1"/>
    <col min="17" max="17" width="6" style="31" customWidth="1"/>
    <col min="18" max="18" width="10.6666666666667" style="166" customWidth="1"/>
    <col min="19" max="19" width="10.6666666666667" style="172" customWidth="1"/>
    <col min="20" max="20" width="13.6111111111111" style="31" customWidth="1"/>
    <col min="21" max="16384" width="9" style="31"/>
  </cols>
  <sheetData>
    <row r="1" ht="20.4" spans="1:21">
      <c r="A1" s="173" t="s">
        <v>795</v>
      </c>
      <c r="B1" s="174"/>
      <c r="C1" s="174"/>
      <c r="D1" s="173"/>
      <c r="E1" s="175"/>
      <c r="F1" s="176"/>
      <c r="G1" s="177"/>
      <c r="H1" s="173"/>
      <c r="I1" s="173"/>
      <c r="J1" s="175"/>
      <c r="K1" s="176"/>
      <c r="M1" s="227" t="s">
        <v>796</v>
      </c>
      <c r="N1" s="228">
        <v>0.4</v>
      </c>
      <c r="O1" s="229" t="s">
        <v>797</v>
      </c>
      <c r="P1" s="230">
        <v>0.08</v>
      </c>
      <c r="Q1" s="94" t="s">
        <v>116</v>
      </c>
      <c r="R1" s="262" t="s">
        <v>798</v>
      </c>
      <c r="S1" s="263" t="s">
        <v>798</v>
      </c>
      <c r="T1" s="262" t="s">
        <v>798</v>
      </c>
      <c r="U1" s="262" t="s">
        <v>798</v>
      </c>
    </row>
    <row r="2" s="160" customFormat="1" ht="18" customHeight="1" spans="1:21">
      <c r="A2" s="178" t="s">
        <v>799</v>
      </c>
      <c r="B2" s="178" t="s">
        <v>800</v>
      </c>
      <c r="C2" s="179" t="s">
        <v>801</v>
      </c>
      <c r="D2" s="180" t="s">
        <v>802</v>
      </c>
      <c r="E2" s="181"/>
      <c r="F2" s="182"/>
      <c r="G2" s="183"/>
      <c r="H2" s="184" t="s">
        <v>803</v>
      </c>
      <c r="I2" s="184"/>
      <c r="J2" s="231"/>
      <c r="K2" s="232"/>
      <c r="L2" s="233" t="s">
        <v>804</v>
      </c>
      <c r="M2" s="227" t="s">
        <v>805</v>
      </c>
      <c r="N2" s="234">
        <v>1.8</v>
      </c>
      <c r="O2" s="229" t="s">
        <v>806</v>
      </c>
      <c r="P2" s="230">
        <v>0.09</v>
      </c>
      <c r="R2" s="262" t="s">
        <v>807</v>
      </c>
      <c r="S2" s="263" t="s">
        <v>808</v>
      </c>
      <c r="T2" s="264" t="s">
        <v>809</v>
      </c>
      <c r="U2" s="264" t="s">
        <v>810</v>
      </c>
    </row>
    <row r="3" s="160" customFormat="1" ht="18" customHeight="1" spans="1:21">
      <c r="A3" s="178"/>
      <c r="B3" s="178"/>
      <c r="C3" s="185"/>
      <c r="D3" s="186" t="s">
        <v>230</v>
      </c>
      <c r="E3" s="187" t="s">
        <v>811</v>
      </c>
      <c r="F3" s="188" t="s">
        <v>812</v>
      </c>
      <c r="G3" s="189" t="s">
        <v>813</v>
      </c>
      <c r="H3" s="184" t="s">
        <v>230</v>
      </c>
      <c r="I3" s="231" t="s">
        <v>814</v>
      </c>
      <c r="J3" s="231" t="s">
        <v>815</v>
      </c>
      <c r="K3" s="232" t="s">
        <v>816</v>
      </c>
      <c r="L3" s="235" t="s">
        <v>817</v>
      </c>
      <c r="M3" s="236" t="s">
        <v>818</v>
      </c>
      <c r="N3" s="237" t="s">
        <v>819</v>
      </c>
      <c r="R3" s="262"/>
      <c r="S3" s="263"/>
      <c r="T3" s="264"/>
      <c r="U3" s="264"/>
    </row>
    <row r="4" s="161" customFormat="1" ht="24" customHeight="1" spans="1:19">
      <c r="A4" s="190" t="s">
        <v>820</v>
      </c>
      <c r="B4" s="191" t="s">
        <v>821</v>
      </c>
      <c r="C4" s="192" t="s">
        <v>822</v>
      </c>
      <c r="D4" s="193" t="s">
        <v>823</v>
      </c>
      <c r="E4" s="194">
        <v>4620</v>
      </c>
      <c r="F4" s="195">
        <v>0.13</v>
      </c>
      <c r="G4" s="196">
        <f>E4/(1+F4)</f>
        <v>4088.49557522124</v>
      </c>
      <c r="H4" s="197" t="s">
        <v>823</v>
      </c>
      <c r="I4" s="192" t="s">
        <v>824</v>
      </c>
      <c r="J4" s="238">
        <v>1200</v>
      </c>
      <c r="K4" s="239">
        <v>1.03</v>
      </c>
      <c r="L4" s="240">
        <v>30</v>
      </c>
      <c r="M4" s="241"/>
      <c r="N4" s="242"/>
      <c r="O4" s="161" t="str">
        <f>_xlfn.DISPIMG("ID_410C2F40C41F4FEC899A1686C91EFD45",1)</f>
        <v>=DISPIMG("ID_410C2F40C41F4FEC899A1686C91EFD45",1)</v>
      </c>
      <c r="R4" s="250"/>
      <c r="S4" s="265"/>
    </row>
    <row r="5" s="161" customFormat="1" ht="24" customHeight="1" spans="1:19">
      <c r="A5" s="198"/>
      <c r="B5" s="199"/>
      <c r="C5" s="192" t="s">
        <v>825</v>
      </c>
      <c r="D5" s="193" t="s">
        <v>823</v>
      </c>
      <c r="E5" s="194">
        <v>4300</v>
      </c>
      <c r="F5" s="195">
        <v>0.13</v>
      </c>
      <c r="G5" s="196">
        <f>E5/(1+F5)</f>
        <v>3805.30973451327</v>
      </c>
      <c r="H5" s="197" t="s">
        <v>823</v>
      </c>
      <c r="I5" s="192" t="s">
        <v>826</v>
      </c>
      <c r="J5" s="238">
        <v>1100</v>
      </c>
      <c r="K5" s="239">
        <v>1.03</v>
      </c>
      <c r="L5" s="240">
        <v>30</v>
      </c>
      <c r="M5" s="241"/>
      <c r="N5" s="242"/>
      <c r="O5" s="243" t="s">
        <v>827</v>
      </c>
      <c r="R5" s="250"/>
      <c r="S5" s="265"/>
    </row>
    <row r="6" s="161" customFormat="1" ht="24" customHeight="1" spans="1:19">
      <c r="A6" s="198"/>
      <c r="B6" s="199"/>
      <c r="C6" s="192" t="s">
        <v>828</v>
      </c>
      <c r="D6" s="193" t="s">
        <v>823</v>
      </c>
      <c r="E6" s="194">
        <v>4300</v>
      </c>
      <c r="F6" s="195">
        <v>0.13</v>
      </c>
      <c r="G6" s="196">
        <f t="shared" ref="G5:G17" si="0">E6/(1+F6)</f>
        <v>3805.30973451327</v>
      </c>
      <c r="H6" s="200"/>
      <c r="I6" s="197"/>
      <c r="J6" s="238"/>
      <c r="K6" s="239"/>
      <c r="L6" s="240">
        <v>30</v>
      </c>
      <c r="M6" s="241"/>
      <c r="N6" s="242"/>
      <c r="O6" s="171"/>
      <c r="R6" s="250" t="e">
        <f>VLOOKUP(C6,#REF!,3,0)</f>
        <v>#REF!</v>
      </c>
      <c r="S6" s="265" t="e">
        <f>VLOOKUP(R6,$I:$L,2,0)</f>
        <v>#REF!</v>
      </c>
    </row>
    <row r="7" s="161" customFormat="1" ht="24" customHeight="1" spans="1:19">
      <c r="A7" s="198"/>
      <c r="B7" s="199"/>
      <c r="C7" s="192" t="s">
        <v>829</v>
      </c>
      <c r="D7" s="193" t="s">
        <v>823</v>
      </c>
      <c r="E7" s="194">
        <v>4300</v>
      </c>
      <c r="F7" s="195">
        <v>0.13</v>
      </c>
      <c r="G7" s="196">
        <f t="shared" si="0"/>
        <v>3805.30973451327</v>
      </c>
      <c r="H7" s="200"/>
      <c r="I7" s="197"/>
      <c r="J7" s="238"/>
      <c r="K7" s="239"/>
      <c r="L7" s="240">
        <v>30</v>
      </c>
      <c r="M7" s="241"/>
      <c r="N7" s="242"/>
      <c r="O7" s="171"/>
      <c r="R7" s="250" t="e">
        <f>VLOOKUP(C7,#REF!,3,0)</f>
        <v>#REF!</v>
      </c>
      <c r="S7" s="265" t="e">
        <f t="shared" ref="S7:S14" si="1">VLOOKUP(R7,$I:$L,2,0)</f>
        <v>#REF!</v>
      </c>
    </row>
    <row r="8" s="161" customFormat="1" ht="24" customHeight="1" spans="1:19">
      <c r="A8" s="198"/>
      <c r="B8" s="199"/>
      <c r="C8" s="192" t="s">
        <v>830</v>
      </c>
      <c r="D8" s="193" t="s">
        <v>823</v>
      </c>
      <c r="E8" s="194">
        <v>4230</v>
      </c>
      <c r="F8" s="195">
        <v>0.13</v>
      </c>
      <c r="G8" s="196">
        <f t="shared" si="0"/>
        <v>3743.36283185841</v>
      </c>
      <c r="H8" s="200"/>
      <c r="I8" s="197"/>
      <c r="J8" s="238"/>
      <c r="K8" s="239"/>
      <c r="L8" s="240">
        <v>30</v>
      </c>
      <c r="M8" s="241"/>
      <c r="N8" s="242"/>
      <c r="O8" s="171"/>
      <c r="R8" s="250" t="e">
        <f>VLOOKUP(C8,#REF!,3,0)</f>
        <v>#REF!</v>
      </c>
      <c r="S8" s="265" t="e">
        <f t="shared" si="1"/>
        <v>#REF!</v>
      </c>
    </row>
    <row r="9" s="161" customFormat="1" ht="24" customHeight="1" spans="1:19">
      <c r="A9" s="198"/>
      <c r="B9" s="199"/>
      <c r="C9" s="192" t="s">
        <v>831</v>
      </c>
      <c r="D9" s="193" t="s">
        <v>823</v>
      </c>
      <c r="E9" s="194">
        <v>4180</v>
      </c>
      <c r="F9" s="195">
        <v>0.13</v>
      </c>
      <c r="G9" s="196">
        <f t="shared" si="0"/>
        <v>3699.11504424779</v>
      </c>
      <c r="H9" s="197"/>
      <c r="I9" s="197"/>
      <c r="J9" s="238"/>
      <c r="K9" s="239"/>
      <c r="L9" s="240">
        <v>30</v>
      </c>
      <c r="M9" s="241"/>
      <c r="N9" s="242"/>
      <c r="O9" s="171"/>
      <c r="R9" s="250" t="e">
        <f>VLOOKUP(C9,#REF!,3,0)</f>
        <v>#REF!</v>
      </c>
      <c r="S9" s="265" t="e">
        <f t="shared" si="1"/>
        <v>#REF!</v>
      </c>
    </row>
    <row r="10" s="161" customFormat="1" ht="24" customHeight="1" spans="1:19">
      <c r="A10" s="198"/>
      <c r="B10" s="199"/>
      <c r="C10" s="192" t="s">
        <v>832</v>
      </c>
      <c r="D10" s="193" t="s">
        <v>823</v>
      </c>
      <c r="E10" s="194">
        <v>4180</v>
      </c>
      <c r="F10" s="195">
        <v>0.13</v>
      </c>
      <c r="G10" s="196">
        <f t="shared" si="0"/>
        <v>3699.11504424779</v>
      </c>
      <c r="H10" s="197"/>
      <c r="I10" s="197"/>
      <c r="J10" s="238"/>
      <c r="K10" s="239"/>
      <c r="L10" s="240">
        <v>30</v>
      </c>
      <c r="M10" s="241"/>
      <c r="N10" s="242"/>
      <c r="O10" s="171"/>
      <c r="R10" s="250" t="e">
        <f>VLOOKUP(C10,#REF!,3,0)</f>
        <v>#REF!</v>
      </c>
      <c r="S10" s="265" t="e">
        <f t="shared" si="1"/>
        <v>#REF!</v>
      </c>
    </row>
    <row r="11" s="161" customFormat="1" ht="24" customHeight="1" spans="1:19">
      <c r="A11" s="198"/>
      <c r="B11" s="199"/>
      <c r="C11" s="192" t="s">
        <v>833</v>
      </c>
      <c r="D11" s="193" t="s">
        <v>823</v>
      </c>
      <c r="E11" s="194">
        <v>4120</v>
      </c>
      <c r="F11" s="195">
        <v>0.13</v>
      </c>
      <c r="G11" s="196">
        <f t="shared" si="0"/>
        <v>3646.01769911504</v>
      </c>
      <c r="H11" s="197"/>
      <c r="I11" s="197"/>
      <c r="J11" s="238"/>
      <c r="K11" s="239"/>
      <c r="L11" s="240">
        <v>30</v>
      </c>
      <c r="M11" s="241"/>
      <c r="N11" s="242"/>
      <c r="O11" s="171"/>
      <c r="R11" s="250" t="e">
        <f>VLOOKUP(C11,#REF!,3,0)</f>
        <v>#REF!</v>
      </c>
      <c r="S11" s="265" t="e">
        <f t="shared" si="1"/>
        <v>#REF!</v>
      </c>
    </row>
    <row r="12" s="161" customFormat="1" ht="24" customHeight="1" spans="1:19">
      <c r="A12" s="198"/>
      <c r="B12" s="199"/>
      <c r="C12" s="192" t="s">
        <v>834</v>
      </c>
      <c r="D12" s="193" t="s">
        <v>823</v>
      </c>
      <c r="E12" s="194">
        <v>4130</v>
      </c>
      <c r="F12" s="195">
        <v>0.13</v>
      </c>
      <c r="G12" s="196">
        <f t="shared" si="0"/>
        <v>3654.86725663717</v>
      </c>
      <c r="H12" s="197"/>
      <c r="I12" s="197"/>
      <c r="J12" s="238"/>
      <c r="K12" s="239"/>
      <c r="L12" s="240">
        <v>30</v>
      </c>
      <c r="M12" s="241"/>
      <c r="N12" s="242"/>
      <c r="O12" s="171"/>
      <c r="R12" s="250" t="e">
        <f>VLOOKUP(C12,#REF!,3,0)</f>
        <v>#REF!</v>
      </c>
      <c r="S12" s="265" t="e">
        <f t="shared" si="1"/>
        <v>#REF!</v>
      </c>
    </row>
    <row r="13" s="161" customFormat="1" ht="24" customHeight="1" spans="1:19">
      <c r="A13" s="198"/>
      <c r="B13" s="199"/>
      <c r="C13" s="192" t="s">
        <v>835</v>
      </c>
      <c r="D13" s="193" t="s">
        <v>823</v>
      </c>
      <c r="E13" s="194">
        <v>4130</v>
      </c>
      <c r="F13" s="195">
        <v>0.13</v>
      </c>
      <c r="G13" s="196">
        <f t="shared" si="0"/>
        <v>3654.86725663717</v>
      </c>
      <c r="H13" s="197"/>
      <c r="I13" s="197"/>
      <c r="J13" s="238"/>
      <c r="K13" s="239"/>
      <c r="L13" s="240">
        <v>30</v>
      </c>
      <c r="M13" s="241"/>
      <c r="N13" s="242"/>
      <c r="O13" s="171"/>
      <c r="R13" s="250" t="e">
        <f>VLOOKUP(C13,#REF!,3,0)</f>
        <v>#REF!</v>
      </c>
      <c r="S13" s="265" t="e">
        <f t="shared" si="1"/>
        <v>#REF!</v>
      </c>
    </row>
    <row r="14" s="161" customFormat="1" ht="24" customHeight="1" spans="1:19">
      <c r="A14" s="198"/>
      <c r="B14" s="199"/>
      <c r="C14" s="192" t="s">
        <v>836</v>
      </c>
      <c r="D14" s="193" t="s">
        <v>823</v>
      </c>
      <c r="E14" s="194">
        <v>4170</v>
      </c>
      <c r="F14" s="195">
        <v>0.13</v>
      </c>
      <c r="G14" s="196">
        <f t="shared" si="0"/>
        <v>3690.26548672566</v>
      </c>
      <c r="H14" s="197"/>
      <c r="I14" s="197"/>
      <c r="J14" s="238"/>
      <c r="K14" s="239"/>
      <c r="L14" s="240">
        <v>30</v>
      </c>
      <c r="M14" s="241"/>
      <c r="N14" s="242"/>
      <c r="O14" s="171"/>
      <c r="R14" s="250" t="e">
        <f>VLOOKUP(C14,#REF!,3,0)</f>
        <v>#REF!</v>
      </c>
      <c r="S14" s="265" t="e">
        <f t="shared" si="1"/>
        <v>#REF!</v>
      </c>
    </row>
    <row r="15" s="161" customFormat="1" ht="24" customHeight="1" spans="1:19">
      <c r="A15" s="198"/>
      <c r="B15" s="199"/>
      <c r="C15" s="192" t="s">
        <v>837</v>
      </c>
      <c r="D15" s="193" t="s">
        <v>838</v>
      </c>
      <c r="E15" s="201">
        <v>1.13</v>
      </c>
      <c r="F15" s="195">
        <v>0.13</v>
      </c>
      <c r="G15" s="196">
        <f t="shared" si="0"/>
        <v>1</v>
      </c>
      <c r="H15" s="200" t="s">
        <v>838</v>
      </c>
      <c r="I15" s="197" t="s">
        <v>839</v>
      </c>
      <c r="J15" s="238">
        <v>1.6</v>
      </c>
      <c r="K15" s="239">
        <v>1.01</v>
      </c>
      <c r="L15" s="240">
        <v>2</v>
      </c>
      <c r="M15" s="241"/>
      <c r="N15" s="242"/>
      <c r="O15" s="162"/>
      <c r="P15" s="171"/>
      <c r="R15" s="250"/>
      <c r="S15" s="265"/>
    </row>
    <row r="16" s="161" customFormat="1" ht="24" customHeight="1" spans="1:19">
      <c r="A16" s="198"/>
      <c r="B16" s="199"/>
      <c r="C16" s="192" t="s">
        <v>840</v>
      </c>
      <c r="D16" s="193" t="s">
        <v>838</v>
      </c>
      <c r="E16" s="201">
        <v>1.53</v>
      </c>
      <c r="F16" s="195">
        <v>0.13</v>
      </c>
      <c r="G16" s="196">
        <f t="shared" si="0"/>
        <v>1.35398230088496</v>
      </c>
      <c r="H16" s="197"/>
      <c r="I16" s="197"/>
      <c r="J16" s="238"/>
      <c r="K16" s="239"/>
      <c r="L16" s="240">
        <v>2</v>
      </c>
      <c r="M16" s="241"/>
      <c r="N16" s="242"/>
      <c r="O16" s="162"/>
      <c r="P16" s="171"/>
      <c r="R16" s="250" t="e">
        <f>VLOOKUP(C16,#REF!,3,0)</f>
        <v>#REF!</v>
      </c>
      <c r="S16" s="265" t="e">
        <f>VLOOKUP(R16,$I:$L,2,0)</f>
        <v>#REF!</v>
      </c>
    </row>
    <row r="17" s="161" customFormat="1" ht="24" customHeight="1" spans="1:19">
      <c r="A17" s="198"/>
      <c r="B17" s="199"/>
      <c r="C17" s="192" t="s">
        <v>841</v>
      </c>
      <c r="D17" s="193" t="s">
        <v>838</v>
      </c>
      <c r="E17" s="201">
        <v>0</v>
      </c>
      <c r="F17" s="195">
        <v>0.13</v>
      </c>
      <c r="G17" s="196">
        <f t="shared" si="0"/>
        <v>0</v>
      </c>
      <c r="H17" s="200" t="s">
        <v>838</v>
      </c>
      <c r="I17" s="197" t="s">
        <v>842</v>
      </c>
      <c r="J17" s="244">
        <f>2.66</f>
        <v>2.66</v>
      </c>
      <c r="K17" s="239">
        <v>1.01</v>
      </c>
      <c r="L17" s="240">
        <v>0.8</v>
      </c>
      <c r="M17" s="241"/>
      <c r="N17" s="242"/>
      <c r="P17" s="171"/>
      <c r="R17" s="250"/>
      <c r="S17" s="265"/>
    </row>
    <row r="18" s="161" customFormat="1" ht="24" customHeight="1" spans="1:19">
      <c r="A18" s="198"/>
      <c r="B18" s="202" t="s">
        <v>843</v>
      </c>
      <c r="C18" s="203" t="s">
        <v>844</v>
      </c>
      <c r="D18" s="204" t="s">
        <v>845</v>
      </c>
      <c r="E18" s="205">
        <f>E21*1.8</f>
        <v>8.0318592</v>
      </c>
      <c r="F18" s="206">
        <v>0.13</v>
      </c>
      <c r="G18" s="207">
        <f t="shared" ref="G18:G23" si="2">E18/(1+F18)</f>
        <v>7.10784</v>
      </c>
      <c r="H18" s="204" t="s">
        <v>845</v>
      </c>
      <c r="I18" s="216" t="s">
        <v>846</v>
      </c>
      <c r="J18" s="245">
        <v>8</v>
      </c>
      <c r="K18" s="246">
        <v>1</v>
      </c>
      <c r="L18" s="247">
        <v>0.8</v>
      </c>
      <c r="M18" s="241"/>
      <c r="N18" s="242"/>
      <c r="O18" s="248"/>
      <c r="P18" s="171"/>
      <c r="R18" s="250"/>
      <c r="S18" s="265"/>
    </row>
    <row r="19" s="161" customFormat="1" ht="24" customHeight="1" spans="1:19">
      <c r="A19" s="198"/>
      <c r="B19" s="202"/>
      <c r="C19" s="203" t="s">
        <v>847</v>
      </c>
      <c r="D19" s="204" t="s">
        <v>845</v>
      </c>
      <c r="E19" s="205">
        <v>4.8</v>
      </c>
      <c r="F19" s="206">
        <v>0.13</v>
      </c>
      <c r="G19" s="207">
        <f t="shared" si="2"/>
        <v>4.24778761061947</v>
      </c>
      <c r="H19" s="204" t="s">
        <v>845</v>
      </c>
      <c r="I19" s="216" t="s">
        <v>848</v>
      </c>
      <c r="J19" s="245">
        <v>7</v>
      </c>
      <c r="K19" s="246">
        <v>1</v>
      </c>
      <c r="L19" s="247">
        <v>0.8</v>
      </c>
      <c r="M19" s="241"/>
      <c r="N19" s="242"/>
      <c r="P19" s="171"/>
      <c r="R19" s="250"/>
      <c r="S19" s="265"/>
    </row>
    <row r="20" s="161" customFormat="1" ht="24" customHeight="1" spans="1:19">
      <c r="A20" s="198"/>
      <c r="B20" s="202"/>
      <c r="C20" s="203" t="s">
        <v>849</v>
      </c>
      <c r="D20" s="204" t="s">
        <v>845</v>
      </c>
      <c r="E20" s="205">
        <f>E19</f>
        <v>4.8</v>
      </c>
      <c r="F20" s="206">
        <v>0.13</v>
      </c>
      <c r="G20" s="207">
        <f t="shared" si="2"/>
        <v>4.24778761061947</v>
      </c>
      <c r="H20" s="204"/>
      <c r="I20" s="216"/>
      <c r="J20" s="245"/>
      <c r="K20" s="246"/>
      <c r="L20" s="247">
        <v>0.8</v>
      </c>
      <c r="M20" s="241"/>
      <c r="N20" s="242"/>
      <c r="P20" s="171"/>
      <c r="R20" s="250" t="e">
        <f>VLOOKUP(C20,#REF!,3,0)</f>
        <v>#REF!</v>
      </c>
      <c r="S20" s="265" t="e">
        <f>VLOOKUP(R20,$I:$L,2,0)</f>
        <v>#REF!</v>
      </c>
    </row>
    <row r="21" s="161" customFormat="1" ht="24" customHeight="1" spans="1:19">
      <c r="A21" s="198"/>
      <c r="B21" s="202"/>
      <c r="C21" s="203" t="s">
        <v>850</v>
      </c>
      <c r="D21" s="204" t="s">
        <v>845</v>
      </c>
      <c r="E21" s="205">
        <f>5*4*4*0.00617*8*1.13</f>
        <v>4.462144</v>
      </c>
      <c r="F21" s="206">
        <v>0.13</v>
      </c>
      <c r="G21" s="207">
        <f t="shared" si="2"/>
        <v>3.9488</v>
      </c>
      <c r="H21" s="204" t="s">
        <v>845</v>
      </c>
      <c r="I21" s="216" t="s">
        <v>851</v>
      </c>
      <c r="J21" s="245">
        <v>2</v>
      </c>
      <c r="K21" s="246">
        <v>1.03</v>
      </c>
      <c r="L21" s="247">
        <v>0.8</v>
      </c>
      <c r="M21" s="241"/>
      <c r="N21" s="242"/>
      <c r="P21" s="171"/>
      <c r="R21" s="250"/>
      <c r="S21" s="265"/>
    </row>
    <row r="22" s="161" customFormat="1" ht="24" customHeight="1" spans="1:19">
      <c r="A22" s="198"/>
      <c r="B22" s="202"/>
      <c r="C22" s="203" t="s">
        <v>852</v>
      </c>
      <c r="D22" s="204" t="s">
        <v>845</v>
      </c>
      <c r="E22" s="205">
        <f>5*3*3*0.00617*38*1.13</f>
        <v>11.922291</v>
      </c>
      <c r="F22" s="206">
        <v>0.13</v>
      </c>
      <c r="G22" s="207">
        <f t="shared" si="2"/>
        <v>10.5507</v>
      </c>
      <c r="H22" s="204" t="s">
        <v>845</v>
      </c>
      <c r="I22" s="216"/>
      <c r="J22" s="249"/>
      <c r="K22" s="246"/>
      <c r="L22" s="247">
        <v>0.8</v>
      </c>
      <c r="M22" s="241"/>
      <c r="N22" s="242"/>
      <c r="P22" s="171"/>
      <c r="R22" s="250" t="e">
        <f>VLOOKUP(C22,#REF!,3,0)</f>
        <v>#REF!</v>
      </c>
      <c r="S22" s="265" t="e">
        <f>VLOOKUP(R22,$I:$L,2,0)</f>
        <v>#REF!</v>
      </c>
    </row>
    <row r="23" s="161" customFormat="1" ht="24" customHeight="1" spans="1:19">
      <c r="A23" s="198"/>
      <c r="B23" s="202"/>
      <c r="C23" s="203" t="s">
        <v>853</v>
      </c>
      <c r="D23" s="204" t="s">
        <v>845</v>
      </c>
      <c r="E23" s="205">
        <f>E22*2</f>
        <v>23.844582</v>
      </c>
      <c r="F23" s="206">
        <v>0.13</v>
      </c>
      <c r="G23" s="207">
        <f t="shared" si="2"/>
        <v>21.1014</v>
      </c>
      <c r="H23" s="204" t="s">
        <v>845</v>
      </c>
      <c r="I23" s="216" t="s">
        <v>854</v>
      </c>
      <c r="J23" s="245">
        <v>4</v>
      </c>
      <c r="K23" s="246">
        <v>1.03</v>
      </c>
      <c r="L23" s="247">
        <v>0.8</v>
      </c>
      <c r="M23" s="241"/>
      <c r="N23" s="242"/>
      <c r="P23" s="171"/>
      <c r="R23" s="250"/>
      <c r="S23" s="265"/>
    </row>
    <row r="24" s="161" customFormat="1" ht="24" customHeight="1" spans="1:19">
      <c r="A24" s="198"/>
      <c r="B24" s="199" t="s">
        <v>855</v>
      </c>
      <c r="C24" s="192" t="s">
        <v>856</v>
      </c>
      <c r="D24" s="193" t="s">
        <v>823</v>
      </c>
      <c r="E24" s="208">
        <f>4053.64+200</f>
        <v>4253.64</v>
      </c>
      <c r="F24" s="195">
        <v>0.13</v>
      </c>
      <c r="G24" s="196">
        <f t="shared" ref="G24:G80" si="3">E24/(1+F24)</f>
        <v>3764.28318584071</v>
      </c>
      <c r="H24" s="197" t="s">
        <v>823</v>
      </c>
      <c r="I24" s="192" t="s">
        <v>857</v>
      </c>
      <c r="J24" s="238">
        <v>200</v>
      </c>
      <c r="K24" s="239">
        <v>1</v>
      </c>
      <c r="L24" s="240">
        <v>75</v>
      </c>
      <c r="M24" s="241"/>
      <c r="N24" s="242"/>
      <c r="O24" s="250" t="s">
        <v>858</v>
      </c>
      <c r="P24" s="250" t="s">
        <v>859</v>
      </c>
      <c r="R24" s="250"/>
      <c r="S24" s="265"/>
    </row>
    <row r="25" s="161" customFormat="1" ht="24" customHeight="1" spans="1:19">
      <c r="A25" s="198"/>
      <c r="B25" s="199"/>
      <c r="C25" s="192" t="s">
        <v>860</v>
      </c>
      <c r="D25" s="193" t="s">
        <v>823</v>
      </c>
      <c r="E25" s="208">
        <f>4088.57+200</f>
        <v>4288.57</v>
      </c>
      <c r="F25" s="195">
        <v>0.13</v>
      </c>
      <c r="G25" s="196">
        <f t="shared" si="3"/>
        <v>3795.19469026549</v>
      </c>
      <c r="H25" s="197" t="s">
        <v>823</v>
      </c>
      <c r="I25" s="192" t="s">
        <v>861</v>
      </c>
      <c r="J25" s="238">
        <v>350</v>
      </c>
      <c r="K25" s="239">
        <v>1</v>
      </c>
      <c r="L25" s="240">
        <v>185</v>
      </c>
      <c r="M25" s="241"/>
      <c r="N25" s="242"/>
      <c r="O25" s="250"/>
      <c r="P25" s="250"/>
      <c r="R25" s="250"/>
      <c r="S25" s="265"/>
    </row>
    <row r="26" s="161" customFormat="1" ht="24" customHeight="1" spans="1:19">
      <c r="A26" s="198"/>
      <c r="B26" s="199"/>
      <c r="C26" s="192" t="s">
        <v>862</v>
      </c>
      <c r="D26" s="193" t="s">
        <v>823</v>
      </c>
      <c r="E26" s="208">
        <f>4220+200</f>
        <v>4420</v>
      </c>
      <c r="F26" s="195">
        <v>0.13</v>
      </c>
      <c r="G26" s="196">
        <f t="shared" si="3"/>
        <v>3911.50442477876</v>
      </c>
      <c r="H26" s="197" t="s">
        <v>823</v>
      </c>
      <c r="I26" s="192" t="s">
        <v>861</v>
      </c>
      <c r="J26" s="238">
        <v>350</v>
      </c>
      <c r="K26" s="239">
        <v>1</v>
      </c>
      <c r="L26" s="240">
        <v>185</v>
      </c>
      <c r="M26" s="241"/>
      <c r="N26" s="242"/>
      <c r="O26" s="250" t="s">
        <v>863</v>
      </c>
      <c r="P26" s="250"/>
      <c r="R26" s="250"/>
      <c r="S26" s="265"/>
    </row>
    <row r="27" s="161" customFormat="1" ht="24" customHeight="1" spans="1:19">
      <c r="A27" s="209"/>
      <c r="B27" s="210"/>
      <c r="C27" s="192" t="s">
        <v>522</v>
      </c>
      <c r="D27" s="193" t="s">
        <v>823</v>
      </c>
      <c r="E27" s="208">
        <f>4220+200</f>
        <v>4420</v>
      </c>
      <c r="F27" s="195">
        <v>0.13</v>
      </c>
      <c r="G27" s="196">
        <f t="shared" si="3"/>
        <v>3911.50442477876</v>
      </c>
      <c r="H27" s="197" t="s">
        <v>823</v>
      </c>
      <c r="I27" s="197" t="s">
        <v>864</v>
      </c>
      <c r="J27" s="238">
        <v>2000</v>
      </c>
      <c r="K27" s="239">
        <v>1.03</v>
      </c>
      <c r="L27" s="240">
        <v>800</v>
      </c>
      <c r="M27" s="241"/>
      <c r="N27" s="242"/>
      <c r="O27" s="250"/>
      <c r="P27" s="250"/>
      <c r="R27" s="250"/>
      <c r="S27" s="265"/>
    </row>
    <row r="28" s="161" customFormat="1" ht="24" customHeight="1" spans="1:19">
      <c r="A28" s="211" t="s">
        <v>865</v>
      </c>
      <c r="B28" s="212" t="s">
        <v>866</v>
      </c>
      <c r="C28" s="203" t="s">
        <v>867</v>
      </c>
      <c r="D28" s="213" t="s">
        <v>868</v>
      </c>
      <c r="E28" s="214">
        <f>M28*$N$2</f>
        <v>854.28</v>
      </c>
      <c r="F28" s="215">
        <v>0.13</v>
      </c>
      <c r="G28" s="207">
        <f t="shared" si="3"/>
        <v>756</v>
      </c>
      <c r="H28" s="216" t="s">
        <v>845</v>
      </c>
      <c r="I28" s="216" t="s">
        <v>869</v>
      </c>
      <c r="J28" s="245">
        <v>20</v>
      </c>
      <c r="K28" s="246">
        <v>1.01</v>
      </c>
      <c r="L28" s="247">
        <v>1</v>
      </c>
      <c r="M28" s="251">
        <f>420*1.13</f>
        <v>474.6</v>
      </c>
      <c r="N28" s="252" t="s">
        <v>870</v>
      </c>
      <c r="O28" s="253"/>
      <c r="P28" s="254"/>
      <c r="R28" s="250"/>
      <c r="S28" s="265"/>
    </row>
    <row r="29" s="161" customFormat="1" ht="24" customHeight="1" spans="1:19">
      <c r="A29" s="211"/>
      <c r="B29" s="212"/>
      <c r="C29" s="203" t="s">
        <v>871</v>
      </c>
      <c r="D29" s="213" t="s">
        <v>868</v>
      </c>
      <c r="E29" s="214">
        <f>M29*$N$2</f>
        <v>854.28</v>
      </c>
      <c r="F29" s="215">
        <v>0.13</v>
      </c>
      <c r="G29" s="207">
        <f t="shared" si="3"/>
        <v>756</v>
      </c>
      <c r="H29" s="216" t="s">
        <v>845</v>
      </c>
      <c r="I29" s="255" t="s">
        <v>872</v>
      </c>
      <c r="J29" s="245">
        <v>12</v>
      </c>
      <c r="K29" s="246">
        <v>1.01</v>
      </c>
      <c r="L29" s="247">
        <v>1</v>
      </c>
      <c r="M29" s="251">
        <f>420*1.13</f>
        <v>474.6</v>
      </c>
      <c r="N29" s="252" t="s">
        <v>870</v>
      </c>
      <c r="O29" s="253"/>
      <c r="P29" s="254"/>
      <c r="R29" s="250"/>
      <c r="S29" s="265"/>
    </row>
    <row r="30" s="161" customFormat="1" ht="24" customHeight="1" spans="1:19">
      <c r="A30" s="217"/>
      <c r="B30" s="212"/>
      <c r="C30" s="203" t="s">
        <v>873</v>
      </c>
      <c r="D30" s="213" t="s">
        <v>868</v>
      </c>
      <c r="E30" s="214">
        <f>M30*$N$2</f>
        <v>854.28</v>
      </c>
      <c r="F30" s="215">
        <v>0.13</v>
      </c>
      <c r="G30" s="207">
        <f t="shared" si="3"/>
        <v>756</v>
      </c>
      <c r="H30" s="216" t="s">
        <v>845</v>
      </c>
      <c r="I30" s="216" t="s">
        <v>874</v>
      </c>
      <c r="J30" s="245">
        <v>12</v>
      </c>
      <c r="K30" s="246">
        <v>1.05</v>
      </c>
      <c r="L30" s="247">
        <v>1</v>
      </c>
      <c r="M30" s="251">
        <f>420*1.13</f>
        <v>474.6</v>
      </c>
      <c r="N30" s="252" t="s">
        <v>870</v>
      </c>
      <c r="O30" s="253"/>
      <c r="P30" s="254"/>
      <c r="R30" s="250"/>
      <c r="S30" s="265"/>
    </row>
    <row r="31" s="161" customFormat="1" ht="24" customHeight="1" spans="1:19">
      <c r="A31" s="217"/>
      <c r="B31" s="212"/>
      <c r="C31" s="203" t="s">
        <v>875</v>
      </c>
      <c r="D31" s="213" t="s">
        <v>868</v>
      </c>
      <c r="E31" s="214">
        <f>M31*$N$2</f>
        <v>1627.2</v>
      </c>
      <c r="F31" s="215">
        <v>0.13</v>
      </c>
      <c r="G31" s="207">
        <f t="shared" si="3"/>
        <v>1440</v>
      </c>
      <c r="H31" s="216" t="s">
        <v>845</v>
      </c>
      <c r="I31" s="216" t="s">
        <v>876</v>
      </c>
      <c r="J31" s="245">
        <v>13</v>
      </c>
      <c r="K31" s="246">
        <v>1.01</v>
      </c>
      <c r="L31" s="247">
        <v>1</v>
      </c>
      <c r="M31" s="251">
        <f>800*1.13</f>
        <v>904</v>
      </c>
      <c r="N31" s="252" t="s">
        <v>870</v>
      </c>
      <c r="O31" s="253"/>
      <c r="P31" s="254"/>
      <c r="R31" s="250"/>
      <c r="S31" s="265"/>
    </row>
    <row r="32" s="161" customFormat="1" ht="24" customHeight="1" spans="1:19">
      <c r="A32" s="217"/>
      <c r="B32" s="212"/>
      <c r="C32" s="203" t="s">
        <v>877</v>
      </c>
      <c r="D32" s="213" t="s">
        <v>868</v>
      </c>
      <c r="E32" s="214">
        <f>M32*$N$2</f>
        <v>689.526</v>
      </c>
      <c r="F32" s="215">
        <v>0.13</v>
      </c>
      <c r="G32" s="207">
        <f t="shared" si="3"/>
        <v>610.2</v>
      </c>
      <c r="H32" s="216" t="s">
        <v>845</v>
      </c>
      <c r="I32" s="216" t="s">
        <v>878</v>
      </c>
      <c r="J32" s="245">
        <v>18</v>
      </c>
      <c r="K32" s="246">
        <v>1.01</v>
      </c>
      <c r="L32" s="247">
        <v>1</v>
      </c>
      <c r="M32" s="251">
        <f>339*1.13</f>
        <v>383.07</v>
      </c>
      <c r="N32" s="252" t="s">
        <v>870</v>
      </c>
      <c r="O32" s="253"/>
      <c r="P32" s="254"/>
      <c r="R32" s="250"/>
      <c r="S32" s="265"/>
    </row>
    <row r="33" s="161" customFormat="1" ht="24" customHeight="1" spans="1:19">
      <c r="A33" s="217"/>
      <c r="B33" s="212"/>
      <c r="C33" s="203" t="s">
        <v>879</v>
      </c>
      <c r="D33" s="213" t="s">
        <v>868</v>
      </c>
      <c r="E33" s="214">
        <f>M33*$N$2</f>
        <v>854.28</v>
      </c>
      <c r="F33" s="215">
        <v>0.13</v>
      </c>
      <c r="G33" s="207">
        <f t="shared" si="3"/>
        <v>756</v>
      </c>
      <c r="H33" s="216" t="s">
        <v>845</v>
      </c>
      <c r="I33" s="216" t="s">
        <v>880</v>
      </c>
      <c r="J33" s="245">
        <v>10</v>
      </c>
      <c r="K33" s="246">
        <v>1.01</v>
      </c>
      <c r="L33" s="247">
        <v>1</v>
      </c>
      <c r="M33" s="251">
        <f>M30</f>
        <v>474.6</v>
      </c>
      <c r="N33" s="252" t="s">
        <v>870</v>
      </c>
      <c r="O33" s="253"/>
      <c r="P33" s="254"/>
      <c r="R33" s="250"/>
      <c r="S33" s="265"/>
    </row>
    <row r="34" s="161" customFormat="1" ht="24" customHeight="1" spans="1:19">
      <c r="A34" s="217"/>
      <c r="B34" s="212"/>
      <c r="C34" s="203" t="s">
        <v>881</v>
      </c>
      <c r="D34" s="213" t="s">
        <v>868</v>
      </c>
      <c r="E34" s="214">
        <f>M34*$N$2</f>
        <v>610.2</v>
      </c>
      <c r="F34" s="215">
        <v>0.13</v>
      </c>
      <c r="G34" s="207">
        <f t="shared" si="3"/>
        <v>540</v>
      </c>
      <c r="H34" s="216" t="s">
        <v>845</v>
      </c>
      <c r="I34" s="216" t="s">
        <v>882</v>
      </c>
      <c r="J34" s="245">
        <v>7</v>
      </c>
      <c r="K34" s="246">
        <f>K30</f>
        <v>1.05</v>
      </c>
      <c r="L34" s="247">
        <v>1</v>
      </c>
      <c r="M34" s="251">
        <v>339</v>
      </c>
      <c r="N34" s="252" t="s">
        <v>870</v>
      </c>
      <c r="O34" s="253"/>
      <c r="P34" s="254"/>
      <c r="R34" s="250"/>
      <c r="S34" s="265"/>
    </row>
    <row r="35" s="161" customFormat="1" ht="24" customHeight="1" spans="1:19">
      <c r="A35" s="217"/>
      <c r="B35" s="212"/>
      <c r="C35" s="203" t="s">
        <v>883</v>
      </c>
      <c r="D35" s="213" t="s">
        <v>868</v>
      </c>
      <c r="E35" s="214">
        <f>M35*$N$2</f>
        <v>610.2</v>
      </c>
      <c r="F35" s="215">
        <v>0.13</v>
      </c>
      <c r="G35" s="207">
        <f t="shared" si="3"/>
        <v>540</v>
      </c>
      <c r="H35" s="216" t="s">
        <v>845</v>
      </c>
      <c r="I35" s="216" t="s">
        <v>884</v>
      </c>
      <c r="J35" s="245">
        <v>21.5</v>
      </c>
      <c r="K35" s="256">
        <v>1.05</v>
      </c>
      <c r="L35" s="247">
        <v>1</v>
      </c>
      <c r="M35" s="251">
        <v>339</v>
      </c>
      <c r="N35" s="252" t="s">
        <v>870</v>
      </c>
      <c r="O35" s="253"/>
      <c r="P35" s="254"/>
      <c r="R35" s="250"/>
      <c r="S35" s="265"/>
    </row>
    <row r="36" s="161" customFormat="1" ht="24" customHeight="1" spans="1:22">
      <c r="A36" s="217"/>
      <c r="B36" s="212"/>
      <c r="C36" s="203" t="s">
        <v>885</v>
      </c>
      <c r="D36" s="213" t="s">
        <v>868</v>
      </c>
      <c r="E36" s="214">
        <f>M36*$N$2</f>
        <v>610.2</v>
      </c>
      <c r="F36" s="215">
        <v>0.13</v>
      </c>
      <c r="G36" s="207">
        <f t="shared" si="3"/>
        <v>540</v>
      </c>
      <c r="H36" s="216" t="s">
        <v>845</v>
      </c>
      <c r="I36" s="216" t="s">
        <v>886</v>
      </c>
      <c r="J36" s="245">
        <v>15</v>
      </c>
      <c r="K36" s="246">
        <v>1.01</v>
      </c>
      <c r="L36" s="247">
        <v>1</v>
      </c>
      <c r="M36" s="251">
        <v>339</v>
      </c>
      <c r="N36" s="252" t="s">
        <v>870</v>
      </c>
      <c r="O36" s="253"/>
      <c r="P36" s="254"/>
      <c r="R36" s="250"/>
      <c r="S36" s="265"/>
      <c r="V36" s="162"/>
    </row>
    <row r="37" s="161" customFormat="1" ht="24" customHeight="1" spans="1:19">
      <c r="A37" s="217"/>
      <c r="B37" s="212"/>
      <c r="C37" s="203" t="s">
        <v>887</v>
      </c>
      <c r="D37" s="213" t="s">
        <v>868</v>
      </c>
      <c r="E37" s="214">
        <f>M37*$N$2</f>
        <v>610.2</v>
      </c>
      <c r="F37" s="215">
        <v>0.13</v>
      </c>
      <c r="G37" s="207">
        <f t="shared" si="3"/>
        <v>540</v>
      </c>
      <c r="H37" s="216" t="s">
        <v>845</v>
      </c>
      <c r="I37" s="216" t="s">
        <v>888</v>
      </c>
      <c r="J37" s="245">
        <v>18</v>
      </c>
      <c r="K37" s="256">
        <v>1.01</v>
      </c>
      <c r="L37" s="247">
        <v>1</v>
      </c>
      <c r="M37" s="251">
        <v>339</v>
      </c>
      <c r="N37" s="252" t="s">
        <v>870</v>
      </c>
      <c r="O37" s="253"/>
      <c r="P37" s="254"/>
      <c r="R37" s="250"/>
      <c r="S37" s="265"/>
    </row>
    <row r="38" s="161" customFormat="1" ht="24" customHeight="1" spans="1:19">
      <c r="A38" s="217"/>
      <c r="B38" s="212"/>
      <c r="C38" s="203" t="s">
        <v>889</v>
      </c>
      <c r="D38" s="213" t="s">
        <v>868</v>
      </c>
      <c r="E38" s="214">
        <f>M38*$N$2</f>
        <v>610.2</v>
      </c>
      <c r="F38" s="215">
        <v>0.13</v>
      </c>
      <c r="G38" s="207">
        <f t="shared" si="3"/>
        <v>540</v>
      </c>
      <c r="H38" s="216" t="s">
        <v>845</v>
      </c>
      <c r="I38" s="216" t="s">
        <v>890</v>
      </c>
      <c r="J38" s="245">
        <v>18</v>
      </c>
      <c r="K38" s="246">
        <v>1.01</v>
      </c>
      <c r="L38" s="247">
        <v>1</v>
      </c>
      <c r="M38" s="251">
        <v>339</v>
      </c>
      <c r="N38" s="252" t="s">
        <v>870</v>
      </c>
      <c r="O38" s="253"/>
      <c r="P38" s="254"/>
      <c r="R38" s="250" t="e">
        <f>VLOOKUP(C38,#REF!,3,0)</f>
        <v>#REF!</v>
      </c>
      <c r="S38" s="265" t="e">
        <f>VLOOKUP(R38,$I:$L,2,0)</f>
        <v>#REF!</v>
      </c>
    </row>
    <row r="39" s="162" customFormat="1" ht="24" customHeight="1" spans="1:22">
      <c r="A39" s="218"/>
      <c r="B39" s="219"/>
      <c r="C39" s="220" t="s">
        <v>891</v>
      </c>
      <c r="D39" s="213" t="s">
        <v>868</v>
      </c>
      <c r="E39" s="214">
        <f>M39*$N$2</f>
        <v>756</v>
      </c>
      <c r="F39" s="215">
        <v>0.13</v>
      </c>
      <c r="G39" s="207">
        <f t="shared" si="3"/>
        <v>669.026548672566</v>
      </c>
      <c r="H39" s="221"/>
      <c r="I39" s="221"/>
      <c r="J39" s="214"/>
      <c r="K39" s="257"/>
      <c r="L39" s="247">
        <v>1</v>
      </c>
      <c r="M39" s="251">
        <v>420</v>
      </c>
      <c r="N39" s="258" t="s">
        <v>870</v>
      </c>
      <c r="O39" s="259"/>
      <c r="P39" s="260"/>
      <c r="R39" s="250" t="e">
        <f>VLOOKUP(C39,#REF!,3,0)</f>
        <v>#REF!</v>
      </c>
      <c r="S39" s="265" t="e">
        <f>VLOOKUP(R39,$I:$L,2,0)</f>
        <v>#REF!</v>
      </c>
      <c r="V39" s="161"/>
    </row>
    <row r="40" s="161" customFormat="1" ht="24" customHeight="1" spans="1:19">
      <c r="A40" s="217"/>
      <c r="B40" s="212"/>
      <c r="C40" s="203" t="s">
        <v>892</v>
      </c>
      <c r="D40" s="213" t="s">
        <v>868</v>
      </c>
      <c r="E40" s="214">
        <f>M40*$N$2</f>
        <v>610.2</v>
      </c>
      <c r="F40" s="215">
        <v>0.13</v>
      </c>
      <c r="G40" s="207">
        <f t="shared" si="3"/>
        <v>540</v>
      </c>
      <c r="H40" s="216"/>
      <c r="I40" s="216"/>
      <c r="J40" s="245"/>
      <c r="K40" s="246"/>
      <c r="L40" s="247">
        <v>1</v>
      </c>
      <c r="M40" s="251">
        <v>339</v>
      </c>
      <c r="N40" s="252" t="s">
        <v>870</v>
      </c>
      <c r="O40" s="253"/>
      <c r="P40" s="254"/>
      <c r="R40" s="250" t="e">
        <f>VLOOKUP(C40,#REF!,3,0)</f>
        <v>#REF!</v>
      </c>
      <c r="S40" s="265" t="e">
        <f>VLOOKUP(R40,$I:$L,2,0)</f>
        <v>#REF!</v>
      </c>
    </row>
    <row r="41" s="161" customFormat="1" ht="24" customHeight="1" spans="1:19">
      <c r="A41" s="217"/>
      <c r="B41" s="212"/>
      <c r="C41" s="203" t="s">
        <v>893</v>
      </c>
      <c r="D41" s="213" t="s">
        <v>868</v>
      </c>
      <c r="E41" s="214">
        <f>M41*$N$2</f>
        <v>610.2</v>
      </c>
      <c r="F41" s="215">
        <v>0.13</v>
      </c>
      <c r="G41" s="207">
        <f t="shared" si="3"/>
        <v>540</v>
      </c>
      <c r="H41" s="216"/>
      <c r="I41" s="216"/>
      <c r="J41" s="245"/>
      <c r="K41" s="246"/>
      <c r="L41" s="247">
        <v>1</v>
      </c>
      <c r="M41" s="251">
        <v>339</v>
      </c>
      <c r="N41" s="252" t="s">
        <v>870</v>
      </c>
      <c r="O41" s="253"/>
      <c r="P41" s="254"/>
      <c r="R41" s="250"/>
      <c r="S41" s="265"/>
    </row>
    <row r="42" s="161" customFormat="1" ht="24" customHeight="1" spans="1:19">
      <c r="A42" s="217"/>
      <c r="B42" s="212"/>
      <c r="C42" s="203" t="s">
        <v>894</v>
      </c>
      <c r="D42" s="213" t="s">
        <v>868</v>
      </c>
      <c r="E42" s="214">
        <f>M42*$N$2</f>
        <v>610.2</v>
      </c>
      <c r="F42" s="215">
        <v>0.13</v>
      </c>
      <c r="G42" s="207">
        <f t="shared" si="3"/>
        <v>540</v>
      </c>
      <c r="H42" s="216"/>
      <c r="I42" s="216"/>
      <c r="J42" s="245"/>
      <c r="K42" s="246"/>
      <c r="L42" s="247">
        <v>1</v>
      </c>
      <c r="M42" s="251">
        <v>339</v>
      </c>
      <c r="N42" s="252" t="s">
        <v>870</v>
      </c>
      <c r="O42" s="253"/>
      <c r="P42" s="254"/>
      <c r="R42" s="250"/>
      <c r="S42" s="265"/>
    </row>
    <row r="43" s="161" customFormat="1" ht="24" customHeight="1" spans="1:19">
      <c r="A43" s="217"/>
      <c r="B43" s="212"/>
      <c r="C43" s="203" t="s">
        <v>895</v>
      </c>
      <c r="D43" s="213" t="s">
        <v>868</v>
      </c>
      <c r="E43" s="214">
        <f>M43*$N$2</f>
        <v>610.2</v>
      </c>
      <c r="F43" s="215">
        <v>0.13</v>
      </c>
      <c r="G43" s="207">
        <f t="shared" si="3"/>
        <v>540</v>
      </c>
      <c r="H43" s="216"/>
      <c r="I43" s="216"/>
      <c r="J43" s="245"/>
      <c r="K43" s="246"/>
      <c r="L43" s="247">
        <v>1</v>
      </c>
      <c r="M43" s="251">
        <v>339</v>
      </c>
      <c r="N43" s="252" t="s">
        <v>870</v>
      </c>
      <c r="O43" s="253"/>
      <c r="P43" s="254"/>
      <c r="R43" s="250"/>
      <c r="S43" s="265"/>
    </row>
    <row r="44" s="161" customFormat="1" ht="24" customHeight="1" spans="1:19">
      <c r="A44" s="217"/>
      <c r="B44" s="212"/>
      <c r="C44" s="203" t="s">
        <v>896</v>
      </c>
      <c r="D44" s="213" t="s">
        <v>868</v>
      </c>
      <c r="E44" s="214">
        <f>M44*$N$2</f>
        <v>614.268</v>
      </c>
      <c r="F44" s="215">
        <v>0.13</v>
      </c>
      <c r="G44" s="207">
        <f t="shared" si="3"/>
        <v>543.6</v>
      </c>
      <c r="H44" s="216"/>
      <c r="I44" s="216"/>
      <c r="J44" s="245"/>
      <c r="K44" s="246"/>
      <c r="L44" s="247">
        <v>1</v>
      </c>
      <c r="M44" s="251">
        <v>341.26</v>
      </c>
      <c r="N44" s="252" t="s">
        <v>870</v>
      </c>
      <c r="O44" s="253"/>
      <c r="P44" s="254"/>
      <c r="R44" s="250"/>
      <c r="S44" s="265"/>
    </row>
    <row r="45" s="161" customFormat="1" ht="24" customHeight="1" spans="1:19">
      <c r="A45" s="217"/>
      <c r="B45" s="212"/>
      <c r="C45" s="203" t="s">
        <v>897</v>
      </c>
      <c r="D45" s="213" t="s">
        <v>868</v>
      </c>
      <c r="E45" s="214">
        <f>M45*$N$2</f>
        <v>610.2</v>
      </c>
      <c r="F45" s="215">
        <v>0.13</v>
      </c>
      <c r="G45" s="207">
        <f t="shared" si="3"/>
        <v>540</v>
      </c>
      <c r="H45" s="216"/>
      <c r="I45" s="216"/>
      <c r="J45" s="245"/>
      <c r="K45" s="246"/>
      <c r="L45" s="247">
        <v>1</v>
      </c>
      <c r="M45" s="251">
        <v>339</v>
      </c>
      <c r="N45" s="252" t="s">
        <v>870</v>
      </c>
      <c r="O45" s="253"/>
      <c r="P45" s="254"/>
      <c r="R45" s="250"/>
      <c r="S45" s="265"/>
    </row>
    <row r="46" s="161" customFormat="1" ht="24" customHeight="1" spans="1:19">
      <c r="A46" s="217"/>
      <c r="B46" s="212"/>
      <c r="C46" s="222" t="s">
        <v>898</v>
      </c>
      <c r="D46" s="213" t="s">
        <v>868</v>
      </c>
      <c r="E46" s="214">
        <f>M46</f>
        <v>720</v>
      </c>
      <c r="F46" s="215">
        <v>0.13</v>
      </c>
      <c r="G46" s="207">
        <f t="shared" si="3"/>
        <v>637.16814159292</v>
      </c>
      <c r="H46" s="216"/>
      <c r="I46" s="216"/>
      <c r="J46" s="245"/>
      <c r="K46" s="246"/>
      <c r="L46" s="247">
        <v>0</v>
      </c>
      <c r="M46" s="251">
        <f>720</f>
        <v>720</v>
      </c>
      <c r="N46" s="252" t="s">
        <v>870</v>
      </c>
      <c r="O46" s="253"/>
      <c r="P46" s="254"/>
      <c r="R46" s="250" t="e">
        <f>VLOOKUP(C46,#REF!,3,0)</f>
        <v>#REF!</v>
      </c>
      <c r="S46" s="265" t="e">
        <f>VLOOKUP(R46,$I:$L,2,0)</f>
        <v>#REF!</v>
      </c>
    </row>
    <row r="47" s="161" customFormat="1" ht="24" customHeight="1" spans="1:19">
      <c r="A47" s="217"/>
      <c r="B47" s="223" t="s">
        <v>899</v>
      </c>
      <c r="C47" s="203" t="s">
        <v>900</v>
      </c>
      <c r="D47" s="213" t="s">
        <v>868</v>
      </c>
      <c r="E47" s="224">
        <v>330</v>
      </c>
      <c r="F47" s="225">
        <v>0.03</v>
      </c>
      <c r="G47" s="207">
        <f t="shared" si="3"/>
        <v>320.388349514563</v>
      </c>
      <c r="H47" s="216" t="s">
        <v>868</v>
      </c>
      <c r="I47" s="216" t="s">
        <v>145</v>
      </c>
      <c r="J47" s="245">
        <v>45</v>
      </c>
      <c r="K47" s="246">
        <v>1.01</v>
      </c>
      <c r="L47" s="247">
        <v>2</v>
      </c>
      <c r="M47" s="241"/>
      <c r="N47" s="242"/>
      <c r="P47" s="171"/>
      <c r="R47" s="250"/>
      <c r="S47" s="265"/>
    </row>
    <row r="48" s="161" customFormat="1" ht="24" customHeight="1" spans="1:19">
      <c r="A48" s="217"/>
      <c r="B48" s="226"/>
      <c r="C48" s="203" t="s">
        <v>901</v>
      </c>
      <c r="D48" s="213" t="s">
        <v>868</v>
      </c>
      <c r="E48" s="224">
        <v>320</v>
      </c>
      <c r="F48" s="225">
        <v>0.03</v>
      </c>
      <c r="G48" s="207">
        <f t="shared" si="3"/>
        <v>310.679611650485</v>
      </c>
      <c r="H48" s="216" t="s">
        <v>868</v>
      </c>
      <c r="I48" s="216" t="s">
        <v>147</v>
      </c>
      <c r="J48" s="245">
        <v>60</v>
      </c>
      <c r="K48" s="246">
        <v>1.01</v>
      </c>
      <c r="L48" s="247">
        <v>2</v>
      </c>
      <c r="M48" s="241"/>
      <c r="N48" s="242"/>
      <c r="P48" s="171"/>
      <c r="R48" s="250"/>
      <c r="S48" s="265"/>
    </row>
    <row r="49" s="161" customFormat="1" ht="24" customHeight="1" spans="1:19">
      <c r="A49" s="217"/>
      <c r="B49" s="226"/>
      <c r="C49" s="203" t="s">
        <v>902</v>
      </c>
      <c r="D49" s="213" t="s">
        <v>868</v>
      </c>
      <c r="E49" s="224">
        <v>330</v>
      </c>
      <c r="F49" s="225">
        <v>0.03</v>
      </c>
      <c r="G49" s="207">
        <f t="shared" si="3"/>
        <v>320.388349514563</v>
      </c>
      <c r="H49" s="216" t="s">
        <v>845</v>
      </c>
      <c r="I49" s="216" t="s">
        <v>903</v>
      </c>
      <c r="J49" s="261">
        <v>12</v>
      </c>
      <c r="K49" s="246">
        <v>1.01</v>
      </c>
      <c r="L49" s="247">
        <v>2</v>
      </c>
      <c r="M49" s="241"/>
      <c r="N49" s="242"/>
      <c r="P49" s="171"/>
      <c r="R49" s="250"/>
      <c r="S49" s="265"/>
    </row>
    <row r="50" s="161" customFormat="1" ht="24" customHeight="1" spans="1:19">
      <c r="A50" s="217"/>
      <c r="B50" s="226"/>
      <c r="C50" s="203" t="s">
        <v>904</v>
      </c>
      <c r="D50" s="213" t="s">
        <v>868</v>
      </c>
      <c r="E50" s="224">
        <v>330</v>
      </c>
      <c r="F50" s="225">
        <v>0.03</v>
      </c>
      <c r="G50" s="207">
        <f t="shared" si="3"/>
        <v>320.388349514563</v>
      </c>
      <c r="H50" s="216" t="s">
        <v>845</v>
      </c>
      <c r="I50" s="216" t="s">
        <v>905</v>
      </c>
      <c r="J50" s="245">
        <v>15</v>
      </c>
      <c r="K50" s="246">
        <v>1.01</v>
      </c>
      <c r="L50" s="247">
        <v>2</v>
      </c>
      <c r="M50" s="241"/>
      <c r="N50" s="242"/>
      <c r="P50" s="171"/>
      <c r="R50" s="250"/>
      <c r="S50" s="265"/>
    </row>
    <row r="51" s="161" customFormat="1" ht="24" customHeight="1" spans="1:19">
      <c r="A51" s="217"/>
      <c r="B51" s="226"/>
      <c r="C51" s="203" t="s">
        <v>906</v>
      </c>
      <c r="D51" s="213" t="s">
        <v>868</v>
      </c>
      <c r="E51" s="224">
        <v>340</v>
      </c>
      <c r="F51" s="225">
        <v>0.03</v>
      </c>
      <c r="G51" s="207">
        <f t="shared" si="3"/>
        <v>330.097087378641</v>
      </c>
      <c r="H51" s="216" t="s">
        <v>868</v>
      </c>
      <c r="I51" s="216" t="s">
        <v>907</v>
      </c>
      <c r="J51" s="245">
        <v>200</v>
      </c>
      <c r="K51" s="246">
        <v>1</v>
      </c>
      <c r="L51" s="247">
        <v>2</v>
      </c>
      <c r="M51" s="241"/>
      <c r="N51" s="242"/>
      <c r="P51" s="171"/>
      <c r="R51" s="250"/>
      <c r="S51" s="265"/>
    </row>
    <row r="52" s="161" customFormat="1" ht="24" customHeight="1" spans="1:19">
      <c r="A52" s="217"/>
      <c r="B52" s="226"/>
      <c r="C52" s="203" t="s">
        <v>908</v>
      </c>
      <c r="D52" s="213" t="s">
        <v>868</v>
      </c>
      <c r="E52" s="224">
        <v>340</v>
      </c>
      <c r="F52" s="225">
        <v>0.03</v>
      </c>
      <c r="G52" s="207">
        <f t="shared" si="3"/>
        <v>330.097087378641</v>
      </c>
      <c r="H52" s="216" t="s">
        <v>868</v>
      </c>
      <c r="I52" s="216" t="s">
        <v>909</v>
      </c>
      <c r="J52" s="245">
        <f>J47</f>
        <v>45</v>
      </c>
      <c r="K52" s="256">
        <v>1.01</v>
      </c>
      <c r="L52" s="247">
        <v>2</v>
      </c>
      <c r="M52" s="241"/>
      <c r="N52" s="242"/>
      <c r="P52" s="171"/>
      <c r="R52" s="250"/>
      <c r="S52" s="265"/>
    </row>
    <row r="53" s="161" customFormat="1" ht="24" customHeight="1" spans="1:19">
      <c r="A53" s="217"/>
      <c r="B53" s="226"/>
      <c r="C53" s="203" t="s">
        <v>910</v>
      </c>
      <c r="D53" s="213" t="s">
        <v>868</v>
      </c>
      <c r="E53" s="224">
        <v>350</v>
      </c>
      <c r="F53" s="225">
        <v>0.03</v>
      </c>
      <c r="G53" s="207">
        <f t="shared" si="3"/>
        <v>339.805825242718</v>
      </c>
      <c r="H53" s="216" t="s">
        <v>868</v>
      </c>
      <c r="I53" s="216" t="s">
        <v>911</v>
      </c>
      <c r="J53" s="245">
        <v>60</v>
      </c>
      <c r="K53" s="256">
        <v>1.01</v>
      </c>
      <c r="L53" s="247">
        <v>2</v>
      </c>
      <c r="M53" s="241"/>
      <c r="N53" s="242"/>
      <c r="P53" s="171"/>
      <c r="R53" s="250"/>
      <c r="S53" s="265"/>
    </row>
    <row r="54" s="161" customFormat="1" ht="24" customHeight="1" spans="1:19">
      <c r="A54" s="217"/>
      <c r="B54" s="226"/>
      <c r="C54" s="203" t="s">
        <v>912</v>
      </c>
      <c r="D54" s="213" t="s">
        <v>868</v>
      </c>
      <c r="E54" s="224">
        <v>360</v>
      </c>
      <c r="F54" s="225">
        <v>0.03</v>
      </c>
      <c r="G54" s="207">
        <f t="shared" si="3"/>
        <v>349.514563106796</v>
      </c>
      <c r="H54" s="216" t="s">
        <v>845</v>
      </c>
      <c r="I54" s="216" t="s">
        <v>913</v>
      </c>
      <c r="J54" s="245">
        <v>12</v>
      </c>
      <c r="K54" s="246">
        <v>1.01</v>
      </c>
      <c r="L54" s="247">
        <v>2</v>
      </c>
      <c r="M54" s="241"/>
      <c r="N54" s="242"/>
      <c r="P54" s="171"/>
      <c r="R54" s="250"/>
      <c r="S54" s="265"/>
    </row>
    <row r="55" s="161" customFormat="1" ht="24" customHeight="1" spans="1:19">
      <c r="A55" s="217"/>
      <c r="B55" s="226"/>
      <c r="C55" s="203" t="s">
        <v>914</v>
      </c>
      <c r="D55" s="213" t="s">
        <v>868</v>
      </c>
      <c r="E55" s="224">
        <v>350</v>
      </c>
      <c r="F55" s="225">
        <v>0.03</v>
      </c>
      <c r="G55" s="207">
        <f t="shared" si="3"/>
        <v>339.805825242718</v>
      </c>
      <c r="H55" s="216"/>
      <c r="I55" s="216"/>
      <c r="J55" s="245"/>
      <c r="K55" s="246"/>
      <c r="L55" s="247">
        <v>2</v>
      </c>
      <c r="M55" s="241"/>
      <c r="N55" s="242"/>
      <c r="P55" s="171"/>
      <c r="R55" s="250" t="e">
        <f>VLOOKUP(C55,#REF!,3,0)</f>
        <v>#REF!</v>
      </c>
      <c r="S55" s="265" t="e">
        <f>VLOOKUP(R55,$I:$L,2,0)</f>
        <v>#REF!</v>
      </c>
    </row>
    <row r="56" s="161" customFormat="1" ht="24" customHeight="1" spans="1:19">
      <c r="A56" s="217"/>
      <c r="B56" s="226"/>
      <c r="C56" s="203" t="s">
        <v>915</v>
      </c>
      <c r="D56" s="213" t="s">
        <v>868</v>
      </c>
      <c r="E56" s="224">
        <v>360</v>
      </c>
      <c r="F56" s="225">
        <v>0.03</v>
      </c>
      <c r="G56" s="207">
        <f t="shared" si="3"/>
        <v>349.514563106796</v>
      </c>
      <c r="H56" s="216"/>
      <c r="I56" s="216"/>
      <c r="J56" s="245"/>
      <c r="K56" s="246"/>
      <c r="L56" s="247">
        <v>2</v>
      </c>
      <c r="M56" s="241"/>
      <c r="N56" s="242"/>
      <c r="P56" s="171"/>
      <c r="R56" s="250" t="e">
        <f>VLOOKUP(C56,#REF!,3,0)</f>
        <v>#REF!</v>
      </c>
      <c r="S56" s="265" t="e">
        <f>VLOOKUP(R56,$I:$L,2,0)</f>
        <v>#REF!</v>
      </c>
    </row>
    <row r="57" s="161" customFormat="1" ht="24" customHeight="1" spans="1:19">
      <c r="A57" s="217"/>
      <c r="B57" s="226"/>
      <c r="C57" s="203" t="s">
        <v>916</v>
      </c>
      <c r="D57" s="213" t="s">
        <v>868</v>
      </c>
      <c r="E57" s="224">
        <v>400</v>
      </c>
      <c r="F57" s="225">
        <v>0.03</v>
      </c>
      <c r="G57" s="207">
        <f t="shared" si="3"/>
        <v>388.349514563107</v>
      </c>
      <c r="H57" s="216"/>
      <c r="I57" s="216"/>
      <c r="J57" s="245"/>
      <c r="K57" s="246"/>
      <c r="L57" s="247">
        <v>2</v>
      </c>
      <c r="M57" s="241"/>
      <c r="N57" s="242"/>
      <c r="P57" s="171"/>
      <c r="R57" s="250" t="e">
        <f>VLOOKUP(C57,#REF!,3,0)</f>
        <v>#REF!</v>
      </c>
      <c r="S57" s="265" t="e">
        <f>VLOOKUP(R57,$I:$L,2,0)</f>
        <v>#REF!</v>
      </c>
    </row>
    <row r="58" s="161" customFormat="1" ht="24" customHeight="1" spans="1:19">
      <c r="A58" s="217"/>
      <c r="B58" s="226"/>
      <c r="C58" s="203" t="s">
        <v>917</v>
      </c>
      <c r="D58" s="213" t="s">
        <v>868</v>
      </c>
      <c r="E58" s="224">
        <v>370</v>
      </c>
      <c r="F58" s="225">
        <v>0.03</v>
      </c>
      <c r="G58" s="207">
        <f t="shared" si="3"/>
        <v>359.223300970874</v>
      </c>
      <c r="H58" s="216"/>
      <c r="I58" s="216"/>
      <c r="J58" s="245"/>
      <c r="K58" s="246"/>
      <c r="L58" s="247">
        <v>2</v>
      </c>
      <c r="M58" s="241"/>
      <c r="N58" s="242"/>
      <c r="P58" s="171"/>
      <c r="R58" s="250"/>
      <c r="S58" s="265"/>
    </row>
    <row r="59" s="161" customFormat="1" ht="24" customHeight="1" spans="1:19">
      <c r="A59" s="217"/>
      <c r="B59" s="226"/>
      <c r="C59" s="203" t="s">
        <v>918</v>
      </c>
      <c r="D59" s="213" t="s">
        <v>868</v>
      </c>
      <c r="E59" s="224">
        <v>360</v>
      </c>
      <c r="F59" s="225">
        <v>0.03</v>
      </c>
      <c r="G59" s="207">
        <f t="shared" si="3"/>
        <v>349.514563106796</v>
      </c>
      <c r="H59" s="216"/>
      <c r="I59" s="216"/>
      <c r="J59" s="245"/>
      <c r="K59" s="246"/>
      <c r="L59" s="247">
        <v>2</v>
      </c>
      <c r="M59" s="241"/>
      <c r="N59" s="242"/>
      <c r="P59" s="171"/>
      <c r="R59" s="250" t="e">
        <f>VLOOKUP(C59,#REF!,3,0)</f>
        <v>#REF!</v>
      </c>
      <c r="S59" s="265" t="e">
        <f>VLOOKUP(R59,$I:$L,2,0)</f>
        <v>#REF!</v>
      </c>
    </row>
    <row r="60" s="161" customFormat="1" ht="24" customHeight="1" spans="1:19">
      <c r="A60" s="217"/>
      <c r="B60" s="226"/>
      <c r="C60" s="203" t="s">
        <v>919</v>
      </c>
      <c r="D60" s="213" t="s">
        <v>868</v>
      </c>
      <c r="E60" s="224">
        <v>370</v>
      </c>
      <c r="F60" s="225">
        <v>0.03</v>
      </c>
      <c r="G60" s="207">
        <f t="shared" si="3"/>
        <v>359.223300970874</v>
      </c>
      <c r="H60" s="216"/>
      <c r="I60" s="216"/>
      <c r="J60" s="245"/>
      <c r="K60" s="246"/>
      <c r="L60" s="247">
        <v>2</v>
      </c>
      <c r="M60" s="241"/>
      <c r="N60" s="242"/>
      <c r="P60" s="171"/>
      <c r="R60" s="250" t="e">
        <f>VLOOKUP(C60,#REF!,3,0)</f>
        <v>#REF!</v>
      </c>
      <c r="S60" s="265" t="e">
        <f>VLOOKUP(R60,$I:$L,2,0)</f>
        <v>#REF!</v>
      </c>
    </row>
    <row r="61" s="161" customFormat="1" ht="24" customHeight="1" spans="1:19">
      <c r="A61" s="217"/>
      <c r="B61" s="226"/>
      <c r="C61" s="203" t="s">
        <v>920</v>
      </c>
      <c r="D61" s="213" t="s">
        <v>868</v>
      </c>
      <c r="E61" s="224">
        <v>370</v>
      </c>
      <c r="F61" s="225">
        <v>0.03</v>
      </c>
      <c r="G61" s="207">
        <f t="shared" si="3"/>
        <v>359.223300970874</v>
      </c>
      <c r="H61" s="216"/>
      <c r="I61" s="216"/>
      <c r="J61" s="245"/>
      <c r="K61" s="246"/>
      <c r="L61" s="247">
        <v>2</v>
      </c>
      <c r="M61" s="241"/>
      <c r="N61" s="242"/>
      <c r="P61" s="171"/>
      <c r="R61" s="250" t="e">
        <f>VLOOKUP(C61,#REF!,3,0)</f>
        <v>#REF!</v>
      </c>
      <c r="S61" s="265" t="e">
        <f>VLOOKUP(R61,$I:$L,2,0)</f>
        <v>#REF!</v>
      </c>
    </row>
    <row r="62" s="161" customFormat="1" ht="24" customHeight="1" spans="1:19">
      <c r="A62" s="217"/>
      <c r="B62" s="226"/>
      <c r="C62" s="203" t="s">
        <v>921</v>
      </c>
      <c r="D62" s="213" t="s">
        <v>868</v>
      </c>
      <c r="E62" s="224">
        <v>410</v>
      </c>
      <c r="F62" s="225">
        <v>0.03</v>
      </c>
      <c r="G62" s="207">
        <f t="shared" si="3"/>
        <v>398.058252427184</v>
      </c>
      <c r="H62" s="216"/>
      <c r="I62" s="216"/>
      <c r="J62" s="245"/>
      <c r="K62" s="246"/>
      <c r="L62" s="247">
        <v>2</v>
      </c>
      <c r="M62" s="241"/>
      <c r="N62" s="242"/>
      <c r="P62" s="171"/>
      <c r="R62" s="250" t="e">
        <f>VLOOKUP(C62,#REF!,3,0)</f>
        <v>#REF!</v>
      </c>
      <c r="S62" s="265" t="e">
        <f>VLOOKUP(R62,$I:$L,2,0)</f>
        <v>#REF!</v>
      </c>
    </row>
    <row r="63" s="161" customFormat="1" ht="24" customHeight="1" spans="1:19">
      <c r="A63" s="217"/>
      <c r="B63" s="226"/>
      <c r="C63" s="203" t="s">
        <v>922</v>
      </c>
      <c r="D63" s="213" t="s">
        <v>868</v>
      </c>
      <c r="E63" s="224">
        <v>375</v>
      </c>
      <c r="F63" s="225">
        <v>0.03</v>
      </c>
      <c r="G63" s="207">
        <f t="shared" si="3"/>
        <v>364.077669902913</v>
      </c>
      <c r="H63" s="216"/>
      <c r="I63" s="216"/>
      <c r="J63" s="245"/>
      <c r="K63" s="246"/>
      <c r="L63" s="247">
        <v>2</v>
      </c>
      <c r="M63" s="241"/>
      <c r="N63" s="242"/>
      <c r="P63" s="171"/>
      <c r="R63" s="250" t="e">
        <f>VLOOKUP(C63,#REF!,3,0)</f>
        <v>#REF!</v>
      </c>
      <c r="S63" s="265" t="e">
        <f>VLOOKUP(R63,$I:$L,2,0)</f>
        <v>#REF!</v>
      </c>
    </row>
    <row r="64" s="161" customFormat="1" ht="24" customHeight="1" spans="1:19">
      <c r="A64" s="217"/>
      <c r="B64" s="226"/>
      <c r="C64" s="203" t="s">
        <v>923</v>
      </c>
      <c r="D64" s="213" t="s">
        <v>868</v>
      </c>
      <c r="E64" s="224">
        <v>385</v>
      </c>
      <c r="F64" s="225">
        <v>0.03</v>
      </c>
      <c r="G64" s="207">
        <f t="shared" si="3"/>
        <v>373.78640776699</v>
      </c>
      <c r="H64" s="216"/>
      <c r="I64" s="216"/>
      <c r="J64" s="245"/>
      <c r="K64" s="246"/>
      <c r="L64" s="247">
        <v>2</v>
      </c>
      <c r="M64" s="241"/>
      <c r="N64" s="242"/>
      <c r="P64" s="171"/>
      <c r="R64" s="250" t="e">
        <f>VLOOKUP(C64,#REF!,3,0)</f>
        <v>#REF!</v>
      </c>
      <c r="S64" s="265" t="e">
        <f>VLOOKUP(R64,$I:$L,2,0)</f>
        <v>#REF!</v>
      </c>
    </row>
    <row r="65" s="161" customFormat="1" ht="24" customHeight="1" spans="1:19">
      <c r="A65" s="217"/>
      <c r="B65" s="226"/>
      <c r="C65" s="203" t="s">
        <v>924</v>
      </c>
      <c r="D65" s="213" t="s">
        <v>868</v>
      </c>
      <c r="E65" s="224">
        <v>405</v>
      </c>
      <c r="F65" s="225">
        <v>0.03</v>
      </c>
      <c r="G65" s="207">
        <f t="shared" si="3"/>
        <v>393.203883495146</v>
      </c>
      <c r="H65" s="216"/>
      <c r="I65" s="216"/>
      <c r="J65" s="245"/>
      <c r="K65" s="246"/>
      <c r="L65" s="247">
        <v>2</v>
      </c>
      <c r="M65" s="241"/>
      <c r="N65" s="242"/>
      <c r="P65" s="171"/>
      <c r="R65" s="250" t="e">
        <f>VLOOKUP(C65,#REF!,3,0)</f>
        <v>#REF!</v>
      </c>
      <c r="S65" s="265" t="e">
        <f>VLOOKUP(R65,$I:$L,2,0)</f>
        <v>#REF!</v>
      </c>
    </row>
    <row r="66" s="161" customFormat="1" ht="24" customHeight="1" spans="1:19">
      <c r="A66" s="266"/>
      <c r="B66" s="267"/>
      <c r="C66" s="203" t="s">
        <v>925</v>
      </c>
      <c r="D66" s="213" t="s">
        <v>868</v>
      </c>
      <c r="E66" s="214">
        <v>904</v>
      </c>
      <c r="F66" s="215">
        <v>0.13</v>
      </c>
      <c r="G66" s="207">
        <f t="shared" si="3"/>
        <v>800</v>
      </c>
      <c r="H66" s="216" t="s">
        <v>845</v>
      </c>
      <c r="I66" s="216" t="s">
        <v>926</v>
      </c>
      <c r="J66" s="245">
        <v>6</v>
      </c>
      <c r="K66" s="246">
        <v>1.01</v>
      </c>
      <c r="L66" s="247">
        <v>0.12</v>
      </c>
      <c r="M66" s="241"/>
      <c r="N66" s="242"/>
      <c r="P66" s="171"/>
      <c r="R66" s="250"/>
      <c r="S66" s="265"/>
    </row>
    <row r="67" s="161" customFormat="1" ht="24" customHeight="1" spans="1:21">
      <c r="A67" s="190" t="s">
        <v>927</v>
      </c>
      <c r="B67" s="268" t="s">
        <v>928</v>
      </c>
      <c r="C67" s="192" t="s">
        <v>929</v>
      </c>
      <c r="D67" s="193" t="s">
        <v>845</v>
      </c>
      <c r="E67" s="269">
        <v>0</v>
      </c>
      <c r="F67" s="195">
        <v>0.13</v>
      </c>
      <c r="G67" s="196">
        <f t="shared" si="3"/>
        <v>0</v>
      </c>
      <c r="H67" s="197" t="s">
        <v>845</v>
      </c>
      <c r="I67" s="197" t="s">
        <v>930</v>
      </c>
      <c r="J67" s="238">
        <f>10.37+1.35</f>
        <v>11.72</v>
      </c>
      <c r="K67" s="239">
        <v>1</v>
      </c>
      <c r="L67" s="240">
        <v>0.2</v>
      </c>
      <c r="M67" s="241"/>
      <c r="N67" s="242"/>
      <c r="P67" s="171"/>
      <c r="R67" s="250"/>
      <c r="S67" s="265"/>
      <c r="U67" s="161" t="s">
        <v>931</v>
      </c>
    </row>
    <row r="68" s="161" customFormat="1" ht="24" customHeight="1" spans="1:21">
      <c r="A68" s="198"/>
      <c r="B68" s="270"/>
      <c r="C68" s="192" t="s">
        <v>932</v>
      </c>
      <c r="D68" s="193" t="s">
        <v>845</v>
      </c>
      <c r="E68" s="269">
        <v>0</v>
      </c>
      <c r="F68" s="195">
        <v>0.13</v>
      </c>
      <c r="G68" s="196">
        <f t="shared" si="3"/>
        <v>0</v>
      </c>
      <c r="H68" s="197" t="s">
        <v>845</v>
      </c>
      <c r="I68" s="197" t="s">
        <v>933</v>
      </c>
      <c r="J68" s="238">
        <f>10.65-1.3</f>
        <v>9.35</v>
      </c>
      <c r="K68" s="239">
        <v>1</v>
      </c>
      <c r="L68" s="240">
        <v>0</v>
      </c>
      <c r="M68" s="241"/>
      <c r="N68" s="242"/>
      <c r="P68" s="171"/>
      <c r="R68" s="250"/>
      <c r="S68" s="265"/>
      <c r="U68" s="161" t="s">
        <v>931</v>
      </c>
    </row>
    <row r="69" s="161" customFormat="1" ht="24" customHeight="1" spans="1:21">
      <c r="A69" s="198"/>
      <c r="B69" s="270"/>
      <c r="C69" s="192" t="s">
        <v>934</v>
      </c>
      <c r="D69" s="193" t="s">
        <v>845</v>
      </c>
      <c r="E69" s="269">
        <v>0</v>
      </c>
      <c r="F69" s="195">
        <v>0.13</v>
      </c>
      <c r="G69" s="196">
        <f t="shared" si="3"/>
        <v>0</v>
      </c>
      <c r="H69" s="197"/>
      <c r="I69" s="197"/>
      <c r="J69" s="238"/>
      <c r="K69" s="239"/>
      <c r="L69" s="240">
        <v>2.5</v>
      </c>
      <c r="M69" s="241"/>
      <c r="N69" s="242"/>
      <c r="P69" s="171"/>
      <c r="R69" s="250" t="e">
        <f>VLOOKUP(C69,#REF!,3,0)</f>
        <v>#REF!</v>
      </c>
      <c r="S69" s="265" t="e">
        <f>VLOOKUP(R69,$I:$L,2,0)</f>
        <v>#REF!</v>
      </c>
      <c r="U69" s="161" t="s">
        <v>931</v>
      </c>
    </row>
    <row r="70" s="161" customFormat="1" ht="24" customHeight="1" spans="1:21">
      <c r="A70" s="198"/>
      <c r="B70" s="270"/>
      <c r="C70" s="192" t="s">
        <v>935</v>
      </c>
      <c r="D70" s="193" t="s">
        <v>845</v>
      </c>
      <c r="E70" s="269">
        <v>0</v>
      </c>
      <c r="F70" s="195">
        <v>0.13</v>
      </c>
      <c r="G70" s="196">
        <f t="shared" si="3"/>
        <v>0</v>
      </c>
      <c r="H70" s="197"/>
      <c r="I70" s="197"/>
      <c r="J70" s="238"/>
      <c r="K70" s="239"/>
      <c r="L70" s="240">
        <v>0.5</v>
      </c>
      <c r="M70" s="241"/>
      <c r="N70" s="242"/>
      <c r="P70" s="171"/>
      <c r="R70" s="250" t="e">
        <f>VLOOKUP(C70,#REF!,3,0)</f>
        <v>#REF!</v>
      </c>
      <c r="S70" s="265" t="e">
        <f>VLOOKUP(R70,$I:$L,2,0)</f>
        <v>#REF!</v>
      </c>
      <c r="U70" s="161" t="s">
        <v>931</v>
      </c>
    </row>
    <row r="71" s="161" customFormat="1" ht="24" customHeight="1" spans="1:21">
      <c r="A71" s="198"/>
      <c r="B71" s="270"/>
      <c r="C71" s="192" t="s">
        <v>936</v>
      </c>
      <c r="D71" s="193" t="s">
        <v>845</v>
      </c>
      <c r="E71" s="269">
        <v>0</v>
      </c>
      <c r="F71" s="195">
        <v>0.13</v>
      </c>
      <c r="G71" s="196">
        <f t="shared" si="3"/>
        <v>0</v>
      </c>
      <c r="H71" s="197"/>
      <c r="I71" s="197"/>
      <c r="J71" s="238"/>
      <c r="K71" s="239"/>
      <c r="L71" s="240">
        <v>0.2</v>
      </c>
      <c r="M71" s="241"/>
      <c r="N71" s="242"/>
      <c r="P71" s="171"/>
      <c r="R71" s="250" t="e">
        <f>VLOOKUP(C71,#REF!,3,0)</f>
        <v>#REF!</v>
      </c>
      <c r="S71" s="265" t="e">
        <f>VLOOKUP(R71,$I:$L,2,0)</f>
        <v>#REF!</v>
      </c>
      <c r="U71" s="161" t="s">
        <v>931</v>
      </c>
    </row>
    <row r="72" s="161" customFormat="1" ht="24" customHeight="1" spans="1:21">
      <c r="A72" s="198"/>
      <c r="B72" s="270"/>
      <c r="C72" s="192" t="s">
        <v>937</v>
      </c>
      <c r="D72" s="193" t="s">
        <v>845</v>
      </c>
      <c r="E72" s="269">
        <v>0</v>
      </c>
      <c r="F72" s="195">
        <v>0.13</v>
      </c>
      <c r="G72" s="196">
        <f t="shared" si="3"/>
        <v>0</v>
      </c>
      <c r="H72" s="197"/>
      <c r="I72" s="197"/>
      <c r="J72" s="238"/>
      <c r="K72" s="239"/>
      <c r="L72" s="240">
        <v>0.2</v>
      </c>
      <c r="M72" s="241"/>
      <c r="N72" s="242"/>
      <c r="P72" s="171"/>
      <c r="R72" s="250" t="e">
        <f>VLOOKUP(C72,#REF!,3,0)</f>
        <v>#REF!</v>
      </c>
      <c r="S72" s="265" t="e">
        <f>VLOOKUP(R72,$I:$L,2,0)</f>
        <v>#REF!</v>
      </c>
      <c r="U72" s="161" t="s">
        <v>931</v>
      </c>
    </row>
    <row r="73" s="161" customFormat="1" ht="24" customHeight="1" spans="1:21">
      <c r="A73" s="198"/>
      <c r="B73" s="270"/>
      <c r="C73" s="192" t="s">
        <v>938</v>
      </c>
      <c r="D73" s="193" t="s">
        <v>845</v>
      </c>
      <c r="E73" s="269">
        <v>0</v>
      </c>
      <c r="F73" s="195">
        <v>0.13</v>
      </c>
      <c r="G73" s="196">
        <f t="shared" si="3"/>
        <v>0</v>
      </c>
      <c r="H73" s="197"/>
      <c r="I73" s="197"/>
      <c r="J73" s="238"/>
      <c r="K73" s="239"/>
      <c r="L73" s="240">
        <v>0.2</v>
      </c>
      <c r="M73" s="241"/>
      <c r="N73" s="242"/>
      <c r="P73" s="171"/>
      <c r="R73" s="250" t="e">
        <f>VLOOKUP(C73,#REF!,3,0)</f>
        <v>#REF!</v>
      </c>
      <c r="S73" s="265" t="e">
        <f>VLOOKUP(R73,$I:$L,2,0)</f>
        <v>#REF!</v>
      </c>
      <c r="U73" s="161" t="s">
        <v>931</v>
      </c>
    </row>
    <row r="74" s="161" customFormat="1" ht="24" customHeight="1" spans="1:21">
      <c r="A74" s="198"/>
      <c r="B74" s="270"/>
      <c r="C74" s="192" t="s">
        <v>939</v>
      </c>
      <c r="D74" s="193" t="s">
        <v>845</v>
      </c>
      <c r="E74" s="269">
        <v>0</v>
      </c>
      <c r="F74" s="195">
        <v>0.13</v>
      </c>
      <c r="G74" s="196">
        <f t="shared" si="3"/>
        <v>0</v>
      </c>
      <c r="H74" s="197"/>
      <c r="I74" s="197"/>
      <c r="J74" s="238"/>
      <c r="K74" s="239"/>
      <c r="L74" s="240">
        <v>0.5</v>
      </c>
      <c r="M74" s="241"/>
      <c r="N74" s="242"/>
      <c r="P74" s="171"/>
      <c r="R74" s="250" t="e">
        <f>VLOOKUP(C74,#REF!,3,0)</f>
        <v>#REF!</v>
      </c>
      <c r="S74" s="265" t="e">
        <f>VLOOKUP(R74,$I:$L,2,0)</f>
        <v>#REF!</v>
      </c>
      <c r="U74" s="161" t="s">
        <v>931</v>
      </c>
    </row>
    <row r="75" s="161" customFormat="1" ht="24" customHeight="1" spans="1:21">
      <c r="A75" s="198"/>
      <c r="B75" s="270"/>
      <c r="C75" s="192" t="s">
        <v>940</v>
      </c>
      <c r="D75" s="193" t="s">
        <v>845</v>
      </c>
      <c r="E75" s="269">
        <v>0</v>
      </c>
      <c r="F75" s="195">
        <v>0.13</v>
      </c>
      <c r="G75" s="196">
        <f t="shared" si="3"/>
        <v>0</v>
      </c>
      <c r="H75" s="197" t="s">
        <v>845</v>
      </c>
      <c r="I75" s="197" t="s">
        <v>941</v>
      </c>
      <c r="J75" s="238">
        <f>21/1.08</f>
        <v>19.4444444444444</v>
      </c>
      <c r="K75" s="239">
        <v>1</v>
      </c>
      <c r="L75" s="240">
        <v>0</v>
      </c>
      <c r="M75" s="241"/>
      <c r="N75" s="242"/>
      <c r="P75" s="171"/>
      <c r="R75" s="250"/>
      <c r="S75" s="265"/>
      <c r="U75" s="161" t="s">
        <v>931</v>
      </c>
    </row>
    <row r="76" s="161" customFormat="1" ht="24" customHeight="1" spans="1:21">
      <c r="A76" s="198"/>
      <c r="B76" s="270"/>
      <c r="C76" s="192" t="s">
        <v>942</v>
      </c>
      <c r="D76" s="193" t="s">
        <v>845</v>
      </c>
      <c r="E76" s="269">
        <v>0</v>
      </c>
      <c r="F76" s="195">
        <v>0.13</v>
      </c>
      <c r="G76" s="196">
        <f t="shared" si="3"/>
        <v>0</v>
      </c>
      <c r="H76" s="197" t="s">
        <v>845</v>
      </c>
      <c r="I76" s="192" t="s">
        <v>942</v>
      </c>
      <c r="J76" s="238">
        <f>11.11*1.2</f>
        <v>13.332</v>
      </c>
      <c r="K76" s="239">
        <v>1</v>
      </c>
      <c r="L76" s="240">
        <v>0.5</v>
      </c>
      <c r="M76" s="241"/>
      <c r="N76" s="242"/>
      <c r="P76" s="171"/>
      <c r="R76" s="250"/>
      <c r="S76" s="265"/>
      <c r="U76" s="161" t="s">
        <v>931</v>
      </c>
    </row>
    <row r="77" s="161" customFormat="1" ht="24" customHeight="1" spans="1:21">
      <c r="A77" s="198"/>
      <c r="B77" s="270"/>
      <c r="C77" s="192" t="s">
        <v>943</v>
      </c>
      <c r="D77" s="193" t="s">
        <v>845</v>
      </c>
      <c r="E77" s="269">
        <v>0</v>
      </c>
      <c r="F77" s="195">
        <v>0.13</v>
      </c>
      <c r="G77" s="196">
        <f t="shared" si="3"/>
        <v>0</v>
      </c>
      <c r="H77" s="197" t="s">
        <v>845</v>
      </c>
      <c r="I77" s="197" t="s">
        <v>944</v>
      </c>
      <c r="J77" s="238">
        <f>10.61</f>
        <v>10.61</v>
      </c>
      <c r="K77" s="239">
        <v>1</v>
      </c>
      <c r="L77" s="240">
        <v>0</v>
      </c>
      <c r="M77" s="241"/>
      <c r="N77" s="242"/>
      <c r="P77" s="171"/>
      <c r="R77" s="250"/>
      <c r="S77" s="265"/>
      <c r="U77" s="161" t="s">
        <v>931</v>
      </c>
    </row>
    <row r="78" s="161" customFormat="1" ht="24" customHeight="1" spans="1:21">
      <c r="A78" s="198"/>
      <c r="B78" s="270"/>
      <c r="C78" s="192" t="s">
        <v>945</v>
      </c>
      <c r="D78" s="193" t="s">
        <v>845</v>
      </c>
      <c r="E78" s="269">
        <v>0</v>
      </c>
      <c r="F78" s="195">
        <v>0.13</v>
      </c>
      <c r="G78" s="196">
        <f t="shared" si="3"/>
        <v>0</v>
      </c>
      <c r="H78" s="197" t="s">
        <v>845</v>
      </c>
      <c r="I78" s="192" t="s">
        <v>945</v>
      </c>
      <c r="J78" s="238">
        <f>+J76</f>
        <v>13.332</v>
      </c>
      <c r="K78" s="239">
        <v>1</v>
      </c>
      <c r="L78" s="240">
        <v>0.5</v>
      </c>
      <c r="M78" s="241"/>
      <c r="N78" s="242"/>
      <c r="P78" s="171"/>
      <c r="R78" s="250"/>
      <c r="S78" s="265"/>
      <c r="U78" s="161" t="s">
        <v>931</v>
      </c>
    </row>
    <row r="79" s="161" customFormat="1" ht="24" customHeight="1" spans="1:21">
      <c r="A79" s="198"/>
      <c r="B79" s="270"/>
      <c r="C79" s="192" t="s">
        <v>946</v>
      </c>
      <c r="D79" s="193" t="s">
        <v>845</v>
      </c>
      <c r="E79" s="269">
        <v>0</v>
      </c>
      <c r="F79" s="195">
        <v>0.13</v>
      </c>
      <c r="G79" s="196">
        <f t="shared" si="3"/>
        <v>0</v>
      </c>
      <c r="H79" s="197"/>
      <c r="I79" s="197"/>
      <c r="J79" s="238"/>
      <c r="K79" s="239"/>
      <c r="L79" s="240">
        <v>0.2</v>
      </c>
      <c r="M79" s="241"/>
      <c r="N79" s="242"/>
      <c r="P79" s="171"/>
      <c r="R79" s="250" t="e">
        <f>VLOOKUP(C79,#REF!,3,0)</f>
        <v>#REF!</v>
      </c>
      <c r="S79" s="265" t="e">
        <f>VLOOKUP(R79,$I:$L,2,0)</f>
        <v>#REF!</v>
      </c>
      <c r="U79" s="161" t="s">
        <v>931</v>
      </c>
    </row>
    <row r="80" s="161" customFormat="1" ht="24" customHeight="1" spans="1:21">
      <c r="A80" s="198"/>
      <c r="B80" s="270"/>
      <c r="C80" s="192" t="s">
        <v>947</v>
      </c>
      <c r="D80" s="193" t="s">
        <v>845</v>
      </c>
      <c r="E80" s="269">
        <v>0</v>
      </c>
      <c r="F80" s="195">
        <v>0.13</v>
      </c>
      <c r="G80" s="196">
        <f t="shared" si="3"/>
        <v>0</v>
      </c>
      <c r="H80" s="197" t="s">
        <v>845</v>
      </c>
      <c r="I80" s="197" t="s">
        <v>947</v>
      </c>
      <c r="J80" s="238">
        <v>1</v>
      </c>
      <c r="K80" s="239">
        <v>1</v>
      </c>
      <c r="L80" s="240">
        <v>0.2</v>
      </c>
      <c r="M80" s="241"/>
      <c r="N80" s="242"/>
      <c r="P80" s="171"/>
      <c r="R80" s="250"/>
      <c r="S80" s="265"/>
      <c r="U80" s="161" t="s">
        <v>931</v>
      </c>
    </row>
    <row r="81" s="161" customFormat="1" ht="24" customHeight="1" spans="1:20">
      <c r="A81" s="198"/>
      <c r="B81" s="268" t="s">
        <v>948</v>
      </c>
      <c r="C81" s="192" t="s">
        <v>949</v>
      </c>
      <c r="D81" s="193" t="s">
        <v>845</v>
      </c>
      <c r="E81" s="269" t="e">
        <f>#REF!</f>
        <v>#REF!</v>
      </c>
      <c r="F81" s="195">
        <v>0.13</v>
      </c>
      <c r="G81" s="196" t="e">
        <f t="shared" ref="G81:G93" si="4">E81/(1+F81)</f>
        <v>#REF!</v>
      </c>
      <c r="H81" s="197" t="s">
        <v>845</v>
      </c>
      <c r="I81" s="197" t="s">
        <v>950</v>
      </c>
      <c r="J81" s="238">
        <v>10</v>
      </c>
      <c r="K81" s="239">
        <v>1.05</v>
      </c>
      <c r="L81" s="240">
        <v>2</v>
      </c>
      <c r="M81" s="241"/>
      <c r="N81" s="242"/>
      <c r="P81" s="171"/>
      <c r="R81" s="250"/>
      <c r="S81" s="265"/>
      <c r="T81" s="161" t="s">
        <v>931</v>
      </c>
    </row>
    <row r="82" s="161" customFormat="1" ht="24" customHeight="1" spans="1:19">
      <c r="A82" s="198"/>
      <c r="B82" s="270"/>
      <c r="C82" s="192" t="s">
        <v>951</v>
      </c>
      <c r="D82" s="193" t="s">
        <v>868</v>
      </c>
      <c r="E82" s="269">
        <f>450*1.13</f>
        <v>508.5</v>
      </c>
      <c r="F82" s="195">
        <v>0.13</v>
      </c>
      <c r="G82" s="196">
        <f t="shared" si="4"/>
        <v>450</v>
      </c>
      <c r="H82" s="197" t="s">
        <v>845</v>
      </c>
      <c r="I82" s="197" t="s">
        <v>952</v>
      </c>
      <c r="J82" s="238">
        <v>15</v>
      </c>
      <c r="K82" s="239">
        <v>1.05</v>
      </c>
      <c r="L82" s="240">
        <v>2</v>
      </c>
      <c r="M82" s="241"/>
      <c r="N82" s="242"/>
      <c r="P82" s="171"/>
      <c r="R82" s="250"/>
      <c r="S82" s="265"/>
    </row>
    <row r="83" s="161" customFormat="1" ht="24" customHeight="1" spans="1:20">
      <c r="A83" s="198"/>
      <c r="B83" s="270"/>
      <c r="C83" s="192" t="s">
        <v>953</v>
      </c>
      <c r="D83" s="193" t="s">
        <v>845</v>
      </c>
      <c r="E83" s="269" t="e">
        <f>#REF!</f>
        <v>#REF!</v>
      </c>
      <c r="F83" s="195">
        <v>0.13</v>
      </c>
      <c r="G83" s="196" t="e">
        <f t="shared" si="4"/>
        <v>#REF!</v>
      </c>
      <c r="H83" s="197" t="s">
        <v>845</v>
      </c>
      <c r="I83" s="197" t="s">
        <v>954</v>
      </c>
      <c r="J83" s="238">
        <v>28</v>
      </c>
      <c r="K83" s="239">
        <v>1.02</v>
      </c>
      <c r="L83" s="240">
        <v>2</v>
      </c>
      <c r="M83" s="241"/>
      <c r="N83" s="242"/>
      <c r="P83" s="171"/>
      <c r="R83" s="250"/>
      <c r="S83" s="265"/>
      <c r="T83" s="161" t="s">
        <v>931</v>
      </c>
    </row>
    <row r="84" s="161" customFormat="1" ht="24" customHeight="1" spans="1:19">
      <c r="A84" s="198"/>
      <c r="B84" s="270"/>
      <c r="C84" s="192" t="s">
        <v>701</v>
      </c>
      <c r="D84" s="193" t="s">
        <v>868</v>
      </c>
      <c r="E84" s="269">
        <v>580.82</v>
      </c>
      <c r="F84" s="195">
        <v>0.13</v>
      </c>
      <c r="G84" s="196">
        <f t="shared" si="4"/>
        <v>514</v>
      </c>
      <c r="H84" s="197" t="s">
        <v>845</v>
      </c>
      <c r="I84" s="197" t="s">
        <v>955</v>
      </c>
      <c r="J84" s="238">
        <v>8</v>
      </c>
      <c r="K84" s="283">
        <v>1</v>
      </c>
      <c r="L84" s="240">
        <v>2</v>
      </c>
      <c r="M84" s="241"/>
      <c r="N84" s="242"/>
      <c r="P84" s="171"/>
      <c r="R84" s="250"/>
      <c r="S84" s="265"/>
    </row>
    <row r="85" s="161" customFormat="1" ht="24" customHeight="1" spans="1:19">
      <c r="A85" s="198"/>
      <c r="B85" s="270"/>
      <c r="C85" s="192" t="s">
        <v>956</v>
      </c>
      <c r="D85" s="193" t="s">
        <v>868</v>
      </c>
      <c r="E85" s="269">
        <v>452</v>
      </c>
      <c r="F85" s="195">
        <v>0.13</v>
      </c>
      <c r="G85" s="196">
        <f t="shared" si="4"/>
        <v>400</v>
      </c>
      <c r="H85" s="197" t="s">
        <v>845</v>
      </c>
      <c r="I85" s="197" t="s">
        <v>957</v>
      </c>
      <c r="J85" s="238">
        <v>55.22</v>
      </c>
      <c r="K85" s="239">
        <v>1.1</v>
      </c>
      <c r="L85" s="240">
        <v>2</v>
      </c>
      <c r="M85" s="241"/>
      <c r="N85" s="242"/>
      <c r="P85" s="171"/>
      <c r="R85" s="250"/>
      <c r="S85" s="265"/>
    </row>
    <row r="86" s="161" customFormat="1" ht="24" customHeight="1" spans="1:19">
      <c r="A86" s="198"/>
      <c r="B86" s="270"/>
      <c r="C86" s="192" t="s">
        <v>958</v>
      </c>
      <c r="D86" s="193" t="s">
        <v>868</v>
      </c>
      <c r="E86" s="269">
        <v>339</v>
      </c>
      <c r="F86" s="195">
        <v>0.13</v>
      </c>
      <c r="G86" s="196">
        <f t="shared" si="4"/>
        <v>300</v>
      </c>
      <c r="H86" s="197" t="s">
        <v>845</v>
      </c>
      <c r="I86" s="197" t="s">
        <v>959</v>
      </c>
      <c r="J86" s="238">
        <v>39.93</v>
      </c>
      <c r="K86" s="239">
        <v>1.1</v>
      </c>
      <c r="L86" s="240">
        <v>2</v>
      </c>
      <c r="M86" s="241"/>
      <c r="N86" s="242"/>
      <c r="P86" s="171"/>
      <c r="R86" s="250"/>
      <c r="S86" s="265"/>
    </row>
    <row r="87" s="161" customFormat="1" ht="24" customHeight="1" spans="1:19">
      <c r="A87" s="198"/>
      <c r="B87" s="270"/>
      <c r="C87" s="192" t="s">
        <v>960</v>
      </c>
      <c r="D87" s="193" t="s">
        <v>868</v>
      </c>
      <c r="E87" s="269">
        <v>339</v>
      </c>
      <c r="F87" s="195">
        <v>0.13</v>
      </c>
      <c r="G87" s="196">
        <f t="shared" si="4"/>
        <v>300</v>
      </c>
      <c r="H87" s="197" t="s">
        <v>845</v>
      </c>
      <c r="I87" s="197" t="s">
        <v>961</v>
      </c>
      <c r="J87" s="238">
        <v>29</v>
      </c>
      <c r="K87" s="239">
        <v>1</v>
      </c>
      <c r="L87" s="240">
        <v>2</v>
      </c>
      <c r="M87" s="241"/>
      <c r="N87" s="242"/>
      <c r="P87" s="171"/>
      <c r="R87" s="250"/>
      <c r="S87" s="265"/>
    </row>
    <row r="88" s="161" customFormat="1" ht="24" customHeight="1" spans="1:20">
      <c r="A88" s="198"/>
      <c r="B88" s="270"/>
      <c r="C88" s="192" t="s">
        <v>962</v>
      </c>
      <c r="D88" s="193" t="s">
        <v>868</v>
      </c>
      <c r="E88" s="269" t="e">
        <f>#REF!*10</f>
        <v>#REF!</v>
      </c>
      <c r="F88" s="195">
        <v>0.13</v>
      </c>
      <c r="G88" s="196" t="e">
        <f t="shared" si="4"/>
        <v>#REF!</v>
      </c>
      <c r="H88" s="197" t="s">
        <v>868</v>
      </c>
      <c r="I88" s="197" t="s">
        <v>701</v>
      </c>
      <c r="J88" s="238">
        <v>350</v>
      </c>
      <c r="K88" s="239">
        <v>1.15</v>
      </c>
      <c r="L88" s="240">
        <v>2</v>
      </c>
      <c r="M88" s="241"/>
      <c r="N88" s="242"/>
      <c r="P88" s="171"/>
      <c r="R88" s="250"/>
      <c r="S88" s="265"/>
      <c r="T88" s="161" t="s">
        <v>931</v>
      </c>
    </row>
    <row r="89" s="161" customFormat="1" ht="24" customHeight="1" spans="1:20">
      <c r="A89" s="198"/>
      <c r="B89" s="270"/>
      <c r="C89" s="271" t="s">
        <v>963</v>
      </c>
      <c r="D89" s="193" t="s">
        <v>845</v>
      </c>
      <c r="E89" s="272" t="e">
        <f>#REF!</f>
        <v>#REF!</v>
      </c>
      <c r="F89" s="273">
        <v>0.13</v>
      </c>
      <c r="G89" s="274" t="e">
        <f t="shared" si="4"/>
        <v>#REF!</v>
      </c>
      <c r="H89" s="269"/>
      <c r="I89" s="197"/>
      <c r="J89" s="238"/>
      <c r="K89" s="239"/>
      <c r="L89" s="240">
        <v>2</v>
      </c>
      <c r="M89" s="241"/>
      <c r="N89" s="242"/>
      <c r="P89" s="171"/>
      <c r="R89" s="250" t="e">
        <f>VLOOKUP(C89,#REF!,3,0)</f>
        <v>#REF!</v>
      </c>
      <c r="S89" s="265" t="e">
        <f>VLOOKUP(R89,$I:$L,2,0)</f>
        <v>#REF!</v>
      </c>
      <c r="T89" s="161" t="s">
        <v>931</v>
      </c>
    </row>
    <row r="90" s="161" customFormat="1" ht="24" customHeight="1" spans="1:20">
      <c r="A90" s="198"/>
      <c r="B90" s="270"/>
      <c r="C90" s="271" t="s">
        <v>964</v>
      </c>
      <c r="D90" s="193" t="s">
        <v>845</v>
      </c>
      <c r="E90" s="272" t="e">
        <f>#REF!</f>
        <v>#REF!</v>
      </c>
      <c r="F90" s="273">
        <v>0.13</v>
      </c>
      <c r="G90" s="274" t="e">
        <f t="shared" si="4"/>
        <v>#REF!</v>
      </c>
      <c r="H90" s="269"/>
      <c r="I90" s="197"/>
      <c r="J90" s="238"/>
      <c r="K90" s="239"/>
      <c r="L90" s="240">
        <v>2</v>
      </c>
      <c r="M90" s="241"/>
      <c r="N90" s="242"/>
      <c r="P90" s="171"/>
      <c r="R90" s="250" t="e">
        <f>VLOOKUP(C90,#REF!,3,0)</f>
        <v>#REF!</v>
      </c>
      <c r="S90" s="265" t="e">
        <f>VLOOKUP(R90,$I:$L,2,0)</f>
        <v>#REF!</v>
      </c>
      <c r="T90" s="161" t="s">
        <v>931</v>
      </c>
    </row>
    <row r="91" s="161" customFormat="1" ht="24" customHeight="1" spans="1:20">
      <c r="A91" s="198"/>
      <c r="B91" s="270"/>
      <c r="C91" s="271" t="s">
        <v>965</v>
      </c>
      <c r="D91" s="193" t="s">
        <v>845</v>
      </c>
      <c r="E91" s="272" t="e">
        <f>#REF!</f>
        <v>#REF!</v>
      </c>
      <c r="F91" s="273">
        <v>0.13</v>
      </c>
      <c r="G91" s="274" t="e">
        <f t="shared" si="4"/>
        <v>#REF!</v>
      </c>
      <c r="H91" s="269"/>
      <c r="I91" s="197"/>
      <c r="J91" s="238"/>
      <c r="K91" s="239"/>
      <c r="L91" s="240">
        <v>2</v>
      </c>
      <c r="M91" s="241"/>
      <c r="N91" s="242"/>
      <c r="P91" s="171"/>
      <c r="R91" s="250" t="e">
        <f>VLOOKUP(C91,#REF!,3,0)</f>
        <v>#REF!</v>
      </c>
      <c r="S91" s="265" t="e">
        <f>VLOOKUP(R91,$I:$L,2,0)</f>
        <v>#REF!</v>
      </c>
      <c r="T91" s="161" t="s">
        <v>931</v>
      </c>
    </row>
    <row r="92" s="161" customFormat="1" ht="24" customHeight="1" spans="1:20">
      <c r="A92" s="198"/>
      <c r="B92" s="270"/>
      <c r="C92" s="271" t="s">
        <v>966</v>
      </c>
      <c r="D92" s="193" t="s">
        <v>967</v>
      </c>
      <c r="E92" s="272" t="e">
        <f>#REF!</f>
        <v>#REF!</v>
      </c>
      <c r="F92" s="273">
        <v>0.13</v>
      </c>
      <c r="G92" s="274" t="e">
        <f t="shared" ref="G92:G104" si="5">E92/(1+F92)</f>
        <v>#REF!</v>
      </c>
      <c r="H92" s="197" t="s">
        <v>845</v>
      </c>
      <c r="I92" s="197" t="s">
        <v>968</v>
      </c>
      <c r="J92" s="238">
        <v>28</v>
      </c>
      <c r="K92" s="283">
        <v>1.05</v>
      </c>
      <c r="L92" s="240">
        <v>2</v>
      </c>
      <c r="M92" s="241"/>
      <c r="N92" s="242"/>
      <c r="P92" s="171"/>
      <c r="R92" s="250"/>
      <c r="S92" s="265"/>
      <c r="T92" s="161" t="s">
        <v>931</v>
      </c>
    </row>
    <row r="93" s="161" customFormat="1" ht="24" customHeight="1" spans="1:20">
      <c r="A93" s="198"/>
      <c r="B93" s="270"/>
      <c r="C93" s="271" t="s">
        <v>969</v>
      </c>
      <c r="D93" s="193" t="s">
        <v>845</v>
      </c>
      <c r="E93" s="272" t="e">
        <f>#REF!</f>
        <v>#REF!</v>
      </c>
      <c r="F93" s="273">
        <v>0.13</v>
      </c>
      <c r="G93" s="274" t="e">
        <f t="shared" si="5"/>
        <v>#REF!</v>
      </c>
      <c r="H93" s="197"/>
      <c r="I93" s="197"/>
      <c r="J93" s="238"/>
      <c r="K93" s="283"/>
      <c r="L93" s="240">
        <v>2</v>
      </c>
      <c r="M93" s="241"/>
      <c r="N93" s="242"/>
      <c r="P93" s="171"/>
      <c r="R93" s="250"/>
      <c r="S93" s="265"/>
      <c r="T93" s="161" t="s">
        <v>931</v>
      </c>
    </row>
    <row r="94" s="161" customFormat="1" ht="24" customHeight="1" spans="1:20">
      <c r="A94" s="198"/>
      <c r="B94" s="270"/>
      <c r="C94" s="271" t="s">
        <v>970</v>
      </c>
      <c r="D94" s="193" t="s">
        <v>845</v>
      </c>
      <c r="E94" s="272" t="e">
        <f>#REF!</f>
        <v>#REF!</v>
      </c>
      <c r="F94" s="273">
        <v>0.13</v>
      </c>
      <c r="G94" s="274" t="e">
        <f t="shared" si="5"/>
        <v>#REF!</v>
      </c>
      <c r="H94" s="197"/>
      <c r="I94" s="197"/>
      <c r="J94" s="238"/>
      <c r="K94" s="283"/>
      <c r="L94" s="240">
        <v>2</v>
      </c>
      <c r="M94" s="241"/>
      <c r="N94" s="242"/>
      <c r="P94" s="171"/>
      <c r="R94" s="250" t="e">
        <f>VLOOKUP(C94,#REF!,3,0)</f>
        <v>#REF!</v>
      </c>
      <c r="S94" s="265" t="e">
        <f>VLOOKUP(R94,$I:$L,2,0)</f>
        <v>#REF!</v>
      </c>
      <c r="T94" s="161" t="s">
        <v>931</v>
      </c>
    </row>
    <row r="95" s="161" customFormat="1" ht="24" customHeight="1" spans="1:20">
      <c r="A95" s="198"/>
      <c r="B95" s="270"/>
      <c r="C95" s="271" t="s">
        <v>971</v>
      </c>
      <c r="D95" s="193" t="s">
        <v>845</v>
      </c>
      <c r="E95" s="272" t="e">
        <f>#REF!</f>
        <v>#REF!</v>
      </c>
      <c r="F95" s="273">
        <v>0.13</v>
      </c>
      <c r="G95" s="274" t="e">
        <f t="shared" si="5"/>
        <v>#REF!</v>
      </c>
      <c r="H95" s="197" t="s">
        <v>845</v>
      </c>
      <c r="I95" s="197" t="s">
        <v>972</v>
      </c>
      <c r="J95" s="238">
        <v>28</v>
      </c>
      <c r="K95" s="283">
        <v>1.05</v>
      </c>
      <c r="L95" s="240">
        <v>2</v>
      </c>
      <c r="M95" s="241"/>
      <c r="N95" s="242"/>
      <c r="P95" s="171"/>
      <c r="R95" s="250"/>
      <c r="S95" s="265"/>
      <c r="T95" s="161" t="s">
        <v>931</v>
      </c>
    </row>
    <row r="96" s="161" customFormat="1" ht="24" customHeight="1" spans="1:20">
      <c r="A96" s="198"/>
      <c r="B96" s="270"/>
      <c r="C96" s="271" t="s">
        <v>973</v>
      </c>
      <c r="D96" s="193" t="s">
        <v>845</v>
      </c>
      <c r="E96" s="272" t="e">
        <f>#REF!</f>
        <v>#REF!</v>
      </c>
      <c r="F96" s="273">
        <v>0.13</v>
      </c>
      <c r="G96" s="274" t="e">
        <f t="shared" si="5"/>
        <v>#REF!</v>
      </c>
      <c r="H96" s="197" t="s">
        <v>845</v>
      </c>
      <c r="I96" s="197" t="s">
        <v>974</v>
      </c>
      <c r="J96" s="238">
        <v>28</v>
      </c>
      <c r="K96" s="283">
        <v>1.05</v>
      </c>
      <c r="L96" s="240">
        <v>2</v>
      </c>
      <c r="M96" s="241"/>
      <c r="N96" s="242"/>
      <c r="P96" s="171"/>
      <c r="R96" s="250"/>
      <c r="S96" s="265"/>
      <c r="T96" s="161" t="s">
        <v>931</v>
      </c>
    </row>
    <row r="97" s="161" customFormat="1" ht="24" customHeight="1" spans="1:20">
      <c r="A97" s="198"/>
      <c r="B97" s="270"/>
      <c r="C97" s="271" t="s">
        <v>975</v>
      </c>
      <c r="D97" s="193" t="s">
        <v>845</v>
      </c>
      <c r="E97" s="272" t="e">
        <f>#REF!</f>
        <v>#REF!</v>
      </c>
      <c r="F97" s="273">
        <v>0.13</v>
      </c>
      <c r="G97" s="274" t="e">
        <f t="shared" si="5"/>
        <v>#REF!</v>
      </c>
      <c r="H97" s="197"/>
      <c r="I97" s="197"/>
      <c r="J97" s="238"/>
      <c r="K97" s="283"/>
      <c r="L97" s="240">
        <v>2</v>
      </c>
      <c r="M97" s="241"/>
      <c r="N97" s="242"/>
      <c r="P97" s="171"/>
      <c r="R97" s="250" t="e">
        <f>VLOOKUP(C97,#REF!,3,0)</f>
        <v>#REF!</v>
      </c>
      <c r="S97" s="265" t="e">
        <f>VLOOKUP(R97,$I:$L,2,0)</f>
        <v>#REF!</v>
      </c>
      <c r="T97" s="161" t="s">
        <v>931</v>
      </c>
    </row>
    <row r="98" s="161" customFormat="1" ht="24" customHeight="1" spans="1:20">
      <c r="A98" s="198"/>
      <c r="B98" s="270"/>
      <c r="C98" s="271" t="s">
        <v>976</v>
      </c>
      <c r="D98" s="193" t="s">
        <v>845</v>
      </c>
      <c r="E98" s="272" t="e">
        <f>#REF!</f>
        <v>#REF!</v>
      </c>
      <c r="F98" s="273">
        <v>0.13</v>
      </c>
      <c r="G98" s="274" t="e">
        <f t="shared" si="5"/>
        <v>#REF!</v>
      </c>
      <c r="H98" s="197"/>
      <c r="I98" s="197"/>
      <c r="J98" s="238"/>
      <c r="K98" s="283"/>
      <c r="L98" s="240">
        <v>2</v>
      </c>
      <c r="M98" s="241"/>
      <c r="N98" s="242"/>
      <c r="P98" s="171"/>
      <c r="R98" s="250" t="e">
        <f>VLOOKUP(C98,#REF!,3,0)</f>
        <v>#REF!</v>
      </c>
      <c r="S98" s="265" t="e">
        <f>VLOOKUP(R98,$I:$L,2,0)</f>
        <v>#REF!</v>
      </c>
      <c r="T98" s="161" t="s">
        <v>931</v>
      </c>
    </row>
    <row r="99" s="161" customFormat="1" ht="24" customHeight="1" spans="1:20">
      <c r="A99" s="198"/>
      <c r="B99" s="270"/>
      <c r="C99" s="271" t="s">
        <v>977</v>
      </c>
      <c r="D99" s="193" t="s">
        <v>845</v>
      </c>
      <c r="E99" s="272" t="e">
        <f>#REF!</f>
        <v>#REF!</v>
      </c>
      <c r="F99" s="273">
        <v>0.13</v>
      </c>
      <c r="G99" s="274" t="e">
        <f t="shared" si="5"/>
        <v>#REF!</v>
      </c>
      <c r="H99" s="197"/>
      <c r="I99" s="197"/>
      <c r="J99" s="238"/>
      <c r="K99" s="283"/>
      <c r="L99" s="240">
        <v>2</v>
      </c>
      <c r="M99" s="241"/>
      <c r="N99" s="242"/>
      <c r="P99" s="171"/>
      <c r="R99" s="250" t="e">
        <f>VLOOKUP(C99,#REF!,3,0)</f>
        <v>#REF!</v>
      </c>
      <c r="S99" s="265" t="e">
        <f>VLOOKUP(R99,$I:$L,2,0)</f>
        <v>#REF!</v>
      </c>
      <c r="T99" s="161" t="s">
        <v>931</v>
      </c>
    </row>
    <row r="100" s="161" customFormat="1" ht="24" customHeight="1" spans="1:20">
      <c r="A100" s="198"/>
      <c r="B100" s="270"/>
      <c r="C100" s="271" t="s">
        <v>978</v>
      </c>
      <c r="D100" s="193" t="s">
        <v>845</v>
      </c>
      <c r="E100" s="272" t="e">
        <f>#REF!</f>
        <v>#REF!</v>
      </c>
      <c r="F100" s="273">
        <v>0.13</v>
      </c>
      <c r="G100" s="274" t="e">
        <f t="shared" si="5"/>
        <v>#REF!</v>
      </c>
      <c r="H100" s="197"/>
      <c r="I100" s="197"/>
      <c r="J100" s="238"/>
      <c r="K100" s="283"/>
      <c r="L100" s="240">
        <v>2</v>
      </c>
      <c r="M100" s="241"/>
      <c r="N100" s="242"/>
      <c r="P100" s="171"/>
      <c r="R100" s="250" t="e">
        <f>VLOOKUP(C100,#REF!,3,0)</f>
        <v>#REF!</v>
      </c>
      <c r="S100" s="265" t="e">
        <f>VLOOKUP(R100,$I:$L,2,0)</f>
        <v>#REF!</v>
      </c>
      <c r="T100" s="161" t="s">
        <v>931</v>
      </c>
    </row>
    <row r="101" s="161" customFormat="1" ht="24" customHeight="1" spans="1:22">
      <c r="A101" s="198"/>
      <c r="B101" s="270"/>
      <c r="C101" s="271" t="s">
        <v>979</v>
      </c>
      <c r="D101" s="193" t="s">
        <v>845</v>
      </c>
      <c r="E101" s="272" t="e">
        <f>#REF!</f>
        <v>#REF!</v>
      </c>
      <c r="F101" s="273">
        <v>0.13</v>
      </c>
      <c r="G101" s="274" t="e">
        <f t="shared" si="5"/>
        <v>#REF!</v>
      </c>
      <c r="H101" s="197" t="s">
        <v>845</v>
      </c>
      <c r="I101" s="197" t="s">
        <v>980</v>
      </c>
      <c r="J101" s="238">
        <v>28</v>
      </c>
      <c r="K101" s="239">
        <v>1.1</v>
      </c>
      <c r="L101" s="240">
        <v>2</v>
      </c>
      <c r="M101" s="241"/>
      <c r="N101" s="242"/>
      <c r="P101" s="171"/>
      <c r="R101" s="250"/>
      <c r="S101" s="265"/>
      <c r="T101" s="161" t="s">
        <v>931</v>
      </c>
      <c r="V101" s="163"/>
    </row>
    <row r="102" s="161" customFormat="1" ht="24" customHeight="1" spans="1:20">
      <c r="A102" s="198"/>
      <c r="B102" s="270"/>
      <c r="C102" s="271" t="s">
        <v>981</v>
      </c>
      <c r="D102" s="193" t="s">
        <v>845</v>
      </c>
      <c r="E102" s="272" t="e">
        <f>#REF!</f>
        <v>#REF!</v>
      </c>
      <c r="F102" s="273">
        <v>0.13</v>
      </c>
      <c r="G102" s="274" t="e">
        <f t="shared" si="5"/>
        <v>#REF!</v>
      </c>
      <c r="H102" s="197"/>
      <c r="I102" s="197"/>
      <c r="J102" s="238"/>
      <c r="K102" s="283"/>
      <c r="L102" s="240">
        <v>2</v>
      </c>
      <c r="M102" s="241"/>
      <c r="N102" s="242"/>
      <c r="P102" s="171"/>
      <c r="R102" s="250" t="e">
        <f>VLOOKUP(C102,#REF!,3,0)</f>
        <v>#REF!</v>
      </c>
      <c r="S102" s="265" t="e">
        <f>VLOOKUP(R102,$I:$L,2,0)</f>
        <v>#REF!</v>
      </c>
      <c r="T102" s="161" t="s">
        <v>931</v>
      </c>
    </row>
    <row r="103" s="161" customFormat="1" ht="24" customHeight="1" spans="1:22">
      <c r="A103" s="198"/>
      <c r="B103" s="270"/>
      <c r="C103" s="271" t="s">
        <v>982</v>
      </c>
      <c r="D103" s="193" t="s">
        <v>868</v>
      </c>
      <c r="E103" s="269" t="e">
        <f>#REF!</f>
        <v>#REF!</v>
      </c>
      <c r="F103" s="195">
        <v>0.13</v>
      </c>
      <c r="G103" s="196" t="e">
        <f t="shared" si="5"/>
        <v>#REF!</v>
      </c>
      <c r="H103" s="197" t="s">
        <v>845</v>
      </c>
      <c r="I103" s="197" t="s">
        <v>983</v>
      </c>
      <c r="J103" s="238">
        <v>28</v>
      </c>
      <c r="K103" s="283">
        <v>1.05</v>
      </c>
      <c r="L103" s="240">
        <v>8</v>
      </c>
      <c r="M103" s="241"/>
      <c r="N103" s="242"/>
      <c r="O103" s="171"/>
      <c r="P103" s="171"/>
      <c r="R103" s="250"/>
      <c r="S103" s="265"/>
      <c r="V103" s="162"/>
    </row>
    <row r="104" s="163" customFormat="1" ht="24" customHeight="1" spans="1:22">
      <c r="A104" s="275"/>
      <c r="B104" s="276"/>
      <c r="C104" s="277" t="s">
        <v>984</v>
      </c>
      <c r="D104" s="278" t="s">
        <v>985</v>
      </c>
      <c r="E104" s="272">
        <f>632*1.13</f>
        <v>714.16</v>
      </c>
      <c r="F104" s="273">
        <v>0.13</v>
      </c>
      <c r="G104" s="274">
        <f t="shared" si="5"/>
        <v>632</v>
      </c>
      <c r="H104" s="279" t="s">
        <v>845</v>
      </c>
      <c r="I104" s="277" t="s">
        <v>984</v>
      </c>
      <c r="J104" s="272">
        <v>32</v>
      </c>
      <c r="K104" s="284">
        <v>1.05</v>
      </c>
      <c r="L104" s="285">
        <v>2</v>
      </c>
      <c r="M104" s="286"/>
      <c r="N104" s="287"/>
      <c r="O104" s="288"/>
      <c r="P104" s="288"/>
      <c r="R104" s="293"/>
      <c r="S104" s="294"/>
      <c r="T104" s="161" t="s">
        <v>931</v>
      </c>
      <c r="U104" s="161"/>
      <c r="V104" s="161"/>
    </row>
    <row r="105" s="161" customFormat="1" ht="24" customHeight="1" spans="1:19">
      <c r="A105" s="217" t="s">
        <v>986</v>
      </c>
      <c r="B105" s="223" t="s">
        <v>130</v>
      </c>
      <c r="C105" s="203" t="s">
        <v>130</v>
      </c>
      <c r="D105" s="213" t="s">
        <v>845</v>
      </c>
      <c r="E105" s="214">
        <v>53.5</v>
      </c>
      <c r="F105" s="215">
        <v>0.13</v>
      </c>
      <c r="G105" s="207">
        <f t="shared" ref="G105:G121" si="6">E105/(1+F105)</f>
        <v>47.3451327433628</v>
      </c>
      <c r="H105" s="221" t="s">
        <v>845</v>
      </c>
      <c r="I105" s="221"/>
      <c r="J105" s="245">
        <v>42</v>
      </c>
      <c r="K105" s="246">
        <v>0.34299</v>
      </c>
      <c r="L105" s="247">
        <v>1.1</v>
      </c>
      <c r="M105" s="241"/>
      <c r="N105" s="242"/>
      <c r="P105" s="171"/>
      <c r="R105" s="250"/>
      <c r="S105" s="265"/>
    </row>
    <row r="106" s="162" customFormat="1" ht="24" customHeight="1" spans="1:22">
      <c r="A106" s="218"/>
      <c r="B106" s="280"/>
      <c r="C106" s="203" t="s">
        <v>987</v>
      </c>
      <c r="D106" s="213" t="s">
        <v>845</v>
      </c>
      <c r="E106" s="214">
        <v>16</v>
      </c>
      <c r="F106" s="215">
        <v>0.13</v>
      </c>
      <c r="G106" s="207">
        <f t="shared" si="6"/>
        <v>14.1592920353982</v>
      </c>
      <c r="H106" s="221" t="s">
        <v>845</v>
      </c>
      <c r="I106" s="221"/>
      <c r="J106" s="245">
        <v>42</v>
      </c>
      <c r="K106" s="246">
        <v>0.34299</v>
      </c>
      <c r="L106" s="247">
        <v>1.1</v>
      </c>
      <c r="M106" s="241"/>
      <c r="N106" s="242"/>
      <c r="P106" s="289"/>
      <c r="R106" s="250"/>
      <c r="S106" s="265"/>
      <c r="V106" s="161"/>
    </row>
    <row r="107" s="161" customFormat="1" ht="24" customHeight="1" spans="1:19">
      <c r="A107" s="217"/>
      <c r="B107" s="226"/>
      <c r="C107" s="203" t="s">
        <v>988</v>
      </c>
      <c r="D107" s="213" t="s">
        <v>845</v>
      </c>
      <c r="E107" s="214">
        <v>8</v>
      </c>
      <c r="F107" s="215">
        <v>0.13</v>
      </c>
      <c r="G107" s="207">
        <f t="shared" si="6"/>
        <v>7.07964601769912</v>
      </c>
      <c r="H107" s="221" t="s">
        <v>845</v>
      </c>
      <c r="I107" s="290"/>
      <c r="J107" s="245">
        <v>42</v>
      </c>
      <c r="K107" s="246">
        <v>1.1</v>
      </c>
      <c r="L107" s="247">
        <v>2</v>
      </c>
      <c r="M107" s="241"/>
      <c r="N107" s="242"/>
      <c r="P107" s="171"/>
      <c r="R107" s="250"/>
      <c r="S107" s="265"/>
    </row>
    <row r="108" s="161" customFormat="1" ht="24" customHeight="1" spans="1:19">
      <c r="A108" s="217"/>
      <c r="B108" s="226"/>
      <c r="C108" s="203" t="s">
        <v>989</v>
      </c>
      <c r="D108" s="213" t="s">
        <v>845</v>
      </c>
      <c r="E108" s="214">
        <v>53.5</v>
      </c>
      <c r="F108" s="215">
        <v>0.13</v>
      </c>
      <c r="G108" s="207">
        <f t="shared" si="6"/>
        <v>47.3451327433628</v>
      </c>
      <c r="H108" s="221" t="s">
        <v>845</v>
      </c>
      <c r="I108" s="290"/>
      <c r="J108" s="245">
        <f>42+4</f>
        <v>46</v>
      </c>
      <c r="K108" s="246">
        <f>K105</f>
        <v>0.34299</v>
      </c>
      <c r="L108" s="247">
        <v>9.1</v>
      </c>
      <c r="M108" s="241"/>
      <c r="N108" s="242"/>
      <c r="P108" s="171"/>
      <c r="R108" s="250"/>
      <c r="S108" s="265"/>
    </row>
    <row r="109" s="161" customFormat="1" ht="24" customHeight="1" spans="1:19">
      <c r="A109" s="217"/>
      <c r="B109" s="226"/>
      <c r="C109" s="203" t="s">
        <v>990</v>
      </c>
      <c r="D109" s="213" t="s">
        <v>845</v>
      </c>
      <c r="E109" s="214">
        <v>53.5</v>
      </c>
      <c r="F109" s="215">
        <v>0.13</v>
      </c>
      <c r="G109" s="207">
        <f t="shared" si="6"/>
        <v>47.3451327433628</v>
      </c>
      <c r="H109" s="221" t="s">
        <v>845</v>
      </c>
      <c r="I109" s="290"/>
      <c r="J109" s="245">
        <f>42+4</f>
        <v>46</v>
      </c>
      <c r="K109" s="246">
        <f>K108</f>
        <v>0.34299</v>
      </c>
      <c r="L109" s="247">
        <v>2.3</v>
      </c>
      <c r="M109" s="241"/>
      <c r="N109" s="242"/>
      <c r="P109" s="171"/>
      <c r="R109" s="250"/>
      <c r="S109" s="265"/>
    </row>
    <row r="110" s="161" customFormat="1" ht="24" customHeight="1" spans="1:19">
      <c r="A110" s="217"/>
      <c r="B110" s="267"/>
      <c r="C110" s="203" t="s">
        <v>991</v>
      </c>
      <c r="D110" s="213" t="s">
        <v>845</v>
      </c>
      <c r="E110" s="214">
        <v>53.5</v>
      </c>
      <c r="F110" s="215">
        <v>0.13</v>
      </c>
      <c r="G110" s="207">
        <f t="shared" si="6"/>
        <v>47.3451327433628</v>
      </c>
      <c r="H110" s="221" t="s">
        <v>845</v>
      </c>
      <c r="I110" s="291"/>
      <c r="J110" s="245">
        <v>42</v>
      </c>
      <c r="K110" s="246">
        <f>0.33*1.45</f>
        <v>0.4785</v>
      </c>
      <c r="L110" s="247">
        <v>1.1</v>
      </c>
      <c r="M110" s="241"/>
      <c r="N110" s="242"/>
      <c r="P110" s="171"/>
      <c r="R110" s="250"/>
      <c r="S110" s="265"/>
    </row>
    <row r="111" s="161" customFormat="1" ht="24" customHeight="1" spans="1:19">
      <c r="A111" s="217"/>
      <c r="B111" s="212" t="s">
        <v>992</v>
      </c>
      <c r="C111" s="203" t="s">
        <v>993</v>
      </c>
      <c r="D111" s="213" t="s">
        <v>845</v>
      </c>
      <c r="E111" s="214">
        <v>0</v>
      </c>
      <c r="F111" s="215">
        <v>0.13</v>
      </c>
      <c r="G111" s="207">
        <f t="shared" si="6"/>
        <v>0</v>
      </c>
      <c r="H111" s="221" t="s">
        <v>845</v>
      </c>
      <c r="I111" s="203" t="s">
        <v>993</v>
      </c>
      <c r="J111" s="245">
        <v>7.2</v>
      </c>
      <c r="K111" s="246">
        <v>1</v>
      </c>
      <c r="L111" s="247">
        <v>13.04</v>
      </c>
      <c r="M111" s="241"/>
      <c r="N111" s="242"/>
      <c r="P111" s="171"/>
      <c r="R111" s="250"/>
      <c r="S111" s="265"/>
    </row>
    <row r="112" s="161" customFormat="1" ht="24" customHeight="1" spans="1:19">
      <c r="A112" s="217"/>
      <c r="B112" s="212"/>
      <c r="C112" s="203" t="s">
        <v>994</v>
      </c>
      <c r="D112" s="213" t="s">
        <v>845</v>
      </c>
      <c r="E112" s="214">
        <v>0</v>
      </c>
      <c r="F112" s="215">
        <v>0.13</v>
      </c>
      <c r="G112" s="207">
        <f t="shared" si="6"/>
        <v>0</v>
      </c>
      <c r="H112" s="221" t="s">
        <v>845</v>
      </c>
      <c r="I112" s="203" t="s">
        <v>994</v>
      </c>
      <c r="J112" s="245">
        <v>5.5</v>
      </c>
      <c r="K112" s="246">
        <v>1</v>
      </c>
      <c r="L112" s="247">
        <v>9.2</v>
      </c>
      <c r="M112" s="241"/>
      <c r="N112" s="242"/>
      <c r="P112" s="171"/>
      <c r="R112" s="250"/>
      <c r="S112" s="265"/>
    </row>
    <row r="113" s="161" customFormat="1" ht="24" customHeight="1" spans="1:19">
      <c r="A113" s="217"/>
      <c r="B113" s="212"/>
      <c r="C113" s="203" t="s">
        <v>995</v>
      </c>
      <c r="D113" s="213" t="s">
        <v>845</v>
      </c>
      <c r="E113" s="214">
        <v>0</v>
      </c>
      <c r="F113" s="215">
        <v>0.13</v>
      </c>
      <c r="G113" s="207">
        <f t="shared" si="6"/>
        <v>0</v>
      </c>
      <c r="H113" s="221" t="s">
        <v>845</v>
      </c>
      <c r="I113" s="203" t="s">
        <v>995</v>
      </c>
      <c r="J113" s="245">
        <v>3.5</v>
      </c>
      <c r="K113" s="246">
        <v>1</v>
      </c>
      <c r="L113" s="247">
        <v>2.2</v>
      </c>
      <c r="M113" s="241"/>
      <c r="N113" s="242"/>
      <c r="P113" s="171"/>
      <c r="R113" s="250"/>
      <c r="S113" s="265"/>
    </row>
    <row r="114" s="161" customFormat="1" ht="24" customHeight="1" spans="1:19">
      <c r="A114" s="217"/>
      <c r="B114" s="212"/>
      <c r="C114" s="203" t="s">
        <v>996</v>
      </c>
      <c r="D114" s="213" t="s">
        <v>845</v>
      </c>
      <c r="E114" s="214">
        <v>0</v>
      </c>
      <c r="F114" s="215">
        <v>0.13</v>
      </c>
      <c r="G114" s="207">
        <f t="shared" si="6"/>
        <v>0</v>
      </c>
      <c r="H114" s="221" t="s">
        <v>845</v>
      </c>
      <c r="I114" s="203" t="s">
        <v>996</v>
      </c>
      <c r="J114" s="245">
        <v>8.37</v>
      </c>
      <c r="K114" s="246">
        <v>1</v>
      </c>
      <c r="L114" s="247">
        <v>5.57</v>
      </c>
      <c r="M114" s="241"/>
      <c r="N114" s="242"/>
      <c r="P114" s="171"/>
      <c r="R114" s="250"/>
      <c r="S114" s="265"/>
    </row>
    <row r="115" s="161" customFormat="1" ht="24" customHeight="1" spans="1:19">
      <c r="A115" s="217"/>
      <c r="B115" s="212"/>
      <c r="C115" s="203" t="s">
        <v>997</v>
      </c>
      <c r="D115" s="213" t="s">
        <v>845</v>
      </c>
      <c r="E115" s="214">
        <v>0</v>
      </c>
      <c r="F115" s="215">
        <v>0.13</v>
      </c>
      <c r="G115" s="207">
        <f t="shared" si="6"/>
        <v>0</v>
      </c>
      <c r="H115" s="221" t="s">
        <v>845</v>
      </c>
      <c r="I115" s="203" t="s">
        <v>997</v>
      </c>
      <c r="J115" s="245">
        <v>4</v>
      </c>
      <c r="K115" s="246">
        <v>1</v>
      </c>
      <c r="L115" s="247">
        <v>0.89</v>
      </c>
      <c r="M115" s="241"/>
      <c r="N115" s="242"/>
      <c r="P115" s="171"/>
      <c r="R115" s="250"/>
      <c r="S115" s="265"/>
    </row>
    <row r="116" s="161" customFormat="1" ht="24" customHeight="1" spans="1:19">
      <c r="A116" s="217"/>
      <c r="B116" s="212"/>
      <c r="C116" s="203" t="s">
        <v>998</v>
      </c>
      <c r="D116" s="213" t="s">
        <v>845</v>
      </c>
      <c r="E116" s="214">
        <v>0</v>
      </c>
      <c r="F116" s="215">
        <v>0.13</v>
      </c>
      <c r="G116" s="207">
        <f t="shared" si="6"/>
        <v>0</v>
      </c>
      <c r="H116" s="221" t="s">
        <v>845</v>
      </c>
      <c r="I116" s="203" t="s">
        <v>998</v>
      </c>
      <c r="J116" s="245">
        <v>7.37</v>
      </c>
      <c r="K116" s="246">
        <v>1</v>
      </c>
      <c r="L116" s="247">
        <v>4.57</v>
      </c>
      <c r="M116" s="241"/>
      <c r="N116" s="242"/>
      <c r="P116" s="171"/>
      <c r="R116" s="250"/>
      <c r="S116" s="265"/>
    </row>
    <row r="117" s="161" customFormat="1" ht="24" customHeight="1" spans="1:19">
      <c r="A117" s="217"/>
      <c r="B117" s="212"/>
      <c r="C117" s="203" t="s">
        <v>999</v>
      </c>
      <c r="D117" s="213" t="s">
        <v>845</v>
      </c>
      <c r="E117" s="214">
        <v>0</v>
      </c>
      <c r="F117" s="215">
        <v>0.13</v>
      </c>
      <c r="G117" s="207">
        <f t="shared" si="6"/>
        <v>0</v>
      </c>
      <c r="H117" s="221" t="s">
        <v>845</v>
      </c>
      <c r="I117" s="203" t="s">
        <v>999</v>
      </c>
      <c r="J117" s="245">
        <v>0.4</v>
      </c>
      <c r="K117" s="246">
        <v>1</v>
      </c>
      <c r="L117" s="247">
        <v>0.17</v>
      </c>
      <c r="M117" s="241"/>
      <c r="N117" s="242"/>
      <c r="P117" s="171"/>
      <c r="R117" s="250"/>
      <c r="S117" s="265"/>
    </row>
    <row r="118" s="161" customFormat="1" ht="24" customHeight="1" spans="1:19">
      <c r="A118" s="217"/>
      <c r="B118" s="212"/>
      <c r="C118" s="203" t="s">
        <v>1000</v>
      </c>
      <c r="D118" s="213" t="s">
        <v>845</v>
      </c>
      <c r="E118" s="214">
        <v>0</v>
      </c>
      <c r="F118" s="215">
        <v>0.13</v>
      </c>
      <c r="G118" s="207">
        <f t="shared" si="6"/>
        <v>0</v>
      </c>
      <c r="H118" s="221" t="s">
        <v>845</v>
      </c>
      <c r="I118" s="203" t="s">
        <v>1000</v>
      </c>
      <c r="J118" s="245">
        <v>1</v>
      </c>
      <c r="K118" s="246">
        <v>1</v>
      </c>
      <c r="L118" s="247">
        <v>0.7</v>
      </c>
      <c r="M118" s="241"/>
      <c r="N118" s="242"/>
      <c r="P118" s="171"/>
      <c r="R118" s="250"/>
      <c r="S118" s="265"/>
    </row>
    <row r="119" s="161" customFormat="1" ht="24" customHeight="1" spans="1:19">
      <c r="A119" s="217"/>
      <c r="B119" s="212"/>
      <c r="C119" s="203" t="s">
        <v>1001</v>
      </c>
      <c r="D119" s="213" t="s">
        <v>845</v>
      </c>
      <c r="E119" s="214">
        <v>0</v>
      </c>
      <c r="F119" s="215">
        <v>0.13</v>
      </c>
      <c r="G119" s="207">
        <f t="shared" si="6"/>
        <v>0</v>
      </c>
      <c r="H119" s="221" t="s">
        <v>845</v>
      </c>
      <c r="I119" s="203" t="s">
        <v>1001</v>
      </c>
      <c r="J119" s="245">
        <v>26</v>
      </c>
      <c r="K119" s="246">
        <v>1</v>
      </c>
      <c r="L119" s="247">
        <v>21.45</v>
      </c>
      <c r="M119" s="241"/>
      <c r="N119" s="242"/>
      <c r="P119" s="171"/>
      <c r="R119" s="250"/>
      <c r="S119" s="265"/>
    </row>
    <row r="120" s="161" customFormat="1" ht="24" customHeight="1" spans="1:19">
      <c r="A120" s="217"/>
      <c r="B120" s="212"/>
      <c r="C120" s="203" t="s">
        <v>1002</v>
      </c>
      <c r="D120" s="213" t="s">
        <v>1003</v>
      </c>
      <c r="E120" s="214">
        <v>0</v>
      </c>
      <c r="F120" s="215">
        <v>0.13</v>
      </c>
      <c r="G120" s="207">
        <f t="shared" si="6"/>
        <v>0</v>
      </c>
      <c r="H120" s="213" t="s">
        <v>1003</v>
      </c>
      <c r="I120" s="203" t="s">
        <v>1002</v>
      </c>
      <c r="J120" s="245">
        <f>4286.58/1.09/1.7</f>
        <v>2313.3189422558</v>
      </c>
      <c r="K120" s="256">
        <v>1</v>
      </c>
      <c r="L120" s="247">
        <f>(2463.84+90.45)/1.09/1.7</f>
        <v>1378.46195358877</v>
      </c>
      <c r="M120" s="241"/>
      <c r="N120" s="242"/>
      <c r="P120" s="171"/>
      <c r="R120" s="250"/>
      <c r="S120" s="265"/>
    </row>
    <row r="121" s="161" customFormat="1" ht="24" customHeight="1" spans="1:19">
      <c r="A121" s="217"/>
      <c r="B121" s="212"/>
      <c r="C121" s="203" t="s">
        <v>1004</v>
      </c>
      <c r="D121" s="213" t="s">
        <v>1003</v>
      </c>
      <c r="E121" s="214">
        <v>0</v>
      </c>
      <c r="F121" s="215">
        <v>0.13</v>
      </c>
      <c r="G121" s="207">
        <f t="shared" si="6"/>
        <v>0</v>
      </c>
      <c r="H121" s="221" t="s">
        <v>1003</v>
      </c>
      <c r="I121" s="203" t="s">
        <v>1004</v>
      </c>
      <c r="J121" s="245">
        <f>5798.28/1.09/1.7</f>
        <v>3129.13113869401</v>
      </c>
      <c r="K121" s="246">
        <v>1</v>
      </c>
      <c r="L121" s="247">
        <f>(3754.74+119.01)/1.09/1.7</f>
        <v>2090.5288720993</v>
      </c>
      <c r="M121" s="241"/>
      <c r="N121" s="242"/>
      <c r="P121" s="171"/>
      <c r="R121" s="250"/>
      <c r="S121" s="265"/>
    </row>
    <row r="122" s="161" customFormat="1" ht="24" customHeight="1" spans="1:19">
      <c r="A122" s="217"/>
      <c r="B122" s="212" t="s">
        <v>1005</v>
      </c>
      <c r="C122" s="203" t="s">
        <v>1006</v>
      </c>
      <c r="D122" s="213" t="s">
        <v>845</v>
      </c>
      <c r="E122" s="214"/>
      <c r="F122" s="281"/>
      <c r="G122" s="207"/>
      <c r="H122" s="221"/>
      <c r="I122" s="221"/>
      <c r="J122" s="245"/>
      <c r="K122" s="256"/>
      <c r="L122" s="247">
        <f>8/1.09/1.08</f>
        <v>6.79578661230037</v>
      </c>
      <c r="M122" s="241"/>
      <c r="N122" s="242"/>
      <c r="P122" s="171"/>
      <c r="R122" s="250"/>
      <c r="S122" s="265"/>
    </row>
    <row r="123" s="161" customFormat="1" ht="24" customHeight="1" spans="1:19">
      <c r="A123" s="217"/>
      <c r="B123" s="212"/>
      <c r="C123" s="203" t="s">
        <v>1005</v>
      </c>
      <c r="D123" s="213" t="s">
        <v>845</v>
      </c>
      <c r="E123" s="282"/>
      <c r="F123" s="281"/>
      <c r="G123" s="207"/>
      <c r="H123" s="221"/>
      <c r="I123" s="203"/>
      <c r="J123" s="245"/>
      <c r="K123" s="256"/>
      <c r="L123" s="247">
        <f>80.5/(1+$P$1)</f>
        <v>74.537037037037</v>
      </c>
      <c r="M123" s="241"/>
      <c r="N123" s="242"/>
      <c r="P123" s="171"/>
      <c r="R123" s="250"/>
      <c r="S123" s="265"/>
    </row>
    <row r="124" s="161" customFormat="1" ht="24" customHeight="1" spans="1:19">
      <c r="A124" s="217"/>
      <c r="B124" s="212"/>
      <c r="C124" s="203" t="s">
        <v>1007</v>
      </c>
      <c r="D124" s="213" t="s">
        <v>845</v>
      </c>
      <c r="E124" s="214"/>
      <c r="F124" s="281"/>
      <c r="G124" s="207"/>
      <c r="H124" s="221"/>
      <c r="I124" s="290"/>
      <c r="J124" s="245"/>
      <c r="K124" s="246"/>
      <c r="L124" s="247">
        <f>49.26/(1+$P$1)</f>
        <v>45.6111111111111</v>
      </c>
      <c r="M124" s="241"/>
      <c r="N124" s="242"/>
      <c r="P124" s="171"/>
      <c r="R124" s="250"/>
      <c r="S124" s="265"/>
    </row>
    <row r="125" s="161" customFormat="1" ht="24" customHeight="1" spans="1:19">
      <c r="A125" s="217"/>
      <c r="B125" s="212"/>
      <c r="C125" s="203" t="s">
        <v>1008</v>
      </c>
      <c r="D125" s="213" t="s">
        <v>845</v>
      </c>
      <c r="E125" s="214"/>
      <c r="F125" s="281"/>
      <c r="G125" s="207"/>
      <c r="H125" s="221"/>
      <c r="I125" s="290"/>
      <c r="J125" s="245"/>
      <c r="K125" s="246"/>
      <c r="L125" s="247">
        <f>45.26/(1+$P$1)</f>
        <v>41.9074074074074</v>
      </c>
      <c r="M125" s="241"/>
      <c r="N125" s="242"/>
      <c r="P125" s="171"/>
      <c r="R125" s="250"/>
      <c r="S125" s="265"/>
    </row>
    <row r="126" s="161" customFormat="1" ht="24" customHeight="1" spans="1:19">
      <c r="A126" s="217"/>
      <c r="B126" s="212"/>
      <c r="C126" s="203" t="s">
        <v>1009</v>
      </c>
      <c r="D126" s="213" t="s">
        <v>845</v>
      </c>
      <c r="E126" s="214"/>
      <c r="F126" s="281"/>
      <c r="G126" s="207"/>
      <c r="H126" s="221"/>
      <c r="I126" s="290"/>
      <c r="J126" s="245"/>
      <c r="K126" s="246"/>
      <c r="L126" s="247">
        <f>41/(1+$P$1)</f>
        <v>37.962962962963</v>
      </c>
      <c r="M126" s="241"/>
      <c r="N126" s="242"/>
      <c r="P126" s="171"/>
      <c r="R126" s="250"/>
      <c r="S126" s="265"/>
    </row>
    <row r="127" s="161" customFormat="1" ht="24" customHeight="1" spans="1:19">
      <c r="A127" s="266"/>
      <c r="B127" s="212"/>
      <c r="C127" s="203" t="s">
        <v>1010</v>
      </c>
      <c r="D127" s="213" t="s">
        <v>845</v>
      </c>
      <c r="E127" s="282"/>
      <c r="F127" s="281"/>
      <c r="G127" s="207"/>
      <c r="H127" s="221"/>
      <c r="I127" s="203"/>
      <c r="J127" s="245"/>
      <c r="K127" s="246"/>
      <c r="L127" s="247">
        <f>38/(1+$P$1)</f>
        <v>35.1851851851852</v>
      </c>
      <c r="M127" s="241"/>
      <c r="N127" s="242"/>
      <c r="P127" s="171"/>
      <c r="R127" s="250"/>
      <c r="S127" s="265"/>
    </row>
    <row r="128" s="161" customFormat="1" ht="24" customHeight="1" spans="1:20">
      <c r="A128" s="190" t="s">
        <v>1011</v>
      </c>
      <c r="B128" s="191" t="s">
        <v>1012</v>
      </c>
      <c r="C128" s="271" t="s">
        <v>1013</v>
      </c>
      <c r="D128" s="193" t="s">
        <v>868</v>
      </c>
      <c r="E128" s="214" t="e">
        <f>#REF!</f>
        <v>#REF!</v>
      </c>
      <c r="F128" s="195">
        <v>0.13</v>
      </c>
      <c r="G128" s="196" t="e">
        <f t="shared" ref="G128:G159" si="7">E128/(1+F128)</f>
        <v>#REF!</v>
      </c>
      <c r="H128" s="200" t="s">
        <v>868</v>
      </c>
      <c r="I128" s="292" t="s">
        <v>1014</v>
      </c>
      <c r="J128" s="238">
        <v>750</v>
      </c>
      <c r="K128" s="239">
        <v>1</v>
      </c>
      <c r="L128" s="240">
        <v>35</v>
      </c>
      <c r="M128" s="241"/>
      <c r="N128" s="242"/>
      <c r="P128" s="171"/>
      <c r="R128" s="250"/>
      <c r="S128" s="265"/>
      <c r="T128" s="161" t="s">
        <v>931</v>
      </c>
    </row>
    <row r="129" s="161" customFormat="1" ht="24" customHeight="1" spans="1:20">
      <c r="A129" s="198"/>
      <c r="B129" s="199"/>
      <c r="C129" s="271" t="s">
        <v>1015</v>
      </c>
      <c r="D129" s="193" t="s">
        <v>868</v>
      </c>
      <c r="E129" s="214" t="e">
        <f>#REF!</f>
        <v>#REF!</v>
      </c>
      <c r="F129" s="195">
        <v>0.13</v>
      </c>
      <c r="G129" s="196" t="e">
        <f t="shared" si="7"/>
        <v>#REF!</v>
      </c>
      <c r="H129" s="200"/>
      <c r="I129" s="292"/>
      <c r="J129" s="238"/>
      <c r="K129" s="239"/>
      <c r="L129" s="240">
        <v>35</v>
      </c>
      <c r="M129" s="241"/>
      <c r="N129" s="242"/>
      <c r="P129" s="171"/>
      <c r="R129" s="250" t="e">
        <f>VLOOKUP(C129,#REF!,3,0)</f>
        <v>#REF!</v>
      </c>
      <c r="S129" s="265" t="e">
        <f>VLOOKUP(R129,$I:$L,2,0)</f>
        <v>#REF!</v>
      </c>
      <c r="T129" s="161" t="s">
        <v>931</v>
      </c>
    </row>
    <row r="130" s="161" customFormat="1" ht="24" customHeight="1" spans="1:20">
      <c r="A130" s="198"/>
      <c r="B130" s="210"/>
      <c r="C130" s="271" t="s">
        <v>1016</v>
      </c>
      <c r="D130" s="193" t="s">
        <v>868</v>
      </c>
      <c r="E130" s="214" t="e">
        <f>#REF!</f>
        <v>#REF!</v>
      </c>
      <c r="F130" s="195">
        <v>0.13</v>
      </c>
      <c r="G130" s="196" t="e">
        <f t="shared" si="7"/>
        <v>#REF!</v>
      </c>
      <c r="H130" s="200"/>
      <c r="I130" s="292"/>
      <c r="J130" s="238"/>
      <c r="K130" s="239"/>
      <c r="L130" s="240">
        <v>35</v>
      </c>
      <c r="M130" s="241"/>
      <c r="N130" s="242"/>
      <c r="P130" s="171"/>
      <c r="R130" s="250" t="e">
        <f>VLOOKUP(C130,#REF!,3,0)</f>
        <v>#REF!</v>
      </c>
      <c r="S130" s="265" t="e">
        <f>VLOOKUP(R130,$I:$L,2,0)</f>
        <v>#REF!</v>
      </c>
      <c r="T130" s="161" t="s">
        <v>931</v>
      </c>
    </row>
    <row r="131" s="161" customFormat="1" ht="24" customHeight="1" spans="1:20">
      <c r="A131" s="198"/>
      <c r="B131" s="295" t="s">
        <v>1017</v>
      </c>
      <c r="C131" s="203" t="s">
        <v>1018</v>
      </c>
      <c r="D131" s="213" t="s">
        <v>868</v>
      </c>
      <c r="E131" s="214" t="e">
        <f>#REF!</f>
        <v>#REF!</v>
      </c>
      <c r="F131" s="215">
        <v>0.13</v>
      </c>
      <c r="G131" s="207" t="e">
        <f t="shared" si="7"/>
        <v>#REF!</v>
      </c>
      <c r="H131" s="216" t="s">
        <v>868</v>
      </c>
      <c r="I131" s="216" t="s">
        <v>1019</v>
      </c>
      <c r="J131" s="245">
        <v>120</v>
      </c>
      <c r="K131" s="246">
        <v>1</v>
      </c>
      <c r="L131" s="247">
        <v>0</v>
      </c>
      <c r="M131" s="241"/>
      <c r="N131" s="242"/>
      <c r="P131" s="171"/>
      <c r="R131" s="250"/>
      <c r="S131" s="265"/>
      <c r="T131" s="161" t="s">
        <v>931</v>
      </c>
    </row>
    <row r="132" s="161" customFormat="1" ht="24" customHeight="1" spans="1:19">
      <c r="A132" s="198"/>
      <c r="B132" s="202"/>
      <c r="C132" s="203" t="s">
        <v>1020</v>
      </c>
      <c r="D132" s="213" t="s">
        <v>868</v>
      </c>
      <c r="E132" s="214" t="e">
        <f>#REF!</f>
        <v>#REF!</v>
      </c>
      <c r="F132" s="215">
        <v>0.13</v>
      </c>
      <c r="G132" s="207" t="e">
        <f t="shared" si="7"/>
        <v>#REF!</v>
      </c>
      <c r="H132" s="216" t="s">
        <v>868</v>
      </c>
      <c r="I132" s="221" t="s">
        <v>1021</v>
      </c>
      <c r="J132" s="245">
        <v>330</v>
      </c>
      <c r="K132" s="246">
        <v>1</v>
      </c>
      <c r="L132" s="247">
        <v>25</v>
      </c>
      <c r="M132" s="241"/>
      <c r="N132" s="242"/>
      <c r="P132" s="171"/>
      <c r="R132" s="250"/>
      <c r="S132" s="265"/>
    </row>
    <row r="133" s="161" customFormat="1" ht="24" customHeight="1" spans="1:19">
      <c r="A133" s="198"/>
      <c r="B133" s="202"/>
      <c r="C133" s="203" t="s">
        <v>1022</v>
      </c>
      <c r="D133" s="213" t="s">
        <v>868</v>
      </c>
      <c r="E133" s="224">
        <v>145</v>
      </c>
      <c r="F133" s="215">
        <v>0.13</v>
      </c>
      <c r="G133" s="207">
        <f t="shared" si="7"/>
        <v>128.318584070796</v>
      </c>
      <c r="H133" s="216" t="s">
        <v>868</v>
      </c>
      <c r="I133" s="216" t="s">
        <v>1023</v>
      </c>
      <c r="J133" s="245">
        <v>330</v>
      </c>
      <c r="K133" s="246">
        <v>0.95</v>
      </c>
      <c r="L133" s="247">
        <v>70</v>
      </c>
      <c r="M133" s="241"/>
      <c r="N133" s="242"/>
      <c r="P133" s="171"/>
      <c r="R133" s="250"/>
      <c r="S133" s="265"/>
    </row>
    <row r="134" s="161" customFormat="1" ht="24" customHeight="1" spans="1:19">
      <c r="A134" s="198"/>
      <c r="B134" s="202"/>
      <c r="C134" s="203" t="s">
        <v>1024</v>
      </c>
      <c r="D134" s="213" t="s">
        <v>868</v>
      </c>
      <c r="E134" s="224">
        <v>187.5</v>
      </c>
      <c r="F134" s="215">
        <v>0.13</v>
      </c>
      <c r="G134" s="207">
        <f t="shared" si="7"/>
        <v>165.929203539823</v>
      </c>
      <c r="H134" s="216"/>
      <c r="I134" s="221"/>
      <c r="J134" s="245"/>
      <c r="K134" s="246"/>
      <c r="L134" s="247">
        <v>70</v>
      </c>
      <c r="M134" s="241"/>
      <c r="N134" s="242"/>
      <c r="P134" s="171"/>
      <c r="R134" s="250" t="e">
        <f>VLOOKUP(C134,#REF!,3,0)</f>
        <v>#REF!</v>
      </c>
      <c r="S134" s="265" t="e">
        <f>VLOOKUP(R134,$I:$L,2,0)</f>
        <v>#REF!</v>
      </c>
    </row>
    <row r="135" s="161" customFormat="1" ht="24" customHeight="1" spans="1:19">
      <c r="A135" s="198"/>
      <c r="B135" s="202"/>
      <c r="C135" s="203" t="s">
        <v>1025</v>
      </c>
      <c r="D135" s="213" t="s">
        <v>868</v>
      </c>
      <c r="E135" s="214">
        <v>250</v>
      </c>
      <c r="F135" s="215">
        <v>0.13</v>
      </c>
      <c r="G135" s="207">
        <f t="shared" si="7"/>
        <v>221.238938053097</v>
      </c>
      <c r="H135" s="204"/>
      <c r="I135" s="221"/>
      <c r="J135" s="245"/>
      <c r="K135" s="246"/>
      <c r="L135" s="247">
        <v>100</v>
      </c>
      <c r="M135" s="241"/>
      <c r="N135" s="242"/>
      <c r="P135" s="171"/>
      <c r="R135" s="250" t="e">
        <f>VLOOKUP(C135,#REF!,3,0)</f>
        <v>#REF!</v>
      </c>
      <c r="S135" s="265" t="e">
        <f>VLOOKUP(R135,$I:$L,2,0)</f>
        <v>#REF!</v>
      </c>
    </row>
    <row r="136" s="161" customFormat="1" ht="24" customHeight="1" spans="1:19">
      <c r="A136" s="198"/>
      <c r="B136" s="202"/>
      <c r="C136" s="203" t="s">
        <v>1026</v>
      </c>
      <c r="D136" s="213" t="s">
        <v>868</v>
      </c>
      <c r="E136" s="214">
        <v>400.02</v>
      </c>
      <c r="F136" s="215">
        <v>0.13</v>
      </c>
      <c r="G136" s="207">
        <f t="shared" si="7"/>
        <v>354</v>
      </c>
      <c r="H136" s="216" t="s">
        <v>845</v>
      </c>
      <c r="I136" s="221" t="s">
        <v>1027</v>
      </c>
      <c r="J136" s="261">
        <v>75</v>
      </c>
      <c r="K136" s="246">
        <v>1</v>
      </c>
      <c r="L136" s="247">
        <v>0</v>
      </c>
      <c r="M136" s="241"/>
      <c r="N136" s="242"/>
      <c r="P136" s="171"/>
      <c r="R136" s="250"/>
      <c r="S136" s="265"/>
    </row>
    <row r="137" s="161" customFormat="1" ht="24" customHeight="1" spans="1:19">
      <c r="A137" s="198"/>
      <c r="B137" s="202"/>
      <c r="C137" s="203" t="s">
        <v>494</v>
      </c>
      <c r="D137" s="213" t="s">
        <v>868</v>
      </c>
      <c r="E137" s="214">
        <v>285</v>
      </c>
      <c r="F137" s="215">
        <v>0.13</v>
      </c>
      <c r="G137" s="207">
        <f t="shared" si="7"/>
        <v>252.212389380531</v>
      </c>
      <c r="H137" s="216" t="s">
        <v>868</v>
      </c>
      <c r="I137" s="216" t="s">
        <v>494</v>
      </c>
      <c r="J137" s="245">
        <v>330</v>
      </c>
      <c r="K137" s="246">
        <v>0.78</v>
      </c>
      <c r="L137" s="247">
        <v>100</v>
      </c>
      <c r="M137" s="241"/>
      <c r="N137" s="242"/>
      <c r="P137" s="171"/>
      <c r="R137" s="250"/>
      <c r="S137" s="265"/>
    </row>
    <row r="138" s="161" customFormat="1" ht="24" customHeight="1" spans="1:19">
      <c r="A138" s="198"/>
      <c r="B138" s="202"/>
      <c r="C138" s="203" t="s">
        <v>247</v>
      </c>
      <c r="D138" s="213" t="s">
        <v>868</v>
      </c>
      <c r="E138" s="214">
        <v>285</v>
      </c>
      <c r="F138" s="215">
        <v>0.13</v>
      </c>
      <c r="G138" s="207">
        <f t="shared" si="7"/>
        <v>252.212389380531</v>
      </c>
      <c r="H138" s="216" t="s">
        <v>868</v>
      </c>
      <c r="I138" s="221" t="s">
        <v>247</v>
      </c>
      <c r="J138" s="245">
        <v>330</v>
      </c>
      <c r="K138" s="246">
        <v>0.78</v>
      </c>
      <c r="L138" s="247">
        <v>100</v>
      </c>
      <c r="M138" s="241"/>
      <c r="N138" s="242"/>
      <c r="P138" s="171"/>
      <c r="R138" s="250"/>
      <c r="S138" s="265"/>
    </row>
    <row r="139" s="161" customFormat="1" ht="24" customHeight="1" spans="1:19">
      <c r="A139" s="198"/>
      <c r="B139" s="191" t="s">
        <v>1028</v>
      </c>
      <c r="C139" s="271" t="s">
        <v>1029</v>
      </c>
      <c r="D139" s="193" t="s">
        <v>845</v>
      </c>
      <c r="E139" s="269">
        <f>0.4*1.13</f>
        <v>0.452</v>
      </c>
      <c r="F139" s="195">
        <v>0.13</v>
      </c>
      <c r="G139" s="196">
        <f t="shared" si="7"/>
        <v>0.4</v>
      </c>
      <c r="H139" s="200" t="s">
        <v>845</v>
      </c>
      <c r="I139" s="197" t="s">
        <v>1030</v>
      </c>
      <c r="J139" s="238">
        <v>1</v>
      </c>
      <c r="K139" s="239">
        <v>1.01</v>
      </c>
      <c r="L139" s="240">
        <v>0.2</v>
      </c>
      <c r="M139" s="241"/>
      <c r="N139" s="242"/>
      <c r="P139" s="171"/>
      <c r="R139" s="250"/>
      <c r="S139" s="265"/>
    </row>
    <row r="140" s="161" customFormat="1" ht="24" customHeight="1" spans="1:19">
      <c r="A140" s="198"/>
      <c r="B140" s="199"/>
      <c r="C140" s="271" t="s">
        <v>1031</v>
      </c>
      <c r="D140" s="193" t="s">
        <v>845</v>
      </c>
      <c r="E140" s="269">
        <f>E44*0.0015</f>
        <v>0.921402</v>
      </c>
      <c r="F140" s="195">
        <v>0.13</v>
      </c>
      <c r="G140" s="196">
        <f t="shared" si="7"/>
        <v>0.8154</v>
      </c>
      <c r="H140" s="200" t="s">
        <v>845</v>
      </c>
      <c r="I140" s="197" t="s">
        <v>1032</v>
      </c>
      <c r="J140" s="238">
        <v>2.25</v>
      </c>
      <c r="K140" s="283">
        <v>1.03</v>
      </c>
      <c r="L140" s="240">
        <v>0.2</v>
      </c>
      <c r="M140" s="241"/>
      <c r="N140" s="242"/>
      <c r="P140" s="171"/>
      <c r="R140" s="250"/>
      <c r="S140" s="265"/>
    </row>
    <row r="141" s="161" customFormat="1" ht="24" customHeight="1" spans="1:19">
      <c r="A141" s="198"/>
      <c r="B141" s="199"/>
      <c r="C141" s="271" t="s">
        <v>1033</v>
      </c>
      <c r="D141" s="193" t="s">
        <v>868</v>
      </c>
      <c r="E141" s="269">
        <f>75*1.13</f>
        <v>84.75</v>
      </c>
      <c r="F141" s="195">
        <v>0.13</v>
      </c>
      <c r="G141" s="196">
        <f t="shared" si="7"/>
        <v>75</v>
      </c>
      <c r="H141" s="200" t="s">
        <v>845</v>
      </c>
      <c r="I141" s="197" t="s">
        <v>1034</v>
      </c>
      <c r="J141" s="238">
        <v>3</v>
      </c>
      <c r="K141" s="239">
        <v>1</v>
      </c>
      <c r="L141" s="240">
        <v>8</v>
      </c>
      <c r="M141" s="241"/>
      <c r="N141" s="242"/>
      <c r="P141" s="171"/>
      <c r="R141" s="250"/>
      <c r="S141" s="265"/>
    </row>
    <row r="142" s="161" customFormat="1" ht="24" customHeight="1" spans="1:20">
      <c r="A142" s="198"/>
      <c r="B142" s="199"/>
      <c r="C142" s="271" t="s">
        <v>1035</v>
      </c>
      <c r="D142" s="193" t="s">
        <v>868</v>
      </c>
      <c r="E142" s="224" t="e">
        <f>#REF!</f>
        <v>#REF!</v>
      </c>
      <c r="F142" s="195">
        <v>0.09</v>
      </c>
      <c r="G142" s="196" t="e">
        <f t="shared" si="7"/>
        <v>#REF!</v>
      </c>
      <c r="H142" s="200" t="s">
        <v>868</v>
      </c>
      <c r="I142" s="192" t="s">
        <v>1035</v>
      </c>
      <c r="J142" s="238">
        <v>0</v>
      </c>
      <c r="K142" s="239">
        <v>1</v>
      </c>
      <c r="L142" s="240">
        <v>0</v>
      </c>
      <c r="M142" s="241"/>
      <c r="N142" s="242"/>
      <c r="P142" s="171"/>
      <c r="R142" s="250"/>
      <c r="S142" s="265"/>
      <c r="T142" s="161" t="s">
        <v>931</v>
      </c>
    </row>
    <row r="143" s="161" customFormat="1" ht="24" customHeight="1" spans="1:19">
      <c r="A143" s="198"/>
      <c r="B143" s="199"/>
      <c r="C143" s="271" t="s">
        <v>1036</v>
      </c>
      <c r="D143" s="193" t="s">
        <v>868</v>
      </c>
      <c r="E143" s="269">
        <v>62.15</v>
      </c>
      <c r="F143" s="195">
        <v>0.13</v>
      </c>
      <c r="G143" s="196">
        <f t="shared" si="7"/>
        <v>55</v>
      </c>
      <c r="H143" s="200" t="s">
        <v>868</v>
      </c>
      <c r="I143" s="197" t="s">
        <v>1037</v>
      </c>
      <c r="J143" s="238">
        <v>30</v>
      </c>
      <c r="K143" s="283">
        <v>1</v>
      </c>
      <c r="L143" s="240">
        <v>8</v>
      </c>
      <c r="M143" s="241"/>
      <c r="N143" s="242"/>
      <c r="P143" s="171"/>
      <c r="R143" s="250"/>
      <c r="S143" s="265"/>
    </row>
    <row r="144" s="161" customFormat="1" ht="24" customHeight="1" spans="1:19">
      <c r="A144" s="198"/>
      <c r="B144" s="199"/>
      <c r="C144" s="271" t="s">
        <v>1038</v>
      </c>
      <c r="D144" s="193" t="s">
        <v>868</v>
      </c>
      <c r="E144" s="269">
        <v>93.225</v>
      </c>
      <c r="F144" s="195">
        <v>0.13</v>
      </c>
      <c r="G144" s="196">
        <f t="shared" si="7"/>
        <v>82.5</v>
      </c>
      <c r="H144" s="200"/>
      <c r="I144" s="197"/>
      <c r="J144" s="238"/>
      <c r="K144" s="239"/>
      <c r="L144" s="240">
        <v>8</v>
      </c>
      <c r="M144" s="241"/>
      <c r="N144" s="242"/>
      <c r="P144" s="171"/>
      <c r="R144" s="250" t="e">
        <f>VLOOKUP(C144,#REF!,3,0)</f>
        <v>#REF!</v>
      </c>
      <c r="S144" s="265" t="e">
        <f>VLOOKUP(R144,$I:$L,2,0)</f>
        <v>#REF!</v>
      </c>
    </row>
    <row r="145" s="161" customFormat="1" ht="24" customHeight="1" spans="1:19">
      <c r="A145" s="198"/>
      <c r="B145" s="199"/>
      <c r="C145" s="271" t="s">
        <v>1039</v>
      </c>
      <c r="D145" s="193" t="s">
        <v>1040</v>
      </c>
      <c r="E145" s="269">
        <v>21.131</v>
      </c>
      <c r="F145" s="195">
        <v>0.13</v>
      </c>
      <c r="G145" s="196">
        <f t="shared" si="7"/>
        <v>18.7</v>
      </c>
      <c r="H145" s="200" t="s">
        <v>1040</v>
      </c>
      <c r="I145" s="197" t="s">
        <v>1041</v>
      </c>
      <c r="J145" s="238">
        <v>11.45</v>
      </c>
      <c r="K145" s="239">
        <v>1</v>
      </c>
      <c r="L145" s="240">
        <v>14.42</v>
      </c>
      <c r="M145" s="241"/>
      <c r="N145" s="242"/>
      <c r="P145" s="171"/>
      <c r="R145" s="250"/>
      <c r="S145" s="265"/>
    </row>
    <row r="146" s="161" customFormat="1" ht="24" customHeight="1" spans="1:19">
      <c r="A146" s="198"/>
      <c r="B146" s="199"/>
      <c r="C146" s="271" t="s">
        <v>1042</v>
      </c>
      <c r="D146" s="193" t="s">
        <v>838</v>
      </c>
      <c r="E146" s="269">
        <v>3</v>
      </c>
      <c r="F146" s="195">
        <v>0.13</v>
      </c>
      <c r="G146" s="196">
        <f t="shared" si="7"/>
        <v>2.65486725663717</v>
      </c>
      <c r="H146" s="200" t="s">
        <v>838</v>
      </c>
      <c r="I146" s="197" t="s">
        <v>1043</v>
      </c>
      <c r="J146" s="238">
        <v>5</v>
      </c>
      <c r="K146" s="239">
        <v>1</v>
      </c>
      <c r="L146" s="240">
        <v>0.5</v>
      </c>
      <c r="M146" s="241"/>
      <c r="N146" s="242"/>
      <c r="P146" s="171"/>
      <c r="R146" s="250"/>
      <c r="S146" s="265"/>
    </row>
    <row r="147" s="161" customFormat="1" ht="24" customHeight="1" spans="1:19">
      <c r="A147" s="198"/>
      <c r="B147" s="199"/>
      <c r="C147" s="271" t="s">
        <v>1044</v>
      </c>
      <c r="D147" s="193" t="s">
        <v>845</v>
      </c>
      <c r="E147" s="269">
        <v>2.16669724770642</v>
      </c>
      <c r="F147" s="195">
        <v>0.13</v>
      </c>
      <c r="G147" s="196">
        <f t="shared" si="7"/>
        <v>1.91743119266055</v>
      </c>
      <c r="H147" s="200" t="s">
        <v>845</v>
      </c>
      <c r="I147" s="192" t="s">
        <v>1044</v>
      </c>
      <c r="J147" s="238">
        <f>2.09/1.09</f>
        <v>1.91743119266055</v>
      </c>
      <c r="K147" s="239">
        <v>1</v>
      </c>
      <c r="L147" s="240">
        <v>0</v>
      </c>
      <c r="M147" s="241"/>
      <c r="N147" s="242"/>
      <c r="P147" s="171"/>
      <c r="R147" s="250"/>
      <c r="S147" s="265"/>
    </row>
    <row r="148" s="161" customFormat="1" ht="24" customHeight="1" spans="1:19">
      <c r="A148" s="198"/>
      <c r="B148" s="199"/>
      <c r="C148" s="271" t="s">
        <v>519</v>
      </c>
      <c r="D148" s="193" t="s">
        <v>1040</v>
      </c>
      <c r="E148" s="269">
        <v>68.9413</v>
      </c>
      <c r="F148" s="195">
        <v>0.13</v>
      </c>
      <c r="G148" s="196">
        <f t="shared" si="7"/>
        <v>61.01</v>
      </c>
      <c r="H148" s="200" t="s">
        <v>1040</v>
      </c>
      <c r="I148" s="197" t="s">
        <v>1045</v>
      </c>
      <c r="J148" s="238">
        <v>26.22</v>
      </c>
      <c r="K148" s="239">
        <v>1</v>
      </c>
      <c r="L148" s="240">
        <v>24.52</v>
      </c>
      <c r="M148" s="241"/>
      <c r="N148" s="242"/>
      <c r="P148" s="171"/>
      <c r="R148" s="250"/>
      <c r="S148" s="265"/>
    </row>
    <row r="149" s="161" customFormat="1" ht="24" customHeight="1" spans="1:19">
      <c r="A149" s="198"/>
      <c r="B149" s="199"/>
      <c r="C149" s="271" t="s">
        <v>252</v>
      </c>
      <c r="D149" s="193" t="s">
        <v>845</v>
      </c>
      <c r="E149" s="269">
        <v>0</v>
      </c>
      <c r="F149" s="195">
        <v>0.13</v>
      </c>
      <c r="G149" s="196">
        <f t="shared" si="7"/>
        <v>0</v>
      </c>
      <c r="H149" s="200" t="s">
        <v>845</v>
      </c>
      <c r="I149" s="197" t="s">
        <v>252</v>
      </c>
      <c r="J149" s="238">
        <v>1</v>
      </c>
      <c r="K149" s="239">
        <v>0</v>
      </c>
      <c r="L149" s="240">
        <v>1</v>
      </c>
      <c r="M149" s="241"/>
      <c r="N149" s="242"/>
      <c r="P149" s="171"/>
      <c r="R149" s="250"/>
      <c r="S149" s="265"/>
    </row>
    <row r="150" s="161" customFormat="1" ht="24" customHeight="1" spans="1:19">
      <c r="A150" s="198"/>
      <c r="B150" s="199"/>
      <c r="C150" s="271" t="s">
        <v>1046</v>
      </c>
      <c r="D150" s="193" t="s">
        <v>868</v>
      </c>
      <c r="E150" s="269">
        <v>146.9</v>
      </c>
      <c r="F150" s="195">
        <v>0.13</v>
      </c>
      <c r="G150" s="196">
        <f t="shared" si="7"/>
        <v>130</v>
      </c>
      <c r="H150" s="200" t="s">
        <v>868</v>
      </c>
      <c r="I150" s="308" t="s">
        <v>1047</v>
      </c>
      <c r="J150" s="238">
        <v>18</v>
      </c>
      <c r="K150" s="239">
        <v>1.1</v>
      </c>
      <c r="L150" s="240">
        <v>8</v>
      </c>
      <c r="M150" s="241"/>
      <c r="N150" s="242"/>
      <c r="P150" s="171"/>
      <c r="R150" s="250"/>
      <c r="S150" s="265"/>
    </row>
    <row r="151" s="161" customFormat="1" ht="24" customHeight="1" spans="1:19">
      <c r="A151" s="198"/>
      <c r="B151" s="199"/>
      <c r="C151" s="271" t="s">
        <v>1048</v>
      </c>
      <c r="D151" s="193" t="s">
        <v>1040</v>
      </c>
      <c r="E151" s="269">
        <v>54.9971</v>
      </c>
      <c r="F151" s="195">
        <v>0.13</v>
      </c>
      <c r="G151" s="196">
        <f t="shared" si="7"/>
        <v>48.67</v>
      </c>
      <c r="H151" s="197" t="s">
        <v>1040</v>
      </c>
      <c r="I151" s="192" t="s">
        <v>1048</v>
      </c>
      <c r="J151" s="238">
        <v>10</v>
      </c>
      <c r="K151" s="239">
        <v>1</v>
      </c>
      <c r="L151" s="240">
        <v>0.5</v>
      </c>
      <c r="M151" s="241"/>
      <c r="N151" s="242"/>
      <c r="P151" s="171"/>
      <c r="R151" s="250"/>
      <c r="S151" s="265"/>
    </row>
    <row r="152" s="161" customFormat="1" ht="24" customHeight="1" spans="1:19">
      <c r="A152" s="198"/>
      <c r="B152" s="199"/>
      <c r="C152" s="271" t="s">
        <v>521</v>
      </c>
      <c r="D152" s="193" t="s">
        <v>838</v>
      </c>
      <c r="E152" s="269">
        <v>1845.26237777778</v>
      </c>
      <c r="F152" s="195">
        <v>0.13</v>
      </c>
      <c r="G152" s="196">
        <f t="shared" si="7"/>
        <v>1632.97555555556</v>
      </c>
      <c r="H152" s="197" t="s">
        <v>838</v>
      </c>
      <c r="I152" s="192" t="s">
        <v>521</v>
      </c>
      <c r="J152" s="238">
        <v>1099.56</v>
      </c>
      <c r="K152" s="239">
        <v>1.03</v>
      </c>
      <c r="L152" s="240">
        <v>20.93</v>
      </c>
      <c r="M152" s="241"/>
      <c r="N152" s="242"/>
      <c r="P152" s="171"/>
      <c r="R152" s="250"/>
      <c r="S152" s="265"/>
    </row>
    <row r="153" s="161" customFormat="1" ht="24" customHeight="1" spans="1:19">
      <c r="A153" s="198"/>
      <c r="B153" s="199"/>
      <c r="C153" s="271" t="s">
        <v>1049</v>
      </c>
      <c r="D153" s="193" t="s">
        <v>868</v>
      </c>
      <c r="E153" s="269">
        <f>146.9*1.2</f>
        <v>176.28</v>
      </c>
      <c r="F153" s="195">
        <v>0.13</v>
      </c>
      <c r="G153" s="196">
        <f t="shared" si="7"/>
        <v>156</v>
      </c>
      <c r="H153" s="200" t="s">
        <v>845</v>
      </c>
      <c r="I153" s="192" t="s">
        <v>1050</v>
      </c>
      <c r="J153" s="238">
        <v>3.5</v>
      </c>
      <c r="K153" s="239">
        <v>1</v>
      </c>
      <c r="L153" s="240">
        <v>8</v>
      </c>
      <c r="M153" s="241"/>
      <c r="N153" s="242"/>
      <c r="P153" s="171"/>
      <c r="R153" s="250"/>
      <c r="S153" s="265"/>
    </row>
    <row r="154" s="161" customFormat="1" ht="24" customHeight="1" spans="1:19">
      <c r="A154" s="198"/>
      <c r="B154" s="199"/>
      <c r="C154" s="271" t="s">
        <v>1051</v>
      </c>
      <c r="D154" s="193" t="s">
        <v>845</v>
      </c>
      <c r="E154" s="296">
        <f>1.4125</f>
        <v>1.4125</v>
      </c>
      <c r="F154" s="195">
        <v>0.13</v>
      </c>
      <c r="G154" s="196">
        <f t="shared" si="7"/>
        <v>1.25</v>
      </c>
      <c r="H154" s="200" t="s">
        <v>845</v>
      </c>
      <c r="I154" s="197" t="s">
        <v>1052</v>
      </c>
      <c r="J154" s="309">
        <f>1</f>
        <v>1</v>
      </c>
      <c r="K154" s="239">
        <v>1.01</v>
      </c>
      <c r="L154" s="240">
        <v>0.5</v>
      </c>
      <c r="M154" s="241"/>
      <c r="N154" s="242"/>
      <c r="P154" s="171"/>
      <c r="R154" s="250"/>
      <c r="S154" s="265"/>
    </row>
    <row r="155" s="161" customFormat="1" ht="24" customHeight="1" spans="1:19">
      <c r="A155" s="198"/>
      <c r="B155" s="199"/>
      <c r="C155" s="271" t="s">
        <v>1053</v>
      </c>
      <c r="D155" s="193" t="s">
        <v>845</v>
      </c>
      <c r="E155" s="269">
        <v>2.26</v>
      </c>
      <c r="F155" s="195">
        <v>0.13</v>
      </c>
      <c r="G155" s="196">
        <f t="shared" si="7"/>
        <v>2</v>
      </c>
      <c r="H155" s="200" t="s">
        <v>845</v>
      </c>
      <c r="I155" s="197" t="s">
        <v>1054</v>
      </c>
      <c r="J155" s="238">
        <v>1.2</v>
      </c>
      <c r="K155" s="239">
        <v>1.03</v>
      </c>
      <c r="L155" s="240">
        <v>0.5</v>
      </c>
      <c r="M155" s="241"/>
      <c r="N155" s="242"/>
      <c r="P155" s="171"/>
      <c r="R155" s="250"/>
      <c r="S155" s="265"/>
    </row>
    <row r="156" s="161" customFormat="1" ht="24" customHeight="1" spans="1:19">
      <c r="A156" s="198"/>
      <c r="B156" s="199"/>
      <c r="C156" s="271" t="s">
        <v>1055</v>
      </c>
      <c r="D156" s="193" t="s">
        <v>845</v>
      </c>
      <c r="E156" s="269">
        <f>E32*0.002</f>
        <v>1.379052</v>
      </c>
      <c r="F156" s="195">
        <v>0.13</v>
      </c>
      <c r="G156" s="196">
        <f t="shared" si="7"/>
        <v>1.2204</v>
      </c>
      <c r="H156" s="197"/>
      <c r="I156" s="197"/>
      <c r="J156" s="238"/>
      <c r="K156" s="239"/>
      <c r="L156" s="240"/>
      <c r="M156" s="241"/>
      <c r="N156" s="242"/>
      <c r="P156" s="171"/>
      <c r="R156" s="250"/>
      <c r="S156" s="265"/>
    </row>
    <row r="157" s="161" customFormat="1" ht="24" customHeight="1" spans="1:19">
      <c r="A157" s="198"/>
      <c r="B157" s="199"/>
      <c r="C157" s="271" t="s">
        <v>507</v>
      </c>
      <c r="D157" s="193" t="s">
        <v>1040</v>
      </c>
      <c r="E157" s="269">
        <v>42.94</v>
      </c>
      <c r="F157" s="195">
        <v>0.13</v>
      </c>
      <c r="G157" s="196">
        <f t="shared" si="7"/>
        <v>38</v>
      </c>
      <c r="H157" s="197" t="s">
        <v>1040</v>
      </c>
      <c r="I157" s="197" t="s">
        <v>1056</v>
      </c>
      <c r="J157" s="238">
        <v>6</v>
      </c>
      <c r="K157" s="239">
        <v>1</v>
      </c>
      <c r="L157" s="240">
        <v>5</v>
      </c>
      <c r="M157" s="241"/>
      <c r="N157" s="242"/>
      <c r="P157" s="171"/>
      <c r="R157" s="250"/>
      <c r="S157" s="265"/>
    </row>
    <row r="158" s="161" customFormat="1" ht="24" customHeight="1" spans="1:22">
      <c r="A158" s="198"/>
      <c r="B158" s="199"/>
      <c r="C158" s="271" t="s">
        <v>333</v>
      </c>
      <c r="D158" s="193" t="s">
        <v>1040</v>
      </c>
      <c r="E158" s="269">
        <v>104.25</v>
      </c>
      <c r="F158" s="195">
        <v>0.13</v>
      </c>
      <c r="G158" s="196">
        <f t="shared" si="7"/>
        <v>92.2566371681416</v>
      </c>
      <c r="H158" s="197" t="s">
        <v>1040</v>
      </c>
      <c r="I158" s="197" t="s">
        <v>333</v>
      </c>
      <c r="J158" s="238">
        <v>80</v>
      </c>
      <c r="K158" s="239">
        <v>1.01</v>
      </c>
      <c r="L158" s="240">
        <v>10</v>
      </c>
      <c r="M158" s="241"/>
      <c r="N158" s="242"/>
      <c r="P158" s="171"/>
      <c r="R158" s="250"/>
      <c r="S158" s="265"/>
      <c r="V158" s="162"/>
    </row>
    <row r="159" s="161" customFormat="1" ht="24" customHeight="1" spans="1:22">
      <c r="A159" s="198"/>
      <c r="B159" s="199"/>
      <c r="C159" s="271" t="s">
        <v>334</v>
      </c>
      <c r="D159" s="193" t="s">
        <v>1040</v>
      </c>
      <c r="E159" s="269">
        <v>16</v>
      </c>
      <c r="F159" s="195">
        <v>0.13</v>
      </c>
      <c r="G159" s="196">
        <f t="shared" si="7"/>
        <v>14.1592920353982</v>
      </c>
      <c r="H159" s="197" t="s">
        <v>1040</v>
      </c>
      <c r="I159" s="271" t="s">
        <v>334</v>
      </c>
      <c r="J159" s="238">
        <v>70</v>
      </c>
      <c r="K159" s="239">
        <v>1.01</v>
      </c>
      <c r="L159" s="240">
        <v>10</v>
      </c>
      <c r="M159" s="241"/>
      <c r="N159" s="242"/>
      <c r="P159" s="171"/>
      <c r="R159" s="250"/>
      <c r="S159" s="265"/>
      <c r="V159" s="162"/>
    </row>
    <row r="160" s="161" customFormat="1" ht="24" customHeight="1" spans="1:22">
      <c r="A160" s="198"/>
      <c r="B160" s="199"/>
      <c r="C160" s="297" t="s">
        <v>505</v>
      </c>
      <c r="D160" s="298" t="s">
        <v>1040</v>
      </c>
      <c r="E160" s="296">
        <v>85</v>
      </c>
      <c r="F160" s="299">
        <v>0.13</v>
      </c>
      <c r="G160" s="300">
        <f t="shared" ref="G160:G180" si="8">E160/(1+F160)</f>
        <v>75.2212389380531</v>
      </c>
      <c r="H160" s="301" t="s">
        <v>1040</v>
      </c>
      <c r="I160" s="310" t="s">
        <v>1057</v>
      </c>
      <c r="J160" s="311">
        <f>325/1.09/1.08-G160*1.01-L160</f>
        <v>165.899909797269</v>
      </c>
      <c r="K160" s="312">
        <v>1.01</v>
      </c>
      <c r="L160" s="313">
        <f>0.545*0.1*93.25+0.44*0.08*310+0.115*0.3*238.01+10</f>
        <v>34.20547</v>
      </c>
      <c r="M160" s="241"/>
      <c r="N160" s="242"/>
      <c r="O160" s="314"/>
      <c r="P160" s="171"/>
      <c r="R160" s="250"/>
      <c r="S160" s="265"/>
      <c r="V160" s="162"/>
    </row>
    <row r="161" s="161" customFormat="1" ht="24" customHeight="1" spans="1:22">
      <c r="A161" s="198"/>
      <c r="B161" s="199"/>
      <c r="C161" s="271" t="s">
        <v>336</v>
      </c>
      <c r="D161" s="193" t="s">
        <v>838</v>
      </c>
      <c r="E161" s="269">
        <v>282.5</v>
      </c>
      <c r="F161" s="195">
        <v>0.13</v>
      </c>
      <c r="G161" s="196">
        <f t="shared" si="8"/>
        <v>250</v>
      </c>
      <c r="H161" s="197" t="s">
        <v>838</v>
      </c>
      <c r="I161" s="197" t="s">
        <v>336</v>
      </c>
      <c r="J161" s="238">
        <v>200</v>
      </c>
      <c r="K161" s="239">
        <v>1</v>
      </c>
      <c r="L161" s="240">
        <v>10</v>
      </c>
      <c r="M161" s="241"/>
      <c r="N161" s="242"/>
      <c r="P161" s="171"/>
      <c r="R161" s="250"/>
      <c r="S161" s="265"/>
      <c r="V161" s="163"/>
    </row>
    <row r="162" s="161" customFormat="1" ht="24" customHeight="1" spans="1:22">
      <c r="A162" s="198"/>
      <c r="B162" s="199"/>
      <c r="C162" s="271" t="s">
        <v>339</v>
      </c>
      <c r="D162" s="193" t="s">
        <v>838</v>
      </c>
      <c r="E162" s="269">
        <v>63.054</v>
      </c>
      <c r="F162" s="195">
        <v>0.13</v>
      </c>
      <c r="G162" s="196">
        <f t="shared" si="8"/>
        <v>55.8</v>
      </c>
      <c r="H162" s="197" t="s">
        <v>838</v>
      </c>
      <c r="I162" s="197" t="s">
        <v>1058</v>
      </c>
      <c r="J162" s="238">
        <v>2.7</v>
      </c>
      <c r="K162" s="239">
        <v>1</v>
      </c>
      <c r="L162" s="240">
        <v>1</v>
      </c>
      <c r="M162" s="241"/>
      <c r="N162" s="242"/>
      <c r="P162" s="171"/>
      <c r="R162" s="250"/>
      <c r="S162" s="265"/>
      <c r="V162" s="163"/>
    </row>
    <row r="163" s="162" customFormat="1" ht="24" customHeight="1" spans="1:22">
      <c r="A163" s="302"/>
      <c r="B163" s="303"/>
      <c r="C163" s="271" t="s">
        <v>1059</v>
      </c>
      <c r="D163" s="193" t="s">
        <v>1040</v>
      </c>
      <c r="E163" s="269"/>
      <c r="F163" s="195">
        <v>0.13</v>
      </c>
      <c r="G163" s="196">
        <f t="shared" si="8"/>
        <v>0</v>
      </c>
      <c r="H163" s="292" t="s">
        <v>1040</v>
      </c>
      <c r="I163" s="292" t="s">
        <v>1059</v>
      </c>
      <c r="J163" s="269">
        <v>40</v>
      </c>
      <c r="K163" s="315">
        <v>1</v>
      </c>
      <c r="L163" s="240">
        <v>10</v>
      </c>
      <c r="M163" s="241"/>
      <c r="N163" s="242"/>
      <c r="P163" s="289"/>
      <c r="R163" s="243"/>
      <c r="S163" s="318"/>
      <c r="V163" s="161"/>
    </row>
    <row r="164" s="163" customFormat="1" ht="24" customHeight="1" spans="1:22">
      <c r="A164" s="275"/>
      <c r="B164" s="304"/>
      <c r="C164" s="271" t="s">
        <v>337</v>
      </c>
      <c r="D164" s="193" t="s">
        <v>1040</v>
      </c>
      <c r="E164" s="269">
        <v>230</v>
      </c>
      <c r="F164" s="195">
        <v>0.13</v>
      </c>
      <c r="G164" s="196">
        <f t="shared" si="8"/>
        <v>203.53982300885</v>
      </c>
      <c r="H164" s="279"/>
      <c r="I164" s="279"/>
      <c r="J164" s="272"/>
      <c r="K164" s="316"/>
      <c r="L164" s="285"/>
      <c r="M164" s="286"/>
      <c r="N164" s="287"/>
      <c r="P164" s="288"/>
      <c r="R164" s="250" t="e">
        <f>VLOOKUP(C164,#REF!,3,0)</f>
        <v>#REF!</v>
      </c>
      <c r="S164" s="265" t="e">
        <f>VLOOKUP(R164,$I:$L,2,0)</f>
        <v>#REF!</v>
      </c>
      <c r="V164" s="161"/>
    </row>
    <row r="165" s="163" customFormat="1" ht="24" customHeight="1" spans="1:22">
      <c r="A165" s="275"/>
      <c r="B165" s="304"/>
      <c r="C165" s="271" t="s">
        <v>338</v>
      </c>
      <c r="D165" s="193" t="s">
        <v>1040</v>
      </c>
      <c r="E165" s="269">
        <v>175</v>
      </c>
      <c r="F165" s="195">
        <v>0.13</v>
      </c>
      <c r="G165" s="196">
        <f t="shared" si="8"/>
        <v>154.867256637168</v>
      </c>
      <c r="H165" s="279"/>
      <c r="I165" s="279"/>
      <c r="J165" s="272"/>
      <c r="K165" s="316"/>
      <c r="L165" s="285"/>
      <c r="M165" s="286"/>
      <c r="N165" s="287"/>
      <c r="P165" s="288"/>
      <c r="R165" s="250" t="e">
        <f>VLOOKUP(C165,#REF!,3,0)</f>
        <v>#REF!</v>
      </c>
      <c r="S165" s="265" t="e">
        <f>VLOOKUP(R165,$I:$L,2,0)</f>
        <v>#REF!</v>
      </c>
      <c r="V165" s="161"/>
    </row>
    <row r="166" s="161" customFormat="1" ht="24" customHeight="1" spans="1:19">
      <c r="A166" s="198"/>
      <c r="B166" s="199"/>
      <c r="C166" s="271" t="s">
        <v>1060</v>
      </c>
      <c r="D166" s="193" t="s">
        <v>1040</v>
      </c>
      <c r="E166" s="269">
        <v>8.0117</v>
      </c>
      <c r="F166" s="195">
        <v>0.13</v>
      </c>
      <c r="G166" s="196">
        <f t="shared" si="8"/>
        <v>7.09</v>
      </c>
      <c r="H166" s="197" t="s">
        <v>1040</v>
      </c>
      <c r="I166" s="197" t="s">
        <v>1061</v>
      </c>
      <c r="J166" s="238">
        <v>7</v>
      </c>
      <c r="K166" s="239">
        <v>1</v>
      </c>
      <c r="L166" s="240">
        <v>0.5</v>
      </c>
      <c r="M166" s="241"/>
      <c r="N166" s="242"/>
      <c r="P166" s="171"/>
      <c r="R166" s="250"/>
      <c r="S166" s="265"/>
    </row>
    <row r="167" s="161" customFormat="1" ht="24" customHeight="1" spans="1:19">
      <c r="A167" s="198"/>
      <c r="B167" s="199"/>
      <c r="C167" s="271" t="s">
        <v>1062</v>
      </c>
      <c r="D167" s="193" t="s">
        <v>845</v>
      </c>
      <c r="E167" s="269">
        <v>0</v>
      </c>
      <c r="F167" s="195">
        <v>0.13</v>
      </c>
      <c r="G167" s="196">
        <f t="shared" si="8"/>
        <v>0</v>
      </c>
      <c r="H167" s="200" t="s">
        <v>845</v>
      </c>
      <c r="I167" s="197" t="s">
        <v>1062</v>
      </c>
      <c r="J167" s="238">
        <v>5</v>
      </c>
      <c r="K167" s="239">
        <v>1</v>
      </c>
      <c r="L167" s="240">
        <v>3</v>
      </c>
      <c r="M167" s="241"/>
      <c r="N167" s="242"/>
      <c r="P167" s="171"/>
      <c r="R167" s="250"/>
      <c r="S167" s="265"/>
    </row>
    <row r="168" s="161" customFormat="1" ht="24" customHeight="1" spans="1:19">
      <c r="A168" s="198"/>
      <c r="B168" s="199"/>
      <c r="C168" s="271" t="s">
        <v>129</v>
      </c>
      <c r="D168" s="193" t="s">
        <v>868</v>
      </c>
      <c r="E168" s="269">
        <f>E153</f>
        <v>176.28</v>
      </c>
      <c r="F168" s="195">
        <v>0.13</v>
      </c>
      <c r="G168" s="196">
        <f t="shared" si="8"/>
        <v>156</v>
      </c>
      <c r="H168" s="200" t="s">
        <v>868</v>
      </c>
      <c r="I168" s="308" t="s">
        <v>1063</v>
      </c>
      <c r="J168" s="238">
        <v>30</v>
      </c>
      <c r="K168" s="239">
        <v>1.1</v>
      </c>
      <c r="L168" s="240">
        <v>8</v>
      </c>
      <c r="M168" s="241"/>
      <c r="N168" s="242"/>
      <c r="P168" s="171"/>
      <c r="R168" s="250"/>
      <c r="S168" s="265"/>
    </row>
    <row r="169" s="161" customFormat="1" ht="24" customHeight="1" spans="1:19">
      <c r="A169" s="198"/>
      <c r="B169" s="199"/>
      <c r="C169" s="305" t="s">
        <v>1064</v>
      </c>
      <c r="D169" s="193" t="s">
        <v>868</v>
      </c>
      <c r="E169" s="272">
        <v>1265</v>
      </c>
      <c r="F169" s="195">
        <v>0.13</v>
      </c>
      <c r="G169" s="196">
        <f t="shared" si="8"/>
        <v>1119.46902654867</v>
      </c>
      <c r="H169" s="200" t="s">
        <v>845</v>
      </c>
      <c r="I169" s="197" t="s">
        <v>1065</v>
      </c>
      <c r="J169" s="238">
        <v>12</v>
      </c>
      <c r="K169" s="283">
        <v>1.05</v>
      </c>
      <c r="L169" s="240">
        <v>1.3</v>
      </c>
      <c r="M169" s="241"/>
      <c r="N169" s="242"/>
      <c r="P169" s="171"/>
      <c r="R169" s="250"/>
      <c r="S169" s="265"/>
    </row>
    <row r="170" s="161" customFormat="1" ht="24" customHeight="1" spans="1:19">
      <c r="A170" s="198"/>
      <c r="B170" s="199"/>
      <c r="C170" s="305" t="s">
        <v>1066</v>
      </c>
      <c r="D170" s="193" t="s">
        <v>868</v>
      </c>
      <c r="E170" s="269">
        <v>1356</v>
      </c>
      <c r="F170" s="195">
        <v>0.13</v>
      </c>
      <c r="G170" s="196">
        <f t="shared" si="8"/>
        <v>1200</v>
      </c>
      <c r="H170" s="197"/>
      <c r="I170" s="197"/>
      <c r="J170" s="238"/>
      <c r="K170" s="239"/>
      <c r="L170" s="240">
        <v>1.3</v>
      </c>
      <c r="M170" s="241"/>
      <c r="N170" s="242"/>
      <c r="P170" s="171"/>
      <c r="R170" s="250" t="e">
        <f>VLOOKUP(C170,#REF!,3,0)</f>
        <v>#REF!</v>
      </c>
      <c r="S170" s="265" t="e">
        <f>VLOOKUP(R170,$I:$L,2,0)</f>
        <v>#REF!</v>
      </c>
    </row>
    <row r="171" s="161" customFormat="1" ht="24" customHeight="1" spans="1:19">
      <c r="A171" s="198"/>
      <c r="B171" s="199"/>
      <c r="C171" s="271" t="s">
        <v>1067</v>
      </c>
      <c r="D171" s="193" t="s">
        <v>845</v>
      </c>
      <c r="E171" s="269">
        <v>1.3786</v>
      </c>
      <c r="F171" s="195">
        <v>0.13</v>
      </c>
      <c r="G171" s="196">
        <f t="shared" si="8"/>
        <v>1.22</v>
      </c>
      <c r="H171" s="197"/>
      <c r="I171" s="197"/>
      <c r="J171" s="238"/>
      <c r="K171" s="239"/>
      <c r="L171" s="240">
        <v>0.2</v>
      </c>
      <c r="M171" s="241"/>
      <c r="N171" s="242"/>
      <c r="P171" s="171"/>
      <c r="R171" s="250" t="e">
        <f>VLOOKUP(C171,#REF!,3,0)</f>
        <v>#REF!</v>
      </c>
      <c r="S171" s="265" t="e">
        <f>VLOOKUP(R171,$I:$L,2,0)</f>
        <v>#REF!</v>
      </c>
    </row>
    <row r="172" s="161" customFormat="1" ht="24" customHeight="1" spans="1:19">
      <c r="A172" s="198"/>
      <c r="B172" s="199"/>
      <c r="C172" s="271" t="s">
        <v>1068</v>
      </c>
      <c r="D172" s="193" t="s">
        <v>845</v>
      </c>
      <c r="E172" s="269">
        <v>0</v>
      </c>
      <c r="F172" s="195">
        <v>0.13</v>
      </c>
      <c r="G172" s="196">
        <f t="shared" si="8"/>
        <v>0</v>
      </c>
      <c r="H172" s="200" t="s">
        <v>845</v>
      </c>
      <c r="I172" s="197" t="s">
        <v>1069</v>
      </c>
      <c r="J172" s="238">
        <v>0.2</v>
      </c>
      <c r="K172" s="239">
        <v>1</v>
      </c>
      <c r="L172" s="240">
        <v>0.2</v>
      </c>
      <c r="M172" s="241"/>
      <c r="N172" s="242"/>
      <c r="P172" s="171"/>
      <c r="R172" s="250"/>
      <c r="S172" s="265"/>
    </row>
    <row r="173" s="161" customFormat="1" ht="24" customHeight="1" spans="1:19">
      <c r="A173" s="198"/>
      <c r="B173" s="199"/>
      <c r="C173" s="271" t="s">
        <v>1070</v>
      </c>
      <c r="D173" s="193" t="s">
        <v>868</v>
      </c>
      <c r="E173" s="269">
        <v>0</v>
      </c>
      <c r="F173" s="195">
        <v>0.13</v>
      </c>
      <c r="G173" s="196">
        <f t="shared" si="8"/>
        <v>0</v>
      </c>
      <c r="H173" s="200" t="s">
        <v>868</v>
      </c>
      <c r="I173" s="197" t="s">
        <v>1071</v>
      </c>
      <c r="J173" s="238">
        <v>18</v>
      </c>
      <c r="K173" s="239">
        <v>1</v>
      </c>
      <c r="L173" s="240">
        <v>5</v>
      </c>
      <c r="M173" s="241"/>
      <c r="N173" s="242"/>
      <c r="P173" s="171"/>
      <c r="R173" s="250"/>
      <c r="S173" s="265"/>
    </row>
    <row r="174" s="161" customFormat="1" ht="24" customHeight="1" spans="1:19">
      <c r="A174" s="198"/>
      <c r="B174" s="199"/>
      <c r="C174" s="271" t="s">
        <v>518</v>
      </c>
      <c r="D174" s="193" t="s">
        <v>1040</v>
      </c>
      <c r="E174" s="269">
        <f>48.18*1.13</f>
        <v>54.4434</v>
      </c>
      <c r="F174" s="195">
        <v>0.13</v>
      </c>
      <c r="G174" s="196">
        <f t="shared" si="8"/>
        <v>48.18</v>
      </c>
      <c r="H174" s="197"/>
      <c r="I174" s="197"/>
      <c r="J174" s="238"/>
      <c r="K174" s="239"/>
      <c r="L174" s="240">
        <v>23.76</v>
      </c>
      <c r="M174" s="241"/>
      <c r="N174" s="242"/>
      <c r="P174" s="171"/>
      <c r="R174" s="250" t="e">
        <f>VLOOKUP(C174,#REF!,3,0)</f>
        <v>#REF!</v>
      </c>
      <c r="S174" s="265" t="e">
        <f>VLOOKUP(R174,$I:$L,2,0)</f>
        <v>#REF!</v>
      </c>
    </row>
    <row r="175" s="161" customFormat="1" ht="24" customHeight="1" spans="1:19">
      <c r="A175" s="198"/>
      <c r="B175" s="199"/>
      <c r="C175" s="271" t="s">
        <v>1072</v>
      </c>
      <c r="D175" s="193" t="s">
        <v>823</v>
      </c>
      <c r="E175" s="269">
        <f>E27</f>
        <v>4420</v>
      </c>
      <c r="F175" s="195">
        <v>0.13</v>
      </c>
      <c r="G175" s="196">
        <f t="shared" si="8"/>
        <v>3911.50442477876</v>
      </c>
      <c r="H175" s="200" t="s">
        <v>823</v>
      </c>
      <c r="I175" s="192" t="s">
        <v>1072</v>
      </c>
      <c r="J175" s="238">
        <v>2000</v>
      </c>
      <c r="K175" s="239">
        <v>1.03</v>
      </c>
      <c r="L175" s="240">
        <v>800</v>
      </c>
      <c r="M175" s="241"/>
      <c r="N175" s="242"/>
      <c r="P175" s="171"/>
      <c r="R175" s="250"/>
      <c r="S175" s="265"/>
    </row>
    <row r="176" s="161" customFormat="1" ht="24" customHeight="1" spans="1:19">
      <c r="A176" s="198"/>
      <c r="B176" s="199"/>
      <c r="C176" s="271" t="s">
        <v>394</v>
      </c>
      <c r="D176" s="193" t="s">
        <v>1040</v>
      </c>
      <c r="E176" s="269">
        <v>8.0117</v>
      </c>
      <c r="F176" s="195">
        <v>0.13</v>
      </c>
      <c r="G176" s="196">
        <f t="shared" si="8"/>
        <v>7.09</v>
      </c>
      <c r="H176" s="197"/>
      <c r="I176" s="197"/>
      <c r="J176" s="238"/>
      <c r="K176" s="239"/>
      <c r="L176" s="240">
        <f>L166</f>
        <v>0.5</v>
      </c>
      <c r="M176" s="241"/>
      <c r="N176" s="242"/>
      <c r="P176" s="171"/>
      <c r="R176" s="250" t="e">
        <f>VLOOKUP(C176,#REF!,3,0)</f>
        <v>#REF!</v>
      </c>
      <c r="S176" s="265" t="e">
        <f>VLOOKUP(R176,$I:$L,2,0)</f>
        <v>#REF!</v>
      </c>
    </row>
    <row r="177" s="161" customFormat="1" ht="24" customHeight="1" spans="1:19">
      <c r="A177" s="198"/>
      <c r="B177" s="199"/>
      <c r="C177" s="271" t="s">
        <v>335</v>
      </c>
      <c r="D177" s="193" t="s">
        <v>1040</v>
      </c>
      <c r="E177" s="269">
        <v>140.12</v>
      </c>
      <c r="F177" s="195">
        <v>0.13</v>
      </c>
      <c r="G177" s="196">
        <f t="shared" si="8"/>
        <v>124</v>
      </c>
      <c r="H177" s="197"/>
      <c r="I177" s="197"/>
      <c r="J177" s="238"/>
      <c r="K177" s="239"/>
      <c r="L177" s="240">
        <v>1</v>
      </c>
      <c r="M177" s="241"/>
      <c r="N177" s="242"/>
      <c r="P177" s="171"/>
      <c r="R177" s="250" t="e">
        <f>VLOOKUP(C177,#REF!,3,0)</f>
        <v>#REF!</v>
      </c>
      <c r="S177" s="265" t="e">
        <f>VLOOKUP(R177,$I:$L,2,0)</f>
        <v>#REF!</v>
      </c>
    </row>
    <row r="178" s="161" customFormat="1" ht="24" customHeight="1" spans="1:19">
      <c r="A178" s="198"/>
      <c r="B178" s="199"/>
      <c r="C178" s="271" t="s">
        <v>315</v>
      </c>
      <c r="D178" s="193" t="s">
        <v>845</v>
      </c>
      <c r="E178" s="269">
        <v>42.036</v>
      </c>
      <c r="F178" s="195">
        <v>0.13</v>
      </c>
      <c r="G178" s="196">
        <f t="shared" si="8"/>
        <v>37.2</v>
      </c>
      <c r="H178" s="200" t="s">
        <v>845</v>
      </c>
      <c r="I178" s="197" t="s">
        <v>1073</v>
      </c>
      <c r="J178" s="238">
        <v>51.15</v>
      </c>
      <c r="K178" s="239">
        <v>1</v>
      </c>
      <c r="L178" s="240">
        <v>50</v>
      </c>
      <c r="M178" s="241"/>
      <c r="N178" s="242"/>
      <c r="P178" s="171"/>
      <c r="R178" s="250"/>
      <c r="S178" s="265"/>
    </row>
    <row r="179" s="161" customFormat="1" ht="24" customHeight="1" spans="1:19">
      <c r="A179" s="198"/>
      <c r="B179" s="199"/>
      <c r="C179" s="271" t="s">
        <v>1074</v>
      </c>
      <c r="D179" s="193" t="s">
        <v>868</v>
      </c>
      <c r="E179" s="269">
        <v>0</v>
      </c>
      <c r="F179" s="195">
        <v>0.13</v>
      </c>
      <c r="G179" s="196">
        <f t="shared" si="8"/>
        <v>0</v>
      </c>
      <c r="H179" s="200" t="s">
        <v>868</v>
      </c>
      <c r="I179" s="197" t="s">
        <v>1075</v>
      </c>
      <c r="J179" s="238">
        <v>8</v>
      </c>
      <c r="K179" s="239">
        <v>1</v>
      </c>
      <c r="L179" s="240">
        <v>27.5</v>
      </c>
      <c r="M179" s="241"/>
      <c r="N179" s="242"/>
      <c r="P179" s="171"/>
      <c r="R179" s="250"/>
      <c r="S179" s="265"/>
    </row>
    <row r="180" s="161" customFormat="1" ht="24" customHeight="1" spans="1:19">
      <c r="A180" s="198"/>
      <c r="B180" s="199"/>
      <c r="C180" s="271" t="s">
        <v>1076</v>
      </c>
      <c r="D180" s="193" t="s">
        <v>845</v>
      </c>
      <c r="E180" s="269">
        <v>1.695</v>
      </c>
      <c r="F180" s="195">
        <v>0.13</v>
      </c>
      <c r="G180" s="196">
        <f t="shared" si="8"/>
        <v>1.5</v>
      </c>
      <c r="H180" s="292"/>
      <c r="I180" s="197"/>
      <c r="J180" s="238"/>
      <c r="K180" s="239"/>
      <c r="L180" s="240">
        <v>0.1</v>
      </c>
      <c r="M180" s="241"/>
      <c r="N180" s="242"/>
      <c r="P180" s="171"/>
      <c r="R180" s="250" t="e">
        <f>VLOOKUP(C180,#REF!,3,0)</f>
        <v>#REF!</v>
      </c>
      <c r="S180" s="265" t="e">
        <f>VLOOKUP(R180,$I:$L,2,0)</f>
        <v>#REF!</v>
      </c>
    </row>
    <row r="181" s="161" customFormat="1" ht="24" customHeight="1" spans="1:19">
      <c r="A181" s="198"/>
      <c r="B181" s="210"/>
      <c r="C181" s="271"/>
      <c r="D181" s="193"/>
      <c r="E181" s="306"/>
      <c r="F181" s="307"/>
      <c r="G181" s="196"/>
      <c r="H181" s="197"/>
      <c r="I181" s="197"/>
      <c r="J181" s="238"/>
      <c r="K181" s="239"/>
      <c r="L181" s="240"/>
      <c r="M181" s="241"/>
      <c r="N181" s="317"/>
      <c r="P181" s="171"/>
      <c r="R181" s="250"/>
      <c r="S181" s="265"/>
    </row>
    <row r="182" s="161" customFormat="1" ht="24" customHeight="1" spans="1:19">
      <c r="A182" s="198"/>
      <c r="B182" s="191" t="s">
        <v>1077</v>
      </c>
      <c r="C182" s="271" t="s">
        <v>1078</v>
      </c>
      <c r="D182" s="193" t="s">
        <v>1040</v>
      </c>
      <c r="E182" s="306"/>
      <c r="F182" s="307"/>
      <c r="G182" s="196">
        <v>3.53</v>
      </c>
      <c r="H182" s="197" t="s">
        <v>1040</v>
      </c>
      <c r="I182" s="197" t="s">
        <v>1079</v>
      </c>
      <c r="J182" s="238">
        <v>4.72</v>
      </c>
      <c r="K182" s="239">
        <v>1.02</v>
      </c>
      <c r="L182" s="240">
        <v>0.6</v>
      </c>
      <c r="M182" s="241"/>
      <c r="N182" s="317"/>
      <c r="P182" s="171"/>
      <c r="R182" s="250"/>
      <c r="S182" s="265"/>
    </row>
    <row r="183" s="161" customFormat="1" ht="24" customHeight="1" spans="1:19">
      <c r="A183" s="198"/>
      <c r="B183" s="191"/>
      <c r="C183" s="271" t="s">
        <v>1080</v>
      </c>
      <c r="D183" s="193" t="s">
        <v>1040</v>
      </c>
      <c r="E183" s="306"/>
      <c r="F183" s="307"/>
      <c r="G183" s="196">
        <f>3.53*0.5</f>
        <v>1.765</v>
      </c>
      <c r="H183" s="197" t="s">
        <v>1040</v>
      </c>
      <c r="I183" s="197" t="s">
        <v>1081</v>
      </c>
      <c r="J183" s="238">
        <f>4.72*0.5</f>
        <v>2.36</v>
      </c>
      <c r="K183" s="239">
        <v>1.02</v>
      </c>
      <c r="L183" s="240">
        <v>0.3</v>
      </c>
      <c r="M183" s="241"/>
      <c r="N183" s="317"/>
      <c r="P183" s="171"/>
      <c r="R183" s="250"/>
      <c r="S183" s="265"/>
    </row>
    <row r="184" s="161" customFormat="1" ht="24" customHeight="1" spans="1:19">
      <c r="A184" s="198"/>
      <c r="B184" s="191"/>
      <c r="C184" s="271" t="s">
        <v>1082</v>
      </c>
      <c r="D184" s="193" t="s">
        <v>1040</v>
      </c>
      <c r="E184" s="306"/>
      <c r="F184" s="307"/>
      <c r="G184" s="196">
        <f>3.53*1.5</f>
        <v>5.295</v>
      </c>
      <c r="H184" s="197" t="s">
        <v>1040</v>
      </c>
      <c r="I184" s="197" t="s">
        <v>1083</v>
      </c>
      <c r="J184" s="238">
        <f>4.72*1.5</f>
        <v>7.08</v>
      </c>
      <c r="K184" s="239">
        <v>1.02</v>
      </c>
      <c r="L184" s="240">
        <v>0.9</v>
      </c>
      <c r="M184" s="241"/>
      <c r="N184" s="317"/>
      <c r="P184" s="171"/>
      <c r="R184" s="250" t="e">
        <f>VLOOKUP(C184,#REF!,3,0)</f>
        <v>#REF!</v>
      </c>
      <c r="S184" s="265" t="e">
        <f>VLOOKUP(R184,$I:$L,2,0)</f>
        <v>#REF!</v>
      </c>
    </row>
    <row r="185" s="161" customFormat="1" ht="24" customHeight="1" spans="1:19">
      <c r="A185" s="198"/>
      <c r="B185" s="199"/>
      <c r="C185" s="271" t="s">
        <v>1084</v>
      </c>
      <c r="D185" s="193" t="s">
        <v>845</v>
      </c>
      <c r="E185" s="306"/>
      <c r="F185" s="307"/>
      <c r="G185" s="196">
        <v>4.5</v>
      </c>
      <c r="H185" s="197" t="s">
        <v>845</v>
      </c>
      <c r="I185" s="197" t="s">
        <v>1084</v>
      </c>
      <c r="J185" s="238">
        <v>7.5</v>
      </c>
      <c r="K185" s="239">
        <v>1</v>
      </c>
      <c r="L185" s="240">
        <v>1.6</v>
      </c>
      <c r="M185" s="241"/>
      <c r="N185" s="317"/>
      <c r="P185" s="171"/>
      <c r="R185" s="250"/>
      <c r="S185" s="265"/>
    </row>
    <row r="186" s="161" customFormat="1" ht="24" customHeight="1" spans="1:19">
      <c r="A186" s="198"/>
      <c r="B186" s="199"/>
      <c r="C186" s="271" t="s">
        <v>1085</v>
      </c>
      <c r="D186" s="193" t="s">
        <v>845</v>
      </c>
      <c r="E186" s="306"/>
      <c r="F186" s="307"/>
      <c r="G186" s="196">
        <v>2</v>
      </c>
      <c r="H186" s="197" t="s">
        <v>845</v>
      </c>
      <c r="I186" s="197" t="s">
        <v>1085</v>
      </c>
      <c r="J186" s="269">
        <v>4</v>
      </c>
      <c r="K186" s="315">
        <v>1</v>
      </c>
      <c r="L186" s="240">
        <v>0.6</v>
      </c>
      <c r="M186" s="241"/>
      <c r="N186" s="317"/>
      <c r="P186" s="171"/>
      <c r="R186" s="250"/>
      <c r="S186" s="265"/>
    </row>
    <row r="187" s="161" customFormat="1" ht="24" customHeight="1" spans="1:19">
      <c r="A187" s="198"/>
      <c r="B187" s="199"/>
      <c r="C187" s="192" t="s">
        <v>1086</v>
      </c>
      <c r="D187" s="193" t="s">
        <v>1040</v>
      </c>
      <c r="E187" s="306"/>
      <c r="F187" s="307"/>
      <c r="G187" s="196">
        <v>20</v>
      </c>
      <c r="H187" s="197" t="s">
        <v>1040</v>
      </c>
      <c r="I187" s="197" t="s">
        <v>1086</v>
      </c>
      <c r="J187" s="238">
        <v>30</v>
      </c>
      <c r="K187" s="239">
        <v>1.01</v>
      </c>
      <c r="L187" s="240">
        <v>2</v>
      </c>
      <c r="M187" s="241"/>
      <c r="N187" s="317"/>
      <c r="P187" s="171"/>
      <c r="R187" s="250"/>
      <c r="S187" s="265"/>
    </row>
    <row r="188" s="161" customFormat="1" ht="24" customHeight="1" spans="1:19">
      <c r="A188" s="198"/>
      <c r="B188" s="199"/>
      <c r="C188" s="192" t="s">
        <v>1087</v>
      </c>
      <c r="D188" s="193" t="s">
        <v>967</v>
      </c>
      <c r="E188" s="306"/>
      <c r="F188" s="307"/>
      <c r="G188" s="196">
        <v>195</v>
      </c>
      <c r="H188" s="193" t="s">
        <v>967</v>
      </c>
      <c r="I188" s="192" t="s">
        <v>1088</v>
      </c>
      <c r="J188" s="269">
        <v>31.6</v>
      </c>
      <c r="K188" s="239">
        <v>1.01</v>
      </c>
      <c r="L188" s="240">
        <v>1</v>
      </c>
      <c r="M188" s="241"/>
      <c r="N188" s="317"/>
      <c r="P188" s="171"/>
      <c r="R188" s="250"/>
      <c r="S188" s="265"/>
    </row>
    <row r="189" s="161" customFormat="1" ht="24" customHeight="1" spans="1:19">
      <c r="A189" s="198"/>
      <c r="B189" s="199"/>
      <c r="C189" s="192" t="s">
        <v>1089</v>
      </c>
      <c r="D189" s="193" t="s">
        <v>967</v>
      </c>
      <c r="E189" s="306"/>
      <c r="F189" s="307"/>
      <c r="G189" s="196">
        <f>+G86</f>
        <v>300</v>
      </c>
      <c r="H189" s="193" t="s">
        <v>967</v>
      </c>
      <c r="I189" s="192" t="s">
        <v>1090</v>
      </c>
      <c r="J189" s="269">
        <v>31.6</v>
      </c>
      <c r="K189" s="239">
        <v>1.01</v>
      </c>
      <c r="L189" s="240">
        <v>1</v>
      </c>
      <c r="M189" s="241"/>
      <c r="N189" s="317"/>
      <c r="P189" s="171"/>
      <c r="R189" s="250"/>
      <c r="S189" s="265"/>
    </row>
    <row r="190" s="161" customFormat="1" ht="24" customHeight="1" spans="1:19">
      <c r="A190" s="198"/>
      <c r="B190" s="199"/>
      <c r="C190" s="192" t="s">
        <v>1091</v>
      </c>
      <c r="D190" s="193" t="s">
        <v>1040</v>
      </c>
      <c r="E190" s="306"/>
      <c r="F190" s="307"/>
      <c r="G190" s="196">
        <v>168.17</v>
      </c>
      <c r="H190" s="197" t="s">
        <v>1040</v>
      </c>
      <c r="I190" s="197" t="s">
        <v>1092</v>
      </c>
      <c r="J190" s="238">
        <v>50</v>
      </c>
      <c r="K190" s="239">
        <v>1.05</v>
      </c>
      <c r="L190" s="240">
        <v>3</v>
      </c>
      <c r="M190" s="241"/>
      <c r="N190" s="317"/>
      <c r="P190" s="171"/>
      <c r="R190" s="250"/>
      <c r="S190" s="265"/>
    </row>
    <row r="191" s="161" customFormat="1" ht="24" customHeight="1" spans="1:19">
      <c r="A191" s="198"/>
      <c r="B191" s="199"/>
      <c r="C191" s="192" t="s">
        <v>1093</v>
      </c>
      <c r="D191" s="193" t="s">
        <v>1040</v>
      </c>
      <c r="E191" s="306"/>
      <c r="F191" s="307"/>
      <c r="G191" s="196">
        <v>294.7</v>
      </c>
      <c r="H191" s="197"/>
      <c r="I191" s="197"/>
      <c r="J191" s="238"/>
      <c r="K191" s="239"/>
      <c r="L191" s="240">
        <v>3</v>
      </c>
      <c r="M191" s="241"/>
      <c r="N191" s="317"/>
      <c r="P191" s="171"/>
      <c r="R191" s="250" t="e">
        <f>VLOOKUP(C191,#REF!,3,0)</f>
        <v>#REF!</v>
      </c>
      <c r="S191" s="265" t="e">
        <f>VLOOKUP(R191,$I:$L,2,0)</f>
        <v>#REF!</v>
      </c>
    </row>
    <row r="192" s="161" customFormat="1" ht="24" customHeight="1" spans="1:19">
      <c r="A192" s="198"/>
      <c r="B192" s="199"/>
      <c r="C192" s="192" t="s">
        <v>1094</v>
      </c>
      <c r="D192" s="193" t="s">
        <v>1040</v>
      </c>
      <c r="E192" s="306"/>
      <c r="F192" s="307"/>
      <c r="G192" s="196">
        <v>32.56</v>
      </c>
      <c r="H192" s="197"/>
      <c r="I192" s="197"/>
      <c r="J192" s="238"/>
      <c r="K192" s="239"/>
      <c r="L192" s="240">
        <v>1</v>
      </c>
      <c r="M192" s="241"/>
      <c r="N192" s="317"/>
      <c r="P192" s="171"/>
      <c r="R192" s="250" t="e">
        <f>VLOOKUP(C192,#REF!,3,0)</f>
        <v>#REF!</v>
      </c>
      <c r="S192" s="265" t="e">
        <f>VLOOKUP(R192,$I:$L,2,0)</f>
        <v>#REF!</v>
      </c>
    </row>
    <row r="193" s="161" customFormat="1" ht="24" customHeight="1" spans="1:19">
      <c r="A193" s="198"/>
      <c r="B193" s="199"/>
      <c r="C193" s="192" t="s">
        <v>1095</v>
      </c>
      <c r="D193" s="193" t="s">
        <v>1040</v>
      </c>
      <c r="E193" s="306"/>
      <c r="F193" s="307"/>
      <c r="G193" s="196">
        <v>49.27</v>
      </c>
      <c r="H193" s="197"/>
      <c r="I193" s="197"/>
      <c r="J193" s="238"/>
      <c r="K193" s="239"/>
      <c r="L193" s="240">
        <v>1</v>
      </c>
      <c r="M193" s="241"/>
      <c r="N193" s="317"/>
      <c r="P193" s="171"/>
      <c r="R193" s="250" t="e">
        <f>VLOOKUP(C193,#REF!,3,0)</f>
        <v>#REF!</v>
      </c>
      <c r="S193" s="265" t="e">
        <f>VLOOKUP(R193,$I:$L,2,0)</f>
        <v>#REF!</v>
      </c>
    </row>
    <row r="194" s="161" customFormat="1" ht="24" customHeight="1" spans="1:19">
      <c r="A194" s="198"/>
      <c r="B194" s="199"/>
      <c r="C194" s="192" t="s">
        <v>758</v>
      </c>
      <c r="D194" s="193" t="s">
        <v>838</v>
      </c>
      <c r="E194" s="306"/>
      <c r="F194" s="307"/>
      <c r="G194" s="196">
        <v>26.3</v>
      </c>
      <c r="H194" s="197" t="s">
        <v>838</v>
      </c>
      <c r="I194" s="197" t="s">
        <v>1096</v>
      </c>
      <c r="J194" s="238">
        <v>22</v>
      </c>
      <c r="K194" s="239">
        <v>1.1</v>
      </c>
      <c r="L194" s="240">
        <v>4.5</v>
      </c>
      <c r="M194" s="241"/>
      <c r="N194" s="317"/>
      <c r="P194" s="171"/>
      <c r="R194" s="250"/>
      <c r="S194" s="265"/>
    </row>
    <row r="195" s="161" customFormat="1" ht="24" customHeight="1" spans="1:19">
      <c r="A195" s="198"/>
      <c r="B195" s="199"/>
      <c r="C195" s="192" t="s">
        <v>754</v>
      </c>
      <c r="D195" s="193" t="s">
        <v>838</v>
      </c>
      <c r="E195" s="306"/>
      <c r="F195" s="307"/>
      <c r="G195" s="196">
        <v>79</v>
      </c>
      <c r="H195" s="197"/>
      <c r="I195" s="197"/>
      <c r="J195" s="238"/>
      <c r="K195" s="239"/>
      <c r="L195" s="240">
        <v>6</v>
      </c>
      <c r="M195" s="241"/>
      <c r="N195" s="317"/>
      <c r="P195" s="171"/>
      <c r="R195" s="250" t="e">
        <f>VLOOKUP(C195,#REF!,3,0)</f>
        <v>#REF!</v>
      </c>
      <c r="S195" s="265" t="e">
        <f>VLOOKUP(R195,$I:$L,2,0)</f>
        <v>#REF!</v>
      </c>
    </row>
    <row r="196" s="161" customFormat="1" ht="24" customHeight="1" spans="1:19">
      <c r="A196" s="198"/>
      <c r="B196" s="199"/>
      <c r="C196" s="192" t="s">
        <v>753</v>
      </c>
      <c r="D196" s="193" t="s">
        <v>1040</v>
      </c>
      <c r="E196" s="306"/>
      <c r="F196" s="307"/>
      <c r="G196" s="196">
        <v>171</v>
      </c>
      <c r="H196" s="197"/>
      <c r="I196" s="197"/>
      <c r="J196" s="238"/>
      <c r="K196" s="239"/>
      <c r="L196" s="240">
        <v>7</v>
      </c>
      <c r="M196" s="241"/>
      <c r="N196" s="317"/>
      <c r="P196" s="171"/>
      <c r="R196" s="250" t="e">
        <f>VLOOKUP(C196,#REF!,3,0)</f>
        <v>#REF!</v>
      </c>
      <c r="S196" s="265" t="e">
        <f>VLOOKUP(R196,$I:$L,2,0)</f>
        <v>#REF!</v>
      </c>
    </row>
    <row r="197" s="161" customFormat="1" ht="24" customHeight="1" spans="1:19">
      <c r="A197" s="198"/>
      <c r="B197" s="199"/>
      <c r="C197" s="192" t="s">
        <v>749</v>
      </c>
      <c r="D197" s="193" t="s">
        <v>838</v>
      </c>
      <c r="E197" s="306"/>
      <c r="F197" s="307"/>
      <c r="G197" s="196">
        <v>36</v>
      </c>
      <c r="H197" s="197"/>
      <c r="I197" s="197"/>
      <c r="J197" s="238"/>
      <c r="K197" s="239"/>
      <c r="L197" s="240">
        <v>4.75</v>
      </c>
      <c r="M197" s="241"/>
      <c r="N197" s="317"/>
      <c r="P197" s="171"/>
      <c r="R197" s="250" t="e">
        <f>VLOOKUP(C197,#REF!,3,0)</f>
        <v>#REF!</v>
      </c>
      <c r="S197" s="265" t="e">
        <f>VLOOKUP(R197,$I:$L,2,0)</f>
        <v>#REF!</v>
      </c>
    </row>
    <row r="198" s="161" customFormat="1" ht="24" customHeight="1" spans="1:19">
      <c r="A198" s="198"/>
      <c r="B198" s="199"/>
      <c r="C198" s="192" t="s">
        <v>750</v>
      </c>
      <c r="D198" s="193" t="s">
        <v>838</v>
      </c>
      <c r="E198" s="306"/>
      <c r="F198" s="307"/>
      <c r="G198" s="196">
        <v>35</v>
      </c>
      <c r="H198" s="197"/>
      <c r="I198" s="197"/>
      <c r="J198" s="238"/>
      <c r="K198" s="239"/>
      <c r="L198" s="240">
        <v>3.2</v>
      </c>
      <c r="M198" s="241"/>
      <c r="N198" s="317"/>
      <c r="P198" s="171"/>
      <c r="R198" s="250" t="e">
        <f>VLOOKUP(C198,#REF!,3,0)</f>
        <v>#REF!</v>
      </c>
      <c r="S198" s="265" t="e">
        <f>VLOOKUP(R198,$I:$L,2,0)</f>
        <v>#REF!</v>
      </c>
    </row>
    <row r="199" s="161" customFormat="1" ht="24" customHeight="1" spans="1:19">
      <c r="A199" s="198"/>
      <c r="B199" s="199"/>
      <c r="C199" s="192" t="s">
        <v>751</v>
      </c>
      <c r="D199" s="193" t="s">
        <v>838</v>
      </c>
      <c r="E199" s="306"/>
      <c r="F199" s="307"/>
      <c r="G199" s="196">
        <v>34.3</v>
      </c>
      <c r="H199" s="200"/>
      <c r="I199" s="197"/>
      <c r="J199" s="238"/>
      <c r="K199" s="239"/>
      <c r="L199" s="240">
        <v>4.3</v>
      </c>
      <c r="M199" s="241"/>
      <c r="N199" s="317"/>
      <c r="P199" s="171"/>
      <c r="R199" s="250" t="e">
        <f>VLOOKUP(C199,#REF!,3,0)</f>
        <v>#REF!</v>
      </c>
      <c r="S199" s="265" t="e">
        <f>VLOOKUP(R199,$I:$L,2,0)</f>
        <v>#REF!</v>
      </c>
    </row>
    <row r="200" s="161" customFormat="1" ht="24" customHeight="1" spans="1:19">
      <c r="A200" s="198"/>
      <c r="B200" s="199"/>
      <c r="C200" s="192" t="s">
        <v>1097</v>
      </c>
      <c r="D200" s="193" t="s">
        <v>845</v>
      </c>
      <c r="E200" s="306"/>
      <c r="F200" s="307"/>
      <c r="G200" s="196">
        <v>8</v>
      </c>
      <c r="H200" s="197" t="s">
        <v>845</v>
      </c>
      <c r="I200" s="197" t="s">
        <v>1098</v>
      </c>
      <c r="J200" s="238">
        <v>10</v>
      </c>
      <c r="K200" s="239">
        <v>1.12</v>
      </c>
      <c r="L200" s="240">
        <v>1</v>
      </c>
      <c r="M200" s="241"/>
      <c r="N200" s="317"/>
      <c r="P200" s="171"/>
      <c r="R200" s="250"/>
      <c r="S200" s="265"/>
    </row>
    <row r="201" s="161" customFormat="1" ht="24" customHeight="1" spans="1:19">
      <c r="A201" s="198"/>
      <c r="B201" s="199"/>
      <c r="C201" s="192" t="s">
        <v>752</v>
      </c>
      <c r="D201" s="193" t="s">
        <v>838</v>
      </c>
      <c r="E201" s="306"/>
      <c r="F201" s="307"/>
      <c r="G201" s="196">
        <v>50</v>
      </c>
      <c r="H201" s="197"/>
      <c r="I201" s="197"/>
      <c r="J201" s="238"/>
      <c r="K201" s="239"/>
      <c r="L201" s="240">
        <v>10</v>
      </c>
      <c r="M201" s="241"/>
      <c r="N201" s="317"/>
      <c r="P201" s="171"/>
      <c r="R201" s="250" t="e">
        <f>VLOOKUP(C201,#REF!,3,0)</f>
        <v>#REF!</v>
      </c>
      <c r="S201" s="265" t="e">
        <f>VLOOKUP(R201,$I:$L,2,0)</f>
        <v>#REF!</v>
      </c>
    </row>
    <row r="202" s="161" customFormat="1" ht="24" customHeight="1" spans="1:19">
      <c r="A202" s="198"/>
      <c r="B202" s="199"/>
      <c r="C202" s="192" t="s">
        <v>1099</v>
      </c>
      <c r="D202" s="193" t="s">
        <v>1040</v>
      </c>
      <c r="E202" s="306"/>
      <c r="F202" s="307"/>
      <c r="G202" s="196">
        <v>107</v>
      </c>
      <c r="H202" s="197"/>
      <c r="I202" s="197"/>
      <c r="J202" s="238"/>
      <c r="K202" s="239"/>
      <c r="L202" s="240">
        <v>4.5</v>
      </c>
      <c r="M202" s="241"/>
      <c r="N202" s="317"/>
      <c r="P202" s="171"/>
      <c r="R202" s="250" t="e">
        <f>VLOOKUP(C202,#REF!,3,0)</f>
        <v>#REF!</v>
      </c>
      <c r="S202" s="265" t="e">
        <f>VLOOKUP(R202,$I:$L,2,0)</f>
        <v>#REF!</v>
      </c>
    </row>
    <row r="203" s="161" customFormat="1" ht="24" customHeight="1" spans="1:19">
      <c r="A203" s="198"/>
      <c r="B203" s="199"/>
      <c r="C203" s="192" t="s">
        <v>1100</v>
      </c>
      <c r="D203" s="193" t="s">
        <v>845</v>
      </c>
      <c r="E203" s="306"/>
      <c r="F203" s="307"/>
      <c r="G203" s="196">
        <v>17</v>
      </c>
      <c r="H203" s="197" t="s">
        <v>845</v>
      </c>
      <c r="I203" s="197" t="s">
        <v>1100</v>
      </c>
      <c r="J203" s="238">
        <v>27.7</v>
      </c>
      <c r="K203" s="239">
        <v>1.12</v>
      </c>
      <c r="L203" s="240">
        <v>4</v>
      </c>
      <c r="M203" s="241"/>
      <c r="N203" s="317"/>
      <c r="P203" s="171"/>
      <c r="R203" s="250"/>
      <c r="S203" s="265"/>
    </row>
    <row r="204" s="161" customFormat="1" ht="24" customHeight="1" spans="1:19">
      <c r="A204" s="198"/>
      <c r="B204" s="199"/>
      <c r="C204" s="192" t="s">
        <v>1101</v>
      </c>
      <c r="D204" s="193" t="s">
        <v>845</v>
      </c>
      <c r="E204" s="306"/>
      <c r="F204" s="307"/>
      <c r="G204" s="196">
        <v>25</v>
      </c>
      <c r="H204" s="197" t="s">
        <v>845</v>
      </c>
      <c r="I204" s="197" t="s">
        <v>1101</v>
      </c>
      <c r="J204" s="238">
        <v>32.7</v>
      </c>
      <c r="K204" s="239">
        <v>1.12</v>
      </c>
      <c r="L204" s="240">
        <v>4</v>
      </c>
      <c r="M204" s="241"/>
      <c r="N204" s="317"/>
      <c r="P204" s="171"/>
      <c r="R204" s="250"/>
      <c r="S204" s="265"/>
    </row>
    <row r="205" s="161" customFormat="1" ht="24" customHeight="1" spans="1:19">
      <c r="A205" s="198"/>
      <c r="B205" s="199"/>
      <c r="C205" s="192" t="s">
        <v>1102</v>
      </c>
      <c r="D205" s="193" t="s">
        <v>845</v>
      </c>
      <c r="E205" s="306"/>
      <c r="F205" s="307"/>
      <c r="G205" s="196">
        <v>3</v>
      </c>
      <c r="H205" s="200" t="s">
        <v>845</v>
      </c>
      <c r="I205" s="197" t="s">
        <v>1102</v>
      </c>
      <c r="J205" s="238">
        <v>7.6</v>
      </c>
      <c r="K205" s="239">
        <v>1.01</v>
      </c>
      <c r="L205" s="240">
        <v>0.5</v>
      </c>
      <c r="M205" s="241"/>
      <c r="N205" s="317"/>
      <c r="P205" s="171"/>
      <c r="R205" s="250"/>
      <c r="S205" s="265"/>
    </row>
    <row r="206" s="161" customFormat="1" ht="24" customHeight="1" spans="1:19">
      <c r="A206" s="198"/>
      <c r="B206" s="199"/>
      <c r="C206" s="192" t="s">
        <v>1103</v>
      </c>
      <c r="D206" s="193" t="s">
        <v>845</v>
      </c>
      <c r="E206" s="306"/>
      <c r="F206" s="307"/>
      <c r="G206" s="196">
        <v>3.55</v>
      </c>
      <c r="H206" s="197"/>
      <c r="I206" s="197"/>
      <c r="J206" s="238"/>
      <c r="K206" s="239"/>
      <c r="L206" s="240">
        <v>3</v>
      </c>
      <c r="M206" s="241"/>
      <c r="N206" s="317"/>
      <c r="P206" s="171"/>
      <c r="R206" s="250" t="e">
        <f>VLOOKUP(C206,#REF!,3,0)</f>
        <v>#REF!</v>
      </c>
      <c r="S206" s="265" t="e">
        <f>VLOOKUP(R206,$I:$L,2,0)</f>
        <v>#REF!</v>
      </c>
    </row>
    <row r="207" s="161" customFormat="1" ht="24" customHeight="1" spans="1:19">
      <c r="A207" s="198"/>
      <c r="B207" s="199"/>
      <c r="C207" s="192" t="s">
        <v>1104</v>
      </c>
      <c r="D207" s="193" t="s">
        <v>845</v>
      </c>
      <c r="E207" s="306"/>
      <c r="F207" s="307"/>
      <c r="G207" s="196">
        <v>10.55</v>
      </c>
      <c r="H207" s="197"/>
      <c r="I207" s="197" t="s">
        <v>1105</v>
      </c>
      <c r="J207" s="238">
        <v>10</v>
      </c>
      <c r="K207" s="239">
        <v>1.01</v>
      </c>
      <c r="L207" s="240">
        <v>3</v>
      </c>
      <c r="M207" s="241"/>
      <c r="N207" s="317"/>
      <c r="P207" s="171"/>
      <c r="R207" s="250"/>
      <c r="S207" s="265"/>
    </row>
    <row r="208" s="161" customFormat="1" ht="24" customHeight="1" spans="1:19">
      <c r="A208" s="198"/>
      <c r="B208" s="199"/>
      <c r="C208" s="192" t="s">
        <v>1106</v>
      </c>
      <c r="D208" s="193" t="s">
        <v>845</v>
      </c>
      <c r="E208" s="306"/>
      <c r="F208" s="307"/>
      <c r="G208" s="196">
        <v>54.4</v>
      </c>
      <c r="H208" s="200" t="s">
        <v>845</v>
      </c>
      <c r="I208" s="197" t="s">
        <v>1106</v>
      </c>
      <c r="J208" s="238">
        <v>4</v>
      </c>
      <c r="K208" s="239">
        <v>1</v>
      </c>
      <c r="L208" s="240">
        <v>3</v>
      </c>
      <c r="M208" s="241"/>
      <c r="N208" s="317"/>
      <c r="P208" s="171"/>
      <c r="R208" s="250"/>
      <c r="S208" s="265"/>
    </row>
    <row r="209" s="161" customFormat="1" ht="24" customHeight="1" spans="1:19">
      <c r="A209" s="198"/>
      <c r="B209" s="199"/>
      <c r="C209" s="192" t="s">
        <v>757</v>
      </c>
      <c r="D209" s="193" t="s">
        <v>1040</v>
      </c>
      <c r="E209" s="306"/>
      <c r="F209" s="307"/>
      <c r="G209" s="196">
        <v>16</v>
      </c>
      <c r="H209" s="197"/>
      <c r="I209" s="197"/>
      <c r="J209" s="238"/>
      <c r="K209" s="239"/>
      <c r="L209" s="240">
        <v>3.5</v>
      </c>
      <c r="M209" s="241"/>
      <c r="N209" s="317"/>
      <c r="P209" s="171"/>
      <c r="R209" s="250" t="e">
        <f>VLOOKUP(C209,#REF!,3,0)</f>
        <v>#REF!</v>
      </c>
      <c r="S209" s="265" t="e">
        <f>VLOOKUP(R209,$I:$L,2,0)</f>
        <v>#REF!</v>
      </c>
    </row>
    <row r="210" s="161" customFormat="1" ht="24" customHeight="1" spans="1:19">
      <c r="A210" s="198"/>
      <c r="B210" s="199"/>
      <c r="C210" s="192" t="s">
        <v>1107</v>
      </c>
      <c r="D210" s="193" t="s">
        <v>1040</v>
      </c>
      <c r="E210" s="306"/>
      <c r="F210" s="307"/>
      <c r="G210" s="196">
        <v>12.62</v>
      </c>
      <c r="H210" s="197" t="s">
        <v>1040</v>
      </c>
      <c r="I210" s="197" t="s">
        <v>1108</v>
      </c>
      <c r="J210" s="238">
        <v>15</v>
      </c>
      <c r="K210" s="239">
        <v>1.05</v>
      </c>
      <c r="L210" s="240">
        <v>1</v>
      </c>
      <c r="M210" s="241"/>
      <c r="N210" s="317"/>
      <c r="P210" s="171"/>
      <c r="R210" s="250"/>
      <c r="S210" s="265"/>
    </row>
    <row r="211" s="161" customFormat="1" ht="24" customHeight="1" spans="1:19">
      <c r="A211" s="198"/>
      <c r="B211" s="199"/>
      <c r="C211" s="192" t="s">
        <v>1109</v>
      </c>
      <c r="D211" s="193" t="s">
        <v>1040</v>
      </c>
      <c r="E211" s="306"/>
      <c r="F211" s="307"/>
      <c r="G211" s="196">
        <v>22.14</v>
      </c>
      <c r="H211" s="197"/>
      <c r="I211" s="197"/>
      <c r="J211" s="238"/>
      <c r="K211" s="239"/>
      <c r="L211" s="240">
        <v>1</v>
      </c>
      <c r="M211" s="241"/>
      <c r="N211" s="317"/>
      <c r="P211" s="171"/>
      <c r="R211" s="250" t="e">
        <f>VLOOKUP(C211,#REF!,3,0)</f>
        <v>#REF!</v>
      </c>
      <c r="S211" s="265" t="e">
        <f>VLOOKUP(R211,$I:$L,2,0)</f>
        <v>#REF!</v>
      </c>
    </row>
    <row r="212" s="161" customFormat="1" ht="24" customHeight="1" spans="1:19">
      <c r="A212" s="198"/>
      <c r="B212" s="199"/>
      <c r="C212" s="192" t="s">
        <v>1110</v>
      </c>
      <c r="D212" s="193" t="s">
        <v>1040</v>
      </c>
      <c r="E212" s="306"/>
      <c r="F212" s="307"/>
      <c r="G212" s="196">
        <v>6.51</v>
      </c>
      <c r="H212" s="197"/>
      <c r="I212" s="197"/>
      <c r="J212" s="238"/>
      <c r="K212" s="239"/>
      <c r="L212" s="240">
        <v>1</v>
      </c>
      <c r="M212" s="241"/>
      <c r="N212" s="317"/>
      <c r="P212" s="171"/>
      <c r="R212" s="250" t="e">
        <f>VLOOKUP(C212,#REF!,3,0)</f>
        <v>#REF!</v>
      </c>
      <c r="S212" s="265" t="e">
        <f>VLOOKUP(R212,$I:$L,2,0)</f>
        <v>#REF!</v>
      </c>
    </row>
    <row r="213" s="161" customFormat="1" ht="24" customHeight="1" spans="1:19">
      <c r="A213" s="198"/>
      <c r="B213" s="199"/>
      <c r="C213" s="192" t="s">
        <v>1111</v>
      </c>
      <c r="D213" s="193" t="s">
        <v>1040</v>
      </c>
      <c r="E213" s="306"/>
      <c r="F213" s="307"/>
      <c r="G213" s="196">
        <v>7.87</v>
      </c>
      <c r="H213" s="197"/>
      <c r="I213" s="197"/>
      <c r="J213" s="238"/>
      <c r="K213" s="239"/>
      <c r="L213" s="240">
        <v>1</v>
      </c>
      <c r="M213" s="241"/>
      <c r="N213" s="317"/>
      <c r="P213" s="171"/>
      <c r="R213" s="250" t="e">
        <f>VLOOKUP(C213,#REF!,3,0)</f>
        <v>#REF!</v>
      </c>
      <c r="S213" s="265" t="e">
        <f>VLOOKUP(R213,$I:$L,2,0)</f>
        <v>#REF!</v>
      </c>
    </row>
    <row r="214" s="161" customFormat="1" ht="24" customHeight="1" spans="1:19">
      <c r="A214" s="198"/>
      <c r="B214" s="199"/>
      <c r="C214" s="192" t="s">
        <v>1112</v>
      </c>
      <c r="D214" s="193" t="s">
        <v>1040</v>
      </c>
      <c r="E214" s="306"/>
      <c r="F214" s="307"/>
      <c r="G214" s="196">
        <v>163.94</v>
      </c>
      <c r="H214" s="197"/>
      <c r="I214" s="197"/>
      <c r="J214" s="238"/>
      <c r="K214" s="239"/>
      <c r="L214" s="240">
        <v>1</v>
      </c>
      <c r="M214" s="241"/>
      <c r="N214" s="317"/>
      <c r="P214" s="171"/>
      <c r="R214" s="250" t="e">
        <f>VLOOKUP(C214,#REF!,3,0)</f>
        <v>#REF!</v>
      </c>
      <c r="S214" s="265" t="e">
        <f>VLOOKUP(R214,$I:$L,2,0)</f>
        <v>#REF!</v>
      </c>
    </row>
    <row r="215" s="161" customFormat="1" ht="24" customHeight="1" spans="1:19">
      <c r="A215" s="198"/>
      <c r="B215" s="199"/>
      <c r="C215" s="192" t="s">
        <v>1113</v>
      </c>
      <c r="D215" s="193" t="s">
        <v>1040</v>
      </c>
      <c r="E215" s="306"/>
      <c r="F215" s="307"/>
      <c r="G215" s="196">
        <v>11.4</v>
      </c>
      <c r="H215" s="197"/>
      <c r="I215" s="197"/>
      <c r="J215" s="238"/>
      <c r="K215" s="239"/>
      <c r="L215" s="240">
        <v>1</v>
      </c>
      <c r="M215" s="241"/>
      <c r="N215" s="317"/>
      <c r="P215" s="171"/>
      <c r="R215" s="250" t="e">
        <f>VLOOKUP(C215,#REF!,3,0)</f>
        <v>#REF!</v>
      </c>
      <c r="S215" s="265" t="e">
        <f>VLOOKUP(R215,$I:$L,2,0)</f>
        <v>#REF!</v>
      </c>
    </row>
    <row r="216" s="161" customFormat="1" ht="24" customHeight="1" spans="1:19">
      <c r="A216" s="198"/>
      <c r="B216" s="199"/>
      <c r="C216" s="192" t="s">
        <v>1114</v>
      </c>
      <c r="D216" s="193" t="s">
        <v>1040</v>
      </c>
      <c r="E216" s="306"/>
      <c r="F216" s="307"/>
      <c r="G216" s="196">
        <v>21.67</v>
      </c>
      <c r="H216" s="197"/>
      <c r="I216" s="197"/>
      <c r="J216" s="238"/>
      <c r="K216" s="239"/>
      <c r="L216" s="240">
        <v>1</v>
      </c>
      <c r="M216" s="241"/>
      <c r="N216" s="317"/>
      <c r="P216" s="171"/>
      <c r="R216" s="250" t="e">
        <f>VLOOKUP(C216,#REF!,3,0)</f>
        <v>#REF!</v>
      </c>
      <c r="S216" s="265" t="e">
        <f>VLOOKUP(R216,$I:$L,2,0)</f>
        <v>#REF!</v>
      </c>
    </row>
    <row r="217" s="161" customFormat="1" ht="24" customHeight="1" spans="1:19">
      <c r="A217" s="198"/>
      <c r="B217" s="199"/>
      <c r="C217" s="192" t="s">
        <v>1115</v>
      </c>
      <c r="D217" s="193" t="s">
        <v>1040</v>
      </c>
      <c r="E217" s="306"/>
      <c r="F217" s="307"/>
      <c r="G217" s="196">
        <v>7.73</v>
      </c>
      <c r="H217" s="197"/>
      <c r="I217" s="197"/>
      <c r="J217" s="238"/>
      <c r="K217" s="239"/>
      <c r="L217" s="240">
        <v>1</v>
      </c>
      <c r="M217" s="241"/>
      <c r="N217" s="317"/>
      <c r="P217" s="171"/>
      <c r="R217" s="250" t="e">
        <f>VLOOKUP(C217,#REF!,3,0)</f>
        <v>#REF!</v>
      </c>
      <c r="S217" s="265" t="e">
        <f>VLOOKUP(R217,$I:$L,2,0)</f>
        <v>#REF!</v>
      </c>
    </row>
    <row r="218" s="161" customFormat="1" ht="24" customHeight="1" spans="1:19">
      <c r="A218" s="198"/>
      <c r="B218" s="199"/>
      <c r="C218" s="192" t="s">
        <v>1116</v>
      </c>
      <c r="D218" s="193" t="s">
        <v>1040</v>
      </c>
      <c r="E218" s="306"/>
      <c r="F218" s="307"/>
      <c r="G218" s="196">
        <v>21.67</v>
      </c>
      <c r="H218" s="197"/>
      <c r="I218" s="197"/>
      <c r="J218" s="238"/>
      <c r="K218" s="239"/>
      <c r="L218" s="240">
        <v>1</v>
      </c>
      <c r="M218" s="241"/>
      <c r="N218" s="317"/>
      <c r="P218" s="171"/>
      <c r="R218" s="250" t="e">
        <f>VLOOKUP(C218,#REF!,3,0)</f>
        <v>#REF!</v>
      </c>
      <c r="S218" s="265" t="e">
        <f>VLOOKUP(R218,$I:$L,2,0)</f>
        <v>#REF!</v>
      </c>
    </row>
    <row r="219" s="161" customFormat="1" ht="24" customHeight="1" spans="1:19">
      <c r="A219" s="198"/>
      <c r="B219" s="199"/>
      <c r="C219" s="192" t="s">
        <v>1117</v>
      </c>
      <c r="D219" s="193" t="s">
        <v>1040</v>
      </c>
      <c r="E219" s="306"/>
      <c r="F219" s="307"/>
      <c r="G219" s="196">
        <v>39.76</v>
      </c>
      <c r="H219" s="197"/>
      <c r="I219" s="197"/>
      <c r="J219" s="238"/>
      <c r="K219" s="239"/>
      <c r="L219" s="240">
        <v>1</v>
      </c>
      <c r="M219" s="241"/>
      <c r="N219" s="317"/>
      <c r="P219" s="171"/>
      <c r="R219" s="250" t="e">
        <f>VLOOKUP(C219,#REF!,3,0)</f>
        <v>#REF!</v>
      </c>
      <c r="S219" s="265" t="e">
        <f>VLOOKUP(R219,$I:$L,2,0)</f>
        <v>#REF!</v>
      </c>
    </row>
    <row r="220" s="161" customFormat="1" ht="24" customHeight="1" spans="1:19">
      <c r="A220" s="198"/>
      <c r="B220" s="199"/>
      <c r="C220" s="192" t="s">
        <v>1118</v>
      </c>
      <c r="D220" s="193" t="s">
        <v>1040</v>
      </c>
      <c r="E220" s="306"/>
      <c r="F220" s="307"/>
      <c r="G220" s="196">
        <v>9.2</v>
      </c>
      <c r="H220" s="197"/>
      <c r="I220" s="197"/>
      <c r="J220" s="238"/>
      <c r="K220" s="239"/>
      <c r="L220" s="240">
        <v>1</v>
      </c>
      <c r="M220" s="241"/>
      <c r="N220" s="317"/>
      <c r="P220" s="171"/>
      <c r="R220" s="250" t="e">
        <f>VLOOKUP(C220,#REF!,3,0)</f>
        <v>#REF!</v>
      </c>
      <c r="S220" s="265" t="e">
        <f>VLOOKUP(R220,$I:$L,2,0)</f>
        <v>#REF!</v>
      </c>
    </row>
    <row r="221" s="161" customFormat="1" ht="24" customHeight="1" spans="1:19">
      <c r="A221" s="198"/>
      <c r="B221" s="199"/>
      <c r="C221" s="192" t="s">
        <v>1119</v>
      </c>
      <c r="D221" s="193" t="s">
        <v>1040</v>
      </c>
      <c r="E221" s="306"/>
      <c r="F221" s="307"/>
      <c r="G221" s="196">
        <v>12.15</v>
      </c>
      <c r="H221" s="197"/>
      <c r="I221" s="197"/>
      <c r="J221" s="238"/>
      <c r="K221" s="239"/>
      <c r="L221" s="240">
        <v>1</v>
      </c>
      <c r="M221" s="241"/>
      <c r="N221" s="317"/>
      <c r="P221" s="171"/>
      <c r="R221" s="250" t="e">
        <f>VLOOKUP(C221,#REF!,3,0)</f>
        <v>#REF!</v>
      </c>
      <c r="S221" s="265" t="e">
        <f>VLOOKUP(R221,$I:$L,2,0)</f>
        <v>#REF!</v>
      </c>
    </row>
    <row r="222" s="161" customFormat="1" ht="24" customHeight="1" spans="1:19">
      <c r="A222" s="198"/>
      <c r="B222" s="199"/>
      <c r="C222" s="192" t="s">
        <v>1120</v>
      </c>
      <c r="D222" s="193" t="s">
        <v>1040</v>
      </c>
      <c r="E222" s="306"/>
      <c r="F222" s="307"/>
      <c r="G222" s="196">
        <v>22.8</v>
      </c>
      <c r="H222" s="197"/>
      <c r="I222" s="197"/>
      <c r="J222" s="238"/>
      <c r="K222" s="239"/>
      <c r="L222" s="240">
        <v>1</v>
      </c>
      <c r="M222" s="241"/>
      <c r="N222" s="317"/>
      <c r="P222" s="171"/>
      <c r="R222" s="250" t="e">
        <f>VLOOKUP(C222,#REF!,3,0)</f>
        <v>#REF!</v>
      </c>
      <c r="S222" s="265" t="e">
        <f>VLOOKUP(R222,$I:$L,2,0)</f>
        <v>#REF!</v>
      </c>
    </row>
    <row r="223" s="161" customFormat="1" ht="24" customHeight="1" spans="1:19">
      <c r="A223" s="198"/>
      <c r="B223" s="199"/>
      <c r="C223" s="192" t="s">
        <v>1121</v>
      </c>
      <c r="D223" s="193" t="s">
        <v>1040</v>
      </c>
      <c r="E223" s="306"/>
      <c r="F223" s="307"/>
      <c r="G223" s="196">
        <v>12.01</v>
      </c>
      <c r="H223" s="197"/>
      <c r="I223" s="197"/>
      <c r="J223" s="238"/>
      <c r="K223" s="239"/>
      <c r="L223" s="240">
        <v>1</v>
      </c>
      <c r="M223" s="241"/>
      <c r="N223" s="317"/>
      <c r="P223" s="171"/>
      <c r="R223" s="250" t="e">
        <f>VLOOKUP(C223,#REF!,3,0)</f>
        <v>#REF!</v>
      </c>
      <c r="S223" s="265" t="e">
        <f>VLOOKUP(R223,$I:$L,2,0)</f>
        <v>#REF!</v>
      </c>
    </row>
    <row r="224" s="161" customFormat="1" ht="24" customHeight="1" spans="1:19">
      <c r="A224" s="198"/>
      <c r="B224" s="199"/>
      <c r="C224" s="192" t="s">
        <v>1122</v>
      </c>
      <c r="D224" s="193" t="s">
        <v>1040</v>
      </c>
      <c r="E224" s="306"/>
      <c r="F224" s="307"/>
      <c r="G224" s="196">
        <v>14.39</v>
      </c>
      <c r="H224" s="197"/>
      <c r="I224" s="197"/>
      <c r="J224" s="238"/>
      <c r="K224" s="239"/>
      <c r="L224" s="240">
        <v>1</v>
      </c>
      <c r="M224" s="241"/>
      <c r="N224" s="317"/>
      <c r="P224" s="171"/>
      <c r="R224" s="250" t="e">
        <f>VLOOKUP(C224,#REF!,3,0)</f>
        <v>#REF!</v>
      </c>
      <c r="S224" s="265" t="e">
        <f>VLOOKUP(R224,$I:$L,2,0)</f>
        <v>#REF!</v>
      </c>
    </row>
    <row r="225" s="161" customFormat="1" ht="24" customHeight="1" spans="1:19">
      <c r="A225" s="198"/>
      <c r="B225" s="199"/>
      <c r="C225" s="192" t="s">
        <v>1123</v>
      </c>
      <c r="D225" s="193" t="s">
        <v>1040</v>
      </c>
      <c r="E225" s="306"/>
      <c r="F225" s="307"/>
      <c r="G225" s="196">
        <v>163.21</v>
      </c>
      <c r="H225" s="197"/>
      <c r="I225" s="197"/>
      <c r="J225" s="238"/>
      <c r="K225" s="239"/>
      <c r="L225" s="240">
        <v>1</v>
      </c>
      <c r="M225" s="241"/>
      <c r="N225" s="317"/>
      <c r="P225" s="171"/>
      <c r="R225" s="250" t="e">
        <f>VLOOKUP(C225,#REF!,3,0)</f>
        <v>#REF!</v>
      </c>
      <c r="S225" s="265" t="e">
        <f>VLOOKUP(R225,$I:$L,2,0)</f>
        <v>#REF!</v>
      </c>
    </row>
    <row r="226" s="161" customFormat="1" ht="24" customHeight="1" spans="1:19">
      <c r="A226" s="198"/>
      <c r="B226" s="199"/>
      <c r="C226" s="192" t="s">
        <v>1124</v>
      </c>
      <c r="D226" s="193" t="s">
        <v>1040</v>
      </c>
      <c r="E226" s="306"/>
      <c r="F226" s="307"/>
      <c r="G226" s="196">
        <v>17.17</v>
      </c>
      <c r="H226" s="197"/>
      <c r="I226" s="197"/>
      <c r="J226" s="238"/>
      <c r="K226" s="239"/>
      <c r="L226" s="240">
        <v>1</v>
      </c>
      <c r="M226" s="241"/>
      <c r="N226" s="317"/>
      <c r="P226" s="171"/>
      <c r="R226" s="250" t="e">
        <f>VLOOKUP(C226,#REF!,3,0)</f>
        <v>#REF!</v>
      </c>
      <c r="S226" s="265" t="e">
        <f>VLOOKUP(R226,$I:$L,2,0)</f>
        <v>#REF!</v>
      </c>
    </row>
    <row r="227" s="161" customFormat="1" ht="24" customHeight="1" spans="1:19">
      <c r="A227" s="198"/>
      <c r="B227" s="199"/>
      <c r="C227" s="192" t="s">
        <v>1125</v>
      </c>
      <c r="D227" s="193" t="s">
        <v>1040</v>
      </c>
      <c r="E227" s="306"/>
      <c r="F227" s="307"/>
      <c r="G227" s="196">
        <v>2.23</v>
      </c>
      <c r="H227" s="197"/>
      <c r="I227" s="197"/>
      <c r="J227" s="238"/>
      <c r="K227" s="239"/>
      <c r="L227" s="240">
        <v>1</v>
      </c>
      <c r="M227" s="241"/>
      <c r="N227" s="317"/>
      <c r="P227" s="171"/>
      <c r="R227" s="250" t="e">
        <f>VLOOKUP(C227,#REF!,3,0)</f>
        <v>#REF!</v>
      </c>
      <c r="S227" s="265" t="e">
        <f>VLOOKUP(R227,$I:$L,2,0)</f>
        <v>#REF!</v>
      </c>
    </row>
    <row r="228" s="161" customFormat="1" ht="24" customHeight="1" spans="1:19">
      <c r="A228" s="198"/>
      <c r="B228" s="199"/>
      <c r="C228" s="192" t="s">
        <v>1126</v>
      </c>
      <c r="D228" s="193" t="s">
        <v>1040</v>
      </c>
      <c r="E228" s="306"/>
      <c r="F228" s="307"/>
      <c r="G228" s="196">
        <v>3.11</v>
      </c>
      <c r="H228" s="197"/>
      <c r="I228" s="197"/>
      <c r="J228" s="238"/>
      <c r="K228" s="239"/>
      <c r="L228" s="240">
        <v>1</v>
      </c>
      <c r="M228" s="241"/>
      <c r="N228" s="317"/>
      <c r="P228" s="171"/>
      <c r="R228" s="250" t="e">
        <f>VLOOKUP(C228,#REF!,3,0)</f>
        <v>#REF!</v>
      </c>
      <c r="S228" s="265" t="e">
        <f>VLOOKUP(R228,$I:$L,2,0)</f>
        <v>#REF!</v>
      </c>
    </row>
    <row r="229" s="161" customFormat="1" ht="24" customHeight="1" spans="1:19">
      <c r="A229" s="198"/>
      <c r="B229" s="199"/>
      <c r="C229" s="192" t="s">
        <v>1127</v>
      </c>
      <c r="D229" s="193" t="s">
        <v>1040</v>
      </c>
      <c r="E229" s="306"/>
      <c r="F229" s="307"/>
      <c r="G229" s="196">
        <v>24.13</v>
      </c>
      <c r="H229" s="197"/>
      <c r="I229" s="197"/>
      <c r="J229" s="238"/>
      <c r="K229" s="239"/>
      <c r="L229" s="240">
        <v>1</v>
      </c>
      <c r="M229" s="241"/>
      <c r="N229" s="317"/>
      <c r="P229" s="171"/>
      <c r="R229" s="250" t="e">
        <f>VLOOKUP(C229,#REF!,3,0)</f>
        <v>#REF!</v>
      </c>
      <c r="S229" s="265" t="e">
        <f>VLOOKUP(R229,$I:$L,2,0)</f>
        <v>#REF!</v>
      </c>
    </row>
    <row r="230" s="161" customFormat="1" ht="24" customHeight="1" spans="1:19">
      <c r="A230" s="198"/>
      <c r="B230" s="199"/>
      <c r="C230" s="192" t="s">
        <v>1128</v>
      </c>
      <c r="D230" s="193" t="s">
        <v>1040</v>
      </c>
      <c r="E230" s="306"/>
      <c r="F230" s="307"/>
      <c r="G230" s="196">
        <v>2.53</v>
      </c>
      <c r="H230" s="197"/>
      <c r="I230" s="197"/>
      <c r="J230" s="238"/>
      <c r="K230" s="239"/>
      <c r="L230" s="240">
        <v>1</v>
      </c>
      <c r="M230" s="241"/>
      <c r="N230" s="317"/>
      <c r="P230" s="171"/>
      <c r="R230" s="250" t="e">
        <f>VLOOKUP(C230,#REF!,3,0)</f>
        <v>#REF!</v>
      </c>
      <c r="S230" s="265" t="e">
        <f>VLOOKUP(R230,$I:$L,2,0)</f>
        <v>#REF!</v>
      </c>
    </row>
    <row r="231" s="161" customFormat="1" ht="24" customHeight="1" spans="1:19">
      <c r="A231" s="198"/>
      <c r="B231" s="199"/>
      <c r="C231" s="192" t="s">
        <v>1129</v>
      </c>
      <c r="D231" s="193" t="s">
        <v>1040</v>
      </c>
      <c r="E231" s="306"/>
      <c r="F231" s="307"/>
      <c r="G231" s="196">
        <v>27.71</v>
      </c>
      <c r="H231" s="197"/>
      <c r="I231" s="197"/>
      <c r="J231" s="238"/>
      <c r="K231" s="239"/>
      <c r="L231" s="240">
        <v>1</v>
      </c>
      <c r="M231" s="241"/>
      <c r="N231" s="317"/>
      <c r="P231" s="171"/>
      <c r="R231" s="250" t="e">
        <f>VLOOKUP(C231,#REF!,3,0)</f>
        <v>#REF!</v>
      </c>
      <c r="S231" s="265" t="e">
        <f>VLOOKUP(R231,$I:$L,2,0)</f>
        <v>#REF!</v>
      </c>
    </row>
    <row r="232" s="161" customFormat="1" ht="24" customHeight="1" spans="1:19">
      <c r="A232" s="198"/>
      <c r="B232" s="199"/>
      <c r="C232" s="192" t="s">
        <v>1130</v>
      </c>
      <c r="D232" s="193" t="s">
        <v>1040</v>
      </c>
      <c r="E232" s="306"/>
      <c r="F232" s="307"/>
      <c r="G232" s="196">
        <v>6.06</v>
      </c>
      <c r="H232" s="197"/>
      <c r="I232" s="197"/>
      <c r="J232" s="238"/>
      <c r="K232" s="239"/>
      <c r="L232" s="240">
        <v>1</v>
      </c>
      <c r="M232" s="241"/>
      <c r="N232" s="317"/>
      <c r="P232" s="171"/>
      <c r="R232" s="250" t="e">
        <f>VLOOKUP(C232,#REF!,3,0)</f>
        <v>#REF!</v>
      </c>
      <c r="S232" s="265" t="e">
        <f>VLOOKUP(R232,$I:$L,2,0)</f>
        <v>#REF!</v>
      </c>
    </row>
    <row r="233" s="161" customFormat="1" ht="24" customHeight="1" spans="1:19">
      <c r="A233" s="198"/>
      <c r="B233" s="199"/>
      <c r="C233" s="192" t="s">
        <v>1131</v>
      </c>
      <c r="D233" s="193" t="s">
        <v>1040</v>
      </c>
      <c r="E233" s="306"/>
      <c r="F233" s="307"/>
      <c r="G233" s="196">
        <v>3.45</v>
      </c>
      <c r="H233" s="197"/>
      <c r="I233" s="197"/>
      <c r="J233" s="238"/>
      <c r="K233" s="239"/>
      <c r="L233" s="240">
        <v>1</v>
      </c>
      <c r="M233" s="241"/>
      <c r="N233" s="317"/>
      <c r="P233" s="171"/>
      <c r="R233" s="250" t="e">
        <f>VLOOKUP(C233,#REF!,3,0)</f>
        <v>#REF!</v>
      </c>
      <c r="S233" s="265" t="e">
        <f>VLOOKUP(R233,$I:$L,2,0)</f>
        <v>#REF!</v>
      </c>
    </row>
    <row r="234" s="161" customFormat="1" ht="24" customHeight="1" spans="1:19">
      <c r="A234" s="198"/>
      <c r="B234" s="199"/>
      <c r="C234" s="192" t="s">
        <v>1132</v>
      </c>
      <c r="D234" s="193" t="s">
        <v>1040</v>
      </c>
      <c r="E234" s="306"/>
      <c r="F234" s="307"/>
      <c r="G234" s="196">
        <v>4.06</v>
      </c>
      <c r="H234" s="197"/>
      <c r="I234" s="197"/>
      <c r="J234" s="238"/>
      <c r="K234" s="239"/>
      <c r="L234" s="240">
        <v>1</v>
      </c>
      <c r="M234" s="241"/>
      <c r="N234" s="317"/>
      <c r="P234" s="171"/>
      <c r="R234" s="250" t="e">
        <f>VLOOKUP(C234,#REF!,3,0)</f>
        <v>#REF!</v>
      </c>
      <c r="S234" s="265" t="e">
        <f>VLOOKUP(R234,$I:$L,2,0)</f>
        <v>#REF!</v>
      </c>
    </row>
    <row r="235" s="161" customFormat="1" ht="24" customHeight="1" spans="1:19">
      <c r="A235" s="198"/>
      <c r="B235" s="199"/>
      <c r="C235" s="192" t="s">
        <v>1133</v>
      </c>
      <c r="D235" s="193" t="s">
        <v>1040</v>
      </c>
      <c r="E235" s="306"/>
      <c r="F235" s="307"/>
      <c r="G235" s="196">
        <v>64.63</v>
      </c>
      <c r="H235" s="197"/>
      <c r="I235" s="197"/>
      <c r="J235" s="238"/>
      <c r="K235" s="239"/>
      <c r="L235" s="240">
        <v>1</v>
      </c>
      <c r="M235" s="241"/>
      <c r="N235" s="317"/>
      <c r="P235" s="171"/>
      <c r="R235" s="250" t="e">
        <f>VLOOKUP(C235,#REF!,3,0)</f>
        <v>#REF!</v>
      </c>
      <c r="S235" s="265" t="e">
        <f>VLOOKUP(R235,$I:$L,2,0)</f>
        <v>#REF!</v>
      </c>
    </row>
    <row r="236" s="161" customFormat="1" ht="24" customHeight="1" spans="1:19">
      <c r="A236" s="198"/>
      <c r="B236" s="199"/>
      <c r="C236" s="192" t="s">
        <v>1134</v>
      </c>
      <c r="D236" s="193" t="s">
        <v>1040</v>
      </c>
      <c r="E236" s="306"/>
      <c r="F236" s="307"/>
      <c r="G236" s="196">
        <v>7.66</v>
      </c>
      <c r="H236" s="197"/>
      <c r="I236" s="197"/>
      <c r="J236" s="238"/>
      <c r="K236" s="239"/>
      <c r="L236" s="240">
        <v>1</v>
      </c>
      <c r="M236" s="241"/>
      <c r="N236" s="317"/>
      <c r="P236" s="171"/>
      <c r="R236" s="250" t="e">
        <f>VLOOKUP(C236,#REF!,3,0)</f>
        <v>#REF!</v>
      </c>
      <c r="S236" s="265" t="e">
        <f>VLOOKUP(R236,$I:$L,2,0)</f>
        <v>#REF!</v>
      </c>
    </row>
    <row r="237" s="161" customFormat="1" ht="24" customHeight="1" spans="1:19">
      <c r="A237" s="198"/>
      <c r="B237" s="199"/>
      <c r="C237" s="192" t="s">
        <v>1135</v>
      </c>
      <c r="D237" s="193" t="s">
        <v>1040</v>
      </c>
      <c r="E237" s="306"/>
      <c r="F237" s="307"/>
      <c r="G237" s="196">
        <v>14.24</v>
      </c>
      <c r="H237" s="197"/>
      <c r="I237" s="197"/>
      <c r="J237" s="238"/>
      <c r="K237" s="239"/>
      <c r="L237" s="240">
        <v>1</v>
      </c>
      <c r="M237" s="241"/>
      <c r="N237" s="317"/>
      <c r="P237" s="171"/>
      <c r="R237" s="250" t="e">
        <f>VLOOKUP(C237,#REF!,3,0)</f>
        <v>#REF!</v>
      </c>
      <c r="S237" s="265" t="e">
        <f>VLOOKUP(R237,$I:$L,2,0)</f>
        <v>#REF!</v>
      </c>
    </row>
    <row r="238" s="161" customFormat="1" ht="24" customHeight="1" spans="1:19">
      <c r="A238" s="198"/>
      <c r="B238" s="199"/>
      <c r="C238" s="192" t="s">
        <v>1136</v>
      </c>
      <c r="D238" s="193" t="s">
        <v>1040</v>
      </c>
      <c r="E238" s="306"/>
      <c r="F238" s="307"/>
      <c r="G238" s="196">
        <v>3.48</v>
      </c>
      <c r="H238" s="197"/>
      <c r="I238" s="197"/>
      <c r="J238" s="238"/>
      <c r="K238" s="239"/>
      <c r="L238" s="240">
        <v>1</v>
      </c>
      <c r="M238" s="241"/>
      <c r="N238" s="317"/>
      <c r="P238" s="171"/>
      <c r="R238" s="250" t="e">
        <f>VLOOKUP(C238,#REF!,3,0)</f>
        <v>#REF!</v>
      </c>
      <c r="S238" s="265" t="e">
        <f>VLOOKUP(R238,$I:$L,2,0)</f>
        <v>#REF!</v>
      </c>
    </row>
    <row r="239" s="161" customFormat="1" ht="24" customHeight="1" spans="1:19">
      <c r="A239" s="198"/>
      <c r="B239" s="199"/>
      <c r="C239" s="192" t="s">
        <v>1137</v>
      </c>
      <c r="D239" s="193" t="s">
        <v>1040</v>
      </c>
      <c r="E239" s="306"/>
      <c r="F239" s="307"/>
      <c r="G239" s="196">
        <v>24.49</v>
      </c>
      <c r="H239" s="197"/>
      <c r="I239" s="197"/>
      <c r="J239" s="238"/>
      <c r="K239" s="239"/>
      <c r="L239" s="240">
        <v>1</v>
      </c>
      <c r="M239" s="241"/>
      <c r="N239" s="317"/>
      <c r="P239" s="171"/>
      <c r="R239" s="250" t="e">
        <f>VLOOKUP(C239,#REF!,3,0)</f>
        <v>#REF!</v>
      </c>
      <c r="S239" s="265" t="e">
        <f>VLOOKUP(R239,$I:$L,2,0)</f>
        <v>#REF!</v>
      </c>
    </row>
    <row r="240" s="161" customFormat="1" ht="24" customHeight="1" spans="1:19">
      <c r="A240" s="198"/>
      <c r="B240" s="199"/>
      <c r="C240" s="192" t="s">
        <v>1138</v>
      </c>
      <c r="D240" s="193" t="s">
        <v>1040</v>
      </c>
      <c r="E240" s="306"/>
      <c r="F240" s="307"/>
      <c r="G240" s="196">
        <v>4.47</v>
      </c>
      <c r="H240" s="197"/>
      <c r="I240" s="197"/>
      <c r="J240" s="238"/>
      <c r="K240" s="239"/>
      <c r="L240" s="240">
        <v>1</v>
      </c>
      <c r="M240" s="241"/>
      <c r="N240" s="317"/>
      <c r="P240" s="171"/>
      <c r="R240" s="250" t="e">
        <f>VLOOKUP(C240,#REF!,3,0)</f>
        <v>#REF!</v>
      </c>
      <c r="S240" s="265" t="e">
        <f>VLOOKUP(R240,$I:$L,2,0)</f>
        <v>#REF!</v>
      </c>
    </row>
    <row r="241" s="161" customFormat="1" ht="24" customHeight="1" spans="1:19">
      <c r="A241" s="198"/>
      <c r="B241" s="199"/>
      <c r="C241" s="192" t="s">
        <v>1139</v>
      </c>
      <c r="D241" s="193" t="s">
        <v>1040</v>
      </c>
      <c r="E241" s="306"/>
      <c r="F241" s="307"/>
      <c r="G241" s="196">
        <v>5.87</v>
      </c>
      <c r="H241" s="197"/>
      <c r="I241" s="197"/>
      <c r="J241" s="238"/>
      <c r="K241" s="239"/>
      <c r="L241" s="240">
        <v>1</v>
      </c>
      <c r="M241" s="241"/>
      <c r="N241" s="317"/>
      <c r="P241" s="171"/>
      <c r="R241" s="250" t="e">
        <f>VLOOKUP(C241,#REF!,3,0)</f>
        <v>#REF!</v>
      </c>
      <c r="S241" s="265" t="e">
        <f>VLOOKUP(R241,$I:$L,2,0)</f>
        <v>#REF!</v>
      </c>
    </row>
    <row r="242" s="161" customFormat="1" ht="24" customHeight="1" spans="1:19">
      <c r="A242" s="198"/>
      <c r="B242" s="199"/>
      <c r="C242" s="192" t="s">
        <v>1140</v>
      </c>
      <c r="D242" s="193" t="s">
        <v>1040</v>
      </c>
      <c r="E242" s="306"/>
      <c r="F242" s="307"/>
      <c r="G242" s="196">
        <v>5.28</v>
      </c>
      <c r="H242" s="197"/>
      <c r="I242" s="197"/>
      <c r="J242" s="238"/>
      <c r="K242" s="239"/>
      <c r="L242" s="240">
        <v>1</v>
      </c>
      <c r="M242" s="241"/>
      <c r="N242" s="317"/>
      <c r="P242" s="171"/>
      <c r="R242" s="250" t="e">
        <f>VLOOKUP(C242,#REF!,3,0)</f>
        <v>#REF!</v>
      </c>
      <c r="S242" s="265" t="e">
        <f>VLOOKUP(R242,$I:$L,2,0)</f>
        <v>#REF!</v>
      </c>
    </row>
    <row r="243" s="161" customFormat="1" ht="24" customHeight="1" spans="1:19">
      <c r="A243" s="198"/>
      <c r="B243" s="199"/>
      <c r="C243" s="192" t="s">
        <v>1141</v>
      </c>
      <c r="D243" s="193" t="s">
        <v>1040</v>
      </c>
      <c r="E243" s="306"/>
      <c r="F243" s="307"/>
      <c r="G243" s="196">
        <v>11.19</v>
      </c>
      <c r="H243" s="197"/>
      <c r="I243" s="197"/>
      <c r="J243" s="238"/>
      <c r="K243" s="239"/>
      <c r="L243" s="240">
        <v>1</v>
      </c>
      <c r="M243" s="241"/>
      <c r="N243" s="317"/>
      <c r="P243" s="171"/>
      <c r="R243" s="250" t="e">
        <f>VLOOKUP(C243,#REF!,3,0)</f>
        <v>#REF!</v>
      </c>
      <c r="S243" s="265" t="e">
        <f>VLOOKUP(R243,$I:$L,2,0)</f>
        <v>#REF!</v>
      </c>
    </row>
    <row r="244" s="161" customFormat="1" ht="24" customHeight="1" spans="1:19">
      <c r="A244" s="198"/>
      <c r="B244" s="199"/>
      <c r="C244" s="192" t="s">
        <v>1142</v>
      </c>
      <c r="D244" s="193" t="s">
        <v>1040</v>
      </c>
      <c r="E244" s="306"/>
      <c r="F244" s="307"/>
      <c r="G244" s="196">
        <v>18.88</v>
      </c>
      <c r="H244" s="197"/>
      <c r="I244" s="197"/>
      <c r="J244" s="238"/>
      <c r="K244" s="239"/>
      <c r="L244" s="240">
        <v>1</v>
      </c>
      <c r="M244" s="241"/>
      <c r="N244" s="317"/>
      <c r="P244" s="171"/>
      <c r="R244" s="250" t="e">
        <f>VLOOKUP(C244,#REF!,3,0)</f>
        <v>#REF!</v>
      </c>
      <c r="S244" s="265" t="e">
        <f>VLOOKUP(R244,$I:$L,2,0)</f>
        <v>#REF!</v>
      </c>
    </row>
    <row r="245" s="161" customFormat="1" ht="24" customHeight="1" spans="1:19">
      <c r="A245" s="198"/>
      <c r="B245" s="199"/>
      <c r="C245" s="192" t="s">
        <v>1143</v>
      </c>
      <c r="D245" s="193" t="s">
        <v>1040</v>
      </c>
      <c r="E245" s="306"/>
      <c r="F245" s="307"/>
      <c r="G245" s="196">
        <v>30.04</v>
      </c>
      <c r="H245" s="197"/>
      <c r="I245" s="197"/>
      <c r="J245" s="238"/>
      <c r="K245" s="239"/>
      <c r="L245" s="240">
        <v>1</v>
      </c>
      <c r="M245" s="241"/>
      <c r="N245" s="317"/>
      <c r="P245" s="171"/>
      <c r="R245" s="250" t="e">
        <f>VLOOKUP(C245,#REF!,3,0)</f>
        <v>#REF!</v>
      </c>
      <c r="S245" s="265" t="e">
        <f>VLOOKUP(R245,$I:$L,2,0)</f>
        <v>#REF!</v>
      </c>
    </row>
    <row r="246" s="161" customFormat="1" ht="24" customHeight="1" spans="1:19">
      <c r="A246" s="198"/>
      <c r="B246" s="199"/>
      <c r="C246" s="192" t="s">
        <v>1144</v>
      </c>
      <c r="D246" s="193" t="s">
        <v>1040</v>
      </c>
      <c r="E246" s="306"/>
      <c r="F246" s="307"/>
      <c r="G246" s="196">
        <v>92.19</v>
      </c>
      <c r="H246" s="197"/>
      <c r="I246" s="197"/>
      <c r="J246" s="238"/>
      <c r="K246" s="239"/>
      <c r="L246" s="240">
        <v>1</v>
      </c>
      <c r="M246" s="241"/>
      <c r="N246" s="317"/>
      <c r="P246" s="171"/>
      <c r="R246" s="250" t="e">
        <f>VLOOKUP(C246,#REF!,3,0)</f>
        <v>#REF!</v>
      </c>
      <c r="S246" s="265" t="e">
        <f>VLOOKUP(R246,$I:$L,2,0)</f>
        <v>#REF!</v>
      </c>
    </row>
    <row r="247" s="161" customFormat="1" ht="24" customHeight="1" spans="1:19">
      <c r="A247" s="198"/>
      <c r="B247" s="199"/>
      <c r="C247" s="192" t="s">
        <v>1145</v>
      </c>
      <c r="D247" s="193" t="s">
        <v>1040</v>
      </c>
      <c r="E247" s="306"/>
      <c r="F247" s="307"/>
      <c r="G247" s="196">
        <v>10.8</v>
      </c>
      <c r="H247" s="197"/>
      <c r="I247" s="197"/>
      <c r="J247" s="238"/>
      <c r="K247" s="239"/>
      <c r="L247" s="240">
        <v>1</v>
      </c>
      <c r="M247" s="241"/>
      <c r="N247" s="317"/>
      <c r="P247" s="171"/>
      <c r="R247" s="250" t="e">
        <f>VLOOKUP(C247,#REF!,3,0)</f>
        <v>#REF!</v>
      </c>
      <c r="S247" s="265" t="e">
        <f>VLOOKUP(R247,$I:$L,2,0)</f>
        <v>#REF!</v>
      </c>
    </row>
    <row r="248" s="161" customFormat="1" ht="24" customHeight="1" spans="1:19">
      <c r="A248" s="198"/>
      <c r="B248" s="199"/>
      <c r="C248" s="192" t="s">
        <v>1146</v>
      </c>
      <c r="D248" s="193" t="s">
        <v>845</v>
      </c>
      <c r="E248" s="306"/>
      <c r="F248" s="307"/>
      <c r="G248" s="196">
        <v>16</v>
      </c>
      <c r="H248" s="197" t="s">
        <v>845</v>
      </c>
      <c r="I248" s="197" t="s">
        <v>1146</v>
      </c>
      <c r="J248" s="238">
        <v>21</v>
      </c>
      <c r="K248" s="239">
        <v>1.12</v>
      </c>
      <c r="L248" s="240">
        <v>2</v>
      </c>
      <c r="M248" s="241"/>
      <c r="N248" s="317"/>
      <c r="P248" s="171"/>
      <c r="R248" s="250"/>
      <c r="S248" s="265"/>
    </row>
    <row r="249" s="161" customFormat="1" ht="24" customHeight="1" spans="1:19">
      <c r="A249" s="198"/>
      <c r="B249" s="199"/>
      <c r="C249" s="192" t="s">
        <v>1147</v>
      </c>
      <c r="D249" s="193" t="s">
        <v>845</v>
      </c>
      <c r="E249" s="306"/>
      <c r="F249" s="307"/>
      <c r="G249" s="196">
        <v>13.2</v>
      </c>
      <c r="H249" s="197" t="s">
        <v>845</v>
      </c>
      <c r="I249" s="197" t="s">
        <v>1147</v>
      </c>
      <c r="J249" s="238">
        <v>19</v>
      </c>
      <c r="K249" s="239">
        <v>1.12</v>
      </c>
      <c r="L249" s="240">
        <v>3.2</v>
      </c>
      <c r="M249" s="241"/>
      <c r="N249" s="317"/>
      <c r="P249" s="171"/>
      <c r="R249" s="250"/>
      <c r="S249" s="265"/>
    </row>
    <row r="250" s="161" customFormat="1" ht="24" customHeight="1" spans="1:19">
      <c r="A250" s="198"/>
      <c r="B250" s="199"/>
      <c r="C250" s="192" t="s">
        <v>771</v>
      </c>
      <c r="D250" s="193" t="s">
        <v>845</v>
      </c>
      <c r="E250" s="306"/>
      <c r="F250" s="307"/>
      <c r="G250" s="196">
        <v>10.58</v>
      </c>
      <c r="H250" s="197" t="s">
        <v>845</v>
      </c>
      <c r="I250" s="192" t="s">
        <v>771</v>
      </c>
      <c r="J250" s="238">
        <v>18</v>
      </c>
      <c r="K250" s="239">
        <v>1.12</v>
      </c>
      <c r="L250" s="240">
        <v>2</v>
      </c>
      <c r="M250" s="241"/>
      <c r="N250" s="317"/>
      <c r="P250" s="171"/>
      <c r="R250" s="250"/>
      <c r="S250" s="265"/>
    </row>
    <row r="251" s="161" customFormat="1" ht="24" customHeight="1" spans="1:19">
      <c r="A251" s="198"/>
      <c r="B251" s="199"/>
      <c r="C251" s="192" t="s">
        <v>772</v>
      </c>
      <c r="D251" s="193" t="s">
        <v>845</v>
      </c>
      <c r="E251" s="306"/>
      <c r="F251" s="307"/>
      <c r="G251" s="196">
        <v>10.58</v>
      </c>
      <c r="H251" s="197" t="s">
        <v>845</v>
      </c>
      <c r="I251" s="192" t="s">
        <v>772</v>
      </c>
      <c r="J251" s="238">
        <v>15</v>
      </c>
      <c r="K251" s="239">
        <v>1.12</v>
      </c>
      <c r="L251" s="240">
        <v>0.55</v>
      </c>
      <c r="M251" s="241"/>
      <c r="N251" s="317"/>
      <c r="P251" s="171"/>
      <c r="R251" s="250"/>
      <c r="S251" s="265"/>
    </row>
    <row r="252" s="161" customFormat="1" ht="24" customHeight="1" spans="1:19">
      <c r="A252" s="198"/>
      <c r="B252" s="199"/>
      <c r="C252" s="192" t="s">
        <v>755</v>
      </c>
      <c r="D252" s="193" t="s">
        <v>1040</v>
      </c>
      <c r="E252" s="306"/>
      <c r="F252" s="307"/>
      <c r="G252" s="196">
        <v>74</v>
      </c>
      <c r="H252" s="197"/>
      <c r="I252" s="197"/>
      <c r="J252" s="238"/>
      <c r="K252" s="239"/>
      <c r="L252" s="240">
        <v>5.5</v>
      </c>
      <c r="M252" s="241"/>
      <c r="N252" s="317"/>
      <c r="P252" s="171"/>
      <c r="R252" s="250" t="e">
        <f>VLOOKUP(C252,#REF!,3,0)</f>
        <v>#REF!</v>
      </c>
      <c r="S252" s="265" t="e">
        <f>VLOOKUP(R252,$I:$L,2,0)</f>
        <v>#REF!</v>
      </c>
    </row>
    <row r="253" s="161" customFormat="1" ht="24" customHeight="1" spans="1:19">
      <c r="A253" s="198"/>
      <c r="B253" s="199"/>
      <c r="C253" s="192" t="s">
        <v>746</v>
      </c>
      <c r="D253" s="193" t="s">
        <v>838</v>
      </c>
      <c r="E253" s="306"/>
      <c r="F253" s="307"/>
      <c r="G253" s="196">
        <v>50</v>
      </c>
      <c r="H253" s="197"/>
      <c r="I253" s="197"/>
      <c r="J253" s="238"/>
      <c r="K253" s="239"/>
      <c r="L253" s="240">
        <v>18.4</v>
      </c>
      <c r="M253" s="241"/>
      <c r="N253" s="317"/>
      <c r="P253" s="171"/>
      <c r="R253" s="250" t="e">
        <f>VLOOKUP(C253,#REF!,3,0)</f>
        <v>#REF!</v>
      </c>
      <c r="S253" s="265" t="e">
        <f>VLOOKUP(R253,$I:$L,2,0)</f>
        <v>#REF!</v>
      </c>
    </row>
    <row r="254" s="161" customFormat="1" ht="24" customHeight="1" spans="1:19">
      <c r="A254" s="198"/>
      <c r="B254" s="199"/>
      <c r="C254" s="192" t="s">
        <v>747</v>
      </c>
      <c r="D254" s="193" t="s">
        <v>838</v>
      </c>
      <c r="E254" s="306"/>
      <c r="F254" s="307"/>
      <c r="G254" s="196">
        <v>55</v>
      </c>
      <c r="H254" s="197"/>
      <c r="I254" s="197"/>
      <c r="J254" s="238"/>
      <c r="K254" s="239"/>
      <c r="L254" s="240">
        <v>5.8</v>
      </c>
      <c r="M254" s="241"/>
      <c r="N254" s="317"/>
      <c r="P254" s="171"/>
      <c r="R254" s="250" t="e">
        <f>VLOOKUP(C254,#REF!,3,0)</f>
        <v>#REF!</v>
      </c>
      <c r="S254" s="265" t="e">
        <f>VLOOKUP(R254,$I:$L,2,0)</f>
        <v>#REF!</v>
      </c>
    </row>
    <row r="255" s="161" customFormat="1" ht="24" customHeight="1" spans="1:19">
      <c r="A255" s="198"/>
      <c r="B255" s="199"/>
      <c r="C255" s="192" t="s">
        <v>748</v>
      </c>
      <c r="D255" s="193" t="s">
        <v>838</v>
      </c>
      <c r="E255" s="306"/>
      <c r="F255" s="307"/>
      <c r="G255" s="196">
        <v>60</v>
      </c>
      <c r="H255" s="197"/>
      <c r="I255" s="197"/>
      <c r="J255" s="238"/>
      <c r="K255" s="239"/>
      <c r="L255" s="240">
        <v>15.6</v>
      </c>
      <c r="M255" s="241"/>
      <c r="N255" s="317"/>
      <c r="P255" s="171"/>
      <c r="R255" s="250" t="e">
        <f>VLOOKUP(C255,#REF!,3,0)</f>
        <v>#REF!</v>
      </c>
      <c r="S255" s="265" t="e">
        <f>VLOOKUP(R255,$I:$L,2,0)</f>
        <v>#REF!</v>
      </c>
    </row>
    <row r="256" s="161" customFormat="1" ht="24" customHeight="1" spans="1:19">
      <c r="A256" s="209"/>
      <c r="B256" s="210"/>
      <c r="C256" s="271" t="s">
        <v>1148</v>
      </c>
      <c r="D256" s="213" t="s">
        <v>868</v>
      </c>
      <c r="E256" s="214">
        <v>610.2</v>
      </c>
      <c r="F256" s="195">
        <v>0.13</v>
      </c>
      <c r="G256" s="196">
        <f>E256/(1+F256)</f>
        <v>540</v>
      </c>
      <c r="H256" s="200" t="s">
        <v>845</v>
      </c>
      <c r="I256" s="197" t="s">
        <v>1149</v>
      </c>
      <c r="J256" s="238">
        <v>2.25</v>
      </c>
      <c r="K256" s="283">
        <v>1.03</v>
      </c>
      <c r="L256" s="240">
        <v>0.2</v>
      </c>
      <c r="M256" s="241"/>
      <c r="N256" s="317"/>
      <c r="P256" s="171"/>
      <c r="R256" s="250"/>
      <c r="S256" s="265"/>
    </row>
    <row r="257" s="161" customFormat="1" ht="24" customHeight="1" spans="1:19">
      <c r="A257" s="319" t="s">
        <v>1150</v>
      </c>
      <c r="B257" s="212" t="s">
        <v>1151</v>
      </c>
      <c r="C257" s="203" t="s">
        <v>1152</v>
      </c>
      <c r="D257" s="213" t="s">
        <v>868</v>
      </c>
      <c r="E257" s="214">
        <v>0</v>
      </c>
      <c r="F257" s="215">
        <v>0.09</v>
      </c>
      <c r="G257" s="207">
        <f t="shared" ref="G257:G270" si="9">E257/(1+F257)</f>
        <v>0</v>
      </c>
      <c r="H257" s="216" t="s">
        <v>868</v>
      </c>
      <c r="I257" s="212"/>
      <c r="J257" s="245">
        <v>0.5</v>
      </c>
      <c r="K257" s="332">
        <v>1</v>
      </c>
      <c r="L257" s="247">
        <v>4</v>
      </c>
      <c r="M257" s="241"/>
      <c r="N257" s="333"/>
      <c r="P257" s="171"/>
      <c r="R257" s="250"/>
      <c r="S257" s="265"/>
    </row>
    <row r="258" s="161" customFormat="1" ht="24" customHeight="1" spans="1:19">
      <c r="A258" s="319"/>
      <c r="B258" s="212"/>
      <c r="C258" s="203" t="s">
        <v>1036</v>
      </c>
      <c r="D258" s="213" t="s">
        <v>868</v>
      </c>
      <c r="E258" s="214">
        <f>E143</f>
        <v>62.15</v>
      </c>
      <c r="F258" s="206">
        <f>F143</f>
        <v>0.13</v>
      </c>
      <c r="G258" s="207">
        <f t="shared" si="9"/>
        <v>55</v>
      </c>
      <c r="H258" s="216" t="s">
        <v>868</v>
      </c>
      <c r="I258" s="212"/>
      <c r="J258" s="245">
        <v>15.21</v>
      </c>
      <c r="K258" s="332">
        <v>1</v>
      </c>
      <c r="L258" s="247">
        <v>23.41</v>
      </c>
      <c r="M258" s="241"/>
      <c r="N258" s="333"/>
      <c r="P258" s="171"/>
      <c r="R258" s="250" t="e">
        <f>VLOOKUP(C258,#REF!,3,0)</f>
        <v>#REF!</v>
      </c>
      <c r="S258" s="265" t="e">
        <f>VLOOKUP(R258,$I:$L,2,0)</f>
        <v>#REF!</v>
      </c>
    </row>
    <row r="259" s="161" customFormat="1" ht="24" customHeight="1" spans="1:19">
      <c r="A259" s="319"/>
      <c r="B259" s="212"/>
      <c r="C259" s="203" t="s">
        <v>1153</v>
      </c>
      <c r="D259" s="213" t="s">
        <v>868</v>
      </c>
      <c r="E259" s="214">
        <f>E257</f>
        <v>0</v>
      </c>
      <c r="F259" s="206">
        <f>F257</f>
        <v>0.09</v>
      </c>
      <c r="G259" s="207">
        <f t="shared" si="9"/>
        <v>0</v>
      </c>
      <c r="H259" s="216" t="s">
        <v>868</v>
      </c>
      <c r="I259" s="212"/>
      <c r="J259" s="245">
        <v>0.3</v>
      </c>
      <c r="K259" s="332">
        <v>1</v>
      </c>
      <c r="L259" s="247">
        <v>2.5</v>
      </c>
      <c r="M259" s="241"/>
      <c r="N259" s="333"/>
      <c r="P259" s="171"/>
      <c r="R259" s="250"/>
      <c r="S259" s="265"/>
    </row>
    <row r="260" s="161" customFormat="1" ht="24" customHeight="1" spans="1:19">
      <c r="A260" s="319"/>
      <c r="B260" s="212"/>
      <c r="C260" s="203" t="s">
        <v>1154</v>
      </c>
      <c r="D260" s="213" t="s">
        <v>1155</v>
      </c>
      <c r="E260" s="214">
        <v>0</v>
      </c>
      <c r="F260" s="215">
        <v>0</v>
      </c>
      <c r="G260" s="207">
        <f t="shared" si="9"/>
        <v>0</v>
      </c>
      <c r="H260" s="216" t="s">
        <v>1155</v>
      </c>
      <c r="I260" s="212"/>
      <c r="J260" s="245">
        <v>7.65</v>
      </c>
      <c r="K260" s="332">
        <v>1</v>
      </c>
      <c r="L260" s="247">
        <v>5.09</v>
      </c>
      <c r="M260" s="241"/>
      <c r="N260" s="333"/>
      <c r="P260" s="171"/>
      <c r="R260" s="250"/>
      <c r="S260" s="265"/>
    </row>
    <row r="261" s="161" customFormat="1" ht="24" customHeight="1" spans="1:19">
      <c r="A261" s="319"/>
      <c r="B261" s="212"/>
      <c r="C261" s="203" t="s">
        <v>1156</v>
      </c>
      <c r="D261" s="213" t="s">
        <v>1155</v>
      </c>
      <c r="E261" s="214"/>
      <c r="F261" s="215"/>
      <c r="G261" s="207"/>
      <c r="H261" s="216" t="s">
        <v>1155</v>
      </c>
      <c r="I261" s="203" t="s">
        <v>1156</v>
      </c>
      <c r="J261" s="214">
        <v>30</v>
      </c>
      <c r="K261" s="334">
        <v>1</v>
      </c>
      <c r="L261" s="247">
        <v>10</v>
      </c>
      <c r="M261" s="241"/>
      <c r="N261" s="333"/>
      <c r="P261" s="171"/>
      <c r="R261" s="250"/>
      <c r="S261" s="265"/>
    </row>
    <row r="262" s="161" customFormat="1" ht="24" customHeight="1" spans="1:19">
      <c r="A262" s="319"/>
      <c r="B262" s="212"/>
      <c r="C262" s="203" t="s">
        <v>252</v>
      </c>
      <c r="D262" s="213" t="s">
        <v>845</v>
      </c>
      <c r="E262" s="214">
        <v>0</v>
      </c>
      <c r="F262" s="215">
        <v>0</v>
      </c>
      <c r="G262" s="207">
        <f t="shared" si="9"/>
        <v>0</v>
      </c>
      <c r="H262" s="216" t="s">
        <v>845</v>
      </c>
      <c r="I262" s="212"/>
      <c r="J262" s="245">
        <v>1</v>
      </c>
      <c r="K262" s="332">
        <v>1</v>
      </c>
      <c r="L262" s="247">
        <v>1</v>
      </c>
      <c r="M262" s="241"/>
      <c r="N262" s="333"/>
      <c r="P262" s="171"/>
      <c r="R262" s="250" t="e">
        <f>VLOOKUP(C262,#REF!,3,0)</f>
        <v>#REF!</v>
      </c>
      <c r="S262" s="265" t="e">
        <f>VLOOKUP(R262,$I:$L,2,0)</f>
        <v>#REF!</v>
      </c>
    </row>
    <row r="263" s="161" customFormat="1" ht="24" customHeight="1" spans="1:19">
      <c r="A263" s="319"/>
      <c r="B263" s="212"/>
      <c r="C263" s="203" t="s">
        <v>1157</v>
      </c>
      <c r="D263" s="213" t="s">
        <v>868</v>
      </c>
      <c r="E263" s="214">
        <v>0</v>
      </c>
      <c r="F263" s="215">
        <v>0</v>
      </c>
      <c r="G263" s="207">
        <f t="shared" si="9"/>
        <v>0</v>
      </c>
      <c r="H263" s="216" t="s">
        <v>868</v>
      </c>
      <c r="I263" s="212"/>
      <c r="J263" s="245">
        <v>9.06</v>
      </c>
      <c r="K263" s="332">
        <v>1</v>
      </c>
      <c r="L263" s="247">
        <v>1.06</v>
      </c>
      <c r="M263" s="241"/>
      <c r="N263" s="333"/>
      <c r="P263" s="171"/>
      <c r="R263" s="250"/>
      <c r="S263" s="265"/>
    </row>
    <row r="264" s="161" customFormat="1" ht="24" customHeight="1" spans="1:19">
      <c r="A264" s="319"/>
      <c r="B264" s="212" t="s">
        <v>1158</v>
      </c>
      <c r="C264" s="203" t="s">
        <v>1159</v>
      </c>
      <c r="D264" s="213" t="s">
        <v>868</v>
      </c>
      <c r="E264" s="214">
        <f>E50</f>
        <v>330</v>
      </c>
      <c r="F264" s="206">
        <f>F50</f>
        <v>0.03</v>
      </c>
      <c r="G264" s="207">
        <f t="shared" si="9"/>
        <v>320.388349514563</v>
      </c>
      <c r="H264" s="216" t="s">
        <v>868</v>
      </c>
      <c r="I264" s="212"/>
      <c r="J264" s="245">
        <v>150</v>
      </c>
      <c r="K264" s="332">
        <v>1.03</v>
      </c>
      <c r="L264" s="247">
        <v>150</v>
      </c>
      <c r="M264" s="241"/>
      <c r="N264" s="333"/>
      <c r="P264" s="171"/>
      <c r="R264" s="250"/>
      <c r="S264" s="265"/>
    </row>
    <row r="265" s="161" customFormat="1" ht="24" customHeight="1" spans="1:19">
      <c r="A265" s="319"/>
      <c r="B265" s="212"/>
      <c r="C265" s="203" t="s">
        <v>1160</v>
      </c>
      <c r="D265" s="213" t="s">
        <v>845</v>
      </c>
      <c r="E265" s="214">
        <f>E22</f>
        <v>11.922291</v>
      </c>
      <c r="F265" s="206">
        <f>F51</f>
        <v>0.03</v>
      </c>
      <c r="G265" s="207">
        <f t="shared" si="9"/>
        <v>11.5750398058252</v>
      </c>
      <c r="H265" s="216" t="s">
        <v>845</v>
      </c>
      <c r="I265" s="212"/>
      <c r="J265" s="245">
        <v>3.2</v>
      </c>
      <c r="K265" s="332">
        <v>1</v>
      </c>
      <c r="L265" s="247">
        <v>1</v>
      </c>
      <c r="M265" s="241"/>
      <c r="N265" s="333"/>
      <c r="P265" s="171"/>
      <c r="R265" s="250"/>
      <c r="S265" s="265"/>
    </row>
    <row r="266" s="161" customFormat="1" ht="24" customHeight="1" spans="1:19">
      <c r="A266" s="319"/>
      <c r="B266" s="212"/>
      <c r="C266" s="203" t="s">
        <v>1161</v>
      </c>
      <c r="D266" s="213" t="s">
        <v>845</v>
      </c>
      <c r="E266" s="214">
        <v>18.2095</v>
      </c>
      <c r="F266" s="215">
        <v>0.13</v>
      </c>
      <c r="G266" s="207">
        <f t="shared" si="9"/>
        <v>16.1146017699115</v>
      </c>
      <c r="H266" s="216" t="s">
        <v>845</v>
      </c>
      <c r="I266" s="212"/>
      <c r="J266" s="245">
        <f>J4*3.95/1000</f>
        <v>4.74</v>
      </c>
      <c r="K266" s="332">
        <v>1</v>
      </c>
      <c r="L266" s="247">
        <v>1</v>
      </c>
      <c r="M266" s="241"/>
      <c r="N266" s="333"/>
      <c r="P266" s="171"/>
      <c r="R266" s="250"/>
      <c r="S266" s="265"/>
    </row>
    <row r="267" s="161" customFormat="1" ht="24" customHeight="1" spans="1:19">
      <c r="A267" s="319"/>
      <c r="B267" s="212"/>
      <c r="C267" s="203" t="s">
        <v>1162</v>
      </c>
      <c r="D267" s="213" t="s">
        <v>1040</v>
      </c>
      <c r="E267" s="214">
        <v>11.3</v>
      </c>
      <c r="F267" s="215">
        <v>0.13</v>
      </c>
      <c r="G267" s="207">
        <f t="shared" si="9"/>
        <v>10</v>
      </c>
      <c r="H267" s="216" t="s">
        <v>1040</v>
      </c>
      <c r="I267" s="212"/>
      <c r="J267" s="245">
        <v>17</v>
      </c>
      <c r="K267" s="332">
        <v>1</v>
      </c>
      <c r="L267" s="247">
        <v>59</v>
      </c>
      <c r="M267" s="241"/>
      <c r="N267" s="333"/>
      <c r="P267" s="171"/>
      <c r="R267" s="250"/>
      <c r="S267" s="265"/>
    </row>
    <row r="268" s="161" customFormat="1" ht="24" customHeight="1" spans="1:19">
      <c r="A268" s="319"/>
      <c r="B268" s="212"/>
      <c r="C268" s="203" t="s">
        <v>1163</v>
      </c>
      <c r="D268" s="213" t="s">
        <v>1040</v>
      </c>
      <c r="E268" s="214">
        <v>20.34</v>
      </c>
      <c r="F268" s="215">
        <v>0.13</v>
      </c>
      <c r="G268" s="207">
        <f t="shared" si="9"/>
        <v>18</v>
      </c>
      <c r="H268" s="216" t="s">
        <v>1040</v>
      </c>
      <c r="I268" s="212"/>
      <c r="J268" s="245">
        <v>17</v>
      </c>
      <c r="K268" s="332">
        <v>1</v>
      </c>
      <c r="L268" s="247">
        <v>59</v>
      </c>
      <c r="M268" s="241"/>
      <c r="N268" s="333"/>
      <c r="P268" s="171"/>
      <c r="R268" s="250"/>
      <c r="S268" s="265"/>
    </row>
    <row r="269" s="161" customFormat="1" ht="24" customHeight="1" spans="1:19">
      <c r="A269" s="319"/>
      <c r="B269" s="212"/>
      <c r="C269" s="203" t="s">
        <v>1164</v>
      </c>
      <c r="D269" s="213" t="s">
        <v>1040</v>
      </c>
      <c r="E269" s="214">
        <v>28.25</v>
      </c>
      <c r="F269" s="215">
        <v>0.13</v>
      </c>
      <c r="G269" s="207">
        <f t="shared" si="9"/>
        <v>25</v>
      </c>
      <c r="H269" s="216" t="s">
        <v>1040</v>
      </c>
      <c r="I269" s="212"/>
      <c r="J269" s="245">
        <v>17</v>
      </c>
      <c r="K269" s="332">
        <v>1</v>
      </c>
      <c r="L269" s="247">
        <v>59</v>
      </c>
      <c r="M269" s="241"/>
      <c r="N269" s="333"/>
      <c r="P269" s="171"/>
      <c r="R269" s="250"/>
      <c r="S269" s="265"/>
    </row>
    <row r="270" s="161" customFormat="1" ht="24" customHeight="1" spans="1:19">
      <c r="A270" s="319"/>
      <c r="B270" s="212"/>
      <c r="C270" s="203" t="s">
        <v>1165</v>
      </c>
      <c r="D270" s="213" t="s">
        <v>868</v>
      </c>
      <c r="E270" s="214">
        <f t="shared" ref="E270:G270" si="10">E40</f>
        <v>610.2</v>
      </c>
      <c r="F270" s="206">
        <f t="shared" si="10"/>
        <v>0.13</v>
      </c>
      <c r="G270" s="207">
        <f t="shared" si="9"/>
        <v>540</v>
      </c>
      <c r="H270" s="216" t="s">
        <v>868</v>
      </c>
      <c r="I270" s="212"/>
      <c r="J270" s="245">
        <v>70</v>
      </c>
      <c r="K270" s="332">
        <v>1</v>
      </c>
      <c r="L270" s="247">
        <v>20</v>
      </c>
      <c r="M270" s="241"/>
      <c r="N270" s="333"/>
      <c r="P270" s="171"/>
      <c r="R270" s="250"/>
      <c r="S270" s="265"/>
    </row>
    <row r="271" s="161" customFormat="1" ht="24" customHeight="1" spans="1:19">
      <c r="A271" s="319"/>
      <c r="B271" s="212"/>
      <c r="C271" s="203" t="s">
        <v>1166</v>
      </c>
      <c r="D271" s="213" t="s">
        <v>1040</v>
      </c>
      <c r="E271" s="282"/>
      <c r="F271" s="281"/>
      <c r="G271" s="207">
        <v>2.1651376146789</v>
      </c>
      <c r="H271" s="216" t="s">
        <v>1040</v>
      </c>
      <c r="I271" s="212"/>
      <c r="J271" s="245">
        <v>0.321100917431193</v>
      </c>
      <c r="K271" s="332">
        <v>1.03</v>
      </c>
      <c r="L271" s="247">
        <v>0.34862385321101</v>
      </c>
      <c r="M271" s="241"/>
      <c r="N271" s="333"/>
      <c r="P271" s="171"/>
      <c r="R271" s="250"/>
      <c r="S271" s="265"/>
    </row>
    <row r="272" s="161" customFormat="1" ht="24" customHeight="1" spans="1:19">
      <c r="A272" s="319"/>
      <c r="B272" s="212"/>
      <c r="C272" s="203" t="s">
        <v>1167</v>
      </c>
      <c r="D272" s="213" t="s">
        <v>1040</v>
      </c>
      <c r="E272" s="282"/>
      <c r="F272" s="281"/>
      <c r="G272" s="207">
        <v>10.4</v>
      </c>
      <c r="H272" s="216" t="s">
        <v>1040</v>
      </c>
      <c r="I272" s="212"/>
      <c r="J272" s="245">
        <v>10</v>
      </c>
      <c r="K272" s="332">
        <v>1</v>
      </c>
      <c r="L272" s="247">
        <v>28</v>
      </c>
      <c r="M272" s="241"/>
      <c r="N272" s="333"/>
      <c r="P272" s="171"/>
      <c r="R272" s="250"/>
      <c r="S272" s="265"/>
    </row>
    <row r="273" s="161" customFormat="1" ht="24" customHeight="1" spans="1:19">
      <c r="A273" s="319"/>
      <c r="B273" s="212"/>
      <c r="C273" s="203" t="s">
        <v>1168</v>
      </c>
      <c r="D273" s="213" t="s">
        <v>1040</v>
      </c>
      <c r="E273" s="282"/>
      <c r="F273" s="281"/>
      <c r="G273" s="207">
        <v>13.6</v>
      </c>
      <c r="H273" s="216" t="s">
        <v>1040</v>
      </c>
      <c r="I273" s="212"/>
      <c r="J273" s="245">
        <v>10</v>
      </c>
      <c r="K273" s="332">
        <v>1</v>
      </c>
      <c r="L273" s="247">
        <v>28</v>
      </c>
      <c r="M273" s="241"/>
      <c r="N273" s="333"/>
      <c r="P273" s="171"/>
      <c r="R273" s="250"/>
      <c r="S273" s="265"/>
    </row>
    <row r="274" s="161" customFormat="1" ht="24" customHeight="1" spans="1:19">
      <c r="A274" s="319"/>
      <c r="B274" s="212"/>
      <c r="C274" s="203" t="s">
        <v>1169</v>
      </c>
      <c r="D274" s="213" t="s">
        <v>1040</v>
      </c>
      <c r="E274" s="282"/>
      <c r="F274" s="281"/>
      <c r="G274" s="207">
        <v>16.8</v>
      </c>
      <c r="H274" s="216" t="s">
        <v>1040</v>
      </c>
      <c r="I274" s="212"/>
      <c r="J274" s="245">
        <v>10</v>
      </c>
      <c r="K274" s="332">
        <v>1</v>
      </c>
      <c r="L274" s="247">
        <v>28</v>
      </c>
      <c r="M274" s="241"/>
      <c r="N274" s="333"/>
      <c r="P274" s="171"/>
      <c r="R274" s="250"/>
      <c r="S274" s="265"/>
    </row>
    <row r="275" s="161" customFormat="1" ht="24" customHeight="1" spans="1:19">
      <c r="A275" s="319"/>
      <c r="B275" s="212"/>
      <c r="C275" s="203" t="s">
        <v>1170</v>
      </c>
      <c r="D275" s="213" t="s">
        <v>1040</v>
      </c>
      <c r="E275" s="282"/>
      <c r="F275" s="281"/>
      <c r="G275" s="207">
        <v>20.3</v>
      </c>
      <c r="H275" s="216" t="s">
        <v>1040</v>
      </c>
      <c r="I275" s="212"/>
      <c r="J275" s="245">
        <v>10</v>
      </c>
      <c r="K275" s="332">
        <v>1</v>
      </c>
      <c r="L275" s="247">
        <v>28</v>
      </c>
      <c r="M275" s="241"/>
      <c r="N275" s="333"/>
      <c r="P275" s="171"/>
      <c r="R275" s="250"/>
      <c r="S275" s="265"/>
    </row>
    <row r="276" s="161" customFormat="1" ht="24" customHeight="1" spans="1:19">
      <c r="A276" s="319"/>
      <c r="B276" s="212"/>
      <c r="C276" s="203" t="s">
        <v>1171</v>
      </c>
      <c r="D276" s="213" t="s">
        <v>1040</v>
      </c>
      <c r="E276" s="282"/>
      <c r="F276" s="281"/>
      <c r="G276" s="207">
        <v>26.22</v>
      </c>
      <c r="H276" s="216" t="s">
        <v>1040</v>
      </c>
      <c r="I276" s="212"/>
      <c r="J276" s="245">
        <v>10</v>
      </c>
      <c r="K276" s="332">
        <v>1</v>
      </c>
      <c r="L276" s="247">
        <v>28</v>
      </c>
      <c r="M276" s="241"/>
      <c r="N276" s="333"/>
      <c r="P276" s="171"/>
      <c r="R276" s="250"/>
      <c r="S276" s="265"/>
    </row>
    <row r="277" s="161" customFormat="1" ht="24" customHeight="1" spans="1:19">
      <c r="A277" s="319"/>
      <c r="B277" s="212"/>
      <c r="C277" s="203" t="s">
        <v>1172</v>
      </c>
      <c r="D277" s="213" t="s">
        <v>868</v>
      </c>
      <c r="E277" s="282"/>
      <c r="F277" s="281"/>
      <c r="G277" s="207">
        <v>660</v>
      </c>
      <c r="H277" s="216" t="s">
        <v>868</v>
      </c>
      <c r="I277" s="212"/>
      <c r="J277" s="245">
        <v>180</v>
      </c>
      <c r="K277" s="332">
        <v>1.03</v>
      </c>
      <c r="L277" s="247">
        <v>160</v>
      </c>
      <c r="M277" s="241"/>
      <c r="N277" s="333"/>
      <c r="P277" s="171"/>
      <c r="R277" s="250"/>
      <c r="S277" s="265"/>
    </row>
    <row r="278" s="161" customFormat="1" ht="24" customHeight="1" spans="1:19">
      <c r="A278" s="319"/>
      <c r="B278" s="212"/>
      <c r="C278" s="203" t="s">
        <v>1173</v>
      </c>
      <c r="D278" s="213" t="s">
        <v>868</v>
      </c>
      <c r="E278" s="282"/>
      <c r="F278" s="281"/>
      <c r="G278" s="207">
        <v>940</v>
      </c>
      <c r="H278" s="216" t="s">
        <v>868</v>
      </c>
      <c r="I278" s="212"/>
      <c r="J278" s="245">
        <v>70</v>
      </c>
      <c r="K278" s="332">
        <v>1.1</v>
      </c>
      <c r="L278" s="247">
        <v>265</v>
      </c>
      <c r="M278" s="241"/>
      <c r="N278" s="333"/>
      <c r="P278" s="171"/>
      <c r="R278" s="250"/>
      <c r="S278" s="265"/>
    </row>
    <row r="279" s="161" customFormat="1" ht="24" customHeight="1" spans="1:19">
      <c r="A279" s="319"/>
      <c r="B279" s="212"/>
      <c r="C279" s="203" t="s">
        <v>1174</v>
      </c>
      <c r="D279" s="213" t="s">
        <v>868</v>
      </c>
      <c r="E279" s="282"/>
      <c r="F279" s="281"/>
      <c r="G279" s="207">
        <v>360</v>
      </c>
      <c r="H279" s="216" t="s">
        <v>868</v>
      </c>
      <c r="I279" s="212"/>
      <c r="J279" s="245">
        <v>130</v>
      </c>
      <c r="K279" s="332">
        <v>1.01</v>
      </c>
      <c r="L279" s="247">
        <v>16</v>
      </c>
      <c r="M279" s="241"/>
      <c r="N279" s="333"/>
      <c r="P279" s="171"/>
      <c r="R279" s="250"/>
      <c r="S279" s="265"/>
    </row>
    <row r="280" s="161" customFormat="1" ht="24" customHeight="1" spans="1:19">
      <c r="A280" s="319"/>
      <c r="B280" s="212"/>
      <c r="C280" s="203" t="s">
        <v>1175</v>
      </c>
      <c r="D280" s="213" t="s">
        <v>838</v>
      </c>
      <c r="E280" s="282"/>
      <c r="F280" s="281"/>
      <c r="G280" s="207">
        <v>81.2201834862385</v>
      </c>
      <c r="H280" s="216" t="s">
        <v>838</v>
      </c>
      <c r="I280" s="212"/>
      <c r="J280" s="245">
        <v>76.9908256880734</v>
      </c>
      <c r="K280" s="332">
        <v>1</v>
      </c>
      <c r="L280" s="247">
        <v>69.9816513761469</v>
      </c>
      <c r="M280" s="241"/>
      <c r="N280" s="333"/>
      <c r="P280" s="171"/>
      <c r="R280" s="250"/>
      <c r="S280" s="265"/>
    </row>
    <row r="281" s="161" customFormat="1" ht="24" customHeight="1" spans="1:19">
      <c r="A281" s="319"/>
      <c r="B281" s="212"/>
      <c r="C281" s="203" t="s">
        <v>1176</v>
      </c>
      <c r="D281" s="213" t="s">
        <v>1040</v>
      </c>
      <c r="E281" s="282"/>
      <c r="F281" s="281"/>
      <c r="G281" s="207">
        <v>8.1</v>
      </c>
      <c r="H281" s="216" t="s">
        <v>1040</v>
      </c>
      <c r="I281" s="212"/>
      <c r="J281" s="245">
        <v>10</v>
      </c>
      <c r="K281" s="332">
        <v>1</v>
      </c>
      <c r="L281" s="247">
        <v>12</v>
      </c>
      <c r="M281" s="241"/>
      <c r="N281" s="333"/>
      <c r="P281" s="171"/>
      <c r="R281" s="250"/>
      <c r="S281" s="265"/>
    </row>
    <row r="282" s="161" customFormat="1" ht="24" customHeight="1" spans="1:19">
      <c r="A282" s="319"/>
      <c r="B282" s="212"/>
      <c r="C282" s="203" t="s">
        <v>1177</v>
      </c>
      <c r="D282" s="213" t="s">
        <v>1040</v>
      </c>
      <c r="E282" s="282"/>
      <c r="F282" s="281"/>
      <c r="G282" s="320">
        <v>15</v>
      </c>
      <c r="H282" s="216" t="s">
        <v>1040</v>
      </c>
      <c r="I282" s="212"/>
      <c r="J282" s="335">
        <v>6.5</v>
      </c>
      <c r="K282" s="332">
        <v>1</v>
      </c>
      <c r="L282" s="247">
        <v>8</v>
      </c>
      <c r="M282" s="241"/>
      <c r="N282" s="333"/>
      <c r="P282" s="171"/>
      <c r="R282" s="250"/>
      <c r="S282" s="265"/>
    </row>
    <row r="283" s="161" customFormat="1" ht="24" customHeight="1" spans="1:19">
      <c r="A283" s="319"/>
      <c r="B283" s="212"/>
      <c r="C283" s="203" t="s">
        <v>1178</v>
      </c>
      <c r="D283" s="213" t="s">
        <v>1040</v>
      </c>
      <c r="E283" s="282"/>
      <c r="F283" s="281"/>
      <c r="G283" s="207">
        <f>15*0.8*2</f>
        <v>24</v>
      </c>
      <c r="H283" s="221" t="s">
        <v>1040</v>
      </c>
      <c r="I283" s="219"/>
      <c r="J283" s="214">
        <f>6.5*1.6</f>
        <v>10.4</v>
      </c>
      <c r="K283" s="334">
        <v>1</v>
      </c>
      <c r="L283" s="247">
        <f>8*1.6</f>
        <v>12.8</v>
      </c>
      <c r="M283" s="241"/>
      <c r="N283" s="333"/>
      <c r="P283" s="171"/>
      <c r="R283" s="250"/>
      <c r="S283" s="265"/>
    </row>
    <row r="284" s="161" customFormat="1" ht="24" customHeight="1" spans="1:19">
      <c r="A284" s="319"/>
      <c r="B284" s="212"/>
      <c r="C284" s="203" t="s">
        <v>1179</v>
      </c>
      <c r="D284" s="213" t="s">
        <v>1040</v>
      </c>
      <c r="E284" s="282"/>
      <c r="F284" s="281"/>
      <c r="G284" s="207">
        <f>15*0.8*3</f>
        <v>36</v>
      </c>
      <c r="H284" s="221" t="s">
        <v>1040</v>
      </c>
      <c r="I284" s="219"/>
      <c r="J284" s="214">
        <f>6.5*2.4</f>
        <v>15.6</v>
      </c>
      <c r="K284" s="334">
        <v>1</v>
      </c>
      <c r="L284" s="247">
        <f>8*2.4</f>
        <v>19.2</v>
      </c>
      <c r="M284" s="241"/>
      <c r="N284" s="333"/>
      <c r="P284" s="171"/>
      <c r="R284" s="250"/>
      <c r="S284" s="265"/>
    </row>
    <row r="285" s="161" customFormat="1" ht="24" customHeight="1" spans="1:19">
      <c r="A285" s="319"/>
      <c r="B285" s="321" t="s">
        <v>1180</v>
      </c>
      <c r="C285" s="203" t="s">
        <v>1181</v>
      </c>
      <c r="D285" s="213" t="s">
        <v>845</v>
      </c>
      <c r="E285" s="282"/>
      <c r="F285" s="281"/>
      <c r="G285" s="207">
        <v>0</v>
      </c>
      <c r="H285" s="216" t="s">
        <v>845</v>
      </c>
      <c r="I285" s="212"/>
      <c r="J285" s="245">
        <v>0.5</v>
      </c>
      <c r="K285" s="332">
        <v>1</v>
      </c>
      <c r="L285" s="247">
        <v>0.5</v>
      </c>
      <c r="M285" s="241"/>
      <c r="N285" s="333"/>
      <c r="P285" s="171"/>
      <c r="R285" s="250"/>
      <c r="S285" s="265"/>
    </row>
    <row r="286" s="161" customFormat="1" ht="24" customHeight="1" spans="1:19">
      <c r="A286" s="319"/>
      <c r="B286" s="321"/>
      <c r="C286" s="203" t="s">
        <v>1182</v>
      </c>
      <c r="D286" s="213" t="s">
        <v>868</v>
      </c>
      <c r="E286" s="282"/>
      <c r="F286" s="281"/>
      <c r="G286" s="207">
        <v>0</v>
      </c>
      <c r="H286" s="216" t="s">
        <v>868</v>
      </c>
      <c r="I286" s="212"/>
      <c r="J286" s="245">
        <v>1</v>
      </c>
      <c r="K286" s="332">
        <v>1</v>
      </c>
      <c r="L286" s="247">
        <v>3</v>
      </c>
      <c r="M286" s="241"/>
      <c r="N286" s="333"/>
      <c r="P286" s="171"/>
      <c r="R286" s="250"/>
      <c r="S286" s="265"/>
    </row>
    <row r="287" s="161" customFormat="1" ht="24" customHeight="1" spans="1:19">
      <c r="A287" s="319"/>
      <c r="B287" s="321"/>
      <c r="C287" s="203" t="s">
        <v>1183</v>
      </c>
      <c r="D287" s="213" t="s">
        <v>868</v>
      </c>
      <c r="E287" s="282"/>
      <c r="F287" s="281"/>
      <c r="G287" s="207">
        <v>0</v>
      </c>
      <c r="H287" s="216" t="s">
        <v>868</v>
      </c>
      <c r="I287" s="212"/>
      <c r="J287" s="245">
        <v>0.3</v>
      </c>
      <c r="K287" s="332">
        <v>1</v>
      </c>
      <c r="L287" s="247">
        <v>2.5</v>
      </c>
      <c r="M287" s="241"/>
      <c r="N287" s="333"/>
      <c r="P287" s="171"/>
      <c r="R287" s="250"/>
      <c r="S287" s="265"/>
    </row>
    <row r="288" s="161" customFormat="1" ht="24" customHeight="1" spans="1:19">
      <c r="A288" s="319"/>
      <c r="B288" s="321"/>
      <c r="C288" s="203" t="s">
        <v>1184</v>
      </c>
      <c r="D288" s="213" t="s">
        <v>868</v>
      </c>
      <c r="E288" s="282"/>
      <c r="F288" s="281"/>
      <c r="G288" s="207">
        <v>210.62</v>
      </c>
      <c r="H288" s="216" t="s">
        <v>868</v>
      </c>
      <c r="I288" s="212"/>
      <c r="J288" s="245">
        <v>260</v>
      </c>
      <c r="K288" s="332">
        <v>0.78</v>
      </c>
      <c r="L288" s="247">
        <v>100</v>
      </c>
      <c r="M288" s="241"/>
      <c r="N288" s="333"/>
      <c r="P288" s="171"/>
      <c r="R288" s="250"/>
      <c r="S288" s="265"/>
    </row>
    <row r="289" s="161" customFormat="1" ht="24" customHeight="1" spans="1:19">
      <c r="A289" s="319"/>
      <c r="B289" s="321"/>
      <c r="C289" s="203" t="s">
        <v>1185</v>
      </c>
      <c r="D289" s="213" t="s">
        <v>868</v>
      </c>
      <c r="E289" s="282"/>
      <c r="F289" s="281"/>
      <c r="G289" s="207">
        <v>420</v>
      </c>
      <c r="H289" s="216" t="s">
        <v>868</v>
      </c>
      <c r="I289" s="212"/>
      <c r="J289" s="245">
        <v>180</v>
      </c>
      <c r="K289" s="332">
        <v>1.03</v>
      </c>
      <c r="L289" s="247">
        <v>1.78</v>
      </c>
      <c r="M289" s="241"/>
      <c r="N289" s="333"/>
      <c r="P289" s="171"/>
      <c r="R289" s="250"/>
      <c r="S289" s="265"/>
    </row>
    <row r="290" s="161" customFormat="1" ht="24" customHeight="1" spans="1:19">
      <c r="A290" s="319"/>
      <c r="B290" s="321"/>
      <c r="C290" s="203" t="s">
        <v>1186</v>
      </c>
      <c r="D290" s="213" t="s">
        <v>823</v>
      </c>
      <c r="E290" s="282"/>
      <c r="F290" s="281"/>
      <c r="G290" s="207">
        <f>G8</f>
        <v>3743.36283185841</v>
      </c>
      <c r="H290" s="216" t="s">
        <v>823</v>
      </c>
      <c r="I290" s="212"/>
      <c r="J290" s="245">
        <v>620.62</v>
      </c>
      <c r="K290" s="332">
        <v>1.04</v>
      </c>
      <c r="L290" s="247">
        <v>169.96</v>
      </c>
      <c r="M290" s="241"/>
      <c r="N290" s="333"/>
      <c r="P290" s="171"/>
      <c r="R290" s="250"/>
      <c r="S290" s="265"/>
    </row>
    <row r="291" s="161" customFormat="1" ht="24" customHeight="1" spans="1:19">
      <c r="A291" s="319"/>
      <c r="B291" s="321"/>
      <c r="C291" s="203" t="s">
        <v>1187</v>
      </c>
      <c r="D291" s="213" t="s">
        <v>868</v>
      </c>
      <c r="E291" s="214">
        <f t="shared" ref="E291:G291" si="11">E45</f>
        <v>610.2</v>
      </c>
      <c r="F291" s="206">
        <f t="shared" si="11"/>
        <v>0.13</v>
      </c>
      <c r="G291" s="207">
        <f>E291/(1+F291)</f>
        <v>540</v>
      </c>
      <c r="H291" s="216" t="s">
        <v>845</v>
      </c>
      <c r="I291" s="212"/>
      <c r="J291" s="245">
        <f>J30</f>
        <v>12</v>
      </c>
      <c r="K291" s="336">
        <v>1.05</v>
      </c>
      <c r="L291" s="247">
        <v>3</v>
      </c>
      <c r="M291" s="241"/>
      <c r="N291" s="333"/>
      <c r="P291" s="171"/>
      <c r="R291" s="250"/>
      <c r="S291" s="265"/>
    </row>
    <row r="292" s="161" customFormat="1" ht="24" customHeight="1" spans="1:19">
      <c r="A292" s="319"/>
      <c r="B292" s="321"/>
      <c r="C292" s="203" t="s">
        <v>1188</v>
      </c>
      <c r="D292" s="213" t="s">
        <v>868</v>
      </c>
      <c r="E292" s="214">
        <f t="shared" ref="E292:G292" si="12">E44</f>
        <v>614.268</v>
      </c>
      <c r="F292" s="206">
        <f t="shared" si="12"/>
        <v>0.13</v>
      </c>
      <c r="G292" s="207">
        <f>E292/(1+F292)</f>
        <v>543.6</v>
      </c>
      <c r="H292" s="216" t="s">
        <v>845</v>
      </c>
      <c r="I292" s="212"/>
      <c r="J292" s="245">
        <f>J291</f>
        <v>12</v>
      </c>
      <c r="K292" s="336">
        <v>1.05</v>
      </c>
      <c r="L292" s="247">
        <v>3</v>
      </c>
      <c r="M292" s="241"/>
      <c r="N292" s="333"/>
      <c r="P292" s="171"/>
      <c r="R292" s="250"/>
      <c r="S292" s="265"/>
    </row>
    <row r="293" s="161" customFormat="1" ht="24" customHeight="1" spans="1:19">
      <c r="A293" s="319"/>
      <c r="B293" s="321"/>
      <c r="C293" s="203" t="s">
        <v>1189</v>
      </c>
      <c r="D293" s="213" t="s">
        <v>845</v>
      </c>
      <c r="E293" s="282"/>
      <c r="F293" s="281"/>
      <c r="G293" s="207">
        <f>G248</f>
        <v>16</v>
      </c>
      <c r="H293" s="216" t="s">
        <v>845</v>
      </c>
      <c r="I293" s="212"/>
      <c r="J293" s="245">
        <f>J248</f>
        <v>21</v>
      </c>
      <c r="K293" s="336">
        <v>1.12</v>
      </c>
      <c r="L293" s="247">
        <v>18</v>
      </c>
      <c r="M293" s="241"/>
      <c r="N293" s="333"/>
      <c r="P293" s="171"/>
      <c r="R293" s="250"/>
      <c r="S293" s="265"/>
    </row>
    <row r="294" s="161" customFormat="1" ht="24" customHeight="1" spans="1:19">
      <c r="A294" s="319"/>
      <c r="B294" s="321"/>
      <c r="C294" s="203" t="s">
        <v>1190</v>
      </c>
      <c r="D294" s="213" t="s">
        <v>1040</v>
      </c>
      <c r="E294" s="282"/>
      <c r="F294" s="281"/>
      <c r="G294" s="207">
        <v>320</v>
      </c>
      <c r="H294" s="216" t="s">
        <v>1040</v>
      </c>
      <c r="I294" s="212"/>
      <c r="J294" s="245">
        <v>55</v>
      </c>
      <c r="K294" s="332">
        <v>1</v>
      </c>
      <c r="L294" s="247">
        <v>8</v>
      </c>
      <c r="M294" s="241"/>
      <c r="N294" s="333"/>
      <c r="P294" s="171"/>
      <c r="R294" s="250"/>
      <c r="S294" s="265"/>
    </row>
    <row r="295" s="161" customFormat="1" ht="24" customHeight="1" spans="1:19">
      <c r="A295" s="319"/>
      <c r="B295" s="321"/>
      <c r="C295" s="203" t="s">
        <v>1191</v>
      </c>
      <c r="D295" s="213" t="s">
        <v>1040</v>
      </c>
      <c r="E295" s="282"/>
      <c r="F295" s="281"/>
      <c r="G295" s="207">
        <v>16.98</v>
      </c>
      <c r="H295" s="216" t="s">
        <v>1040</v>
      </c>
      <c r="I295" s="212"/>
      <c r="J295" s="245">
        <v>13</v>
      </c>
      <c r="K295" s="332">
        <v>1</v>
      </c>
      <c r="L295" s="247">
        <v>1</v>
      </c>
      <c r="M295" s="241"/>
      <c r="N295" s="333"/>
      <c r="P295" s="171"/>
      <c r="R295" s="250"/>
      <c r="S295" s="265"/>
    </row>
    <row r="296" s="161" customFormat="1" ht="24" customHeight="1" spans="1:19">
      <c r="A296" s="319"/>
      <c r="B296" s="321"/>
      <c r="C296" s="203" t="s">
        <v>1192</v>
      </c>
      <c r="D296" s="213" t="s">
        <v>1040</v>
      </c>
      <c r="E296" s="282"/>
      <c r="F296" s="281"/>
      <c r="G296" s="207">
        <v>30.52</v>
      </c>
      <c r="H296" s="216" t="s">
        <v>1040</v>
      </c>
      <c r="I296" s="212"/>
      <c r="J296" s="245">
        <v>19</v>
      </c>
      <c r="K296" s="332">
        <v>1</v>
      </c>
      <c r="L296" s="247">
        <v>1</v>
      </c>
      <c r="M296" s="241"/>
      <c r="N296" s="333"/>
      <c r="P296" s="171"/>
      <c r="R296" s="250"/>
      <c r="S296" s="265"/>
    </row>
    <row r="297" s="161" customFormat="1" ht="24" customHeight="1" spans="1:19">
      <c r="A297" s="319"/>
      <c r="B297" s="321"/>
      <c r="C297" s="203" t="s">
        <v>1193</v>
      </c>
      <c r="D297" s="213" t="s">
        <v>1040</v>
      </c>
      <c r="E297" s="282"/>
      <c r="F297" s="281"/>
      <c r="G297" s="207">
        <v>11.2</v>
      </c>
      <c r="H297" s="216" t="s">
        <v>1040</v>
      </c>
      <c r="I297" s="212"/>
      <c r="J297" s="245">
        <v>13</v>
      </c>
      <c r="K297" s="332">
        <v>1</v>
      </c>
      <c r="L297" s="247">
        <v>1</v>
      </c>
      <c r="M297" s="241"/>
      <c r="N297" s="333"/>
      <c r="P297" s="171"/>
      <c r="R297" s="250"/>
      <c r="S297" s="265"/>
    </row>
    <row r="298" s="161" customFormat="1" ht="24" customHeight="1" spans="1:19">
      <c r="A298" s="319"/>
      <c r="B298" s="321"/>
      <c r="C298" s="203" t="s">
        <v>1194</v>
      </c>
      <c r="D298" s="213" t="s">
        <v>1040</v>
      </c>
      <c r="E298" s="282"/>
      <c r="F298" s="281"/>
      <c r="G298" s="207">
        <v>10.68</v>
      </c>
      <c r="H298" s="216" t="s">
        <v>1040</v>
      </c>
      <c r="I298" s="212"/>
      <c r="J298" s="245">
        <v>13</v>
      </c>
      <c r="K298" s="332">
        <v>1</v>
      </c>
      <c r="L298" s="247">
        <v>1</v>
      </c>
      <c r="M298" s="241"/>
      <c r="N298" s="333"/>
      <c r="P298" s="171"/>
      <c r="R298" s="250"/>
      <c r="S298" s="265"/>
    </row>
    <row r="299" s="161" customFormat="1" ht="24" customHeight="1" spans="1:22">
      <c r="A299" s="319"/>
      <c r="B299" s="321"/>
      <c r="C299" s="203" t="s">
        <v>1195</v>
      </c>
      <c r="D299" s="213" t="s">
        <v>868</v>
      </c>
      <c r="E299" s="282"/>
      <c r="F299" s="281"/>
      <c r="G299" s="207">
        <v>342</v>
      </c>
      <c r="H299" s="216" t="s">
        <v>845</v>
      </c>
      <c r="I299" s="212"/>
      <c r="J299" s="245">
        <v>36</v>
      </c>
      <c r="K299" s="332">
        <v>1</v>
      </c>
      <c r="L299" s="247">
        <v>1.5</v>
      </c>
      <c r="M299" s="241"/>
      <c r="N299" s="333"/>
      <c r="P299" s="171"/>
      <c r="R299" s="250"/>
      <c r="S299" s="265"/>
      <c r="V299" s="164"/>
    </row>
    <row r="300" s="161" customFormat="1" ht="24" customHeight="1" spans="1:22">
      <c r="A300" s="319"/>
      <c r="B300" s="321"/>
      <c r="C300" s="203" t="s">
        <v>1196</v>
      </c>
      <c r="D300" s="213" t="s">
        <v>838</v>
      </c>
      <c r="E300" s="282"/>
      <c r="F300" s="281"/>
      <c r="G300" s="207">
        <v>25</v>
      </c>
      <c r="H300" s="216" t="s">
        <v>838</v>
      </c>
      <c r="I300" s="212"/>
      <c r="J300" s="245">
        <v>2</v>
      </c>
      <c r="K300" s="332">
        <v>1</v>
      </c>
      <c r="L300" s="247">
        <v>0</v>
      </c>
      <c r="M300" s="241"/>
      <c r="N300" s="333"/>
      <c r="P300" s="171"/>
      <c r="R300" s="250"/>
      <c r="S300" s="265"/>
      <c r="V300" s="164"/>
    </row>
    <row r="301" s="161" customFormat="1" ht="24" customHeight="1" spans="1:22">
      <c r="A301" s="319"/>
      <c r="B301" s="321"/>
      <c r="C301" s="295" t="s">
        <v>1197</v>
      </c>
      <c r="D301" s="322" t="s">
        <v>1040</v>
      </c>
      <c r="E301" s="282"/>
      <c r="F301" s="281"/>
      <c r="G301" s="323">
        <v>21.5</v>
      </c>
      <c r="H301" s="324" t="s">
        <v>1040</v>
      </c>
      <c r="I301" s="212"/>
      <c r="J301" s="337">
        <v>2</v>
      </c>
      <c r="K301" s="338">
        <v>1</v>
      </c>
      <c r="L301" s="339">
        <v>0</v>
      </c>
      <c r="M301" s="241"/>
      <c r="N301" s="333"/>
      <c r="P301" s="171"/>
      <c r="R301" s="250"/>
      <c r="S301" s="265"/>
      <c r="V301" s="164"/>
    </row>
    <row r="302" s="164" customFormat="1" ht="24" customHeight="1" spans="1:19">
      <c r="A302" s="211" t="s">
        <v>1198</v>
      </c>
      <c r="B302" s="212" t="s">
        <v>1199</v>
      </c>
      <c r="C302" s="325" t="s">
        <v>1200</v>
      </c>
      <c r="D302" s="326" t="s">
        <v>1201</v>
      </c>
      <c r="E302" s="327"/>
      <c r="F302" s="328"/>
      <c r="G302" s="329">
        <v>0</v>
      </c>
      <c r="H302" s="216" t="s">
        <v>1201</v>
      </c>
      <c r="I302" s="212"/>
      <c r="J302" s="245">
        <v>177.06</v>
      </c>
      <c r="K302" s="332">
        <v>1</v>
      </c>
      <c r="L302" s="340">
        <v>96.31</v>
      </c>
      <c r="M302" s="341"/>
      <c r="N302" s="342"/>
      <c r="P302" s="343"/>
      <c r="R302" s="250"/>
      <c r="S302" s="265"/>
    </row>
    <row r="303" s="164" customFormat="1" ht="24" customHeight="1" spans="1:19">
      <c r="A303" s="217"/>
      <c r="B303" s="212"/>
      <c r="C303" s="325" t="s">
        <v>1202</v>
      </c>
      <c r="D303" s="203" t="s">
        <v>1201</v>
      </c>
      <c r="E303" s="244"/>
      <c r="F303" s="330"/>
      <c r="G303" s="329">
        <v>0</v>
      </c>
      <c r="H303" s="325" t="s">
        <v>1201</v>
      </c>
      <c r="I303" s="212"/>
      <c r="J303" s="244">
        <v>177.06</v>
      </c>
      <c r="K303" s="332">
        <v>1</v>
      </c>
      <c r="L303" s="329">
        <v>96.31</v>
      </c>
      <c r="M303" s="341"/>
      <c r="N303" s="342"/>
      <c r="P303" s="343"/>
      <c r="R303" s="250"/>
      <c r="S303" s="265"/>
    </row>
    <row r="304" s="164" customFormat="1" ht="24" customHeight="1" spans="1:19">
      <c r="A304" s="217"/>
      <c r="B304" s="212"/>
      <c r="C304" s="325" t="s">
        <v>1203</v>
      </c>
      <c r="D304" s="203" t="s">
        <v>1201</v>
      </c>
      <c r="E304" s="244"/>
      <c r="F304" s="330"/>
      <c r="G304" s="329" t="e">
        <f>#REF!</f>
        <v>#REF!</v>
      </c>
      <c r="H304" s="325" t="s">
        <v>1201</v>
      </c>
      <c r="I304" s="212"/>
      <c r="J304" s="244">
        <v>241.14</v>
      </c>
      <c r="K304" s="332">
        <v>1</v>
      </c>
      <c r="L304" s="329">
        <v>184.13</v>
      </c>
      <c r="M304" s="341"/>
      <c r="N304" s="342"/>
      <c r="P304" s="343"/>
      <c r="R304" s="250"/>
      <c r="S304" s="265"/>
    </row>
    <row r="305" s="164" customFormat="1" ht="24" customHeight="1" spans="1:19">
      <c r="A305" s="217"/>
      <c r="B305" s="212"/>
      <c r="C305" s="325" t="s">
        <v>1204</v>
      </c>
      <c r="D305" s="203" t="s">
        <v>1201</v>
      </c>
      <c r="E305" s="244"/>
      <c r="F305" s="330"/>
      <c r="G305" s="329">
        <v>6900</v>
      </c>
      <c r="H305" s="325" t="s">
        <v>1201</v>
      </c>
      <c r="I305" s="212"/>
      <c r="J305" s="244">
        <v>241.14</v>
      </c>
      <c r="K305" s="332">
        <v>1</v>
      </c>
      <c r="L305" s="329">
        <v>184.13</v>
      </c>
      <c r="M305" s="341"/>
      <c r="N305" s="342"/>
      <c r="P305" s="343"/>
      <c r="R305" s="250"/>
      <c r="S305" s="265"/>
    </row>
    <row r="306" s="164" customFormat="1" ht="24" customHeight="1" spans="1:19">
      <c r="A306" s="217"/>
      <c r="B306" s="212"/>
      <c r="C306" s="325" t="s">
        <v>1205</v>
      </c>
      <c r="D306" s="203" t="s">
        <v>1201</v>
      </c>
      <c r="E306" s="244"/>
      <c r="F306" s="330"/>
      <c r="G306" s="329">
        <v>5200</v>
      </c>
      <c r="H306" s="325" t="s">
        <v>1201</v>
      </c>
      <c r="I306" s="212"/>
      <c r="J306" s="244">
        <v>241.14</v>
      </c>
      <c r="K306" s="332">
        <v>1</v>
      </c>
      <c r="L306" s="329">
        <v>184.13</v>
      </c>
      <c r="M306" s="341"/>
      <c r="N306" s="342"/>
      <c r="P306" s="343"/>
      <c r="R306" s="250"/>
      <c r="S306" s="265"/>
    </row>
    <row r="307" s="164" customFormat="1" ht="24" customHeight="1" spans="1:19">
      <c r="A307" s="217"/>
      <c r="B307" s="212"/>
      <c r="C307" s="325" t="s">
        <v>1206</v>
      </c>
      <c r="D307" s="203" t="s">
        <v>1201</v>
      </c>
      <c r="E307" s="244"/>
      <c r="F307" s="330"/>
      <c r="G307" s="329">
        <v>4500</v>
      </c>
      <c r="H307" s="325" t="s">
        <v>1201</v>
      </c>
      <c r="I307" s="212"/>
      <c r="J307" s="244">
        <v>241.14</v>
      </c>
      <c r="K307" s="332">
        <v>1</v>
      </c>
      <c r="L307" s="329">
        <v>184.13</v>
      </c>
      <c r="M307" s="341"/>
      <c r="N307" s="342"/>
      <c r="P307" s="343"/>
      <c r="R307" s="250"/>
      <c r="S307" s="265"/>
    </row>
    <row r="308" s="164" customFormat="1" ht="24" customHeight="1" spans="1:21">
      <c r="A308" s="217"/>
      <c r="B308" s="212"/>
      <c r="C308" s="325" t="s">
        <v>1207</v>
      </c>
      <c r="D308" s="203" t="s">
        <v>1201</v>
      </c>
      <c r="E308" s="244"/>
      <c r="F308" s="330"/>
      <c r="G308" s="329" t="e">
        <f>#REF!</f>
        <v>#REF!</v>
      </c>
      <c r="H308" s="325" t="s">
        <v>1201</v>
      </c>
      <c r="I308" s="212"/>
      <c r="J308" s="244">
        <v>211.45</v>
      </c>
      <c r="K308" s="332">
        <v>1</v>
      </c>
      <c r="L308" s="329">
        <v>50</v>
      </c>
      <c r="M308" s="341"/>
      <c r="N308" s="342"/>
      <c r="P308" s="343"/>
      <c r="R308" s="250"/>
      <c r="S308" s="265"/>
      <c r="T308" s="319" t="s">
        <v>931</v>
      </c>
      <c r="U308" s="319"/>
    </row>
    <row r="309" s="164" customFormat="1" ht="24" customHeight="1" spans="1:19">
      <c r="A309" s="217"/>
      <c r="B309" s="212"/>
      <c r="C309" s="325" t="s">
        <v>1208</v>
      </c>
      <c r="D309" s="203" t="s">
        <v>1201</v>
      </c>
      <c r="E309" s="244"/>
      <c r="F309" s="330"/>
      <c r="G309" s="329" t="e">
        <f>#REF!</f>
        <v>#REF!</v>
      </c>
      <c r="H309" s="325" t="s">
        <v>1201</v>
      </c>
      <c r="I309" s="212"/>
      <c r="J309" s="244">
        <v>128.48</v>
      </c>
      <c r="K309" s="332">
        <v>1</v>
      </c>
      <c r="L309" s="329">
        <v>50</v>
      </c>
      <c r="M309" s="341"/>
      <c r="N309" s="342"/>
      <c r="P309" s="343"/>
      <c r="R309" s="250"/>
      <c r="S309" s="265"/>
    </row>
    <row r="310" s="164" customFormat="1" ht="24" customHeight="1" spans="1:19">
      <c r="A310" s="217"/>
      <c r="B310" s="212"/>
      <c r="C310" s="325" t="s">
        <v>1209</v>
      </c>
      <c r="D310" s="203" t="s">
        <v>1201</v>
      </c>
      <c r="E310" s="244"/>
      <c r="F310" s="330"/>
      <c r="G310" s="329" t="e">
        <f>#REF!</f>
        <v>#REF!</v>
      </c>
      <c r="H310" s="325" t="s">
        <v>1201</v>
      </c>
      <c r="I310" s="212"/>
      <c r="J310" s="244">
        <v>177.06</v>
      </c>
      <c r="K310" s="332">
        <v>1</v>
      </c>
      <c r="L310" s="329">
        <v>50</v>
      </c>
      <c r="M310" s="341"/>
      <c r="N310" s="342"/>
      <c r="P310" s="343"/>
      <c r="R310" s="250"/>
      <c r="S310" s="265"/>
    </row>
    <row r="311" s="164" customFormat="1" ht="24" customHeight="1" spans="1:19">
      <c r="A311" s="217"/>
      <c r="B311" s="212"/>
      <c r="C311" s="325" t="s">
        <v>1210</v>
      </c>
      <c r="D311" s="203" t="s">
        <v>1201</v>
      </c>
      <c r="E311" s="244"/>
      <c r="F311" s="330"/>
      <c r="G311" s="331" t="e">
        <f>#REF!</f>
        <v>#REF!</v>
      </c>
      <c r="H311" s="325" t="s">
        <v>1201</v>
      </c>
      <c r="I311" s="212"/>
      <c r="J311" s="244">
        <v>211.45</v>
      </c>
      <c r="K311" s="332">
        <v>1</v>
      </c>
      <c r="L311" s="329">
        <v>50</v>
      </c>
      <c r="M311" s="341"/>
      <c r="N311" s="342"/>
      <c r="P311" s="343"/>
      <c r="R311" s="250"/>
      <c r="S311" s="265"/>
    </row>
    <row r="312" s="164" customFormat="1" ht="24" customHeight="1" spans="1:19">
      <c r="A312" s="217"/>
      <c r="B312" s="212"/>
      <c r="C312" s="325" t="s">
        <v>1211</v>
      </c>
      <c r="D312" s="203" t="s">
        <v>1201</v>
      </c>
      <c r="E312" s="244"/>
      <c r="F312" s="330"/>
      <c r="G312" s="331" t="e">
        <f>#REF!</f>
        <v>#REF!</v>
      </c>
      <c r="H312" s="325" t="s">
        <v>1201</v>
      </c>
      <c r="I312" s="212"/>
      <c r="J312" s="244">
        <v>211.45</v>
      </c>
      <c r="K312" s="332">
        <v>1</v>
      </c>
      <c r="L312" s="329">
        <v>50</v>
      </c>
      <c r="M312" s="341"/>
      <c r="N312" s="342"/>
      <c r="P312" s="343"/>
      <c r="R312" s="250"/>
      <c r="S312" s="265"/>
    </row>
    <row r="313" s="164" customFormat="1" ht="24" customHeight="1" spans="1:21">
      <c r="A313" s="217"/>
      <c r="B313" s="212"/>
      <c r="C313" s="325" t="s">
        <v>1212</v>
      </c>
      <c r="D313" s="203" t="s">
        <v>1201</v>
      </c>
      <c r="E313" s="244"/>
      <c r="F313" s="330"/>
      <c r="G313" s="329">
        <v>1000</v>
      </c>
      <c r="H313" s="325" t="s">
        <v>1201</v>
      </c>
      <c r="I313" s="212"/>
      <c r="J313" s="244">
        <v>177.06</v>
      </c>
      <c r="K313" s="332">
        <v>1</v>
      </c>
      <c r="L313" s="329">
        <v>50</v>
      </c>
      <c r="M313" s="341"/>
      <c r="N313" s="342"/>
      <c r="P313" s="343"/>
      <c r="R313" s="250"/>
      <c r="S313" s="265"/>
      <c r="T313" s="319" t="s">
        <v>931</v>
      </c>
      <c r="U313" s="319"/>
    </row>
    <row r="314" s="164" customFormat="1" ht="24" customHeight="1" spans="1:21">
      <c r="A314" s="217"/>
      <c r="B314" s="212"/>
      <c r="C314" s="325" t="s">
        <v>1213</v>
      </c>
      <c r="D314" s="203" t="s">
        <v>1201</v>
      </c>
      <c r="E314" s="244"/>
      <c r="F314" s="330"/>
      <c r="G314" s="329">
        <v>1000</v>
      </c>
      <c r="H314" s="325" t="s">
        <v>1201</v>
      </c>
      <c r="I314" s="212"/>
      <c r="J314" s="244">
        <v>177.06</v>
      </c>
      <c r="K314" s="332">
        <v>1</v>
      </c>
      <c r="L314" s="329">
        <v>50</v>
      </c>
      <c r="M314" s="341"/>
      <c r="N314" s="342"/>
      <c r="P314" s="343"/>
      <c r="R314" s="250"/>
      <c r="S314" s="265"/>
      <c r="T314" s="319" t="s">
        <v>931</v>
      </c>
      <c r="U314" s="319"/>
    </row>
    <row r="315" s="164" customFormat="1" ht="24" customHeight="1" spans="1:21">
      <c r="A315" s="217"/>
      <c r="B315" s="212"/>
      <c r="C315" s="325" t="s">
        <v>1214</v>
      </c>
      <c r="D315" s="203" t="s">
        <v>1201</v>
      </c>
      <c r="E315" s="244"/>
      <c r="F315" s="330"/>
      <c r="G315" s="329">
        <v>1250</v>
      </c>
      <c r="H315" s="325" t="s">
        <v>1201</v>
      </c>
      <c r="I315" s="212"/>
      <c r="J315" s="244">
        <v>177.06</v>
      </c>
      <c r="K315" s="332">
        <v>1</v>
      </c>
      <c r="L315" s="329">
        <v>50</v>
      </c>
      <c r="M315" s="341"/>
      <c r="N315" s="342"/>
      <c r="P315" s="343"/>
      <c r="R315" s="250"/>
      <c r="S315" s="265"/>
      <c r="T315" s="319" t="s">
        <v>931</v>
      </c>
      <c r="U315" s="319"/>
    </row>
    <row r="316" s="164" customFormat="1" ht="24" customHeight="1" spans="1:21">
      <c r="A316" s="217"/>
      <c r="B316" s="212"/>
      <c r="C316" s="325" t="s">
        <v>1215</v>
      </c>
      <c r="D316" s="203" t="s">
        <v>1201</v>
      </c>
      <c r="E316" s="244"/>
      <c r="F316" s="330"/>
      <c r="G316" s="329">
        <v>1500</v>
      </c>
      <c r="H316" s="325" t="s">
        <v>1201</v>
      </c>
      <c r="I316" s="212"/>
      <c r="J316" s="244">
        <v>177.06</v>
      </c>
      <c r="K316" s="332">
        <v>1</v>
      </c>
      <c r="L316" s="329">
        <v>50</v>
      </c>
      <c r="M316" s="341"/>
      <c r="N316" s="342"/>
      <c r="P316" s="343"/>
      <c r="R316" s="250"/>
      <c r="S316" s="265"/>
      <c r="T316" s="319" t="s">
        <v>931</v>
      </c>
      <c r="U316" s="319"/>
    </row>
    <row r="317" s="164" customFormat="1" ht="24" customHeight="1" spans="1:21">
      <c r="A317" s="217"/>
      <c r="B317" s="212"/>
      <c r="C317" s="325" t="s">
        <v>1216</v>
      </c>
      <c r="D317" s="203" t="s">
        <v>1201</v>
      </c>
      <c r="E317" s="244"/>
      <c r="F317" s="330"/>
      <c r="G317" s="329">
        <v>1600</v>
      </c>
      <c r="H317" s="325" t="s">
        <v>1201</v>
      </c>
      <c r="I317" s="212"/>
      <c r="J317" s="244">
        <v>177.06</v>
      </c>
      <c r="K317" s="332">
        <v>1</v>
      </c>
      <c r="L317" s="329">
        <v>50</v>
      </c>
      <c r="M317" s="341"/>
      <c r="N317" s="342"/>
      <c r="P317" s="343"/>
      <c r="R317" s="250"/>
      <c r="S317" s="265"/>
      <c r="T317" s="319" t="s">
        <v>931</v>
      </c>
      <c r="U317" s="319"/>
    </row>
    <row r="318" s="164" customFormat="1" ht="24" customHeight="1" spans="1:21">
      <c r="A318" s="217"/>
      <c r="B318" s="212"/>
      <c r="C318" s="325" t="s">
        <v>1217</v>
      </c>
      <c r="D318" s="203" t="s">
        <v>1201</v>
      </c>
      <c r="E318" s="244"/>
      <c r="F318" s="330"/>
      <c r="G318" s="329">
        <v>1500</v>
      </c>
      <c r="H318" s="325" t="s">
        <v>1201</v>
      </c>
      <c r="I318" s="212"/>
      <c r="J318" s="244">
        <v>177.06</v>
      </c>
      <c r="K318" s="332">
        <v>1</v>
      </c>
      <c r="L318" s="329">
        <v>50</v>
      </c>
      <c r="M318" s="341"/>
      <c r="N318" s="342"/>
      <c r="P318" s="343"/>
      <c r="R318" s="250"/>
      <c r="S318" s="265"/>
      <c r="T318" s="319" t="s">
        <v>931</v>
      </c>
      <c r="U318" s="319"/>
    </row>
    <row r="319" s="164" customFormat="1" ht="24" customHeight="1" spans="1:21">
      <c r="A319" s="217"/>
      <c r="B319" s="212"/>
      <c r="C319" s="325" t="s">
        <v>1218</v>
      </c>
      <c r="D319" s="203" t="s">
        <v>1201</v>
      </c>
      <c r="E319" s="244"/>
      <c r="F319" s="330"/>
      <c r="G319" s="329">
        <v>1500</v>
      </c>
      <c r="H319" s="325" t="s">
        <v>1201</v>
      </c>
      <c r="I319" s="212"/>
      <c r="J319" s="244">
        <v>177.06</v>
      </c>
      <c r="K319" s="332">
        <v>1</v>
      </c>
      <c r="L319" s="329">
        <v>50</v>
      </c>
      <c r="M319" s="341"/>
      <c r="N319" s="342"/>
      <c r="P319" s="343"/>
      <c r="R319" s="250"/>
      <c r="S319" s="265"/>
      <c r="T319" s="319" t="s">
        <v>931</v>
      </c>
      <c r="U319" s="319"/>
    </row>
    <row r="320" s="164" customFormat="1" ht="24" customHeight="1" spans="1:21">
      <c r="A320" s="217"/>
      <c r="B320" s="212"/>
      <c r="C320" s="325" t="s">
        <v>1219</v>
      </c>
      <c r="D320" s="203" t="s">
        <v>1201</v>
      </c>
      <c r="E320" s="244"/>
      <c r="F320" s="330"/>
      <c r="G320" s="329">
        <v>1800</v>
      </c>
      <c r="H320" s="325" t="s">
        <v>1201</v>
      </c>
      <c r="I320" s="212"/>
      <c r="J320" s="244">
        <v>177.06</v>
      </c>
      <c r="K320" s="332">
        <v>1</v>
      </c>
      <c r="L320" s="329">
        <v>50</v>
      </c>
      <c r="M320" s="341"/>
      <c r="N320" s="342"/>
      <c r="P320" s="343"/>
      <c r="R320" s="250"/>
      <c r="S320" s="265"/>
      <c r="T320" s="319" t="s">
        <v>931</v>
      </c>
      <c r="U320" s="319"/>
    </row>
    <row r="321" s="164" customFormat="1" ht="24" customHeight="1" spans="1:21">
      <c r="A321" s="217"/>
      <c r="B321" s="212"/>
      <c r="C321" s="325" t="s">
        <v>1220</v>
      </c>
      <c r="D321" s="203" t="s">
        <v>1201</v>
      </c>
      <c r="E321" s="244"/>
      <c r="F321" s="330"/>
      <c r="G321" s="329">
        <v>2000</v>
      </c>
      <c r="H321" s="325" t="s">
        <v>1201</v>
      </c>
      <c r="I321" s="212"/>
      <c r="J321" s="244">
        <v>177.06</v>
      </c>
      <c r="K321" s="332">
        <v>1</v>
      </c>
      <c r="L321" s="329">
        <v>50</v>
      </c>
      <c r="M321" s="341"/>
      <c r="N321" s="342"/>
      <c r="P321" s="343"/>
      <c r="R321" s="250"/>
      <c r="S321" s="265"/>
      <c r="T321" s="319" t="s">
        <v>931</v>
      </c>
      <c r="U321" s="319"/>
    </row>
    <row r="322" s="164" customFormat="1" ht="24" customHeight="1" spans="1:21">
      <c r="A322" s="217"/>
      <c r="B322" s="212"/>
      <c r="C322" s="325" t="s">
        <v>1221</v>
      </c>
      <c r="D322" s="203" t="s">
        <v>1201</v>
      </c>
      <c r="E322" s="244"/>
      <c r="F322" s="330"/>
      <c r="G322" s="329">
        <v>2100</v>
      </c>
      <c r="H322" s="325" t="s">
        <v>1201</v>
      </c>
      <c r="I322" s="212"/>
      <c r="J322" s="244">
        <v>177.06</v>
      </c>
      <c r="K322" s="332">
        <v>1</v>
      </c>
      <c r="L322" s="329">
        <v>50</v>
      </c>
      <c r="M322" s="341"/>
      <c r="N322" s="342"/>
      <c r="P322" s="343"/>
      <c r="R322" s="250"/>
      <c r="S322" s="265"/>
      <c r="T322" s="319" t="s">
        <v>931</v>
      </c>
      <c r="U322" s="319"/>
    </row>
    <row r="323" s="164" customFormat="1" ht="24" customHeight="1" spans="1:19">
      <c r="A323" s="217"/>
      <c r="B323" s="212"/>
      <c r="C323" s="325" t="s">
        <v>1222</v>
      </c>
      <c r="D323" s="203" t="s">
        <v>1201</v>
      </c>
      <c r="E323" s="244"/>
      <c r="F323" s="330"/>
      <c r="G323" s="329">
        <v>35</v>
      </c>
      <c r="H323" s="325" t="s">
        <v>1201</v>
      </c>
      <c r="I323" s="212"/>
      <c r="J323" s="244">
        <v>40</v>
      </c>
      <c r="K323" s="332">
        <v>1</v>
      </c>
      <c r="L323" s="329">
        <v>2.57</v>
      </c>
      <c r="M323" s="341"/>
      <c r="N323" s="342"/>
      <c r="P323" s="343"/>
      <c r="R323" s="250"/>
      <c r="S323" s="265"/>
    </row>
    <row r="324" s="164" customFormat="1" ht="24" customHeight="1" spans="1:19">
      <c r="A324" s="217"/>
      <c r="B324" s="212"/>
      <c r="C324" s="325" t="s">
        <v>1223</v>
      </c>
      <c r="D324" s="203" t="s">
        <v>838</v>
      </c>
      <c r="E324" s="244"/>
      <c r="F324" s="330"/>
      <c r="G324" s="329">
        <v>0</v>
      </c>
      <c r="H324" s="325" t="s">
        <v>1201</v>
      </c>
      <c r="I324" s="212"/>
      <c r="J324" s="244">
        <v>40.5</v>
      </c>
      <c r="K324" s="332">
        <v>1</v>
      </c>
      <c r="L324" s="329">
        <v>0</v>
      </c>
      <c r="M324" s="341"/>
      <c r="N324" s="342"/>
      <c r="P324" s="343"/>
      <c r="R324" s="250"/>
      <c r="S324" s="265"/>
    </row>
    <row r="325" s="164" customFormat="1" ht="24" customHeight="1" spans="1:19">
      <c r="A325" s="217"/>
      <c r="B325" s="202"/>
      <c r="C325" s="325" t="s">
        <v>1224</v>
      </c>
      <c r="D325" s="203" t="s">
        <v>1040</v>
      </c>
      <c r="E325" s="244"/>
      <c r="F325" s="330"/>
      <c r="G325" s="329">
        <v>24.88</v>
      </c>
      <c r="H325" s="325" t="s">
        <v>1040</v>
      </c>
      <c r="I325" s="212"/>
      <c r="J325" s="244">
        <v>24.79</v>
      </c>
      <c r="K325" s="332">
        <v>1.005</v>
      </c>
      <c r="L325" s="329">
        <v>6.55</v>
      </c>
      <c r="M325" s="341"/>
      <c r="N325" s="342"/>
      <c r="P325" s="343"/>
      <c r="R325" s="250"/>
      <c r="S325" s="265"/>
    </row>
    <row r="326" s="164" customFormat="1" ht="24" customHeight="1" spans="1:19">
      <c r="A326" s="217"/>
      <c r="B326" s="202"/>
      <c r="C326" s="325" t="s">
        <v>1225</v>
      </c>
      <c r="D326" s="203" t="s">
        <v>1040</v>
      </c>
      <c r="E326" s="244"/>
      <c r="F326" s="330"/>
      <c r="G326" s="329">
        <v>31.11</v>
      </c>
      <c r="H326" s="325" t="s">
        <v>1040</v>
      </c>
      <c r="I326" s="212"/>
      <c r="J326" s="244">
        <v>24.79</v>
      </c>
      <c r="K326" s="332">
        <v>1.005</v>
      </c>
      <c r="L326" s="329">
        <v>6.55</v>
      </c>
      <c r="M326" s="341"/>
      <c r="N326" s="342"/>
      <c r="P326" s="343"/>
      <c r="R326" s="250"/>
      <c r="S326" s="265"/>
    </row>
    <row r="327" s="164" customFormat="1" ht="24" customHeight="1" spans="1:19">
      <c r="A327" s="217"/>
      <c r="B327" s="202"/>
      <c r="C327" s="325" t="s">
        <v>1226</v>
      </c>
      <c r="D327" s="203" t="s">
        <v>1040</v>
      </c>
      <c r="E327" s="244"/>
      <c r="F327" s="330"/>
      <c r="G327" s="329">
        <v>50.3</v>
      </c>
      <c r="H327" s="325" t="s">
        <v>1040</v>
      </c>
      <c r="I327" s="212"/>
      <c r="J327" s="244">
        <v>24.79</v>
      </c>
      <c r="K327" s="332">
        <v>1.005</v>
      </c>
      <c r="L327" s="329">
        <v>6.55</v>
      </c>
      <c r="M327" s="341"/>
      <c r="N327" s="342"/>
      <c r="P327" s="343"/>
      <c r="R327" s="250"/>
      <c r="S327" s="265"/>
    </row>
    <row r="328" s="164" customFormat="1" ht="24" customHeight="1" spans="1:19">
      <c r="A328" s="217"/>
      <c r="B328" s="202"/>
      <c r="C328" s="325" t="s">
        <v>1227</v>
      </c>
      <c r="D328" s="203" t="s">
        <v>1040</v>
      </c>
      <c r="E328" s="244"/>
      <c r="F328" s="330"/>
      <c r="G328" s="329">
        <v>56.8</v>
      </c>
      <c r="H328" s="325" t="s">
        <v>1040</v>
      </c>
      <c r="I328" s="212"/>
      <c r="J328" s="244">
        <v>24.79</v>
      </c>
      <c r="K328" s="332">
        <v>1.01</v>
      </c>
      <c r="L328" s="329">
        <v>6.55</v>
      </c>
      <c r="M328" s="341"/>
      <c r="N328" s="342"/>
      <c r="P328" s="343"/>
      <c r="R328" s="250"/>
      <c r="S328" s="265"/>
    </row>
    <row r="329" s="164" customFormat="1" ht="24" customHeight="1" spans="1:19">
      <c r="A329" s="217"/>
      <c r="B329" s="202"/>
      <c r="C329" s="325" t="s">
        <v>1228</v>
      </c>
      <c r="D329" s="203" t="s">
        <v>1040</v>
      </c>
      <c r="E329" s="244"/>
      <c r="F329" s="330"/>
      <c r="G329" s="329">
        <v>64.14</v>
      </c>
      <c r="H329" s="325" t="s">
        <v>1040</v>
      </c>
      <c r="I329" s="212"/>
      <c r="J329" s="244">
        <v>24.79</v>
      </c>
      <c r="K329" s="332">
        <v>1.01</v>
      </c>
      <c r="L329" s="329">
        <v>6.55</v>
      </c>
      <c r="M329" s="341"/>
      <c r="N329" s="342"/>
      <c r="P329" s="343"/>
      <c r="R329" s="250"/>
      <c r="S329" s="265"/>
    </row>
    <row r="330" s="164" customFormat="1" ht="24" customHeight="1" spans="1:19">
      <c r="A330" s="217"/>
      <c r="B330" s="202"/>
      <c r="C330" s="325" t="s">
        <v>1229</v>
      </c>
      <c r="D330" s="203" t="s">
        <v>1040</v>
      </c>
      <c r="E330" s="244"/>
      <c r="F330" s="330"/>
      <c r="G330" s="329">
        <v>60.41</v>
      </c>
      <c r="H330" s="325" t="s">
        <v>1040</v>
      </c>
      <c r="I330" s="212"/>
      <c r="J330" s="244">
        <v>35.48</v>
      </c>
      <c r="K330" s="332">
        <v>1.01</v>
      </c>
      <c r="L330" s="329">
        <v>6.55</v>
      </c>
      <c r="M330" s="341"/>
      <c r="N330" s="342"/>
      <c r="P330" s="343"/>
      <c r="R330" s="250"/>
      <c r="S330" s="265"/>
    </row>
    <row r="331" s="164" customFormat="1" ht="24" customHeight="1" spans="1:19">
      <c r="A331" s="217"/>
      <c r="B331" s="202"/>
      <c r="C331" s="325" t="s">
        <v>1230</v>
      </c>
      <c r="D331" s="203" t="s">
        <v>1040</v>
      </c>
      <c r="E331" s="244"/>
      <c r="F331" s="330"/>
      <c r="G331" s="329">
        <v>73.41</v>
      </c>
      <c r="H331" s="325" t="s">
        <v>1040</v>
      </c>
      <c r="I331" s="212"/>
      <c r="J331" s="244">
        <v>35.48</v>
      </c>
      <c r="K331" s="332">
        <v>1.01</v>
      </c>
      <c r="L331" s="329">
        <v>9.3</v>
      </c>
      <c r="M331" s="341"/>
      <c r="N331" s="342"/>
      <c r="P331" s="343"/>
      <c r="R331" s="250"/>
      <c r="S331" s="265"/>
    </row>
    <row r="332" s="164" customFormat="1" ht="24" customHeight="1" spans="1:19">
      <c r="A332" s="217"/>
      <c r="B332" s="202"/>
      <c r="C332" s="325" t="s">
        <v>1231</v>
      </c>
      <c r="D332" s="203" t="s">
        <v>1040</v>
      </c>
      <c r="E332" s="244"/>
      <c r="F332" s="330"/>
      <c r="G332" s="329">
        <v>64.14</v>
      </c>
      <c r="H332" s="325" t="s">
        <v>1040</v>
      </c>
      <c r="I332" s="212"/>
      <c r="J332" s="244">
        <v>35.48</v>
      </c>
      <c r="K332" s="332">
        <v>1.005</v>
      </c>
      <c r="L332" s="329">
        <v>9.3</v>
      </c>
      <c r="M332" s="341"/>
      <c r="N332" s="342"/>
      <c r="P332" s="343"/>
      <c r="R332" s="250"/>
      <c r="S332" s="265"/>
    </row>
    <row r="333" s="164" customFormat="1" ht="24" customHeight="1" spans="1:19">
      <c r="A333" s="217"/>
      <c r="B333" s="202"/>
      <c r="C333" s="325" t="s">
        <v>1232</v>
      </c>
      <c r="D333" s="203" t="s">
        <v>1040</v>
      </c>
      <c r="E333" s="244"/>
      <c r="F333" s="330"/>
      <c r="G333" s="329">
        <v>73.41</v>
      </c>
      <c r="H333" s="325" t="s">
        <v>1040</v>
      </c>
      <c r="I333" s="212"/>
      <c r="J333" s="244">
        <v>35.48</v>
      </c>
      <c r="K333" s="332">
        <v>1.005</v>
      </c>
      <c r="L333" s="329">
        <v>9.3</v>
      </c>
      <c r="M333" s="341"/>
      <c r="N333" s="342"/>
      <c r="P333" s="343"/>
      <c r="R333" s="250"/>
      <c r="S333" s="265"/>
    </row>
    <row r="334" s="164" customFormat="1" ht="24" customHeight="1" spans="1:19">
      <c r="A334" s="217"/>
      <c r="B334" s="202"/>
      <c r="C334" s="325" t="s">
        <v>1233</v>
      </c>
      <c r="D334" s="203" t="s">
        <v>1040</v>
      </c>
      <c r="E334" s="244"/>
      <c r="F334" s="330"/>
      <c r="G334" s="329">
        <v>85</v>
      </c>
      <c r="H334" s="325" t="s">
        <v>1040</v>
      </c>
      <c r="I334" s="212"/>
      <c r="J334" s="244">
        <v>35.48</v>
      </c>
      <c r="K334" s="332">
        <v>1.005</v>
      </c>
      <c r="L334" s="329">
        <v>9.3</v>
      </c>
      <c r="M334" s="341"/>
      <c r="N334" s="342"/>
      <c r="P334" s="343"/>
      <c r="R334" s="250"/>
      <c r="S334" s="265"/>
    </row>
    <row r="335" s="164" customFormat="1" ht="24" customHeight="1" spans="1:19">
      <c r="A335" s="217"/>
      <c r="B335" s="202"/>
      <c r="C335" s="325" t="s">
        <v>1234</v>
      </c>
      <c r="D335" s="203" t="s">
        <v>1040</v>
      </c>
      <c r="E335" s="244"/>
      <c r="F335" s="330"/>
      <c r="G335" s="329">
        <v>96</v>
      </c>
      <c r="H335" s="325" t="s">
        <v>1040</v>
      </c>
      <c r="I335" s="212"/>
      <c r="J335" s="244">
        <v>35.48</v>
      </c>
      <c r="K335" s="332">
        <v>1.01</v>
      </c>
      <c r="L335" s="329">
        <v>9.3</v>
      </c>
      <c r="M335" s="341"/>
      <c r="N335" s="342"/>
      <c r="P335" s="343"/>
      <c r="R335" s="250"/>
      <c r="S335" s="265"/>
    </row>
    <row r="336" s="164" customFormat="1" ht="24" customHeight="1" spans="1:19">
      <c r="A336" s="217"/>
      <c r="B336" s="202"/>
      <c r="C336" s="325" t="s">
        <v>1235</v>
      </c>
      <c r="D336" s="203" t="s">
        <v>1040</v>
      </c>
      <c r="E336" s="244"/>
      <c r="F336" s="330"/>
      <c r="G336" s="329">
        <v>96</v>
      </c>
      <c r="H336" s="325" t="s">
        <v>1040</v>
      </c>
      <c r="I336" s="212"/>
      <c r="J336" s="244">
        <v>35.48</v>
      </c>
      <c r="K336" s="332">
        <v>1.01</v>
      </c>
      <c r="L336" s="329">
        <v>9.3</v>
      </c>
      <c r="M336" s="341"/>
      <c r="N336" s="342"/>
      <c r="P336" s="343"/>
      <c r="R336" s="250"/>
      <c r="S336" s="265"/>
    </row>
    <row r="337" s="164" customFormat="1" ht="24" customHeight="1" spans="1:19">
      <c r="A337" s="217"/>
      <c r="B337" s="202"/>
      <c r="C337" s="325" t="s">
        <v>1236</v>
      </c>
      <c r="D337" s="203" t="s">
        <v>1040</v>
      </c>
      <c r="E337" s="244"/>
      <c r="F337" s="330"/>
      <c r="G337" s="329">
        <v>100.04</v>
      </c>
      <c r="H337" s="325" t="s">
        <v>1040</v>
      </c>
      <c r="I337" s="212"/>
      <c r="J337" s="244">
        <v>35.48</v>
      </c>
      <c r="K337" s="332">
        <v>1.005</v>
      </c>
      <c r="L337" s="329">
        <v>9.3</v>
      </c>
      <c r="M337" s="341"/>
      <c r="N337" s="342"/>
      <c r="P337" s="343"/>
      <c r="R337" s="250"/>
      <c r="S337" s="265"/>
    </row>
    <row r="338" s="164" customFormat="1" ht="24" customHeight="1" spans="1:19">
      <c r="A338" s="217"/>
      <c r="B338" s="202"/>
      <c r="C338" s="325" t="s">
        <v>1237</v>
      </c>
      <c r="D338" s="203" t="s">
        <v>1040</v>
      </c>
      <c r="E338" s="244"/>
      <c r="F338" s="330"/>
      <c r="G338" s="329">
        <v>115.74</v>
      </c>
      <c r="H338" s="325" t="s">
        <v>1040</v>
      </c>
      <c r="I338" s="212"/>
      <c r="J338" s="244">
        <v>42</v>
      </c>
      <c r="K338" s="332">
        <v>1.01</v>
      </c>
      <c r="L338" s="329">
        <v>13.19</v>
      </c>
      <c r="M338" s="341"/>
      <c r="N338" s="342"/>
      <c r="P338" s="343"/>
      <c r="R338" s="250"/>
      <c r="S338" s="265"/>
    </row>
    <row r="339" s="164" customFormat="1" ht="24" customHeight="1" spans="1:19">
      <c r="A339" s="217"/>
      <c r="B339" s="202"/>
      <c r="C339" s="325" t="s">
        <v>1238</v>
      </c>
      <c r="D339" s="203" t="s">
        <v>1040</v>
      </c>
      <c r="E339" s="244"/>
      <c r="F339" s="330"/>
      <c r="G339" s="329">
        <v>125</v>
      </c>
      <c r="H339" s="325" t="s">
        <v>1040</v>
      </c>
      <c r="I339" s="212"/>
      <c r="J339" s="244">
        <v>52.01</v>
      </c>
      <c r="K339" s="332">
        <v>1.01</v>
      </c>
      <c r="L339" s="329">
        <v>13.19</v>
      </c>
      <c r="M339" s="341"/>
      <c r="N339" s="342"/>
      <c r="P339" s="343"/>
      <c r="R339" s="250"/>
      <c r="S339" s="265"/>
    </row>
    <row r="340" s="164" customFormat="1" ht="24" customHeight="1" spans="1:19">
      <c r="A340" s="217"/>
      <c r="B340" s="202"/>
      <c r="C340" s="325" t="s">
        <v>1239</v>
      </c>
      <c r="D340" s="203" t="s">
        <v>1040</v>
      </c>
      <c r="E340" s="244"/>
      <c r="F340" s="330"/>
      <c r="G340" s="329">
        <v>169.42</v>
      </c>
      <c r="H340" s="325" t="s">
        <v>1040</v>
      </c>
      <c r="I340" s="212"/>
      <c r="J340" s="244">
        <v>52.01</v>
      </c>
      <c r="K340" s="332">
        <v>1.01</v>
      </c>
      <c r="L340" s="329">
        <v>13.19</v>
      </c>
      <c r="M340" s="341"/>
      <c r="N340" s="342"/>
      <c r="P340" s="343"/>
      <c r="R340" s="250"/>
      <c r="S340" s="265"/>
    </row>
    <row r="341" s="164" customFormat="1" ht="24" customHeight="1" spans="1:19">
      <c r="A341" s="217"/>
      <c r="B341" s="202"/>
      <c r="C341" s="325" t="s">
        <v>1240</v>
      </c>
      <c r="D341" s="203" t="s">
        <v>1040</v>
      </c>
      <c r="E341" s="244"/>
      <c r="F341" s="330"/>
      <c r="G341" s="329">
        <v>205.61</v>
      </c>
      <c r="H341" s="325" t="s">
        <v>1040</v>
      </c>
      <c r="I341" s="212"/>
      <c r="J341" s="244">
        <v>72.99</v>
      </c>
      <c r="K341" s="332">
        <v>1.01</v>
      </c>
      <c r="L341" s="329">
        <v>17.12</v>
      </c>
      <c r="M341" s="341"/>
      <c r="N341" s="342"/>
      <c r="P341" s="343"/>
      <c r="R341" s="250"/>
      <c r="S341" s="265"/>
    </row>
    <row r="342" s="164" customFormat="1" ht="24" customHeight="1" spans="1:19">
      <c r="A342" s="217"/>
      <c r="B342" s="202"/>
      <c r="C342" s="325" t="s">
        <v>1241</v>
      </c>
      <c r="D342" s="203" t="s">
        <v>1040</v>
      </c>
      <c r="E342" s="244"/>
      <c r="F342" s="330"/>
      <c r="G342" s="329">
        <v>10.25</v>
      </c>
      <c r="H342" s="325" t="s">
        <v>1040</v>
      </c>
      <c r="I342" s="212"/>
      <c r="J342" s="244">
        <v>22.41</v>
      </c>
      <c r="K342" s="332">
        <v>1.005</v>
      </c>
      <c r="L342" s="329">
        <v>5.35</v>
      </c>
      <c r="M342" s="341"/>
      <c r="N342" s="342"/>
      <c r="P342" s="343"/>
      <c r="R342" s="250"/>
      <c r="S342" s="265"/>
    </row>
    <row r="343" s="164" customFormat="1" ht="24" customHeight="1" spans="1:19">
      <c r="A343" s="217"/>
      <c r="B343" s="202"/>
      <c r="C343" s="325" t="s">
        <v>1242</v>
      </c>
      <c r="D343" s="203" t="s">
        <v>1040</v>
      </c>
      <c r="E343" s="244"/>
      <c r="F343" s="330"/>
      <c r="G343" s="329">
        <v>13.22</v>
      </c>
      <c r="H343" s="325" t="s">
        <v>1040</v>
      </c>
      <c r="I343" s="212"/>
      <c r="J343" s="244">
        <v>22.41</v>
      </c>
      <c r="K343" s="332">
        <v>1.005</v>
      </c>
      <c r="L343" s="329">
        <v>5.35</v>
      </c>
      <c r="M343" s="341"/>
      <c r="N343" s="342"/>
      <c r="P343" s="343"/>
      <c r="R343" s="250"/>
      <c r="S343" s="265"/>
    </row>
    <row r="344" s="164" customFormat="1" ht="24" customHeight="1" spans="1:19">
      <c r="A344" s="217"/>
      <c r="B344" s="202"/>
      <c r="C344" s="325" t="s">
        <v>1243</v>
      </c>
      <c r="D344" s="203" t="s">
        <v>1040</v>
      </c>
      <c r="E344" s="244"/>
      <c r="F344" s="330"/>
      <c r="G344" s="329">
        <v>14.22</v>
      </c>
      <c r="H344" s="325" t="s">
        <v>1040</v>
      </c>
      <c r="I344" s="212"/>
      <c r="J344" s="244">
        <v>22.41</v>
      </c>
      <c r="K344" s="332">
        <v>1.005</v>
      </c>
      <c r="L344" s="329">
        <v>5.35</v>
      </c>
      <c r="M344" s="341"/>
      <c r="N344" s="342"/>
      <c r="P344" s="343"/>
      <c r="R344" s="250"/>
      <c r="S344" s="265"/>
    </row>
    <row r="345" s="164" customFormat="1" ht="24" customHeight="1" spans="1:19">
      <c r="A345" s="217"/>
      <c r="B345" s="202"/>
      <c r="C345" s="325" t="s">
        <v>1244</v>
      </c>
      <c r="D345" s="203" t="s">
        <v>1040</v>
      </c>
      <c r="E345" s="244"/>
      <c r="F345" s="330"/>
      <c r="G345" s="329">
        <v>18.61</v>
      </c>
      <c r="H345" s="325" t="s">
        <v>1040</v>
      </c>
      <c r="I345" s="212"/>
      <c r="J345" s="244">
        <v>24.79</v>
      </c>
      <c r="K345" s="332">
        <v>1.005</v>
      </c>
      <c r="L345" s="329">
        <v>5.35</v>
      </c>
      <c r="M345" s="341"/>
      <c r="N345" s="342"/>
      <c r="P345" s="343"/>
      <c r="R345" s="250"/>
      <c r="S345" s="265"/>
    </row>
    <row r="346" s="164" customFormat="1" ht="24" customHeight="1" spans="1:19">
      <c r="A346" s="217"/>
      <c r="B346" s="202"/>
      <c r="C346" s="325" t="s">
        <v>1245</v>
      </c>
      <c r="D346" s="203" t="s">
        <v>1040</v>
      </c>
      <c r="E346" s="244"/>
      <c r="F346" s="330"/>
      <c r="G346" s="329">
        <v>24.63</v>
      </c>
      <c r="H346" s="325" t="s">
        <v>1040</v>
      </c>
      <c r="I346" s="212"/>
      <c r="J346" s="244">
        <v>24.79</v>
      </c>
      <c r="K346" s="332">
        <v>1.005</v>
      </c>
      <c r="L346" s="329">
        <v>6.55</v>
      </c>
      <c r="M346" s="341"/>
      <c r="N346" s="342"/>
      <c r="P346" s="343"/>
      <c r="R346" s="250"/>
      <c r="S346" s="265"/>
    </row>
    <row r="347" s="164" customFormat="1" ht="24" customHeight="1" spans="1:19">
      <c r="A347" s="217"/>
      <c r="B347" s="202"/>
      <c r="C347" s="325" t="s">
        <v>1246</v>
      </c>
      <c r="D347" s="203" t="s">
        <v>1040</v>
      </c>
      <c r="E347" s="244"/>
      <c r="F347" s="330"/>
      <c r="G347" s="329">
        <v>42.3</v>
      </c>
      <c r="H347" s="325" t="s">
        <v>1040</v>
      </c>
      <c r="I347" s="212"/>
      <c r="J347" s="244">
        <v>24.79</v>
      </c>
      <c r="K347" s="332">
        <v>1.005</v>
      </c>
      <c r="L347" s="329">
        <v>6.55</v>
      </c>
      <c r="M347" s="341"/>
      <c r="N347" s="342"/>
      <c r="P347" s="343"/>
      <c r="R347" s="250"/>
      <c r="S347" s="265"/>
    </row>
    <row r="348" s="164" customFormat="1" ht="24" customHeight="1" spans="1:19">
      <c r="A348" s="217"/>
      <c r="B348" s="202"/>
      <c r="C348" s="325" t="s">
        <v>1247</v>
      </c>
      <c r="D348" s="203" t="s">
        <v>1040</v>
      </c>
      <c r="E348" s="244"/>
      <c r="F348" s="330"/>
      <c r="G348" s="329">
        <v>50.3</v>
      </c>
      <c r="H348" s="325" t="s">
        <v>1040</v>
      </c>
      <c r="I348" s="212"/>
      <c r="J348" s="244">
        <v>24.79</v>
      </c>
      <c r="K348" s="332">
        <v>1.005</v>
      </c>
      <c r="L348" s="329">
        <v>6.55</v>
      </c>
      <c r="M348" s="341"/>
      <c r="N348" s="342"/>
      <c r="P348" s="343"/>
      <c r="R348" s="250"/>
      <c r="S348" s="265"/>
    </row>
    <row r="349" s="164" customFormat="1" ht="24" customHeight="1" spans="1:19">
      <c r="A349" s="217"/>
      <c r="B349" s="202"/>
      <c r="C349" s="325" t="s">
        <v>1248</v>
      </c>
      <c r="D349" s="203" t="s">
        <v>1040</v>
      </c>
      <c r="E349" s="244"/>
      <c r="F349" s="330"/>
      <c r="G349" s="329">
        <v>57</v>
      </c>
      <c r="H349" s="325" t="s">
        <v>1040</v>
      </c>
      <c r="I349" s="212"/>
      <c r="J349" s="244">
        <v>24.79</v>
      </c>
      <c r="K349" s="332">
        <v>1.005</v>
      </c>
      <c r="L349" s="329">
        <v>6.55</v>
      </c>
      <c r="M349" s="341"/>
      <c r="N349" s="342"/>
      <c r="P349" s="343"/>
      <c r="R349" s="250"/>
      <c r="S349" s="265"/>
    </row>
    <row r="350" s="164" customFormat="1" ht="24" customHeight="1" spans="1:19">
      <c r="A350" s="217"/>
      <c r="B350" s="202"/>
      <c r="C350" s="325" t="s">
        <v>1249</v>
      </c>
      <c r="D350" s="203" t="s">
        <v>1040</v>
      </c>
      <c r="E350" s="244"/>
      <c r="F350" s="330"/>
      <c r="G350" s="329">
        <v>57</v>
      </c>
      <c r="H350" s="325" t="s">
        <v>1040</v>
      </c>
      <c r="I350" s="212"/>
      <c r="J350" s="244">
        <v>35.48</v>
      </c>
      <c r="K350" s="332">
        <v>1.005</v>
      </c>
      <c r="L350" s="329">
        <v>9.3</v>
      </c>
      <c r="M350" s="341"/>
      <c r="N350" s="342"/>
      <c r="P350" s="343"/>
      <c r="R350" s="250"/>
      <c r="S350" s="265"/>
    </row>
    <row r="351" s="164" customFormat="1" ht="24" customHeight="1" spans="1:19">
      <c r="A351" s="217"/>
      <c r="B351" s="202"/>
      <c r="C351" s="325" t="s">
        <v>1250</v>
      </c>
      <c r="D351" s="203" t="s">
        <v>1040</v>
      </c>
      <c r="E351" s="244"/>
      <c r="F351" s="330"/>
      <c r="G351" s="329">
        <v>58.5</v>
      </c>
      <c r="H351" s="325" t="s">
        <v>1040</v>
      </c>
      <c r="I351" s="212"/>
      <c r="J351" s="244">
        <v>35.48</v>
      </c>
      <c r="K351" s="332">
        <v>1.005</v>
      </c>
      <c r="L351" s="329">
        <v>9.3</v>
      </c>
      <c r="M351" s="341"/>
      <c r="N351" s="342"/>
      <c r="P351" s="343"/>
      <c r="R351" s="250"/>
      <c r="S351" s="265"/>
    </row>
    <row r="352" s="164" customFormat="1" ht="24" customHeight="1" spans="1:19">
      <c r="A352" s="217"/>
      <c r="B352" s="202"/>
      <c r="C352" s="325" t="s">
        <v>1251</v>
      </c>
      <c r="D352" s="203" t="s">
        <v>1040</v>
      </c>
      <c r="E352" s="244"/>
      <c r="F352" s="330"/>
      <c r="G352" s="329">
        <v>60</v>
      </c>
      <c r="H352" s="325" t="s">
        <v>1040</v>
      </c>
      <c r="I352" s="212"/>
      <c r="J352" s="244">
        <v>35.48</v>
      </c>
      <c r="K352" s="332">
        <v>1.005</v>
      </c>
      <c r="L352" s="329">
        <v>9.3</v>
      </c>
      <c r="M352" s="341"/>
      <c r="N352" s="342"/>
      <c r="P352" s="343"/>
      <c r="R352" s="250"/>
      <c r="S352" s="265"/>
    </row>
    <row r="353" s="164" customFormat="1" ht="24" customHeight="1" spans="1:19">
      <c r="A353" s="217"/>
      <c r="B353" s="202"/>
      <c r="C353" s="325" t="s">
        <v>1252</v>
      </c>
      <c r="D353" s="203" t="s">
        <v>1040</v>
      </c>
      <c r="E353" s="244"/>
      <c r="F353" s="330"/>
      <c r="G353" s="329">
        <v>63.5</v>
      </c>
      <c r="H353" s="325" t="s">
        <v>1040</v>
      </c>
      <c r="I353" s="212"/>
      <c r="J353" s="244">
        <v>35.48</v>
      </c>
      <c r="K353" s="332">
        <v>1.01</v>
      </c>
      <c r="L353" s="329">
        <v>9.3</v>
      </c>
      <c r="M353" s="341"/>
      <c r="N353" s="342"/>
      <c r="P353" s="343"/>
      <c r="R353" s="250"/>
      <c r="S353" s="265"/>
    </row>
    <row r="354" s="164" customFormat="1" ht="24" customHeight="1" spans="1:19">
      <c r="A354" s="217"/>
      <c r="B354" s="202"/>
      <c r="C354" s="325" t="s">
        <v>1253</v>
      </c>
      <c r="D354" s="203" t="s">
        <v>1040</v>
      </c>
      <c r="E354" s="244"/>
      <c r="F354" s="330"/>
      <c r="G354" s="329">
        <v>80.8</v>
      </c>
      <c r="H354" s="325" t="s">
        <v>1040</v>
      </c>
      <c r="I354" s="212"/>
      <c r="J354" s="244">
        <v>35.48</v>
      </c>
      <c r="K354" s="332">
        <v>1.01</v>
      </c>
      <c r="L354" s="329">
        <v>9.3</v>
      </c>
      <c r="M354" s="341"/>
      <c r="N354" s="342"/>
      <c r="P354" s="343"/>
      <c r="R354" s="250"/>
      <c r="S354" s="265"/>
    </row>
    <row r="355" s="164" customFormat="1" ht="24" customHeight="1" spans="1:19">
      <c r="A355" s="217"/>
      <c r="B355" s="202"/>
      <c r="C355" s="325" t="s">
        <v>1254</v>
      </c>
      <c r="D355" s="203" t="s">
        <v>1040</v>
      </c>
      <c r="E355" s="244"/>
      <c r="F355" s="330"/>
      <c r="G355" s="329">
        <v>88.6</v>
      </c>
      <c r="H355" s="325" t="s">
        <v>1040</v>
      </c>
      <c r="I355" s="212"/>
      <c r="J355" s="244">
        <v>35.48</v>
      </c>
      <c r="K355" s="332">
        <v>1.01</v>
      </c>
      <c r="L355" s="329">
        <v>9.3</v>
      </c>
      <c r="M355" s="341"/>
      <c r="N355" s="342"/>
      <c r="P355" s="343"/>
      <c r="R355" s="250"/>
      <c r="S355" s="265"/>
    </row>
    <row r="356" s="164" customFormat="1" ht="24" customHeight="1" spans="1:19">
      <c r="A356" s="217"/>
      <c r="B356" s="202"/>
      <c r="C356" s="325" t="s">
        <v>1255</v>
      </c>
      <c r="D356" s="203" t="s">
        <v>1040</v>
      </c>
      <c r="E356" s="244"/>
      <c r="F356" s="330"/>
      <c r="G356" s="329">
        <v>95.3</v>
      </c>
      <c r="H356" s="325" t="s">
        <v>1040</v>
      </c>
      <c r="I356" s="212"/>
      <c r="J356" s="244">
        <v>39.6</v>
      </c>
      <c r="K356" s="332">
        <v>1.01</v>
      </c>
      <c r="L356" s="329">
        <v>13.19</v>
      </c>
      <c r="M356" s="341"/>
      <c r="N356" s="342"/>
      <c r="P356" s="343"/>
      <c r="R356" s="250"/>
      <c r="S356" s="265"/>
    </row>
    <row r="357" s="164" customFormat="1" ht="24" customHeight="1" spans="1:19">
      <c r="A357" s="217"/>
      <c r="B357" s="202"/>
      <c r="C357" s="325" t="s">
        <v>1256</v>
      </c>
      <c r="D357" s="203" t="s">
        <v>1040</v>
      </c>
      <c r="E357" s="244"/>
      <c r="F357" s="330"/>
      <c r="G357" s="329">
        <v>99.3</v>
      </c>
      <c r="H357" s="325" t="s">
        <v>1040</v>
      </c>
      <c r="I357" s="212"/>
      <c r="J357" s="244">
        <v>42</v>
      </c>
      <c r="K357" s="332">
        <v>1.01</v>
      </c>
      <c r="L357" s="329">
        <v>13.19</v>
      </c>
      <c r="M357" s="341"/>
      <c r="N357" s="342"/>
      <c r="P357" s="343"/>
      <c r="R357" s="250"/>
      <c r="S357" s="265"/>
    </row>
    <row r="358" s="164" customFormat="1" ht="24" customHeight="1" spans="1:19">
      <c r="A358" s="217"/>
      <c r="B358" s="202"/>
      <c r="C358" s="325" t="s">
        <v>1257</v>
      </c>
      <c r="D358" s="203" t="s">
        <v>1040</v>
      </c>
      <c r="E358" s="244"/>
      <c r="F358" s="330"/>
      <c r="G358" s="329">
        <v>95.3</v>
      </c>
      <c r="H358" s="325" t="s">
        <v>1040</v>
      </c>
      <c r="I358" s="212"/>
      <c r="J358" s="244">
        <v>42</v>
      </c>
      <c r="K358" s="332">
        <v>1.01</v>
      </c>
      <c r="L358" s="329">
        <v>13.19</v>
      </c>
      <c r="M358" s="341"/>
      <c r="N358" s="342"/>
      <c r="P358" s="343"/>
      <c r="R358" s="250"/>
      <c r="S358" s="265"/>
    </row>
    <row r="359" s="164" customFormat="1" ht="24" customHeight="1" spans="1:19">
      <c r="A359" s="217"/>
      <c r="B359" s="202"/>
      <c r="C359" s="325" t="s">
        <v>1258</v>
      </c>
      <c r="D359" s="203" t="s">
        <v>1040</v>
      </c>
      <c r="E359" s="244"/>
      <c r="F359" s="330"/>
      <c r="G359" s="329">
        <v>106.3</v>
      </c>
      <c r="H359" s="325" t="s">
        <v>1040</v>
      </c>
      <c r="I359" s="212"/>
      <c r="J359" s="244">
        <v>52.01</v>
      </c>
      <c r="K359" s="332">
        <v>1.01</v>
      </c>
      <c r="L359" s="329">
        <v>13.19</v>
      </c>
      <c r="M359" s="341"/>
      <c r="N359" s="342"/>
      <c r="P359" s="343"/>
      <c r="R359" s="250"/>
      <c r="S359" s="265"/>
    </row>
    <row r="360" s="164" customFormat="1" ht="24" customHeight="1" spans="1:19">
      <c r="A360" s="217"/>
      <c r="B360" s="202"/>
      <c r="C360" s="325" t="s">
        <v>1259</v>
      </c>
      <c r="D360" s="203" t="s">
        <v>1040</v>
      </c>
      <c r="E360" s="244"/>
      <c r="F360" s="330"/>
      <c r="G360" s="329">
        <v>106.3</v>
      </c>
      <c r="H360" s="325" t="s">
        <v>1040</v>
      </c>
      <c r="I360" s="212"/>
      <c r="J360" s="244">
        <v>52.01</v>
      </c>
      <c r="K360" s="332">
        <v>1.01</v>
      </c>
      <c r="L360" s="329">
        <v>13.19</v>
      </c>
      <c r="M360" s="341"/>
      <c r="N360" s="342"/>
      <c r="P360" s="343"/>
      <c r="R360" s="250"/>
      <c r="S360" s="265"/>
    </row>
    <row r="361" s="164" customFormat="1" ht="24" customHeight="1" spans="1:19">
      <c r="A361" s="217"/>
      <c r="B361" s="202"/>
      <c r="C361" s="325" t="s">
        <v>1260</v>
      </c>
      <c r="D361" s="203" t="s">
        <v>1040</v>
      </c>
      <c r="E361" s="244"/>
      <c r="F361" s="330"/>
      <c r="G361" s="329">
        <v>127</v>
      </c>
      <c r="H361" s="325" t="s">
        <v>1040</v>
      </c>
      <c r="I361" s="212"/>
      <c r="J361" s="244">
        <v>58.45</v>
      </c>
      <c r="K361" s="332">
        <v>1.01</v>
      </c>
      <c r="L361" s="329">
        <v>13.19</v>
      </c>
      <c r="M361" s="341"/>
      <c r="N361" s="342"/>
      <c r="P361" s="343"/>
      <c r="R361" s="250"/>
      <c r="S361" s="265"/>
    </row>
    <row r="362" s="164" customFormat="1" ht="24" customHeight="1" spans="1:19">
      <c r="A362" s="217"/>
      <c r="B362" s="202"/>
      <c r="C362" s="325" t="s">
        <v>1261</v>
      </c>
      <c r="D362" s="203" t="s">
        <v>1040</v>
      </c>
      <c r="E362" s="244"/>
      <c r="F362" s="330"/>
      <c r="G362" s="329">
        <v>150.3</v>
      </c>
      <c r="H362" s="325" t="s">
        <v>1040</v>
      </c>
      <c r="I362" s="212"/>
      <c r="J362" s="244">
        <v>74.38</v>
      </c>
      <c r="K362" s="332">
        <v>1.01</v>
      </c>
      <c r="L362" s="329">
        <v>17.12</v>
      </c>
      <c r="M362" s="341"/>
      <c r="N362" s="342"/>
      <c r="P362" s="343"/>
      <c r="R362" s="250"/>
      <c r="S362" s="265"/>
    </row>
    <row r="363" s="164" customFormat="1" ht="24" customHeight="1" spans="1:19">
      <c r="A363" s="217"/>
      <c r="B363" s="202"/>
      <c r="C363" s="325" t="s">
        <v>1262</v>
      </c>
      <c r="D363" s="203" t="s">
        <v>1040</v>
      </c>
      <c r="E363" s="244"/>
      <c r="F363" s="330"/>
      <c r="G363" s="329">
        <v>150.3</v>
      </c>
      <c r="H363" s="325" t="s">
        <v>1040</v>
      </c>
      <c r="I363" s="212"/>
      <c r="J363" s="244">
        <v>74.38</v>
      </c>
      <c r="K363" s="332">
        <v>1.01</v>
      </c>
      <c r="L363" s="329">
        <v>17.12</v>
      </c>
      <c r="M363" s="341"/>
      <c r="N363" s="342"/>
      <c r="P363" s="343"/>
      <c r="R363" s="250"/>
      <c r="S363" s="265"/>
    </row>
    <row r="364" s="164" customFormat="1" ht="24" customHeight="1" spans="1:19">
      <c r="A364" s="217"/>
      <c r="B364" s="202"/>
      <c r="C364" s="325" t="s">
        <v>1263</v>
      </c>
      <c r="D364" s="203" t="s">
        <v>1264</v>
      </c>
      <c r="E364" s="244"/>
      <c r="F364" s="330"/>
      <c r="G364" s="329">
        <v>20</v>
      </c>
      <c r="H364" s="325" t="s">
        <v>1264</v>
      </c>
      <c r="I364" s="212"/>
      <c r="J364" s="244">
        <v>30</v>
      </c>
      <c r="K364" s="332">
        <v>1.08</v>
      </c>
      <c r="L364" s="329">
        <v>2.6</v>
      </c>
      <c r="M364" s="341"/>
      <c r="N364" s="342"/>
      <c r="P364" s="343"/>
      <c r="R364" s="250"/>
      <c r="S364" s="265"/>
    </row>
    <row r="365" s="164" customFormat="1" ht="24" customHeight="1" spans="1:19">
      <c r="A365" s="217"/>
      <c r="B365" s="295" t="s">
        <v>1265</v>
      </c>
      <c r="C365" s="325" t="s">
        <v>1266</v>
      </c>
      <c r="D365" s="203" t="s">
        <v>1040</v>
      </c>
      <c r="E365" s="244"/>
      <c r="F365" s="330"/>
      <c r="G365" s="329">
        <v>3.02</v>
      </c>
      <c r="H365" s="325" t="s">
        <v>1040</v>
      </c>
      <c r="I365" s="212"/>
      <c r="J365" s="244">
        <v>4.02</v>
      </c>
      <c r="K365" s="332">
        <v>1.03</v>
      </c>
      <c r="L365" s="329">
        <v>0.98</v>
      </c>
      <c r="M365" s="329"/>
      <c r="N365" s="342"/>
      <c r="P365" s="343"/>
      <c r="R365" s="250"/>
      <c r="S365" s="265"/>
    </row>
    <row r="366" s="164" customFormat="1" ht="24" customHeight="1" spans="1:19">
      <c r="A366" s="217"/>
      <c r="B366" s="202"/>
      <c r="C366" s="325" t="s">
        <v>1267</v>
      </c>
      <c r="D366" s="203" t="s">
        <v>1040</v>
      </c>
      <c r="E366" s="244"/>
      <c r="F366" s="330"/>
      <c r="G366" s="329">
        <v>4.09</v>
      </c>
      <c r="H366" s="325" t="s">
        <v>1040</v>
      </c>
      <c r="I366" s="212"/>
      <c r="J366" s="244">
        <v>4.82</v>
      </c>
      <c r="K366" s="332">
        <v>1.03</v>
      </c>
      <c r="L366" s="329">
        <v>1.18</v>
      </c>
      <c r="M366" s="341"/>
      <c r="N366" s="342"/>
      <c r="P366" s="343"/>
      <c r="R366" s="250"/>
      <c r="S366" s="265"/>
    </row>
    <row r="367" s="164" customFormat="1" ht="24" customHeight="1" spans="1:19">
      <c r="A367" s="217"/>
      <c r="B367" s="202"/>
      <c r="C367" s="325" t="s">
        <v>1268</v>
      </c>
      <c r="D367" s="203" t="s">
        <v>1040</v>
      </c>
      <c r="E367" s="244"/>
      <c r="F367" s="330"/>
      <c r="G367" s="329">
        <v>5.19</v>
      </c>
      <c r="H367" s="325" t="s">
        <v>1040</v>
      </c>
      <c r="I367" s="212"/>
      <c r="J367" s="244">
        <v>6.43</v>
      </c>
      <c r="K367" s="332">
        <v>1.03</v>
      </c>
      <c r="L367" s="329">
        <v>1.86</v>
      </c>
      <c r="M367" s="341"/>
      <c r="N367" s="342"/>
      <c r="P367" s="343"/>
      <c r="R367" s="250"/>
      <c r="S367" s="265"/>
    </row>
    <row r="368" s="164" customFormat="1" ht="24" customHeight="1" spans="1:19">
      <c r="A368" s="217"/>
      <c r="B368" s="202"/>
      <c r="C368" s="325" t="s">
        <v>1269</v>
      </c>
      <c r="D368" s="203" t="s">
        <v>1040</v>
      </c>
      <c r="E368" s="244"/>
      <c r="F368" s="330"/>
      <c r="G368" s="329">
        <v>7.32</v>
      </c>
      <c r="H368" s="325" t="s">
        <v>1040</v>
      </c>
      <c r="I368" s="212"/>
      <c r="J368" s="244">
        <v>6.43</v>
      </c>
      <c r="K368" s="332">
        <v>1.03</v>
      </c>
      <c r="L368" s="329">
        <v>2.24</v>
      </c>
      <c r="M368" s="341"/>
      <c r="N368" s="342"/>
      <c r="P368" s="343"/>
      <c r="R368" s="250"/>
      <c r="S368" s="265"/>
    </row>
    <row r="369" s="164" customFormat="1" ht="24" customHeight="1" spans="1:19">
      <c r="A369" s="217"/>
      <c r="B369" s="202"/>
      <c r="C369" s="325" t="s">
        <v>1270</v>
      </c>
      <c r="D369" s="203" t="s">
        <v>1040</v>
      </c>
      <c r="E369" s="244"/>
      <c r="F369" s="330"/>
      <c r="G369" s="329">
        <v>9.36</v>
      </c>
      <c r="H369" s="325" t="s">
        <v>1040</v>
      </c>
      <c r="I369" s="212"/>
      <c r="J369" s="244">
        <v>8.84</v>
      </c>
      <c r="K369" s="332">
        <v>1.03</v>
      </c>
      <c r="L369" s="329">
        <v>2.66</v>
      </c>
      <c r="M369" s="341"/>
      <c r="N369" s="342"/>
      <c r="P369" s="343"/>
      <c r="R369" s="250"/>
      <c r="S369" s="265"/>
    </row>
    <row r="370" s="164" customFormat="1" ht="24" customHeight="1" spans="1:19">
      <c r="A370" s="217"/>
      <c r="B370" s="202"/>
      <c r="C370" s="325" t="s">
        <v>1271</v>
      </c>
      <c r="D370" s="203" t="s">
        <v>1040</v>
      </c>
      <c r="E370" s="244"/>
      <c r="F370" s="330"/>
      <c r="G370" s="329">
        <v>3.02</v>
      </c>
      <c r="H370" s="325" t="s">
        <v>1040</v>
      </c>
      <c r="I370" s="212"/>
      <c r="J370" s="244">
        <v>7.12</v>
      </c>
      <c r="K370" s="332">
        <v>1.03</v>
      </c>
      <c r="L370" s="329">
        <v>2.44</v>
      </c>
      <c r="M370" s="341"/>
      <c r="N370" s="342"/>
      <c r="P370" s="343"/>
      <c r="R370" s="250"/>
      <c r="S370" s="265"/>
    </row>
    <row r="371" s="164" customFormat="1" ht="24" customHeight="1" spans="1:19">
      <c r="A371" s="217"/>
      <c r="B371" s="202"/>
      <c r="C371" s="325" t="s">
        <v>1272</v>
      </c>
      <c r="D371" s="203" t="s">
        <v>1040</v>
      </c>
      <c r="E371" s="244"/>
      <c r="F371" s="330"/>
      <c r="G371" s="329">
        <v>4.09</v>
      </c>
      <c r="H371" s="325" t="s">
        <v>1040</v>
      </c>
      <c r="I371" s="212"/>
      <c r="J371" s="244">
        <v>7.12</v>
      </c>
      <c r="K371" s="332">
        <v>1.03</v>
      </c>
      <c r="L371" s="329">
        <v>2.28</v>
      </c>
      <c r="M371" s="341"/>
      <c r="N371" s="342"/>
      <c r="P371" s="343"/>
      <c r="R371" s="250"/>
      <c r="S371" s="265"/>
    </row>
    <row r="372" s="164" customFormat="1" ht="24" customHeight="1" spans="1:19">
      <c r="A372" s="217"/>
      <c r="B372" s="202"/>
      <c r="C372" s="325" t="s">
        <v>1273</v>
      </c>
      <c r="D372" s="203" t="s">
        <v>1040</v>
      </c>
      <c r="E372" s="244"/>
      <c r="F372" s="330"/>
      <c r="G372" s="329">
        <v>5.19</v>
      </c>
      <c r="H372" s="325" t="s">
        <v>1040</v>
      </c>
      <c r="I372" s="212"/>
      <c r="J372" s="244">
        <v>8.04</v>
      </c>
      <c r="K372" s="332">
        <v>1.03</v>
      </c>
      <c r="L372" s="329">
        <v>1.93</v>
      </c>
      <c r="M372" s="341"/>
      <c r="N372" s="342"/>
      <c r="P372" s="343"/>
      <c r="R372" s="250"/>
      <c r="S372" s="265"/>
    </row>
    <row r="373" s="164" customFormat="1" ht="24" customHeight="1" spans="1:19">
      <c r="A373" s="217"/>
      <c r="B373" s="202"/>
      <c r="C373" s="325" t="s">
        <v>1274</v>
      </c>
      <c r="D373" s="203" t="s">
        <v>1040</v>
      </c>
      <c r="E373" s="244"/>
      <c r="F373" s="330"/>
      <c r="G373" s="329">
        <v>7.32</v>
      </c>
      <c r="H373" s="325" t="s">
        <v>1040</v>
      </c>
      <c r="I373" s="212"/>
      <c r="J373" s="244">
        <v>8.04</v>
      </c>
      <c r="K373" s="332">
        <v>1.03</v>
      </c>
      <c r="L373" s="329">
        <v>2.28</v>
      </c>
      <c r="M373" s="341"/>
      <c r="N373" s="342"/>
      <c r="P373" s="343"/>
      <c r="R373" s="250"/>
      <c r="S373" s="265"/>
    </row>
    <row r="374" s="164" customFormat="1" ht="24" customHeight="1" spans="1:19">
      <c r="A374" s="217"/>
      <c r="B374" s="202"/>
      <c r="C374" s="325" t="s">
        <v>1275</v>
      </c>
      <c r="D374" s="203" t="s">
        <v>1040</v>
      </c>
      <c r="E374" s="244"/>
      <c r="F374" s="330"/>
      <c r="G374" s="329">
        <v>9.36</v>
      </c>
      <c r="H374" s="325" t="s">
        <v>1040</v>
      </c>
      <c r="I374" s="212"/>
      <c r="J374" s="244">
        <v>9.65</v>
      </c>
      <c r="K374" s="332">
        <v>1.03</v>
      </c>
      <c r="L374" s="329">
        <v>3.95</v>
      </c>
      <c r="M374" s="341"/>
      <c r="N374" s="342"/>
      <c r="P374" s="343"/>
      <c r="R374" s="250"/>
      <c r="S374" s="265"/>
    </row>
    <row r="375" s="164" customFormat="1" ht="24" customHeight="1" spans="1:19">
      <c r="A375" s="217"/>
      <c r="B375" s="202"/>
      <c r="C375" s="325" t="s">
        <v>1276</v>
      </c>
      <c r="D375" s="203" t="s">
        <v>1040</v>
      </c>
      <c r="E375" s="244"/>
      <c r="F375" s="330"/>
      <c r="G375" s="329">
        <v>6.6</v>
      </c>
      <c r="H375" s="325" t="s">
        <v>1040</v>
      </c>
      <c r="I375" s="212"/>
      <c r="J375" s="244">
        <v>5.19</v>
      </c>
      <c r="K375" s="332">
        <v>1.03</v>
      </c>
      <c r="L375" s="329">
        <v>0.75</v>
      </c>
      <c r="M375" s="341"/>
      <c r="N375" s="342"/>
      <c r="P375" s="343"/>
      <c r="R375" s="250"/>
      <c r="S375" s="265"/>
    </row>
    <row r="376" s="164" customFormat="1" ht="24" customHeight="1" spans="1:19">
      <c r="A376" s="217"/>
      <c r="B376" s="202"/>
      <c r="C376" s="325" t="s">
        <v>1277</v>
      </c>
      <c r="D376" s="203" t="s">
        <v>1040</v>
      </c>
      <c r="E376" s="244"/>
      <c r="F376" s="330"/>
      <c r="G376" s="329">
        <v>8.61</v>
      </c>
      <c r="H376" s="325" t="s">
        <v>1040</v>
      </c>
      <c r="I376" s="212"/>
      <c r="J376" s="244">
        <v>5.62</v>
      </c>
      <c r="K376" s="332">
        <v>1.03</v>
      </c>
      <c r="L376" s="329">
        <v>1.56</v>
      </c>
      <c r="M376" s="341"/>
      <c r="N376" s="342"/>
      <c r="P376" s="343"/>
      <c r="R376" s="250"/>
      <c r="S376" s="265"/>
    </row>
    <row r="377" s="164" customFormat="1" ht="24" customHeight="1" spans="1:19">
      <c r="A377" s="217"/>
      <c r="B377" s="202"/>
      <c r="C377" s="325" t="s">
        <v>1278</v>
      </c>
      <c r="D377" s="203" t="s">
        <v>1040</v>
      </c>
      <c r="E377" s="244"/>
      <c r="F377" s="330"/>
      <c r="G377" s="329">
        <v>12.78</v>
      </c>
      <c r="H377" s="325" t="s">
        <v>1040</v>
      </c>
      <c r="I377" s="212"/>
      <c r="J377" s="244">
        <v>6.71</v>
      </c>
      <c r="K377" s="332">
        <v>1.03</v>
      </c>
      <c r="L377" s="329">
        <v>1.56</v>
      </c>
      <c r="M377" s="341"/>
      <c r="N377" s="342"/>
      <c r="P377" s="343"/>
      <c r="R377" s="250"/>
      <c r="S377" s="265"/>
    </row>
    <row r="378" s="164" customFormat="1" ht="24" customHeight="1" spans="1:19">
      <c r="A378" s="217"/>
      <c r="B378" s="202"/>
      <c r="C378" s="325" t="s">
        <v>1279</v>
      </c>
      <c r="D378" s="203" t="s">
        <v>1040</v>
      </c>
      <c r="E378" s="244"/>
      <c r="F378" s="330"/>
      <c r="G378" s="329">
        <v>16.53</v>
      </c>
      <c r="H378" s="325" t="s">
        <v>1040</v>
      </c>
      <c r="I378" s="212"/>
      <c r="J378" s="244">
        <v>6.69</v>
      </c>
      <c r="K378" s="332">
        <v>1.03</v>
      </c>
      <c r="L378" s="329">
        <v>2.32</v>
      </c>
      <c r="M378" s="341"/>
      <c r="N378" s="342"/>
      <c r="P378" s="343"/>
      <c r="R378" s="250"/>
      <c r="S378" s="265"/>
    </row>
    <row r="379" s="164" customFormat="1" ht="24" customHeight="1" spans="1:19">
      <c r="A379" s="217"/>
      <c r="B379" s="202"/>
      <c r="C379" s="325" t="s">
        <v>1280</v>
      </c>
      <c r="D379" s="203" t="s">
        <v>1040</v>
      </c>
      <c r="E379" s="244"/>
      <c r="F379" s="330"/>
      <c r="G379" s="329">
        <v>20.28</v>
      </c>
      <c r="H379" s="325" t="s">
        <v>1040</v>
      </c>
      <c r="I379" s="212"/>
      <c r="J379" s="244">
        <v>10.75</v>
      </c>
      <c r="K379" s="332">
        <v>1.03</v>
      </c>
      <c r="L379" s="329">
        <v>3.25</v>
      </c>
      <c r="M379" s="341"/>
      <c r="N379" s="342"/>
      <c r="P379" s="343"/>
      <c r="R379" s="250"/>
      <c r="S379" s="265"/>
    </row>
    <row r="380" s="164" customFormat="1" ht="24" customHeight="1" spans="1:19">
      <c r="A380" s="217"/>
      <c r="B380" s="202"/>
      <c r="C380" s="325" t="s">
        <v>1281</v>
      </c>
      <c r="D380" s="203" t="s">
        <v>1040</v>
      </c>
      <c r="E380" s="244"/>
      <c r="F380" s="330"/>
      <c r="G380" s="329">
        <v>25.77</v>
      </c>
      <c r="H380" s="325" t="s">
        <v>1040</v>
      </c>
      <c r="I380" s="212"/>
      <c r="J380" s="244">
        <v>10.95</v>
      </c>
      <c r="K380" s="332">
        <v>1.03</v>
      </c>
      <c r="L380" s="329">
        <v>4.12</v>
      </c>
      <c r="M380" s="341"/>
      <c r="N380" s="342"/>
      <c r="P380" s="343"/>
      <c r="R380" s="250"/>
      <c r="S380" s="265"/>
    </row>
    <row r="381" s="164" customFormat="1" ht="24" customHeight="1" spans="1:19">
      <c r="A381" s="217"/>
      <c r="B381" s="202"/>
      <c r="C381" s="325" t="s">
        <v>1282</v>
      </c>
      <c r="D381" s="203" t="s">
        <v>1040</v>
      </c>
      <c r="E381" s="244"/>
      <c r="F381" s="330"/>
      <c r="G381" s="329">
        <v>35.06</v>
      </c>
      <c r="H381" s="325" t="s">
        <v>1040</v>
      </c>
      <c r="I381" s="212"/>
      <c r="J381" s="244">
        <v>17.76</v>
      </c>
      <c r="K381" s="332">
        <v>1.03</v>
      </c>
      <c r="L381" s="329">
        <v>5.08</v>
      </c>
      <c r="M381" s="341"/>
      <c r="N381" s="342"/>
      <c r="P381" s="343"/>
      <c r="R381" s="250"/>
      <c r="S381" s="265"/>
    </row>
    <row r="382" s="164" customFormat="1" ht="24" customHeight="1" spans="1:19">
      <c r="A382" s="217"/>
      <c r="B382" s="202"/>
      <c r="C382" s="325" t="s">
        <v>1283</v>
      </c>
      <c r="D382" s="203" t="s">
        <v>1040</v>
      </c>
      <c r="E382" s="244"/>
      <c r="F382" s="330"/>
      <c r="G382" s="329">
        <v>35.06</v>
      </c>
      <c r="H382" s="325" t="s">
        <v>1040</v>
      </c>
      <c r="I382" s="212"/>
      <c r="J382" s="244">
        <v>20.99</v>
      </c>
      <c r="K382" s="332">
        <v>1.03</v>
      </c>
      <c r="L382" s="329">
        <v>5.68</v>
      </c>
      <c r="M382" s="341"/>
      <c r="N382" s="342"/>
      <c r="P382" s="343"/>
      <c r="R382" s="250"/>
      <c r="S382" s="265"/>
    </row>
    <row r="383" s="164" customFormat="1" ht="24" customHeight="1" spans="1:19">
      <c r="A383" s="217"/>
      <c r="B383" s="202"/>
      <c r="C383" s="325" t="s">
        <v>1284</v>
      </c>
      <c r="D383" s="203" t="s">
        <v>1040</v>
      </c>
      <c r="E383" s="244"/>
      <c r="F383" s="330"/>
      <c r="G383" s="329">
        <v>49.16</v>
      </c>
      <c r="H383" s="325" t="s">
        <v>1040</v>
      </c>
      <c r="I383" s="212"/>
      <c r="J383" s="244">
        <v>23.14</v>
      </c>
      <c r="K383" s="332">
        <v>1.03</v>
      </c>
      <c r="L383" s="329">
        <v>6.02</v>
      </c>
      <c r="M383" s="341"/>
      <c r="N383" s="342"/>
      <c r="P383" s="343"/>
      <c r="R383" s="250"/>
      <c r="S383" s="265"/>
    </row>
    <row r="384" s="164" customFormat="1" ht="24" customHeight="1" spans="1:19">
      <c r="A384" s="217"/>
      <c r="B384" s="202"/>
      <c r="C384" s="325" t="s">
        <v>1285</v>
      </c>
      <c r="D384" s="203" t="s">
        <v>1040</v>
      </c>
      <c r="E384" s="244"/>
      <c r="F384" s="330"/>
      <c r="G384" s="329">
        <v>48</v>
      </c>
      <c r="H384" s="325" t="s">
        <v>1040</v>
      </c>
      <c r="I384" s="212"/>
      <c r="J384" s="244">
        <v>24.45</v>
      </c>
      <c r="K384" s="332">
        <v>1.03</v>
      </c>
      <c r="L384" s="329">
        <v>6.87</v>
      </c>
      <c r="M384" s="341"/>
      <c r="N384" s="342"/>
      <c r="P384" s="343"/>
      <c r="R384" s="250"/>
      <c r="S384" s="265"/>
    </row>
    <row r="385" s="164" customFormat="1" ht="24" customHeight="1" spans="1:19">
      <c r="A385" s="217"/>
      <c r="B385" s="202"/>
      <c r="C385" s="325" t="s">
        <v>1286</v>
      </c>
      <c r="D385" s="203" t="s">
        <v>1040</v>
      </c>
      <c r="E385" s="244"/>
      <c r="F385" s="330"/>
      <c r="G385" s="329">
        <v>77.98</v>
      </c>
      <c r="H385" s="325" t="s">
        <v>1040</v>
      </c>
      <c r="I385" s="212"/>
      <c r="J385" s="244">
        <v>27.38</v>
      </c>
      <c r="K385" s="332">
        <v>1.03</v>
      </c>
      <c r="L385" s="329">
        <v>7.28</v>
      </c>
      <c r="M385" s="341"/>
      <c r="N385" s="342"/>
      <c r="P385" s="343"/>
      <c r="R385" s="250"/>
      <c r="S385" s="265"/>
    </row>
    <row r="386" s="164" customFormat="1" ht="24" customHeight="1" spans="1:19">
      <c r="A386" s="217"/>
      <c r="B386" s="202"/>
      <c r="C386" s="325" t="s">
        <v>1287</v>
      </c>
      <c r="D386" s="203" t="s">
        <v>1040</v>
      </c>
      <c r="E386" s="244"/>
      <c r="F386" s="330"/>
      <c r="G386" s="329">
        <v>6.6</v>
      </c>
      <c r="H386" s="325" t="s">
        <v>1040</v>
      </c>
      <c r="I386" s="212"/>
      <c r="J386" s="244">
        <v>6.33</v>
      </c>
      <c r="K386" s="332">
        <v>1.03</v>
      </c>
      <c r="L386" s="329">
        <v>0.94</v>
      </c>
      <c r="M386" s="341"/>
      <c r="N386" s="342"/>
      <c r="P386" s="343"/>
      <c r="R386" s="250"/>
      <c r="S386" s="265"/>
    </row>
    <row r="387" s="164" customFormat="1" ht="24" customHeight="1" spans="1:19">
      <c r="A387" s="217"/>
      <c r="B387" s="202"/>
      <c r="C387" s="325" t="s">
        <v>1288</v>
      </c>
      <c r="D387" s="203" t="s">
        <v>1040</v>
      </c>
      <c r="E387" s="244"/>
      <c r="F387" s="330"/>
      <c r="G387" s="329">
        <v>8.61</v>
      </c>
      <c r="H387" s="325" t="s">
        <v>1040</v>
      </c>
      <c r="I387" s="212"/>
      <c r="J387" s="244">
        <v>6.86</v>
      </c>
      <c r="K387" s="332">
        <v>1.03</v>
      </c>
      <c r="L387" s="329">
        <v>4.95</v>
      </c>
      <c r="M387" s="341"/>
      <c r="N387" s="342"/>
      <c r="P387" s="343"/>
      <c r="R387" s="250"/>
      <c r="S387" s="265"/>
    </row>
    <row r="388" s="164" customFormat="1" ht="24" customHeight="1" spans="1:19">
      <c r="A388" s="217"/>
      <c r="B388" s="202"/>
      <c r="C388" s="325" t="s">
        <v>1289</v>
      </c>
      <c r="D388" s="203" t="s">
        <v>1040</v>
      </c>
      <c r="E388" s="244"/>
      <c r="F388" s="330"/>
      <c r="G388" s="329">
        <v>12.78</v>
      </c>
      <c r="H388" s="325" t="s">
        <v>1040</v>
      </c>
      <c r="I388" s="212"/>
      <c r="J388" s="244">
        <v>8.19</v>
      </c>
      <c r="K388" s="332">
        <v>1.03</v>
      </c>
      <c r="L388" s="329">
        <v>1.95</v>
      </c>
      <c r="M388" s="341"/>
      <c r="N388" s="342"/>
      <c r="P388" s="343"/>
      <c r="R388" s="250"/>
      <c r="S388" s="265"/>
    </row>
    <row r="389" s="164" customFormat="1" ht="24" customHeight="1" spans="1:19">
      <c r="A389" s="217"/>
      <c r="B389" s="202"/>
      <c r="C389" s="325" t="s">
        <v>1290</v>
      </c>
      <c r="D389" s="203" t="s">
        <v>1040</v>
      </c>
      <c r="E389" s="244"/>
      <c r="F389" s="330"/>
      <c r="G389" s="329">
        <v>16.53</v>
      </c>
      <c r="H389" s="325" t="s">
        <v>1040</v>
      </c>
      <c r="I389" s="212"/>
      <c r="J389" s="244">
        <v>8.16</v>
      </c>
      <c r="K389" s="332">
        <v>1.03</v>
      </c>
      <c r="L389" s="329">
        <v>2.9</v>
      </c>
      <c r="M389" s="341"/>
      <c r="N389" s="342"/>
      <c r="P389" s="343"/>
      <c r="R389" s="250"/>
      <c r="S389" s="265"/>
    </row>
    <row r="390" s="164" customFormat="1" ht="24" customHeight="1" spans="1:19">
      <c r="A390" s="217"/>
      <c r="B390" s="202"/>
      <c r="C390" s="325" t="s">
        <v>1291</v>
      </c>
      <c r="D390" s="203" t="s">
        <v>1040</v>
      </c>
      <c r="E390" s="244"/>
      <c r="F390" s="330"/>
      <c r="G390" s="329">
        <v>20.28</v>
      </c>
      <c r="H390" s="325" t="s">
        <v>1040</v>
      </c>
      <c r="I390" s="212"/>
      <c r="J390" s="244">
        <v>13.12</v>
      </c>
      <c r="K390" s="332">
        <v>1.03</v>
      </c>
      <c r="L390" s="329">
        <v>4.06</v>
      </c>
      <c r="M390" s="341"/>
      <c r="N390" s="342"/>
      <c r="P390" s="343"/>
      <c r="R390" s="250"/>
      <c r="S390" s="265"/>
    </row>
    <row r="391" s="164" customFormat="1" ht="24" customHeight="1" spans="1:19">
      <c r="A391" s="217"/>
      <c r="B391" s="202"/>
      <c r="C391" s="325" t="s">
        <v>1292</v>
      </c>
      <c r="D391" s="203" t="s">
        <v>1040</v>
      </c>
      <c r="E391" s="244"/>
      <c r="F391" s="330"/>
      <c r="G391" s="329">
        <v>25.77</v>
      </c>
      <c r="H391" s="325" t="s">
        <v>1040</v>
      </c>
      <c r="I391" s="212"/>
      <c r="J391" s="244">
        <v>13.37</v>
      </c>
      <c r="K391" s="332">
        <v>1.03</v>
      </c>
      <c r="L391" s="329">
        <v>5.15</v>
      </c>
      <c r="M391" s="341"/>
      <c r="N391" s="342"/>
      <c r="P391" s="343"/>
      <c r="R391" s="250"/>
      <c r="S391" s="265"/>
    </row>
    <row r="392" s="164" customFormat="1" ht="24" customHeight="1" spans="1:19">
      <c r="A392" s="217"/>
      <c r="B392" s="202"/>
      <c r="C392" s="325" t="s">
        <v>1293</v>
      </c>
      <c r="D392" s="203" t="s">
        <v>1040</v>
      </c>
      <c r="E392" s="244"/>
      <c r="F392" s="330"/>
      <c r="G392" s="329">
        <v>35.06</v>
      </c>
      <c r="H392" s="325" t="s">
        <v>1040</v>
      </c>
      <c r="I392" s="212"/>
      <c r="J392" s="244">
        <v>21.66</v>
      </c>
      <c r="K392" s="332">
        <v>1.03</v>
      </c>
      <c r="L392" s="329">
        <v>6.35</v>
      </c>
      <c r="M392" s="341"/>
      <c r="N392" s="342"/>
      <c r="P392" s="343"/>
      <c r="R392" s="250"/>
      <c r="S392" s="265"/>
    </row>
    <row r="393" s="164" customFormat="1" ht="24" customHeight="1" spans="1:19">
      <c r="A393" s="217"/>
      <c r="B393" s="202"/>
      <c r="C393" s="325" t="s">
        <v>1294</v>
      </c>
      <c r="D393" s="203" t="s">
        <v>1040</v>
      </c>
      <c r="E393" s="244"/>
      <c r="F393" s="330"/>
      <c r="G393" s="329">
        <v>35.06</v>
      </c>
      <c r="H393" s="325" t="s">
        <v>1040</v>
      </c>
      <c r="I393" s="212"/>
      <c r="J393" s="244">
        <v>25.6</v>
      </c>
      <c r="K393" s="332">
        <v>1.03</v>
      </c>
      <c r="L393" s="329">
        <v>7.1</v>
      </c>
      <c r="M393" s="341"/>
      <c r="N393" s="342"/>
      <c r="P393" s="343"/>
      <c r="R393" s="250"/>
      <c r="S393" s="265"/>
    </row>
    <row r="394" s="164" customFormat="1" ht="24" customHeight="1" spans="1:19">
      <c r="A394" s="217"/>
      <c r="B394" s="202"/>
      <c r="C394" s="325" t="s">
        <v>1295</v>
      </c>
      <c r="D394" s="203" t="s">
        <v>1040</v>
      </c>
      <c r="E394" s="244"/>
      <c r="F394" s="330"/>
      <c r="G394" s="329">
        <v>49.16</v>
      </c>
      <c r="H394" s="325" t="s">
        <v>1040</v>
      </c>
      <c r="I394" s="212"/>
      <c r="J394" s="244">
        <v>28.23</v>
      </c>
      <c r="K394" s="332">
        <v>1.03</v>
      </c>
      <c r="L394" s="329">
        <v>7.53</v>
      </c>
      <c r="M394" s="341"/>
      <c r="N394" s="342"/>
      <c r="P394" s="343"/>
      <c r="R394" s="250"/>
      <c r="S394" s="265"/>
    </row>
    <row r="395" s="164" customFormat="1" ht="24" customHeight="1" spans="1:19">
      <c r="A395" s="217"/>
      <c r="B395" s="202"/>
      <c r="C395" s="325" t="s">
        <v>1296</v>
      </c>
      <c r="D395" s="203" t="s">
        <v>1040</v>
      </c>
      <c r="E395" s="244"/>
      <c r="F395" s="330"/>
      <c r="G395" s="329">
        <v>48</v>
      </c>
      <c r="H395" s="325" t="s">
        <v>1040</v>
      </c>
      <c r="I395" s="212"/>
      <c r="J395" s="244">
        <v>29.83</v>
      </c>
      <c r="K395" s="332">
        <v>1.03</v>
      </c>
      <c r="L395" s="329">
        <v>8.58</v>
      </c>
      <c r="M395" s="341"/>
      <c r="N395" s="342"/>
      <c r="P395" s="343"/>
      <c r="R395" s="250"/>
      <c r="S395" s="265"/>
    </row>
    <row r="396" s="164" customFormat="1" ht="24" customHeight="1" spans="1:19">
      <c r="A396" s="217"/>
      <c r="B396" s="202"/>
      <c r="C396" s="325" t="s">
        <v>1297</v>
      </c>
      <c r="D396" s="203" t="s">
        <v>1040</v>
      </c>
      <c r="E396" s="244"/>
      <c r="F396" s="330"/>
      <c r="G396" s="329">
        <v>77.98</v>
      </c>
      <c r="H396" s="325" t="s">
        <v>1040</v>
      </c>
      <c r="I396" s="212"/>
      <c r="J396" s="244">
        <v>33.4</v>
      </c>
      <c r="K396" s="332">
        <v>1.03</v>
      </c>
      <c r="L396" s="329">
        <v>9.05</v>
      </c>
      <c r="M396" s="341"/>
      <c r="N396" s="342"/>
      <c r="P396" s="343"/>
      <c r="R396" s="250"/>
      <c r="S396" s="265"/>
    </row>
    <row r="397" s="164" customFormat="1" ht="24" customHeight="1" spans="1:19">
      <c r="A397" s="217"/>
      <c r="B397" s="202"/>
      <c r="C397" s="325" t="s">
        <v>1298</v>
      </c>
      <c r="D397" s="203" t="s">
        <v>1040</v>
      </c>
      <c r="E397" s="244"/>
      <c r="F397" s="330"/>
      <c r="G397" s="329">
        <v>8.42</v>
      </c>
      <c r="H397" s="325" t="s">
        <v>1040</v>
      </c>
      <c r="I397" s="212"/>
      <c r="J397" s="244">
        <v>6.23</v>
      </c>
      <c r="K397" s="332">
        <v>1.03</v>
      </c>
      <c r="L397" s="329">
        <v>0.9</v>
      </c>
      <c r="M397" s="341"/>
      <c r="N397" s="342"/>
      <c r="P397" s="343"/>
      <c r="R397" s="250"/>
      <c r="S397" s="265"/>
    </row>
    <row r="398" s="164" customFormat="1" ht="24" customHeight="1" spans="1:19">
      <c r="A398" s="217"/>
      <c r="B398" s="202"/>
      <c r="C398" s="325" t="s">
        <v>1299</v>
      </c>
      <c r="D398" s="203" t="s">
        <v>1040</v>
      </c>
      <c r="E398" s="244"/>
      <c r="F398" s="330"/>
      <c r="G398" s="329">
        <v>10.77</v>
      </c>
      <c r="H398" s="325" t="s">
        <v>1040</v>
      </c>
      <c r="I398" s="212"/>
      <c r="J398" s="244">
        <v>6.75</v>
      </c>
      <c r="K398" s="332">
        <v>1.03</v>
      </c>
      <c r="L398" s="329">
        <v>1.87</v>
      </c>
      <c r="M398" s="341"/>
      <c r="N398" s="342"/>
      <c r="P398" s="343"/>
      <c r="R398" s="250"/>
      <c r="S398" s="265"/>
    </row>
    <row r="399" s="164" customFormat="1" ht="24" customHeight="1" spans="1:19">
      <c r="A399" s="217"/>
      <c r="B399" s="202"/>
      <c r="C399" s="325" t="s">
        <v>1300</v>
      </c>
      <c r="D399" s="203" t="s">
        <v>1040</v>
      </c>
      <c r="E399" s="244"/>
      <c r="F399" s="330"/>
      <c r="G399" s="329">
        <v>15.16</v>
      </c>
      <c r="H399" s="325" t="s">
        <v>1040</v>
      </c>
      <c r="I399" s="212"/>
      <c r="J399" s="244">
        <v>8.05</v>
      </c>
      <c r="K399" s="332">
        <v>1.03</v>
      </c>
      <c r="L399" s="329">
        <v>1.98</v>
      </c>
      <c r="M399" s="341"/>
      <c r="N399" s="342"/>
      <c r="P399" s="343"/>
      <c r="R399" s="250"/>
      <c r="S399" s="265"/>
    </row>
    <row r="400" s="164" customFormat="1" ht="24" customHeight="1" spans="1:19">
      <c r="A400" s="217"/>
      <c r="B400" s="202"/>
      <c r="C400" s="325" t="s">
        <v>1301</v>
      </c>
      <c r="D400" s="203" t="s">
        <v>1040</v>
      </c>
      <c r="E400" s="244"/>
      <c r="F400" s="330"/>
      <c r="G400" s="329">
        <v>20.99</v>
      </c>
      <c r="H400" s="325" t="s">
        <v>1040</v>
      </c>
      <c r="I400" s="212"/>
      <c r="J400" s="244">
        <v>9.03</v>
      </c>
      <c r="K400" s="332">
        <v>1.03</v>
      </c>
      <c r="L400" s="329">
        <v>2.58</v>
      </c>
      <c r="M400" s="341"/>
      <c r="N400" s="342"/>
      <c r="P400" s="343"/>
      <c r="R400" s="250"/>
      <c r="S400" s="265"/>
    </row>
    <row r="401" s="164" customFormat="1" ht="24" customHeight="1" spans="1:19">
      <c r="A401" s="217"/>
      <c r="B401" s="202"/>
      <c r="C401" s="325" t="s">
        <v>1302</v>
      </c>
      <c r="D401" s="203" t="s">
        <v>1040</v>
      </c>
      <c r="E401" s="244"/>
      <c r="F401" s="330"/>
      <c r="G401" s="329">
        <v>24.02</v>
      </c>
      <c r="H401" s="325" t="s">
        <v>1040</v>
      </c>
      <c r="I401" s="212"/>
      <c r="J401" s="244">
        <v>12.9</v>
      </c>
      <c r="K401" s="332">
        <v>1.03</v>
      </c>
      <c r="L401" s="329">
        <v>3.65</v>
      </c>
      <c r="M401" s="341"/>
      <c r="N401" s="342"/>
      <c r="P401" s="343"/>
      <c r="R401" s="250"/>
      <c r="S401" s="265"/>
    </row>
    <row r="402" s="164" customFormat="1" ht="24" customHeight="1" spans="1:19">
      <c r="A402" s="217"/>
      <c r="B402" s="202"/>
      <c r="C402" s="325" t="s">
        <v>1303</v>
      </c>
      <c r="D402" s="203" t="s">
        <v>1040</v>
      </c>
      <c r="E402" s="244"/>
      <c r="F402" s="330"/>
      <c r="G402" s="329">
        <v>32.31</v>
      </c>
      <c r="H402" s="325" t="s">
        <v>1040</v>
      </c>
      <c r="I402" s="212"/>
      <c r="J402" s="244">
        <v>13.15</v>
      </c>
      <c r="K402" s="332">
        <v>1.03</v>
      </c>
      <c r="L402" s="329">
        <v>5.08</v>
      </c>
      <c r="M402" s="341"/>
      <c r="N402" s="342"/>
      <c r="P402" s="343"/>
      <c r="R402" s="250"/>
      <c r="S402" s="265"/>
    </row>
    <row r="403" s="164" customFormat="1" ht="24" customHeight="1" spans="1:19">
      <c r="A403" s="217"/>
      <c r="B403" s="202"/>
      <c r="C403" s="325" t="s">
        <v>1304</v>
      </c>
      <c r="D403" s="203" t="s">
        <v>1040</v>
      </c>
      <c r="E403" s="244"/>
      <c r="F403" s="330"/>
      <c r="G403" s="329">
        <v>8.42</v>
      </c>
      <c r="H403" s="325" t="s">
        <v>1040</v>
      </c>
      <c r="I403" s="212"/>
      <c r="J403" s="244">
        <v>8.1</v>
      </c>
      <c r="K403" s="332">
        <v>1.03</v>
      </c>
      <c r="L403" s="329">
        <v>1.08</v>
      </c>
      <c r="M403" s="341"/>
      <c r="N403" s="342"/>
      <c r="P403" s="343"/>
      <c r="R403" s="250"/>
      <c r="S403" s="265"/>
    </row>
    <row r="404" s="164" customFormat="1" ht="24" customHeight="1" spans="1:19">
      <c r="A404" s="217"/>
      <c r="B404" s="202"/>
      <c r="C404" s="325" t="s">
        <v>1305</v>
      </c>
      <c r="D404" s="203" t="s">
        <v>1040</v>
      </c>
      <c r="E404" s="244"/>
      <c r="F404" s="330"/>
      <c r="G404" s="329">
        <v>10.77</v>
      </c>
      <c r="H404" s="325" t="s">
        <v>1040</v>
      </c>
      <c r="I404" s="212"/>
      <c r="J404" s="244">
        <v>8.78</v>
      </c>
      <c r="K404" s="332">
        <v>1.03</v>
      </c>
      <c r="L404" s="329">
        <v>2.24</v>
      </c>
      <c r="M404" s="341"/>
      <c r="N404" s="342"/>
      <c r="P404" s="343"/>
      <c r="R404" s="250"/>
      <c r="S404" s="265"/>
    </row>
    <row r="405" s="164" customFormat="1" ht="24" customHeight="1" spans="1:19">
      <c r="A405" s="217"/>
      <c r="B405" s="202"/>
      <c r="C405" s="325" t="s">
        <v>1306</v>
      </c>
      <c r="D405" s="203" t="s">
        <v>1040</v>
      </c>
      <c r="E405" s="244"/>
      <c r="F405" s="330"/>
      <c r="G405" s="329">
        <v>15.16</v>
      </c>
      <c r="H405" s="325" t="s">
        <v>1040</v>
      </c>
      <c r="I405" s="212"/>
      <c r="J405" s="244">
        <v>10.46</v>
      </c>
      <c r="K405" s="332">
        <v>1.03</v>
      </c>
      <c r="L405" s="329">
        <v>2.38</v>
      </c>
      <c r="M405" s="341"/>
      <c r="N405" s="342"/>
      <c r="P405" s="343"/>
      <c r="R405" s="250"/>
      <c r="S405" s="265"/>
    </row>
    <row r="406" s="164" customFormat="1" ht="24" customHeight="1" spans="1:19">
      <c r="A406" s="217"/>
      <c r="B406" s="202"/>
      <c r="C406" s="325" t="s">
        <v>1307</v>
      </c>
      <c r="D406" s="203" t="s">
        <v>1040</v>
      </c>
      <c r="E406" s="244"/>
      <c r="F406" s="330"/>
      <c r="G406" s="329">
        <v>20.99</v>
      </c>
      <c r="H406" s="325" t="s">
        <v>1040</v>
      </c>
      <c r="I406" s="212"/>
      <c r="J406" s="244">
        <v>11.85</v>
      </c>
      <c r="K406" s="332">
        <v>1.03</v>
      </c>
      <c r="L406" s="329">
        <v>4.09</v>
      </c>
      <c r="M406" s="341"/>
      <c r="N406" s="342"/>
      <c r="P406" s="343"/>
      <c r="R406" s="250"/>
      <c r="S406" s="265"/>
    </row>
    <row r="407" s="164" customFormat="1" ht="24" customHeight="1" spans="1:19">
      <c r="A407" s="217"/>
      <c r="B407" s="202"/>
      <c r="C407" s="325" t="s">
        <v>1308</v>
      </c>
      <c r="D407" s="203" t="s">
        <v>1040</v>
      </c>
      <c r="E407" s="244"/>
      <c r="F407" s="330"/>
      <c r="G407" s="329">
        <v>24.02</v>
      </c>
      <c r="H407" s="325" t="s">
        <v>1040</v>
      </c>
      <c r="I407" s="212"/>
      <c r="J407" s="244">
        <v>16.78</v>
      </c>
      <c r="K407" s="332">
        <v>1.03</v>
      </c>
      <c r="L407" s="329">
        <v>5.98</v>
      </c>
      <c r="M407" s="341"/>
      <c r="N407" s="342"/>
      <c r="P407" s="343"/>
      <c r="R407" s="250"/>
      <c r="S407" s="265"/>
    </row>
    <row r="408" s="164" customFormat="1" ht="24" customHeight="1" spans="1:19">
      <c r="A408" s="217"/>
      <c r="B408" s="202"/>
      <c r="C408" s="325" t="s">
        <v>1309</v>
      </c>
      <c r="D408" s="203" t="s">
        <v>1040</v>
      </c>
      <c r="E408" s="244"/>
      <c r="F408" s="330"/>
      <c r="G408" s="329">
        <v>32.31</v>
      </c>
      <c r="H408" s="325" t="s">
        <v>1040</v>
      </c>
      <c r="I408" s="212"/>
      <c r="J408" s="244">
        <v>17.1</v>
      </c>
      <c r="K408" s="332">
        <v>1.03</v>
      </c>
      <c r="L408" s="329">
        <v>7.5</v>
      </c>
      <c r="M408" s="341"/>
      <c r="N408" s="342"/>
      <c r="P408" s="343"/>
      <c r="R408" s="250"/>
      <c r="S408" s="265"/>
    </row>
    <row r="409" s="164" customFormat="1" ht="24" customHeight="1" spans="1:19">
      <c r="A409" s="217"/>
      <c r="B409" s="202"/>
      <c r="C409" s="325" t="s">
        <v>1310</v>
      </c>
      <c r="D409" s="203" t="s">
        <v>1040</v>
      </c>
      <c r="E409" s="244"/>
      <c r="F409" s="330"/>
      <c r="G409" s="329">
        <v>0.92</v>
      </c>
      <c r="H409" s="325" t="s">
        <v>1040</v>
      </c>
      <c r="I409" s="212"/>
      <c r="J409" s="244">
        <v>3.9</v>
      </c>
      <c r="K409" s="332">
        <v>1.06</v>
      </c>
      <c r="L409" s="244">
        <v>0.08</v>
      </c>
      <c r="M409" s="341"/>
      <c r="N409" s="342"/>
      <c r="P409" s="343"/>
      <c r="R409" s="250"/>
      <c r="S409" s="265"/>
    </row>
    <row r="410" s="164" customFormat="1" ht="24" customHeight="1" spans="1:19">
      <c r="A410" s="217"/>
      <c r="B410" s="202"/>
      <c r="C410" s="325" t="s">
        <v>1311</v>
      </c>
      <c r="D410" s="203" t="s">
        <v>1040</v>
      </c>
      <c r="E410" s="244"/>
      <c r="F410" s="330"/>
      <c r="G410" s="329">
        <v>1.09</v>
      </c>
      <c r="H410" s="325" t="s">
        <v>1040</v>
      </c>
      <c r="I410" s="212"/>
      <c r="J410" s="244">
        <v>3.9</v>
      </c>
      <c r="K410" s="332">
        <v>1.06</v>
      </c>
      <c r="L410" s="244">
        <v>0.09</v>
      </c>
      <c r="M410" s="341"/>
      <c r="N410" s="342"/>
      <c r="P410" s="343"/>
      <c r="R410" s="250"/>
      <c r="S410" s="265"/>
    </row>
    <row r="411" s="164" customFormat="1" ht="24" customHeight="1" spans="1:19">
      <c r="A411" s="217"/>
      <c r="B411" s="202"/>
      <c r="C411" s="325" t="s">
        <v>1312</v>
      </c>
      <c r="D411" s="203" t="s">
        <v>1040</v>
      </c>
      <c r="E411" s="244"/>
      <c r="F411" s="330"/>
      <c r="G411" s="329">
        <v>1.93</v>
      </c>
      <c r="H411" s="325" t="s">
        <v>1040</v>
      </c>
      <c r="I411" s="212"/>
      <c r="J411" s="244">
        <v>4.51</v>
      </c>
      <c r="K411" s="332">
        <v>1.06</v>
      </c>
      <c r="L411" s="244">
        <v>0.11</v>
      </c>
      <c r="M411" s="341"/>
      <c r="N411" s="342"/>
      <c r="P411" s="343"/>
      <c r="R411" s="250"/>
      <c r="S411" s="265"/>
    </row>
    <row r="412" s="164" customFormat="1" ht="24" customHeight="1" spans="1:19">
      <c r="A412" s="217"/>
      <c r="B412" s="202"/>
      <c r="C412" s="325" t="s">
        <v>1313</v>
      </c>
      <c r="D412" s="203" t="s">
        <v>1040</v>
      </c>
      <c r="E412" s="244"/>
      <c r="F412" s="330"/>
      <c r="G412" s="329">
        <v>3.07</v>
      </c>
      <c r="H412" s="325" t="s">
        <v>1040</v>
      </c>
      <c r="I412" s="212"/>
      <c r="J412" s="244">
        <v>5.76</v>
      </c>
      <c r="K412" s="332">
        <v>1.06</v>
      </c>
      <c r="L412" s="244">
        <v>0.15</v>
      </c>
      <c r="M412" s="341"/>
      <c r="N412" s="342"/>
      <c r="P412" s="343"/>
      <c r="R412" s="250"/>
      <c r="S412" s="265"/>
    </row>
    <row r="413" s="164" customFormat="1" ht="24" customHeight="1" spans="1:19">
      <c r="A413" s="217"/>
      <c r="B413" s="202"/>
      <c r="C413" s="325" t="s">
        <v>1314</v>
      </c>
      <c r="D413" s="203" t="s">
        <v>1040</v>
      </c>
      <c r="E413" s="244"/>
      <c r="F413" s="330"/>
      <c r="G413" s="329">
        <v>4.17</v>
      </c>
      <c r="H413" s="325" t="s">
        <v>1040</v>
      </c>
      <c r="I413" s="212"/>
      <c r="J413" s="244">
        <v>6.67</v>
      </c>
      <c r="K413" s="332">
        <v>1.06</v>
      </c>
      <c r="L413" s="244">
        <v>0.2</v>
      </c>
      <c r="M413" s="341"/>
      <c r="N413" s="342"/>
      <c r="P413" s="343"/>
      <c r="R413" s="250"/>
      <c r="S413" s="265"/>
    </row>
    <row r="414" s="164" customFormat="1" ht="24" customHeight="1" spans="1:19">
      <c r="A414" s="217"/>
      <c r="B414" s="202"/>
      <c r="C414" s="325" t="s">
        <v>1315</v>
      </c>
      <c r="D414" s="203" t="s">
        <v>1040</v>
      </c>
      <c r="E414" s="244"/>
      <c r="F414" s="330"/>
      <c r="G414" s="329">
        <v>0.92</v>
      </c>
      <c r="H414" s="325" t="s">
        <v>1040</v>
      </c>
      <c r="I414" s="212"/>
      <c r="J414" s="244">
        <v>5.07</v>
      </c>
      <c r="K414" s="332">
        <v>1.06</v>
      </c>
      <c r="L414" s="329">
        <v>0.14</v>
      </c>
      <c r="M414" s="341"/>
      <c r="N414" s="342"/>
      <c r="P414" s="343"/>
      <c r="R414" s="250"/>
      <c r="S414" s="265"/>
    </row>
    <row r="415" s="164" customFormat="1" ht="24" customHeight="1" spans="1:19">
      <c r="A415" s="217"/>
      <c r="B415" s="202"/>
      <c r="C415" s="325" t="s">
        <v>1316</v>
      </c>
      <c r="D415" s="203" t="s">
        <v>1040</v>
      </c>
      <c r="E415" s="244"/>
      <c r="F415" s="330"/>
      <c r="G415" s="329">
        <v>1.09</v>
      </c>
      <c r="H415" s="325" t="s">
        <v>1040</v>
      </c>
      <c r="I415" s="212"/>
      <c r="J415" s="244">
        <v>5.07</v>
      </c>
      <c r="K415" s="332">
        <v>1.06</v>
      </c>
      <c r="L415" s="329">
        <v>0.15</v>
      </c>
      <c r="M415" s="341"/>
      <c r="N415" s="342"/>
      <c r="P415" s="343"/>
      <c r="R415" s="250"/>
      <c r="S415" s="265"/>
    </row>
    <row r="416" s="164" customFormat="1" ht="24" customHeight="1" spans="1:19">
      <c r="A416" s="217"/>
      <c r="B416" s="202"/>
      <c r="C416" s="325" t="s">
        <v>1317</v>
      </c>
      <c r="D416" s="203" t="s">
        <v>1040</v>
      </c>
      <c r="E416" s="244"/>
      <c r="F416" s="330"/>
      <c r="G416" s="329">
        <v>1.93</v>
      </c>
      <c r="H416" s="325" t="s">
        <v>1040</v>
      </c>
      <c r="I416" s="212"/>
      <c r="J416" s="244">
        <v>5.86</v>
      </c>
      <c r="K416" s="332">
        <v>1.06</v>
      </c>
      <c r="L416" s="329">
        <v>0.18</v>
      </c>
      <c r="M416" s="341"/>
      <c r="N416" s="342"/>
      <c r="P416" s="343"/>
      <c r="R416" s="250"/>
      <c r="S416" s="265"/>
    </row>
    <row r="417" s="164" customFormat="1" ht="24" customHeight="1" spans="1:19">
      <c r="A417" s="217"/>
      <c r="B417" s="202"/>
      <c r="C417" s="325" t="s">
        <v>1318</v>
      </c>
      <c r="D417" s="203" t="s">
        <v>1040</v>
      </c>
      <c r="E417" s="244"/>
      <c r="F417" s="330"/>
      <c r="G417" s="329">
        <v>3.07</v>
      </c>
      <c r="H417" s="325" t="s">
        <v>1040</v>
      </c>
      <c r="I417" s="212"/>
      <c r="J417" s="244">
        <v>7.49</v>
      </c>
      <c r="K417" s="332">
        <v>1.06</v>
      </c>
      <c r="L417" s="329">
        <v>0.25</v>
      </c>
      <c r="M417" s="341"/>
      <c r="N417" s="342"/>
      <c r="P417" s="343"/>
      <c r="R417" s="250"/>
      <c r="S417" s="265"/>
    </row>
    <row r="418" s="164" customFormat="1" ht="24" customHeight="1" spans="1:19">
      <c r="A418" s="217"/>
      <c r="B418" s="202"/>
      <c r="C418" s="325" t="s">
        <v>1319</v>
      </c>
      <c r="D418" s="203" t="s">
        <v>1040</v>
      </c>
      <c r="E418" s="244"/>
      <c r="F418" s="330"/>
      <c r="G418" s="329">
        <v>4.17</v>
      </c>
      <c r="H418" s="325" t="s">
        <v>1040</v>
      </c>
      <c r="I418" s="212"/>
      <c r="J418" s="244">
        <v>8.67</v>
      </c>
      <c r="K418" s="332">
        <v>1.06</v>
      </c>
      <c r="L418" s="329">
        <v>0.33</v>
      </c>
      <c r="M418" s="341"/>
      <c r="N418" s="342"/>
      <c r="P418" s="343"/>
      <c r="R418" s="250"/>
      <c r="S418" s="265"/>
    </row>
    <row r="419" s="164" customFormat="1" ht="24" customHeight="1" spans="1:19">
      <c r="A419" s="217"/>
      <c r="B419" s="202"/>
      <c r="C419" s="325" t="s">
        <v>1320</v>
      </c>
      <c r="D419" s="203" t="s">
        <v>1040</v>
      </c>
      <c r="E419" s="244"/>
      <c r="F419" s="330"/>
      <c r="G419" s="344">
        <v>0.86</v>
      </c>
      <c r="H419" s="325" t="s">
        <v>1040</v>
      </c>
      <c r="I419" s="212"/>
      <c r="J419" s="244">
        <v>3.9</v>
      </c>
      <c r="K419" s="332">
        <v>1.06</v>
      </c>
      <c r="L419" s="329">
        <v>0.08</v>
      </c>
      <c r="M419" s="341"/>
      <c r="N419" s="342"/>
      <c r="P419" s="343"/>
      <c r="R419" s="250"/>
      <c r="S419" s="265"/>
    </row>
    <row r="420" s="164" customFormat="1" ht="24" customHeight="1" spans="1:19">
      <c r="A420" s="217"/>
      <c r="B420" s="202"/>
      <c r="C420" s="325" t="s">
        <v>1321</v>
      </c>
      <c r="D420" s="203" t="s">
        <v>1040</v>
      </c>
      <c r="E420" s="244"/>
      <c r="F420" s="330"/>
      <c r="G420" s="344">
        <v>0.98</v>
      </c>
      <c r="H420" s="325" t="s">
        <v>1040</v>
      </c>
      <c r="I420" s="212"/>
      <c r="J420" s="244">
        <v>3.9</v>
      </c>
      <c r="K420" s="332">
        <v>1.06</v>
      </c>
      <c r="L420" s="329">
        <v>0.09</v>
      </c>
      <c r="M420" s="341"/>
      <c r="N420" s="342"/>
      <c r="P420" s="343"/>
      <c r="R420" s="250"/>
      <c r="S420" s="265"/>
    </row>
    <row r="421" s="164" customFormat="1" ht="24" customHeight="1" spans="1:19">
      <c r="A421" s="217"/>
      <c r="B421" s="202"/>
      <c r="C421" s="325" t="s">
        <v>1322</v>
      </c>
      <c r="D421" s="203" t="s">
        <v>1040</v>
      </c>
      <c r="E421" s="244"/>
      <c r="F421" s="330"/>
      <c r="G421" s="344">
        <v>1.58</v>
      </c>
      <c r="H421" s="325" t="s">
        <v>1040</v>
      </c>
      <c r="I421" s="212"/>
      <c r="J421" s="244">
        <v>4.51</v>
      </c>
      <c r="K421" s="332">
        <v>1.06</v>
      </c>
      <c r="L421" s="329">
        <v>0.11</v>
      </c>
      <c r="M421" s="329"/>
      <c r="N421" s="342"/>
      <c r="P421" s="343"/>
      <c r="R421" s="250"/>
      <c r="S421" s="265"/>
    </row>
    <row r="422" s="164" customFormat="1" ht="24" customHeight="1" spans="1:19">
      <c r="A422" s="217"/>
      <c r="B422" s="202"/>
      <c r="C422" s="325" t="s">
        <v>1323</v>
      </c>
      <c r="D422" s="203" t="s">
        <v>1040</v>
      </c>
      <c r="E422" s="244"/>
      <c r="F422" s="330"/>
      <c r="G422" s="344">
        <v>2.73</v>
      </c>
      <c r="H422" s="325" t="s">
        <v>1040</v>
      </c>
      <c r="I422" s="212"/>
      <c r="J422" s="244">
        <v>5.76</v>
      </c>
      <c r="K422" s="332">
        <v>1.06</v>
      </c>
      <c r="L422" s="329">
        <v>0.15</v>
      </c>
      <c r="M422" s="341"/>
      <c r="N422" s="342"/>
      <c r="P422" s="343"/>
      <c r="R422" s="250"/>
      <c r="S422" s="265"/>
    </row>
    <row r="423" s="164" customFormat="1" ht="24" customHeight="1" spans="1:19">
      <c r="A423" s="217"/>
      <c r="B423" s="202"/>
      <c r="C423" s="325" t="s">
        <v>1324</v>
      </c>
      <c r="D423" s="203" t="s">
        <v>1040</v>
      </c>
      <c r="E423" s="244"/>
      <c r="F423" s="330"/>
      <c r="G423" s="344">
        <v>3.35</v>
      </c>
      <c r="H423" s="325" t="s">
        <v>1040</v>
      </c>
      <c r="I423" s="212"/>
      <c r="J423" s="244">
        <v>6.67</v>
      </c>
      <c r="K423" s="332">
        <v>1.06</v>
      </c>
      <c r="L423" s="329">
        <v>0.2</v>
      </c>
      <c r="M423" s="341"/>
      <c r="N423" s="342"/>
      <c r="P423" s="343"/>
      <c r="R423" s="250"/>
      <c r="S423" s="265"/>
    </row>
    <row r="424" s="164" customFormat="1" ht="24" customHeight="1" spans="1:19">
      <c r="A424" s="217"/>
      <c r="B424" s="202"/>
      <c r="C424" s="325" t="s">
        <v>1325</v>
      </c>
      <c r="D424" s="203" t="s">
        <v>1040</v>
      </c>
      <c r="E424" s="244"/>
      <c r="F424" s="330"/>
      <c r="G424" s="344">
        <v>0.86</v>
      </c>
      <c r="H424" s="325" t="s">
        <v>1040</v>
      </c>
      <c r="I424" s="212"/>
      <c r="J424" s="244">
        <v>5.07</v>
      </c>
      <c r="K424" s="332">
        <v>1.06</v>
      </c>
      <c r="L424" s="329">
        <v>0.14</v>
      </c>
      <c r="M424" s="341"/>
      <c r="N424" s="342"/>
      <c r="P424" s="343"/>
      <c r="R424" s="250"/>
      <c r="S424" s="265"/>
    </row>
    <row r="425" s="164" customFormat="1" ht="24" customHeight="1" spans="1:19">
      <c r="A425" s="217"/>
      <c r="B425" s="202"/>
      <c r="C425" s="325" t="s">
        <v>1326</v>
      </c>
      <c r="D425" s="203" t="s">
        <v>1040</v>
      </c>
      <c r="E425" s="244"/>
      <c r="F425" s="330"/>
      <c r="G425" s="344">
        <v>0.98</v>
      </c>
      <c r="H425" s="325" t="s">
        <v>1040</v>
      </c>
      <c r="I425" s="212"/>
      <c r="J425" s="244">
        <v>5.07</v>
      </c>
      <c r="K425" s="332">
        <v>1.06</v>
      </c>
      <c r="L425" s="329">
        <v>0.15</v>
      </c>
      <c r="M425" s="341"/>
      <c r="N425" s="342"/>
      <c r="P425" s="343"/>
      <c r="R425" s="250"/>
      <c r="S425" s="265"/>
    </row>
    <row r="426" s="164" customFormat="1" ht="24" customHeight="1" spans="1:19">
      <c r="A426" s="217"/>
      <c r="B426" s="202"/>
      <c r="C426" s="325" t="s">
        <v>1327</v>
      </c>
      <c r="D426" s="203" t="s">
        <v>1040</v>
      </c>
      <c r="E426" s="244"/>
      <c r="F426" s="330"/>
      <c r="G426" s="344">
        <v>1.58</v>
      </c>
      <c r="H426" s="325" t="s">
        <v>1040</v>
      </c>
      <c r="I426" s="212"/>
      <c r="J426" s="244">
        <v>5.86</v>
      </c>
      <c r="K426" s="332">
        <v>1.06</v>
      </c>
      <c r="L426" s="329">
        <v>0.18</v>
      </c>
      <c r="M426" s="341"/>
      <c r="N426" s="342"/>
      <c r="P426" s="343"/>
      <c r="R426" s="250"/>
      <c r="S426" s="265"/>
    </row>
    <row r="427" s="164" customFormat="1" ht="24" customHeight="1" spans="1:19">
      <c r="A427" s="217"/>
      <c r="B427" s="202"/>
      <c r="C427" s="325" t="s">
        <v>1328</v>
      </c>
      <c r="D427" s="203" t="s">
        <v>1040</v>
      </c>
      <c r="E427" s="244"/>
      <c r="F427" s="330"/>
      <c r="G427" s="344">
        <v>2.73</v>
      </c>
      <c r="H427" s="325" t="s">
        <v>1040</v>
      </c>
      <c r="I427" s="212"/>
      <c r="J427" s="244">
        <v>7.49</v>
      </c>
      <c r="K427" s="332">
        <v>1.06</v>
      </c>
      <c r="L427" s="329">
        <v>0.25</v>
      </c>
      <c r="M427" s="341"/>
      <c r="N427" s="342"/>
      <c r="P427" s="343"/>
      <c r="R427" s="250"/>
      <c r="S427" s="265"/>
    </row>
    <row r="428" s="164" customFormat="1" ht="24" customHeight="1" spans="1:19">
      <c r="A428" s="217"/>
      <c r="B428" s="202"/>
      <c r="C428" s="325" t="s">
        <v>1329</v>
      </c>
      <c r="D428" s="203" t="s">
        <v>1040</v>
      </c>
      <c r="E428" s="244"/>
      <c r="F428" s="330"/>
      <c r="G428" s="344">
        <v>3.35</v>
      </c>
      <c r="H428" s="325" t="s">
        <v>1040</v>
      </c>
      <c r="I428" s="212"/>
      <c r="J428" s="244">
        <v>8.67</v>
      </c>
      <c r="K428" s="332">
        <v>1.06</v>
      </c>
      <c r="L428" s="329">
        <v>0.33</v>
      </c>
      <c r="M428" s="341"/>
      <c r="N428" s="342"/>
      <c r="P428" s="343"/>
      <c r="R428" s="250"/>
      <c r="S428" s="265"/>
    </row>
    <row r="429" s="164" customFormat="1" ht="24" customHeight="1" spans="1:19">
      <c r="A429" s="217"/>
      <c r="B429" s="202"/>
      <c r="C429" s="325" t="s">
        <v>1330</v>
      </c>
      <c r="D429" s="203" t="s">
        <v>1040</v>
      </c>
      <c r="E429" s="244"/>
      <c r="F429" s="330"/>
      <c r="G429" s="329">
        <v>0.013</v>
      </c>
      <c r="H429" s="325" t="s">
        <v>1040</v>
      </c>
      <c r="I429" s="212"/>
      <c r="J429" s="244">
        <v>0.25</v>
      </c>
      <c r="K429" s="332">
        <v>1.01</v>
      </c>
      <c r="L429" s="329">
        <v>0.01</v>
      </c>
      <c r="M429" s="341"/>
      <c r="N429" s="342"/>
      <c r="P429" s="343"/>
      <c r="R429" s="250"/>
      <c r="S429" s="265"/>
    </row>
    <row r="430" s="164" customFormat="1" ht="24" customHeight="1" spans="1:19">
      <c r="A430" s="217"/>
      <c r="B430" s="202"/>
      <c r="C430" s="325" t="s">
        <v>1331</v>
      </c>
      <c r="D430" s="203" t="s">
        <v>1040</v>
      </c>
      <c r="E430" s="244"/>
      <c r="F430" s="330"/>
      <c r="G430" s="329">
        <v>1.77</v>
      </c>
      <c r="H430" s="325" t="s">
        <v>1040</v>
      </c>
      <c r="I430" s="212"/>
      <c r="J430" s="244">
        <v>14.85</v>
      </c>
      <c r="K430" s="332">
        <v>1.03</v>
      </c>
      <c r="L430" s="329">
        <v>3.69</v>
      </c>
      <c r="M430" s="341"/>
      <c r="N430" s="342"/>
      <c r="P430" s="343"/>
      <c r="R430" s="250"/>
      <c r="S430" s="265"/>
    </row>
    <row r="431" s="164" customFormat="1" ht="24" customHeight="1" spans="1:19">
      <c r="A431" s="217"/>
      <c r="B431" s="202"/>
      <c r="C431" s="325" t="s">
        <v>1332</v>
      </c>
      <c r="D431" s="203" t="s">
        <v>1040</v>
      </c>
      <c r="E431" s="244"/>
      <c r="F431" s="330"/>
      <c r="G431" s="329">
        <v>2.58</v>
      </c>
      <c r="H431" s="325" t="s">
        <v>1040</v>
      </c>
      <c r="I431" s="212"/>
      <c r="J431" s="244">
        <v>15.16</v>
      </c>
      <c r="K431" s="332">
        <v>1.03</v>
      </c>
      <c r="L431" s="329">
        <v>6.8</v>
      </c>
      <c r="M431" s="341"/>
      <c r="N431" s="342"/>
      <c r="P431" s="343"/>
      <c r="R431" s="250"/>
      <c r="S431" s="265"/>
    </row>
    <row r="432" s="164" customFormat="1" ht="24" customHeight="1" spans="1:19">
      <c r="A432" s="217"/>
      <c r="B432" s="202"/>
      <c r="C432" s="325" t="s">
        <v>1333</v>
      </c>
      <c r="D432" s="203" t="s">
        <v>1040</v>
      </c>
      <c r="E432" s="244"/>
      <c r="F432" s="330"/>
      <c r="G432" s="329">
        <v>3.09</v>
      </c>
      <c r="H432" s="325" t="s">
        <v>1040</v>
      </c>
      <c r="I432" s="212"/>
      <c r="J432" s="244">
        <v>15.59</v>
      </c>
      <c r="K432" s="332">
        <v>1.03</v>
      </c>
      <c r="L432" s="329">
        <v>9</v>
      </c>
      <c r="M432" s="341"/>
      <c r="N432" s="342"/>
      <c r="P432" s="343"/>
      <c r="R432" s="250"/>
      <c r="S432" s="265"/>
    </row>
    <row r="433" s="164" customFormat="1" ht="24" customHeight="1" spans="1:19">
      <c r="A433" s="217"/>
      <c r="B433" s="295" t="s">
        <v>1334</v>
      </c>
      <c r="C433" s="325" t="s">
        <v>1335</v>
      </c>
      <c r="D433" s="203" t="s">
        <v>1040</v>
      </c>
      <c r="E433" s="244"/>
      <c r="F433" s="330"/>
      <c r="G433" s="345">
        <v>0.93</v>
      </c>
      <c r="H433" s="325" t="s">
        <v>1040</v>
      </c>
      <c r="I433" s="212"/>
      <c r="J433" s="244">
        <v>0.34</v>
      </c>
      <c r="K433" s="332">
        <v>1.16</v>
      </c>
      <c r="L433" s="329">
        <v>0.13</v>
      </c>
      <c r="M433" s="341"/>
      <c r="N433" s="342"/>
      <c r="P433" s="343"/>
      <c r="R433" s="250"/>
      <c r="S433" s="265"/>
    </row>
    <row r="434" s="164" customFormat="1" ht="24" customHeight="1" spans="1:19">
      <c r="A434" s="217"/>
      <c r="B434" s="202"/>
      <c r="C434" s="325" t="s">
        <v>1336</v>
      </c>
      <c r="D434" s="203" t="s">
        <v>1040</v>
      </c>
      <c r="E434" s="244"/>
      <c r="F434" s="330"/>
      <c r="G434" s="345">
        <v>1.43</v>
      </c>
      <c r="H434" s="325" t="s">
        <v>1040</v>
      </c>
      <c r="I434" s="212"/>
      <c r="J434" s="244">
        <v>0.52</v>
      </c>
      <c r="K434" s="332">
        <v>1.16</v>
      </c>
      <c r="L434" s="329">
        <v>0.17</v>
      </c>
      <c r="M434" s="341"/>
      <c r="N434" s="342"/>
      <c r="P434" s="343"/>
      <c r="R434" s="250"/>
      <c r="S434" s="265"/>
    </row>
    <row r="435" s="164" customFormat="1" ht="24" customHeight="1" spans="1:19">
      <c r="A435" s="217"/>
      <c r="B435" s="202"/>
      <c r="C435" s="325" t="s">
        <v>1337</v>
      </c>
      <c r="D435" s="203" t="s">
        <v>1040</v>
      </c>
      <c r="E435" s="244"/>
      <c r="F435" s="330"/>
      <c r="G435" s="345">
        <v>2.27</v>
      </c>
      <c r="H435" s="325" t="s">
        <v>1040</v>
      </c>
      <c r="I435" s="212"/>
      <c r="J435" s="244">
        <v>0.58</v>
      </c>
      <c r="K435" s="332">
        <v>1.1</v>
      </c>
      <c r="L435" s="329">
        <v>0.19</v>
      </c>
      <c r="M435" s="341"/>
      <c r="N435" s="342"/>
      <c r="P435" s="343"/>
      <c r="R435" s="250"/>
      <c r="S435" s="265"/>
    </row>
    <row r="436" s="164" customFormat="1" ht="24" customHeight="1" spans="1:19">
      <c r="A436" s="217"/>
      <c r="B436" s="202"/>
      <c r="C436" s="325" t="s">
        <v>1338</v>
      </c>
      <c r="D436" s="203" t="s">
        <v>1040</v>
      </c>
      <c r="E436" s="244"/>
      <c r="F436" s="330"/>
      <c r="G436" s="345">
        <v>3.42</v>
      </c>
      <c r="H436" s="325" t="s">
        <v>1040</v>
      </c>
      <c r="I436" s="212"/>
      <c r="J436" s="244">
        <v>0.51</v>
      </c>
      <c r="K436" s="332">
        <v>1.05</v>
      </c>
      <c r="L436" s="329">
        <v>0.19</v>
      </c>
      <c r="M436" s="341"/>
      <c r="N436" s="342"/>
      <c r="P436" s="343"/>
      <c r="R436" s="250"/>
      <c r="S436" s="265"/>
    </row>
    <row r="437" s="164" customFormat="1" ht="24" customHeight="1" spans="1:19">
      <c r="A437" s="217"/>
      <c r="B437" s="202"/>
      <c r="C437" s="325" t="s">
        <v>1339</v>
      </c>
      <c r="D437" s="203" t="s">
        <v>1040</v>
      </c>
      <c r="E437" s="244"/>
      <c r="F437" s="330"/>
      <c r="G437" s="345">
        <v>5.9</v>
      </c>
      <c r="H437" s="325" t="s">
        <v>1040</v>
      </c>
      <c r="I437" s="212"/>
      <c r="J437" s="244">
        <v>0.96</v>
      </c>
      <c r="K437" s="332">
        <v>1.05</v>
      </c>
      <c r="L437" s="329">
        <v>0.24</v>
      </c>
      <c r="M437" s="341"/>
      <c r="N437" s="342"/>
      <c r="P437" s="343"/>
      <c r="R437" s="250"/>
      <c r="S437" s="265"/>
    </row>
    <row r="438" s="164" customFormat="1" ht="24" customHeight="1" spans="1:19">
      <c r="A438" s="217"/>
      <c r="B438" s="202"/>
      <c r="C438" s="325" t="s">
        <v>1340</v>
      </c>
      <c r="D438" s="203" t="s">
        <v>1040</v>
      </c>
      <c r="E438" s="244"/>
      <c r="F438" s="330"/>
      <c r="G438" s="345">
        <v>9.28</v>
      </c>
      <c r="H438" s="325" t="s">
        <v>1040</v>
      </c>
      <c r="I438" s="212"/>
      <c r="J438" s="244">
        <v>1.11</v>
      </c>
      <c r="K438" s="332">
        <v>1.05</v>
      </c>
      <c r="L438" s="329">
        <v>0.34</v>
      </c>
      <c r="M438" s="341"/>
      <c r="N438" s="342"/>
      <c r="P438" s="343"/>
      <c r="R438" s="250"/>
      <c r="S438" s="265"/>
    </row>
    <row r="439" s="164" customFormat="1" ht="24" customHeight="1" spans="1:19">
      <c r="A439" s="217"/>
      <c r="B439" s="202"/>
      <c r="C439" s="325" t="s">
        <v>1341</v>
      </c>
      <c r="D439" s="203" t="s">
        <v>1040</v>
      </c>
      <c r="E439" s="244"/>
      <c r="F439" s="330"/>
      <c r="G439" s="345">
        <v>14.48</v>
      </c>
      <c r="H439" s="325" t="s">
        <v>1040</v>
      </c>
      <c r="I439" s="212"/>
      <c r="J439" s="244">
        <v>1.56</v>
      </c>
      <c r="K439" s="332">
        <v>1.05</v>
      </c>
      <c r="L439" s="329">
        <v>1.45</v>
      </c>
      <c r="M439" s="341"/>
      <c r="N439" s="342"/>
      <c r="P439" s="343"/>
      <c r="R439" s="250"/>
      <c r="S439" s="265"/>
    </row>
    <row r="440" s="164" customFormat="1" ht="24" customHeight="1" spans="1:19">
      <c r="A440" s="217"/>
      <c r="B440" s="202"/>
      <c r="C440" s="325" t="s">
        <v>1342</v>
      </c>
      <c r="D440" s="203" t="s">
        <v>1040</v>
      </c>
      <c r="E440" s="244"/>
      <c r="F440" s="330"/>
      <c r="G440" s="345">
        <v>0.96</v>
      </c>
      <c r="H440" s="325" t="s">
        <v>1040</v>
      </c>
      <c r="I440" s="212"/>
      <c r="J440" s="244">
        <v>0.34</v>
      </c>
      <c r="K440" s="332">
        <v>1.16</v>
      </c>
      <c r="L440" s="329">
        <v>0.13</v>
      </c>
      <c r="M440" s="341"/>
      <c r="N440" s="342"/>
      <c r="P440" s="343"/>
      <c r="R440" s="250"/>
      <c r="S440" s="265"/>
    </row>
    <row r="441" s="164" customFormat="1" ht="24" customHeight="1" spans="1:19">
      <c r="A441" s="217"/>
      <c r="B441" s="202"/>
      <c r="C441" s="325" t="s">
        <v>1343</v>
      </c>
      <c r="D441" s="203" t="s">
        <v>1040</v>
      </c>
      <c r="E441" s="244"/>
      <c r="F441" s="330"/>
      <c r="G441" s="345">
        <v>1.66</v>
      </c>
      <c r="H441" s="325" t="s">
        <v>1040</v>
      </c>
      <c r="I441" s="212"/>
      <c r="J441" s="244">
        <v>0.52</v>
      </c>
      <c r="K441" s="332">
        <v>1.16</v>
      </c>
      <c r="L441" s="329">
        <v>0.17</v>
      </c>
      <c r="M441" s="341"/>
      <c r="N441" s="342"/>
      <c r="P441" s="343"/>
      <c r="R441" s="250"/>
      <c r="S441" s="265"/>
    </row>
    <row r="442" s="164" customFormat="1" ht="24" customHeight="1" spans="1:19">
      <c r="A442" s="217"/>
      <c r="B442" s="202"/>
      <c r="C442" s="325" t="s">
        <v>1344</v>
      </c>
      <c r="D442" s="203" t="s">
        <v>1040</v>
      </c>
      <c r="E442" s="244"/>
      <c r="F442" s="330"/>
      <c r="G442" s="345">
        <v>2.53</v>
      </c>
      <c r="H442" s="325" t="s">
        <v>1040</v>
      </c>
      <c r="I442" s="212"/>
      <c r="J442" s="244">
        <v>0.58</v>
      </c>
      <c r="K442" s="332">
        <v>1.1</v>
      </c>
      <c r="L442" s="329">
        <v>0.19</v>
      </c>
      <c r="M442" s="341"/>
      <c r="N442" s="342"/>
      <c r="P442" s="343"/>
      <c r="R442" s="250"/>
      <c r="S442" s="265"/>
    </row>
    <row r="443" s="164" customFormat="1" ht="24" customHeight="1" spans="1:19">
      <c r="A443" s="217"/>
      <c r="B443" s="202"/>
      <c r="C443" s="325" t="s">
        <v>1345</v>
      </c>
      <c r="D443" s="203" t="s">
        <v>1040</v>
      </c>
      <c r="E443" s="244"/>
      <c r="F443" s="330"/>
      <c r="G443" s="345">
        <v>3.81</v>
      </c>
      <c r="H443" s="325" t="s">
        <v>1040</v>
      </c>
      <c r="I443" s="212"/>
      <c r="J443" s="244">
        <v>0.51</v>
      </c>
      <c r="K443" s="332">
        <v>1.05</v>
      </c>
      <c r="L443" s="329">
        <v>0.19</v>
      </c>
      <c r="M443" s="341"/>
      <c r="N443" s="342"/>
      <c r="P443" s="343"/>
      <c r="R443" s="250"/>
      <c r="S443" s="265"/>
    </row>
    <row r="444" s="164" customFormat="1" ht="24" customHeight="1" spans="1:19">
      <c r="A444" s="217"/>
      <c r="B444" s="202"/>
      <c r="C444" s="325" t="s">
        <v>1346</v>
      </c>
      <c r="D444" s="203" t="s">
        <v>1040</v>
      </c>
      <c r="E444" s="244"/>
      <c r="F444" s="330"/>
      <c r="G444" s="345">
        <v>6.37</v>
      </c>
      <c r="H444" s="325" t="s">
        <v>1040</v>
      </c>
      <c r="I444" s="212"/>
      <c r="J444" s="244">
        <v>0.96</v>
      </c>
      <c r="K444" s="332">
        <v>1.05</v>
      </c>
      <c r="L444" s="329">
        <v>0.24</v>
      </c>
      <c r="M444" s="341"/>
      <c r="N444" s="342"/>
      <c r="P444" s="343"/>
      <c r="R444" s="250"/>
      <c r="S444" s="265"/>
    </row>
    <row r="445" s="164" customFormat="1" ht="24" customHeight="1" spans="1:19">
      <c r="A445" s="217"/>
      <c r="B445" s="202"/>
      <c r="C445" s="325" t="s">
        <v>1347</v>
      </c>
      <c r="D445" s="203" t="s">
        <v>1040</v>
      </c>
      <c r="E445" s="244"/>
      <c r="F445" s="330"/>
      <c r="G445" s="345">
        <v>9.79</v>
      </c>
      <c r="H445" s="325" t="s">
        <v>1040</v>
      </c>
      <c r="I445" s="212"/>
      <c r="J445" s="244">
        <v>1.11</v>
      </c>
      <c r="K445" s="332">
        <v>1.05</v>
      </c>
      <c r="L445" s="329">
        <v>0.34</v>
      </c>
      <c r="M445" s="341"/>
      <c r="N445" s="342"/>
      <c r="P445" s="343"/>
      <c r="R445" s="250"/>
      <c r="S445" s="265"/>
    </row>
    <row r="446" s="164" customFormat="1" ht="24" customHeight="1" spans="1:19">
      <c r="A446" s="217"/>
      <c r="B446" s="202"/>
      <c r="C446" s="325" t="s">
        <v>1348</v>
      </c>
      <c r="D446" s="203" t="s">
        <v>1040</v>
      </c>
      <c r="E446" s="244"/>
      <c r="F446" s="330"/>
      <c r="G446" s="345">
        <v>15.2</v>
      </c>
      <c r="H446" s="325" t="s">
        <v>1040</v>
      </c>
      <c r="I446" s="212"/>
      <c r="J446" s="244">
        <v>1.56</v>
      </c>
      <c r="K446" s="332">
        <v>1.05</v>
      </c>
      <c r="L446" s="329">
        <v>1.45</v>
      </c>
      <c r="M446" s="341"/>
      <c r="N446" s="342"/>
      <c r="P446" s="343"/>
      <c r="R446" s="250"/>
      <c r="S446" s="265"/>
    </row>
    <row r="447" s="164" customFormat="1" ht="24" customHeight="1" spans="1:19">
      <c r="A447" s="217"/>
      <c r="B447" s="202"/>
      <c r="C447" s="325" t="s">
        <v>1349</v>
      </c>
      <c r="D447" s="203" t="s">
        <v>1040</v>
      </c>
      <c r="E447" s="244"/>
      <c r="F447" s="330"/>
      <c r="G447" s="345">
        <v>1.07</v>
      </c>
      <c r="H447" s="325" t="s">
        <v>1040</v>
      </c>
      <c r="I447" s="212"/>
      <c r="J447" s="244">
        <v>0.34</v>
      </c>
      <c r="K447" s="332">
        <v>1.16</v>
      </c>
      <c r="L447" s="329">
        <v>0.13</v>
      </c>
      <c r="M447" s="341"/>
      <c r="N447" s="342"/>
      <c r="P447" s="343"/>
      <c r="R447" s="250"/>
      <c r="S447" s="265"/>
    </row>
    <row r="448" s="164" customFormat="1" ht="24" customHeight="1" spans="1:19">
      <c r="A448" s="217"/>
      <c r="B448" s="202"/>
      <c r="C448" s="325" t="s">
        <v>1350</v>
      </c>
      <c r="D448" s="203" t="s">
        <v>1040</v>
      </c>
      <c r="E448" s="244"/>
      <c r="F448" s="330"/>
      <c r="G448" s="345">
        <v>1.71</v>
      </c>
      <c r="H448" s="325" t="s">
        <v>1040</v>
      </c>
      <c r="I448" s="212"/>
      <c r="J448" s="244">
        <v>0.52</v>
      </c>
      <c r="K448" s="332">
        <v>1.16</v>
      </c>
      <c r="L448" s="329">
        <v>0.17</v>
      </c>
      <c r="M448" s="341"/>
      <c r="N448" s="342"/>
      <c r="P448" s="343"/>
      <c r="R448" s="250"/>
      <c r="S448" s="265"/>
    </row>
    <row r="449" s="164" customFormat="1" ht="24" customHeight="1" spans="1:19">
      <c r="A449" s="217"/>
      <c r="B449" s="202"/>
      <c r="C449" s="325" t="s">
        <v>1351</v>
      </c>
      <c r="D449" s="203" t="s">
        <v>1040</v>
      </c>
      <c r="E449" s="244"/>
      <c r="F449" s="330"/>
      <c r="G449" s="345">
        <v>2.64</v>
      </c>
      <c r="H449" s="325" t="s">
        <v>1040</v>
      </c>
      <c r="I449" s="212"/>
      <c r="J449" s="244">
        <v>0.58</v>
      </c>
      <c r="K449" s="332">
        <v>1.1</v>
      </c>
      <c r="L449" s="329">
        <v>0.19</v>
      </c>
      <c r="M449" s="341"/>
      <c r="N449" s="342"/>
      <c r="P449" s="343"/>
      <c r="R449" s="250"/>
      <c r="S449" s="265"/>
    </row>
    <row r="450" s="164" customFormat="1" ht="24" customHeight="1" spans="1:19">
      <c r="A450" s="217"/>
      <c r="B450" s="202"/>
      <c r="C450" s="325" t="s">
        <v>1352</v>
      </c>
      <c r="D450" s="203" t="s">
        <v>1040</v>
      </c>
      <c r="E450" s="244"/>
      <c r="F450" s="330"/>
      <c r="G450" s="345">
        <v>3.97</v>
      </c>
      <c r="H450" s="325" t="s">
        <v>1040</v>
      </c>
      <c r="I450" s="212"/>
      <c r="J450" s="244">
        <v>0.51</v>
      </c>
      <c r="K450" s="332">
        <v>1.05</v>
      </c>
      <c r="L450" s="329">
        <v>0.19</v>
      </c>
      <c r="M450" s="341"/>
      <c r="N450" s="342"/>
      <c r="P450" s="343"/>
      <c r="R450" s="250"/>
      <c r="S450" s="265"/>
    </row>
    <row r="451" s="164" customFormat="1" ht="24" customHeight="1" spans="1:19">
      <c r="A451" s="217"/>
      <c r="B451" s="202"/>
      <c r="C451" s="325" t="s">
        <v>1353</v>
      </c>
      <c r="D451" s="203" t="s">
        <v>1040</v>
      </c>
      <c r="E451" s="244"/>
      <c r="F451" s="330"/>
      <c r="G451" s="345">
        <v>6.53</v>
      </c>
      <c r="H451" s="325" t="s">
        <v>1040</v>
      </c>
      <c r="I451" s="212"/>
      <c r="J451" s="244">
        <v>0.96</v>
      </c>
      <c r="K451" s="332">
        <v>1.05</v>
      </c>
      <c r="L451" s="329">
        <v>0.24</v>
      </c>
      <c r="M451" s="341"/>
      <c r="N451" s="342"/>
      <c r="P451" s="343"/>
      <c r="R451" s="250"/>
      <c r="S451" s="265"/>
    </row>
    <row r="452" s="164" customFormat="1" ht="24" customHeight="1" spans="1:19">
      <c r="A452" s="217"/>
      <c r="B452" s="202"/>
      <c r="C452" s="325" t="s">
        <v>1354</v>
      </c>
      <c r="D452" s="203" t="s">
        <v>1040</v>
      </c>
      <c r="E452" s="244"/>
      <c r="F452" s="330"/>
      <c r="G452" s="345">
        <v>10.08</v>
      </c>
      <c r="H452" s="325" t="s">
        <v>1040</v>
      </c>
      <c r="I452" s="212"/>
      <c r="J452" s="244">
        <v>1.11</v>
      </c>
      <c r="K452" s="332">
        <v>1.05</v>
      </c>
      <c r="L452" s="329">
        <v>0.34</v>
      </c>
      <c r="M452" s="341"/>
      <c r="N452" s="342"/>
      <c r="P452" s="343"/>
      <c r="R452" s="250"/>
      <c r="S452" s="265"/>
    </row>
    <row r="453" s="164" customFormat="1" ht="24" customHeight="1" spans="1:19">
      <c r="A453" s="217"/>
      <c r="B453" s="202"/>
      <c r="C453" s="325" t="s">
        <v>1355</v>
      </c>
      <c r="D453" s="203" t="s">
        <v>1040</v>
      </c>
      <c r="E453" s="244"/>
      <c r="F453" s="330"/>
      <c r="G453" s="345">
        <v>15.72</v>
      </c>
      <c r="H453" s="325" t="s">
        <v>1040</v>
      </c>
      <c r="I453" s="212"/>
      <c r="J453" s="244">
        <v>1.56</v>
      </c>
      <c r="K453" s="332">
        <v>1.05</v>
      </c>
      <c r="L453" s="329">
        <v>1.45</v>
      </c>
      <c r="M453" s="341"/>
      <c r="N453" s="342"/>
      <c r="P453" s="343"/>
      <c r="R453" s="250"/>
      <c r="S453" s="265"/>
    </row>
    <row r="454" s="164" customFormat="1" ht="24" customHeight="1" spans="1:19">
      <c r="A454" s="217"/>
      <c r="B454" s="202"/>
      <c r="C454" s="325" t="s">
        <v>1356</v>
      </c>
      <c r="D454" s="203" t="s">
        <v>1040</v>
      </c>
      <c r="E454" s="244"/>
      <c r="F454" s="330"/>
      <c r="G454" s="345">
        <v>1.81</v>
      </c>
      <c r="H454" s="325" t="s">
        <v>1040</v>
      </c>
      <c r="I454" s="212"/>
      <c r="J454" s="244">
        <v>0.52</v>
      </c>
      <c r="K454" s="332">
        <v>1.16</v>
      </c>
      <c r="L454" s="329">
        <v>0.17</v>
      </c>
      <c r="M454" s="341"/>
      <c r="N454" s="342"/>
      <c r="P454" s="343"/>
      <c r="R454" s="250"/>
      <c r="S454" s="265"/>
    </row>
    <row r="455" s="164" customFormat="1" ht="24" customHeight="1" spans="1:19">
      <c r="A455" s="217"/>
      <c r="B455" s="202"/>
      <c r="C455" s="325" t="s">
        <v>1357</v>
      </c>
      <c r="D455" s="203" t="s">
        <v>1040</v>
      </c>
      <c r="E455" s="244"/>
      <c r="F455" s="330"/>
      <c r="G455" s="345">
        <v>2.76</v>
      </c>
      <c r="H455" s="325" t="s">
        <v>1040</v>
      </c>
      <c r="I455" s="212"/>
      <c r="J455" s="244">
        <v>0.58</v>
      </c>
      <c r="K455" s="332">
        <v>1.1</v>
      </c>
      <c r="L455" s="329">
        <v>0.27</v>
      </c>
      <c r="M455" s="341"/>
      <c r="N455" s="342"/>
      <c r="P455" s="343"/>
      <c r="R455" s="250"/>
      <c r="S455" s="265"/>
    </row>
    <row r="456" s="164" customFormat="1" ht="24" customHeight="1" spans="1:19">
      <c r="A456" s="217"/>
      <c r="B456" s="202"/>
      <c r="C456" s="325" t="s">
        <v>1358</v>
      </c>
      <c r="D456" s="203" t="s">
        <v>1040</v>
      </c>
      <c r="E456" s="244"/>
      <c r="F456" s="330"/>
      <c r="G456" s="345">
        <v>4.1</v>
      </c>
      <c r="H456" s="325" t="s">
        <v>1040</v>
      </c>
      <c r="I456" s="212"/>
      <c r="J456" s="244">
        <v>0.51</v>
      </c>
      <c r="K456" s="332">
        <v>1.05</v>
      </c>
      <c r="L456" s="329">
        <v>0.19</v>
      </c>
      <c r="M456" s="341"/>
      <c r="N456" s="342"/>
      <c r="P456" s="343"/>
      <c r="R456" s="250"/>
      <c r="S456" s="265"/>
    </row>
    <row r="457" s="164" customFormat="1" ht="24" customHeight="1" spans="1:19">
      <c r="A457" s="217"/>
      <c r="B457" s="202"/>
      <c r="C457" s="325" t="s">
        <v>1359</v>
      </c>
      <c r="D457" s="203" t="s">
        <v>1040</v>
      </c>
      <c r="E457" s="244"/>
      <c r="F457" s="330"/>
      <c r="G457" s="345">
        <v>6.82</v>
      </c>
      <c r="H457" s="325" t="s">
        <v>1040</v>
      </c>
      <c r="I457" s="212"/>
      <c r="J457" s="244">
        <v>0.96</v>
      </c>
      <c r="K457" s="332">
        <v>1.05</v>
      </c>
      <c r="L457" s="329">
        <v>0.24</v>
      </c>
      <c r="M457" s="341"/>
      <c r="N457" s="342"/>
      <c r="P457" s="343"/>
      <c r="R457" s="250"/>
      <c r="S457" s="265"/>
    </row>
    <row r="458" s="164" customFormat="1" ht="24" customHeight="1" spans="1:19">
      <c r="A458" s="217"/>
      <c r="B458" s="202"/>
      <c r="C458" s="325" t="s">
        <v>1360</v>
      </c>
      <c r="D458" s="203" t="s">
        <v>1040</v>
      </c>
      <c r="E458" s="244"/>
      <c r="F458" s="330"/>
      <c r="G458" s="345">
        <v>10.48</v>
      </c>
      <c r="H458" s="325" t="s">
        <v>1040</v>
      </c>
      <c r="I458" s="212"/>
      <c r="J458" s="244">
        <v>1.11</v>
      </c>
      <c r="K458" s="332">
        <v>1.05</v>
      </c>
      <c r="L458" s="329">
        <v>0.34</v>
      </c>
      <c r="M458" s="341"/>
      <c r="N458" s="342"/>
      <c r="P458" s="343"/>
      <c r="R458" s="250"/>
      <c r="S458" s="265"/>
    </row>
    <row r="459" s="164" customFormat="1" ht="24" customHeight="1" spans="1:19">
      <c r="A459" s="217"/>
      <c r="B459" s="202"/>
      <c r="C459" s="325" t="s">
        <v>1361</v>
      </c>
      <c r="D459" s="203" t="s">
        <v>1040</v>
      </c>
      <c r="E459" s="244"/>
      <c r="F459" s="330"/>
      <c r="G459" s="345">
        <v>16.26</v>
      </c>
      <c r="H459" s="325" t="s">
        <v>1040</v>
      </c>
      <c r="I459" s="212"/>
      <c r="J459" s="244">
        <v>1.56</v>
      </c>
      <c r="K459" s="332">
        <v>1.05</v>
      </c>
      <c r="L459" s="329">
        <v>1.45</v>
      </c>
      <c r="M459" s="341"/>
      <c r="N459" s="342"/>
      <c r="P459" s="343"/>
      <c r="R459" s="250"/>
      <c r="S459" s="265"/>
    </row>
    <row r="460" s="164" customFormat="1" ht="24" customHeight="1" spans="1:19">
      <c r="A460" s="217"/>
      <c r="B460" s="202"/>
      <c r="C460" s="325" t="s">
        <v>1362</v>
      </c>
      <c r="D460" s="203" t="s">
        <v>1040</v>
      </c>
      <c r="E460" s="244"/>
      <c r="F460" s="330"/>
      <c r="G460" s="345">
        <v>1.58</v>
      </c>
      <c r="H460" s="325" t="s">
        <v>1040</v>
      </c>
      <c r="I460" s="212"/>
      <c r="J460" s="244">
        <v>0.52</v>
      </c>
      <c r="K460" s="332">
        <v>1.16</v>
      </c>
      <c r="L460" s="329">
        <v>0.17</v>
      </c>
      <c r="M460" s="341"/>
      <c r="N460" s="342"/>
      <c r="P460" s="343"/>
      <c r="R460" s="250"/>
      <c r="S460" s="265"/>
    </row>
    <row r="461" s="164" customFormat="1" ht="24" customHeight="1" spans="1:19">
      <c r="A461" s="217"/>
      <c r="B461" s="202"/>
      <c r="C461" s="325" t="s">
        <v>1363</v>
      </c>
      <c r="D461" s="203" t="s">
        <v>1040</v>
      </c>
      <c r="E461" s="244"/>
      <c r="F461" s="330"/>
      <c r="G461" s="345">
        <v>2.46</v>
      </c>
      <c r="H461" s="325" t="s">
        <v>1040</v>
      </c>
      <c r="I461" s="212"/>
      <c r="J461" s="244">
        <v>0.58</v>
      </c>
      <c r="K461" s="332">
        <v>1.1</v>
      </c>
      <c r="L461" s="329">
        <v>0.19</v>
      </c>
      <c r="M461" s="341"/>
      <c r="N461" s="342"/>
      <c r="P461" s="343"/>
      <c r="R461" s="250"/>
      <c r="S461" s="265"/>
    </row>
    <row r="462" s="164" customFormat="1" ht="24" customHeight="1" spans="1:19">
      <c r="A462" s="217"/>
      <c r="B462" s="202"/>
      <c r="C462" s="325" t="s">
        <v>1364</v>
      </c>
      <c r="D462" s="203" t="s">
        <v>1040</v>
      </c>
      <c r="E462" s="244"/>
      <c r="F462" s="330"/>
      <c r="G462" s="345">
        <v>3.6</v>
      </c>
      <c r="H462" s="325" t="s">
        <v>1040</v>
      </c>
      <c r="I462" s="212"/>
      <c r="J462" s="244">
        <v>0.78</v>
      </c>
      <c r="K462" s="332">
        <v>1.05</v>
      </c>
      <c r="L462" s="329">
        <v>0.27</v>
      </c>
      <c r="M462" s="341"/>
      <c r="N462" s="342"/>
      <c r="P462" s="343"/>
      <c r="R462" s="250"/>
      <c r="S462" s="265"/>
    </row>
    <row r="463" s="164" customFormat="1" ht="24" customHeight="1" spans="1:19">
      <c r="A463" s="217"/>
      <c r="B463" s="202"/>
      <c r="C463" s="325" t="s">
        <v>1365</v>
      </c>
      <c r="D463" s="203" t="s">
        <v>1040</v>
      </c>
      <c r="E463" s="244"/>
      <c r="F463" s="330"/>
      <c r="G463" s="345">
        <v>6.34</v>
      </c>
      <c r="H463" s="325" t="s">
        <v>1040</v>
      </c>
      <c r="I463" s="212"/>
      <c r="J463" s="244">
        <v>0.96</v>
      </c>
      <c r="K463" s="332">
        <v>1.05</v>
      </c>
      <c r="L463" s="329">
        <v>0.28</v>
      </c>
      <c r="M463" s="341"/>
      <c r="N463" s="342"/>
      <c r="P463" s="343"/>
      <c r="R463" s="250"/>
      <c r="S463" s="265"/>
    </row>
    <row r="464" s="164" customFormat="1" ht="24" customHeight="1" spans="1:19">
      <c r="A464" s="217"/>
      <c r="B464" s="202"/>
      <c r="C464" s="325" t="s">
        <v>1366</v>
      </c>
      <c r="D464" s="203" t="s">
        <v>1040</v>
      </c>
      <c r="E464" s="244"/>
      <c r="F464" s="330"/>
      <c r="G464" s="345">
        <v>9.79</v>
      </c>
      <c r="H464" s="325" t="s">
        <v>1040</v>
      </c>
      <c r="I464" s="212"/>
      <c r="J464" s="244">
        <v>1.11</v>
      </c>
      <c r="K464" s="332">
        <v>1.05</v>
      </c>
      <c r="L464" s="329">
        <v>0.34</v>
      </c>
      <c r="M464" s="341"/>
      <c r="N464" s="342"/>
      <c r="P464" s="343"/>
      <c r="R464" s="250"/>
      <c r="S464" s="265"/>
    </row>
    <row r="465" s="164" customFormat="1" ht="24" customHeight="1" spans="1:19">
      <c r="A465" s="217"/>
      <c r="B465" s="202"/>
      <c r="C465" s="325" t="s">
        <v>1367</v>
      </c>
      <c r="D465" s="203" t="s">
        <v>1040</v>
      </c>
      <c r="E465" s="244"/>
      <c r="F465" s="330"/>
      <c r="G465" s="345">
        <v>15.12</v>
      </c>
      <c r="H465" s="325" t="s">
        <v>1040</v>
      </c>
      <c r="I465" s="212"/>
      <c r="J465" s="244">
        <v>1.56</v>
      </c>
      <c r="K465" s="332">
        <v>1.05</v>
      </c>
      <c r="L465" s="329">
        <v>1.45</v>
      </c>
      <c r="M465" s="341"/>
      <c r="N465" s="342"/>
      <c r="P465" s="343"/>
      <c r="R465" s="250"/>
      <c r="S465" s="265"/>
    </row>
    <row r="466" s="164" customFormat="1" ht="24" customHeight="1" spans="1:19">
      <c r="A466" s="217"/>
      <c r="B466" s="202"/>
      <c r="C466" s="325" t="s">
        <v>1368</v>
      </c>
      <c r="D466" s="203" t="s">
        <v>1040</v>
      </c>
      <c r="E466" s="244"/>
      <c r="F466" s="330"/>
      <c r="G466" s="329"/>
      <c r="H466" s="325" t="s">
        <v>1040</v>
      </c>
      <c r="I466" s="212"/>
      <c r="J466" s="244">
        <v>0.58</v>
      </c>
      <c r="K466" s="332">
        <v>1.05</v>
      </c>
      <c r="L466" s="329">
        <v>0.17</v>
      </c>
      <c r="M466" s="341"/>
      <c r="N466" s="342"/>
      <c r="P466" s="343"/>
      <c r="R466" s="250"/>
      <c r="S466" s="265"/>
    </row>
    <row r="467" s="164" customFormat="1" ht="24" customHeight="1" spans="1:19">
      <c r="A467" s="217"/>
      <c r="B467" s="202"/>
      <c r="C467" s="325" t="s">
        <v>1369</v>
      </c>
      <c r="D467" s="203" t="s">
        <v>1040</v>
      </c>
      <c r="E467" s="244"/>
      <c r="F467" s="330"/>
      <c r="G467" s="345">
        <v>2.48</v>
      </c>
      <c r="H467" s="325" t="s">
        <v>1040</v>
      </c>
      <c r="I467" s="212"/>
      <c r="J467" s="244">
        <v>0.58</v>
      </c>
      <c r="K467" s="332">
        <v>1.05</v>
      </c>
      <c r="L467" s="329">
        <v>0.17</v>
      </c>
      <c r="M467" s="249"/>
      <c r="N467" s="342"/>
      <c r="P467" s="343"/>
      <c r="R467" s="250"/>
      <c r="S467" s="265"/>
    </row>
    <row r="468" s="164" customFormat="1" ht="24" customHeight="1" spans="1:19">
      <c r="A468" s="217"/>
      <c r="B468" s="202"/>
      <c r="C468" s="325" t="s">
        <v>1370</v>
      </c>
      <c r="D468" s="203" t="s">
        <v>1040</v>
      </c>
      <c r="E468" s="244"/>
      <c r="F468" s="330"/>
      <c r="G468" s="345">
        <v>3.86</v>
      </c>
      <c r="H468" s="325" t="s">
        <v>1040</v>
      </c>
      <c r="I468" s="212"/>
      <c r="J468" s="244">
        <v>0.58</v>
      </c>
      <c r="K468" s="332">
        <v>1.05</v>
      </c>
      <c r="L468" s="329">
        <v>0.17</v>
      </c>
      <c r="M468" s="249"/>
      <c r="N468" s="342"/>
      <c r="P468" s="343"/>
      <c r="R468" s="250"/>
      <c r="S468" s="265"/>
    </row>
    <row r="469" s="164" customFormat="1" ht="24" customHeight="1" spans="1:19">
      <c r="A469" s="217"/>
      <c r="B469" s="202"/>
      <c r="C469" s="325" t="s">
        <v>1371</v>
      </c>
      <c r="D469" s="203" t="s">
        <v>1040</v>
      </c>
      <c r="E469" s="244"/>
      <c r="F469" s="330"/>
      <c r="G469" s="345">
        <v>6.14</v>
      </c>
      <c r="H469" s="325" t="s">
        <v>1040</v>
      </c>
      <c r="I469" s="212"/>
      <c r="J469" s="244">
        <v>0.96</v>
      </c>
      <c r="K469" s="332">
        <v>1.05</v>
      </c>
      <c r="L469" s="329">
        <v>0.24</v>
      </c>
      <c r="M469" s="249"/>
      <c r="N469" s="342"/>
      <c r="P469" s="343"/>
      <c r="R469" s="250"/>
      <c r="S469" s="265"/>
    </row>
    <row r="470" s="164" customFormat="1" ht="24" customHeight="1" spans="1:19">
      <c r="A470" s="217"/>
      <c r="B470" s="202"/>
      <c r="C470" s="325" t="s">
        <v>1372</v>
      </c>
      <c r="D470" s="203" t="s">
        <v>1040</v>
      </c>
      <c r="E470" s="244"/>
      <c r="F470" s="330"/>
      <c r="G470" s="345">
        <v>4.4</v>
      </c>
      <c r="H470" s="325" t="s">
        <v>1040</v>
      </c>
      <c r="I470" s="212"/>
      <c r="J470" s="244">
        <v>0.58</v>
      </c>
      <c r="K470" s="332">
        <v>1.05</v>
      </c>
      <c r="L470" s="329">
        <v>0.17</v>
      </c>
      <c r="M470" s="249"/>
      <c r="N470" s="342"/>
      <c r="P470" s="343"/>
      <c r="R470" s="250"/>
      <c r="S470" s="265"/>
    </row>
    <row r="471" s="164" customFormat="1" ht="24" customHeight="1" spans="1:19">
      <c r="A471" s="217"/>
      <c r="B471" s="202"/>
      <c r="C471" s="325" t="s">
        <v>1373</v>
      </c>
      <c r="D471" s="203" t="s">
        <v>1040</v>
      </c>
      <c r="E471" s="244"/>
      <c r="F471" s="330"/>
      <c r="G471" s="345">
        <v>2.62</v>
      </c>
      <c r="H471" s="325" t="s">
        <v>1040</v>
      </c>
      <c r="I471" s="212"/>
      <c r="J471" s="244">
        <v>0.58</v>
      </c>
      <c r="K471" s="332">
        <v>1.05</v>
      </c>
      <c r="L471" s="329">
        <v>0.17</v>
      </c>
      <c r="M471" s="249"/>
      <c r="N471" s="342"/>
      <c r="P471" s="343"/>
      <c r="R471" s="250"/>
      <c r="S471" s="265"/>
    </row>
    <row r="472" s="164" customFormat="1" ht="24" customHeight="1" spans="1:19">
      <c r="A472" s="217"/>
      <c r="B472" s="202"/>
      <c r="C472" s="325" t="s">
        <v>1374</v>
      </c>
      <c r="D472" s="203" t="s">
        <v>1040</v>
      </c>
      <c r="E472" s="244"/>
      <c r="F472" s="330"/>
      <c r="G472" s="345">
        <v>3.48</v>
      </c>
      <c r="H472" s="325" t="s">
        <v>1040</v>
      </c>
      <c r="I472" s="212"/>
      <c r="J472" s="244">
        <v>0.58</v>
      </c>
      <c r="K472" s="332">
        <v>1.05</v>
      </c>
      <c r="L472" s="329">
        <v>0.17</v>
      </c>
      <c r="M472" s="249"/>
      <c r="N472" s="342"/>
      <c r="P472" s="343"/>
      <c r="R472" s="250"/>
      <c r="S472" s="265"/>
    </row>
    <row r="473" s="164" customFormat="1" ht="24" customHeight="1" spans="1:19">
      <c r="A473" s="217"/>
      <c r="B473" s="202"/>
      <c r="C473" s="325" t="s">
        <v>1375</v>
      </c>
      <c r="D473" s="203" t="s">
        <v>1040</v>
      </c>
      <c r="E473" s="244"/>
      <c r="F473" s="330"/>
      <c r="G473" s="345">
        <v>4.31</v>
      </c>
      <c r="H473" s="325" t="s">
        <v>1040</v>
      </c>
      <c r="I473" s="212"/>
      <c r="J473" s="244">
        <v>0.58</v>
      </c>
      <c r="K473" s="332">
        <v>1.05</v>
      </c>
      <c r="L473" s="329">
        <v>0.17</v>
      </c>
      <c r="M473" s="249"/>
      <c r="N473" s="342"/>
      <c r="P473" s="343"/>
      <c r="R473" s="250"/>
      <c r="S473" s="265"/>
    </row>
    <row r="474" s="164" customFormat="1" ht="24" customHeight="1" spans="1:19">
      <c r="A474" s="217"/>
      <c r="B474" s="202"/>
      <c r="C474" s="325" t="s">
        <v>1376</v>
      </c>
      <c r="D474" s="203" t="s">
        <v>1040</v>
      </c>
      <c r="E474" s="244"/>
      <c r="F474" s="330"/>
      <c r="G474" s="345">
        <v>2.52</v>
      </c>
      <c r="H474" s="325" t="s">
        <v>1040</v>
      </c>
      <c r="I474" s="212"/>
      <c r="J474" s="244">
        <v>0.58</v>
      </c>
      <c r="K474" s="332">
        <v>1.1</v>
      </c>
      <c r="L474" s="329">
        <v>0.19</v>
      </c>
      <c r="M474" s="341"/>
      <c r="N474" s="342"/>
      <c r="P474" s="343"/>
      <c r="R474" s="250"/>
      <c r="S474" s="265"/>
    </row>
    <row r="475" s="164" customFormat="1" ht="24" customHeight="1" spans="1:19">
      <c r="A475" s="217"/>
      <c r="B475" s="202"/>
      <c r="C475" s="325" t="s">
        <v>1377</v>
      </c>
      <c r="D475" s="203" t="s">
        <v>1040</v>
      </c>
      <c r="E475" s="244"/>
      <c r="F475" s="330"/>
      <c r="G475" s="345">
        <v>5.36</v>
      </c>
      <c r="H475" s="325" t="s">
        <v>1040</v>
      </c>
      <c r="I475" s="212"/>
      <c r="J475" s="244">
        <v>0.58</v>
      </c>
      <c r="K475" s="332">
        <v>1.05</v>
      </c>
      <c r="L475" s="329">
        <v>0.17</v>
      </c>
      <c r="M475" s="341"/>
      <c r="N475" s="342"/>
      <c r="P475" s="343"/>
      <c r="R475" s="250"/>
      <c r="S475" s="265"/>
    </row>
    <row r="476" s="164" customFormat="1" ht="24" customHeight="1" spans="1:19">
      <c r="A476" s="217"/>
      <c r="B476" s="202"/>
      <c r="C476" s="325" t="s">
        <v>1378</v>
      </c>
      <c r="D476" s="203" t="s">
        <v>1040</v>
      </c>
      <c r="E476" s="244"/>
      <c r="F476" s="330"/>
      <c r="G476" s="345">
        <v>3.76</v>
      </c>
      <c r="H476" s="325" t="s">
        <v>1040</v>
      </c>
      <c r="I476" s="212"/>
      <c r="J476" s="244">
        <v>0.58</v>
      </c>
      <c r="K476" s="332">
        <v>1.05</v>
      </c>
      <c r="L476" s="329">
        <v>0.17</v>
      </c>
      <c r="M476" s="341"/>
      <c r="N476" s="342"/>
      <c r="P476" s="343"/>
      <c r="R476" s="250"/>
      <c r="S476" s="265"/>
    </row>
    <row r="477" s="164" customFormat="1" ht="24" customHeight="1" spans="1:19">
      <c r="A477" s="217"/>
      <c r="B477" s="212" t="s">
        <v>1379</v>
      </c>
      <c r="C477" s="325" t="s">
        <v>1380</v>
      </c>
      <c r="D477" s="203" t="s">
        <v>1381</v>
      </c>
      <c r="E477" s="244"/>
      <c r="F477" s="330"/>
      <c r="G477" s="329">
        <v>27.31</v>
      </c>
      <c r="H477" s="325" t="s">
        <v>1381</v>
      </c>
      <c r="I477" s="212"/>
      <c r="J477" s="244">
        <v>16.37</v>
      </c>
      <c r="K477" s="332">
        <v>1.01</v>
      </c>
      <c r="L477" s="329">
        <v>4.09</v>
      </c>
      <c r="M477" s="341"/>
      <c r="N477" s="342"/>
      <c r="P477" s="343"/>
      <c r="R477" s="250"/>
      <c r="S477" s="265"/>
    </row>
    <row r="478" s="164" customFormat="1" ht="24" customHeight="1" spans="1:19">
      <c r="A478" s="217"/>
      <c r="B478" s="212"/>
      <c r="C478" s="325" t="s">
        <v>1382</v>
      </c>
      <c r="D478" s="203" t="s">
        <v>1381</v>
      </c>
      <c r="E478" s="244"/>
      <c r="F478" s="330"/>
      <c r="G478" s="329">
        <v>48.37</v>
      </c>
      <c r="H478" s="325" t="s">
        <v>1381</v>
      </c>
      <c r="I478" s="212"/>
      <c r="J478" s="244">
        <v>19.16</v>
      </c>
      <c r="K478" s="332">
        <v>1.01</v>
      </c>
      <c r="L478" s="329">
        <v>4.03</v>
      </c>
      <c r="M478" s="341"/>
      <c r="N478" s="342"/>
      <c r="P478" s="343"/>
      <c r="R478" s="250"/>
      <c r="S478" s="265"/>
    </row>
    <row r="479" s="164" customFormat="1" ht="24" customHeight="1" spans="1:19">
      <c r="A479" s="217"/>
      <c r="B479" s="212"/>
      <c r="C479" s="325" t="s">
        <v>1383</v>
      </c>
      <c r="D479" s="203" t="s">
        <v>1381</v>
      </c>
      <c r="E479" s="244"/>
      <c r="F479" s="330"/>
      <c r="G479" s="346">
        <v>37.31</v>
      </c>
      <c r="H479" s="325" t="s">
        <v>1381</v>
      </c>
      <c r="I479" s="212"/>
      <c r="J479" s="244">
        <v>16.37</v>
      </c>
      <c r="K479" s="332">
        <v>1.01</v>
      </c>
      <c r="L479" s="329">
        <v>4.09</v>
      </c>
      <c r="M479" s="341"/>
      <c r="N479" s="342"/>
      <c r="P479" s="343"/>
      <c r="R479" s="250"/>
      <c r="S479" s="265"/>
    </row>
    <row r="480" s="164" customFormat="1" ht="24" customHeight="1" spans="1:19">
      <c r="A480" s="217"/>
      <c r="B480" s="212"/>
      <c r="C480" s="325" t="s">
        <v>1384</v>
      </c>
      <c r="D480" s="203" t="s">
        <v>1381</v>
      </c>
      <c r="E480" s="244"/>
      <c r="F480" s="330"/>
      <c r="G480" s="346">
        <v>58.37</v>
      </c>
      <c r="H480" s="325" t="s">
        <v>1381</v>
      </c>
      <c r="I480" s="212"/>
      <c r="J480" s="244">
        <v>19.16</v>
      </c>
      <c r="K480" s="332">
        <v>1.01</v>
      </c>
      <c r="L480" s="329">
        <v>4.03</v>
      </c>
      <c r="M480" s="341"/>
      <c r="N480" s="342"/>
      <c r="P480" s="343"/>
      <c r="R480" s="250"/>
      <c r="S480" s="265"/>
    </row>
    <row r="481" s="164" customFormat="1" ht="24" customHeight="1" spans="1:19">
      <c r="A481" s="217"/>
      <c r="B481" s="212"/>
      <c r="C481" s="325" t="s">
        <v>1385</v>
      </c>
      <c r="D481" s="203" t="s">
        <v>1040</v>
      </c>
      <c r="E481" s="244"/>
      <c r="F481" s="330"/>
      <c r="G481" s="329">
        <v>10</v>
      </c>
      <c r="H481" s="203" t="s">
        <v>1040</v>
      </c>
      <c r="I481" s="212"/>
      <c r="J481" s="244">
        <v>10</v>
      </c>
      <c r="K481" s="336">
        <v>1.03</v>
      </c>
      <c r="L481" s="329">
        <v>0.6</v>
      </c>
      <c r="M481" s="341"/>
      <c r="N481" s="342"/>
      <c r="P481" s="343"/>
      <c r="R481" s="250"/>
      <c r="S481" s="265"/>
    </row>
    <row r="482" s="164" customFormat="1" ht="24" customHeight="1" spans="1:19">
      <c r="A482" s="217"/>
      <c r="B482" s="212"/>
      <c r="C482" s="325" t="s">
        <v>1386</v>
      </c>
      <c r="D482" s="203" t="s">
        <v>1040</v>
      </c>
      <c r="E482" s="244"/>
      <c r="F482" s="330"/>
      <c r="G482" s="329">
        <v>16</v>
      </c>
      <c r="H482" s="203" t="s">
        <v>1040</v>
      </c>
      <c r="I482" s="212"/>
      <c r="J482" s="244">
        <v>10</v>
      </c>
      <c r="K482" s="336">
        <v>1.03</v>
      </c>
      <c r="L482" s="329">
        <v>0.6</v>
      </c>
      <c r="M482" s="341"/>
      <c r="N482" s="342"/>
      <c r="P482" s="343"/>
      <c r="R482" s="250"/>
      <c r="S482" s="265"/>
    </row>
    <row r="483" s="164" customFormat="1" ht="24" customHeight="1" spans="1:19">
      <c r="A483" s="217"/>
      <c r="B483" s="212"/>
      <c r="C483" s="325" t="s">
        <v>1387</v>
      </c>
      <c r="D483" s="203" t="s">
        <v>1040</v>
      </c>
      <c r="E483" s="244"/>
      <c r="F483" s="330"/>
      <c r="G483" s="329">
        <v>28</v>
      </c>
      <c r="H483" s="203" t="s">
        <v>1040</v>
      </c>
      <c r="I483" s="212"/>
      <c r="J483" s="244">
        <v>10</v>
      </c>
      <c r="K483" s="336">
        <v>1.03</v>
      </c>
      <c r="L483" s="329">
        <v>0.6</v>
      </c>
      <c r="M483" s="341"/>
      <c r="N483" s="342"/>
      <c r="P483" s="343"/>
      <c r="R483" s="250"/>
      <c r="S483" s="265"/>
    </row>
    <row r="484" s="164" customFormat="1" ht="24" customHeight="1" spans="1:19">
      <c r="A484" s="217"/>
      <c r="B484" s="212"/>
      <c r="C484" s="325" t="s">
        <v>1388</v>
      </c>
      <c r="D484" s="203" t="s">
        <v>1381</v>
      </c>
      <c r="E484" s="244"/>
      <c r="F484" s="330"/>
      <c r="G484" s="329">
        <v>33.19</v>
      </c>
      <c r="H484" s="325" t="s">
        <v>1381</v>
      </c>
      <c r="I484" s="212"/>
      <c r="J484" s="244">
        <v>15</v>
      </c>
      <c r="K484" s="332">
        <v>1.01</v>
      </c>
      <c r="L484" s="329">
        <v>8.6</v>
      </c>
      <c r="M484" s="341"/>
      <c r="N484" s="342"/>
      <c r="P484" s="343"/>
      <c r="R484" s="250"/>
      <c r="S484" s="265"/>
    </row>
    <row r="485" s="164" customFormat="1" ht="24" customHeight="1" spans="1:19">
      <c r="A485" s="217"/>
      <c r="B485" s="212"/>
      <c r="C485" s="325" t="s">
        <v>1389</v>
      </c>
      <c r="D485" s="203" t="s">
        <v>1381</v>
      </c>
      <c r="E485" s="244"/>
      <c r="F485" s="330"/>
      <c r="G485" s="329">
        <v>57.31</v>
      </c>
      <c r="H485" s="325" t="s">
        <v>1381</v>
      </c>
      <c r="I485" s="212"/>
      <c r="J485" s="244">
        <v>16.37</v>
      </c>
      <c r="K485" s="332">
        <v>1.01</v>
      </c>
      <c r="L485" s="329">
        <v>4.09</v>
      </c>
      <c r="M485" s="341"/>
      <c r="N485" s="342"/>
      <c r="P485" s="343"/>
      <c r="R485" s="250"/>
      <c r="S485" s="265"/>
    </row>
    <row r="486" s="164" customFormat="1" ht="24" customHeight="1" spans="1:19">
      <c r="A486" s="217"/>
      <c r="B486" s="212"/>
      <c r="C486" s="325" t="s">
        <v>1390</v>
      </c>
      <c r="D486" s="203" t="s">
        <v>1381</v>
      </c>
      <c r="E486" s="244"/>
      <c r="F486" s="330"/>
      <c r="G486" s="329">
        <v>78.37</v>
      </c>
      <c r="H486" s="325" t="s">
        <v>1381</v>
      </c>
      <c r="I486" s="212"/>
      <c r="J486" s="244">
        <v>19.16</v>
      </c>
      <c r="K486" s="332">
        <v>1.01</v>
      </c>
      <c r="L486" s="329">
        <v>4.03</v>
      </c>
      <c r="M486" s="341"/>
      <c r="N486" s="342"/>
      <c r="P486" s="343"/>
      <c r="R486" s="250"/>
      <c r="S486" s="265"/>
    </row>
    <row r="487" s="164" customFormat="1" ht="24" customHeight="1" spans="1:19">
      <c r="A487" s="217"/>
      <c r="B487" s="212"/>
      <c r="C487" s="325" t="s">
        <v>1391</v>
      </c>
      <c r="D487" s="203" t="s">
        <v>1381</v>
      </c>
      <c r="E487" s="244"/>
      <c r="F487" s="330"/>
      <c r="G487" s="329">
        <v>73.19</v>
      </c>
      <c r="H487" s="325" t="s">
        <v>1381</v>
      </c>
      <c r="I487" s="212"/>
      <c r="J487" s="244">
        <v>15</v>
      </c>
      <c r="K487" s="332">
        <v>1.01</v>
      </c>
      <c r="L487" s="329">
        <v>8.6</v>
      </c>
      <c r="M487" s="341"/>
      <c r="N487" s="342"/>
      <c r="P487" s="343"/>
      <c r="R487" s="250"/>
      <c r="S487" s="265"/>
    </row>
    <row r="488" s="164" customFormat="1" ht="24" customHeight="1" spans="1:19">
      <c r="A488" s="217"/>
      <c r="B488" s="212"/>
      <c r="C488" s="325" t="s">
        <v>1392</v>
      </c>
      <c r="D488" s="203" t="s">
        <v>1381</v>
      </c>
      <c r="E488" s="244"/>
      <c r="F488" s="330"/>
      <c r="G488" s="329">
        <v>51.87</v>
      </c>
      <c r="H488" s="325" t="s">
        <v>1381</v>
      </c>
      <c r="I488" s="212"/>
      <c r="J488" s="244">
        <v>15.76</v>
      </c>
      <c r="K488" s="332">
        <v>1.01</v>
      </c>
      <c r="L488" s="329">
        <v>4.03</v>
      </c>
      <c r="M488" s="341"/>
      <c r="N488" s="342"/>
      <c r="P488" s="343"/>
      <c r="R488" s="250"/>
      <c r="S488" s="265"/>
    </row>
    <row r="489" s="164" customFormat="1" ht="24" customHeight="1" spans="1:19">
      <c r="A489" s="217"/>
      <c r="B489" s="212"/>
      <c r="C489" s="325" t="s">
        <v>1393</v>
      </c>
      <c r="D489" s="203" t="s">
        <v>1381</v>
      </c>
      <c r="E489" s="244"/>
      <c r="F489" s="330"/>
      <c r="G489" s="329">
        <v>38.87</v>
      </c>
      <c r="H489" s="325" t="s">
        <v>1381</v>
      </c>
      <c r="I489" s="212"/>
      <c r="J489" s="244">
        <v>15.76</v>
      </c>
      <c r="K489" s="332">
        <v>1.01</v>
      </c>
      <c r="L489" s="329">
        <v>4.03</v>
      </c>
      <c r="M489" s="341"/>
      <c r="N489" s="342"/>
      <c r="P489" s="343"/>
      <c r="R489" s="250"/>
      <c r="S489" s="265"/>
    </row>
    <row r="490" s="164" customFormat="1" ht="24" customHeight="1" spans="1:19">
      <c r="A490" s="217"/>
      <c r="B490" s="212"/>
      <c r="C490" s="325" t="s">
        <v>1394</v>
      </c>
      <c r="D490" s="203" t="s">
        <v>1381</v>
      </c>
      <c r="E490" s="244"/>
      <c r="F490" s="330"/>
      <c r="G490" s="329">
        <v>31.87</v>
      </c>
      <c r="H490" s="325" t="s">
        <v>1381</v>
      </c>
      <c r="I490" s="212"/>
      <c r="J490" s="244">
        <v>15.76</v>
      </c>
      <c r="K490" s="332">
        <v>1.01</v>
      </c>
      <c r="L490" s="329">
        <v>4.03</v>
      </c>
      <c r="M490" s="341"/>
      <c r="N490" s="342"/>
      <c r="P490" s="343"/>
      <c r="R490" s="250"/>
      <c r="S490" s="265"/>
    </row>
    <row r="491" s="164" customFormat="1" ht="24" customHeight="1" spans="1:19">
      <c r="A491" s="217"/>
      <c r="B491" s="212"/>
      <c r="C491" s="325" t="s">
        <v>1395</v>
      </c>
      <c r="D491" s="203" t="s">
        <v>1381</v>
      </c>
      <c r="E491" s="244"/>
      <c r="F491" s="330"/>
      <c r="G491" s="329">
        <v>34.13</v>
      </c>
      <c r="H491" s="325" t="s">
        <v>1381</v>
      </c>
      <c r="I491" s="212"/>
      <c r="J491" s="244">
        <v>15.76</v>
      </c>
      <c r="K491" s="332">
        <v>1.01</v>
      </c>
      <c r="L491" s="329">
        <v>6.57</v>
      </c>
      <c r="M491" s="341"/>
      <c r="N491" s="342"/>
      <c r="P491" s="343"/>
      <c r="R491" s="250"/>
      <c r="S491" s="265"/>
    </row>
    <row r="492" s="164" customFormat="1" ht="24" customHeight="1" spans="1:19">
      <c r="A492" s="217"/>
      <c r="B492" s="212"/>
      <c r="C492" s="325" t="s">
        <v>1396</v>
      </c>
      <c r="D492" s="203" t="s">
        <v>1381</v>
      </c>
      <c r="E492" s="244"/>
      <c r="F492" s="330"/>
      <c r="G492" s="329">
        <v>27.31</v>
      </c>
      <c r="H492" s="325" t="s">
        <v>1381</v>
      </c>
      <c r="I492" s="212"/>
      <c r="J492" s="244">
        <v>9.63</v>
      </c>
      <c r="K492" s="332">
        <v>1.01</v>
      </c>
      <c r="L492" s="329">
        <v>3.77</v>
      </c>
      <c r="M492" s="341"/>
      <c r="N492" s="342"/>
      <c r="P492" s="343"/>
      <c r="R492" s="250"/>
      <c r="S492" s="265"/>
    </row>
    <row r="493" s="164" customFormat="1" ht="24" customHeight="1" spans="1:19">
      <c r="A493" s="217"/>
      <c r="B493" s="212"/>
      <c r="C493" s="325" t="s">
        <v>1397</v>
      </c>
      <c r="D493" s="203" t="s">
        <v>1381</v>
      </c>
      <c r="E493" s="244"/>
      <c r="F493" s="330"/>
      <c r="G493" s="329">
        <v>2.5</v>
      </c>
      <c r="H493" s="325" t="s">
        <v>1381</v>
      </c>
      <c r="I493" s="212"/>
      <c r="J493" s="244">
        <v>9.63</v>
      </c>
      <c r="K493" s="332">
        <v>1.01</v>
      </c>
      <c r="L493" s="329">
        <v>3.77</v>
      </c>
      <c r="M493" s="341"/>
      <c r="N493" s="342"/>
      <c r="P493" s="343"/>
      <c r="R493" s="250"/>
      <c r="S493" s="265"/>
    </row>
    <row r="494" s="164" customFormat="1" ht="24" customHeight="1" spans="1:19">
      <c r="A494" s="217"/>
      <c r="B494" s="212"/>
      <c r="C494" s="325" t="s">
        <v>1398</v>
      </c>
      <c r="D494" s="203" t="s">
        <v>1381</v>
      </c>
      <c r="E494" s="244"/>
      <c r="F494" s="330"/>
      <c r="G494" s="329">
        <v>4.5</v>
      </c>
      <c r="H494" s="325" t="s">
        <v>1381</v>
      </c>
      <c r="I494" s="212"/>
      <c r="J494" s="244">
        <v>9.63</v>
      </c>
      <c r="K494" s="332">
        <v>1.01</v>
      </c>
      <c r="L494" s="329">
        <v>3.77</v>
      </c>
      <c r="M494" s="341"/>
      <c r="N494" s="342"/>
      <c r="P494" s="343"/>
      <c r="R494" s="250"/>
      <c r="S494" s="265"/>
    </row>
    <row r="495" s="164" customFormat="1" ht="24" customHeight="1" spans="1:19">
      <c r="A495" s="217"/>
      <c r="B495" s="212"/>
      <c r="C495" s="325" t="s">
        <v>1399</v>
      </c>
      <c r="D495" s="203" t="s">
        <v>1381</v>
      </c>
      <c r="E495" s="244"/>
      <c r="F495" s="330"/>
      <c r="G495" s="329">
        <v>4.5</v>
      </c>
      <c r="H495" s="325" t="s">
        <v>1381</v>
      </c>
      <c r="I495" s="212"/>
      <c r="J495" s="244">
        <v>9.63</v>
      </c>
      <c r="K495" s="332">
        <v>1.01</v>
      </c>
      <c r="L495" s="329">
        <v>3.41</v>
      </c>
      <c r="M495" s="341"/>
      <c r="N495" s="342"/>
      <c r="P495" s="343"/>
      <c r="R495" s="250"/>
      <c r="S495" s="265"/>
    </row>
    <row r="496" s="164" customFormat="1" ht="24" customHeight="1" spans="1:19">
      <c r="A496" s="217"/>
      <c r="B496" s="212"/>
      <c r="C496" s="325" t="s">
        <v>1400</v>
      </c>
      <c r="D496" s="203" t="s">
        <v>1381</v>
      </c>
      <c r="E496" s="244"/>
      <c r="F496" s="330"/>
      <c r="G496" s="329">
        <v>34.13</v>
      </c>
      <c r="H496" s="325" t="s">
        <v>1381</v>
      </c>
      <c r="I496" s="212"/>
      <c r="J496" s="244">
        <v>12</v>
      </c>
      <c r="K496" s="332">
        <v>1.01</v>
      </c>
      <c r="L496" s="329">
        <v>4.09</v>
      </c>
      <c r="M496" s="341"/>
      <c r="N496" s="342"/>
      <c r="P496" s="343"/>
      <c r="R496" s="250"/>
      <c r="S496" s="265"/>
    </row>
    <row r="497" s="164" customFormat="1" ht="24" customHeight="1" spans="1:19">
      <c r="A497" s="217"/>
      <c r="B497" s="212"/>
      <c r="C497" s="325" t="s">
        <v>1401</v>
      </c>
      <c r="D497" s="203" t="s">
        <v>1381</v>
      </c>
      <c r="E497" s="244"/>
      <c r="F497" s="330"/>
      <c r="G497" s="329">
        <v>19.47</v>
      </c>
      <c r="H497" s="325" t="s">
        <v>1381</v>
      </c>
      <c r="I497" s="212"/>
      <c r="J497" s="244">
        <v>19.3</v>
      </c>
      <c r="K497" s="332">
        <v>1.01</v>
      </c>
      <c r="L497" s="329">
        <v>4.09</v>
      </c>
      <c r="M497" s="341"/>
      <c r="N497" s="342"/>
      <c r="P497" s="343"/>
      <c r="R497" s="250"/>
      <c r="S497" s="265"/>
    </row>
    <row r="498" s="164" customFormat="1" ht="24" customHeight="1" spans="1:19">
      <c r="A498" s="217"/>
      <c r="B498" s="212"/>
      <c r="C498" s="325" t="s">
        <v>1402</v>
      </c>
      <c r="D498" s="203" t="s">
        <v>1381</v>
      </c>
      <c r="E498" s="244"/>
      <c r="F498" s="330"/>
      <c r="G498" s="329">
        <v>26.55</v>
      </c>
      <c r="H498" s="325" t="s">
        <v>1381</v>
      </c>
      <c r="I498" s="212"/>
      <c r="J498" s="244">
        <v>18.5</v>
      </c>
      <c r="K498" s="332">
        <v>1.01</v>
      </c>
      <c r="L498" s="329">
        <v>8.6</v>
      </c>
      <c r="M498" s="341"/>
      <c r="N498" s="342"/>
      <c r="P498" s="343"/>
      <c r="R498" s="250"/>
      <c r="S498" s="265"/>
    </row>
    <row r="499" s="164" customFormat="1" ht="24" customHeight="1" spans="1:19">
      <c r="A499" s="217"/>
      <c r="B499" s="212"/>
      <c r="C499" s="325" t="s">
        <v>1403</v>
      </c>
      <c r="D499" s="203" t="s">
        <v>1381</v>
      </c>
      <c r="E499" s="244"/>
      <c r="F499" s="330"/>
      <c r="G499" s="329">
        <v>19.47</v>
      </c>
      <c r="H499" s="325" t="s">
        <v>1381</v>
      </c>
      <c r="I499" s="212"/>
      <c r="J499" s="244">
        <v>18.5</v>
      </c>
      <c r="K499" s="332">
        <v>1.01</v>
      </c>
      <c r="L499" s="329">
        <v>8.6</v>
      </c>
      <c r="M499" s="341"/>
      <c r="N499" s="342"/>
      <c r="P499" s="343"/>
      <c r="R499" s="250"/>
      <c r="S499" s="265"/>
    </row>
    <row r="500" s="164" customFormat="1" ht="24" customHeight="1" spans="1:19">
      <c r="A500" s="217"/>
      <c r="B500" s="212"/>
      <c r="C500" s="325" t="s">
        <v>1404</v>
      </c>
      <c r="D500" s="203" t="s">
        <v>1381</v>
      </c>
      <c r="E500" s="244"/>
      <c r="F500" s="330"/>
      <c r="G500" s="329">
        <v>19.47</v>
      </c>
      <c r="H500" s="325" t="s">
        <v>1381</v>
      </c>
      <c r="I500" s="212"/>
      <c r="J500" s="244">
        <v>18.5</v>
      </c>
      <c r="K500" s="332">
        <v>1.01</v>
      </c>
      <c r="L500" s="329">
        <v>8.6</v>
      </c>
      <c r="M500" s="341"/>
      <c r="N500" s="342"/>
      <c r="P500" s="343"/>
      <c r="R500" s="250"/>
      <c r="S500" s="265"/>
    </row>
    <row r="501" s="164" customFormat="1" ht="24" customHeight="1" spans="1:19">
      <c r="A501" s="217"/>
      <c r="B501" s="212"/>
      <c r="C501" s="325" t="s">
        <v>1405</v>
      </c>
      <c r="D501" s="203" t="s">
        <v>1381</v>
      </c>
      <c r="E501" s="244"/>
      <c r="F501" s="330"/>
      <c r="G501" s="329">
        <v>17.7</v>
      </c>
      <c r="H501" s="325" t="s">
        <v>1381</v>
      </c>
      <c r="I501" s="212"/>
      <c r="J501" s="244">
        <v>18.5</v>
      </c>
      <c r="K501" s="332">
        <v>1.01</v>
      </c>
      <c r="L501" s="329">
        <v>8.6</v>
      </c>
      <c r="M501" s="341"/>
      <c r="N501" s="342"/>
      <c r="P501" s="343"/>
      <c r="R501" s="250"/>
      <c r="S501" s="265"/>
    </row>
    <row r="502" s="164" customFormat="1" ht="24" customHeight="1" spans="1:19">
      <c r="A502" s="217"/>
      <c r="B502" s="212"/>
      <c r="C502" s="325" t="s">
        <v>1406</v>
      </c>
      <c r="D502" s="203" t="s">
        <v>1381</v>
      </c>
      <c r="E502" s="244"/>
      <c r="F502" s="330"/>
      <c r="G502" s="329">
        <v>21.24</v>
      </c>
      <c r="H502" s="325" t="s">
        <v>1381</v>
      </c>
      <c r="I502" s="212"/>
      <c r="J502" s="244">
        <v>18.5</v>
      </c>
      <c r="K502" s="332">
        <v>1.01</v>
      </c>
      <c r="L502" s="329">
        <v>8.6</v>
      </c>
      <c r="M502" s="341"/>
      <c r="N502" s="342"/>
      <c r="P502" s="343"/>
      <c r="R502" s="250"/>
      <c r="S502" s="265"/>
    </row>
    <row r="503" s="164" customFormat="1" ht="24" customHeight="1" spans="1:19">
      <c r="A503" s="217"/>
      <c r="B503" s="212"/>
      <c r="C503" s="325" t="s">
        <v>1407</v>
      </c>
      <c r="D503" s="203" t="s">
        <v>1381</v>
      </c>
      <c r="E503" s="244"/>
      <c r="F503" s="330"/>
      <c r="G503" s="329">
        <v>26.55</v>
      </c>
      <c r="H503" s="325" t="s">
        <v>1381</v>
      </c>
      <c r="I503" s="212"/>
      <c r="J503" s="244">
        <v>18.5</v>
      </c>
      <c r="K503" s="332">
        <v>1.01</v>
      </c>
      <c r="L503" s="329">
        <v>8.6</v>
      </c>
      <c r="M503" s="341"/>
      <c r="N503" s="342"/>
      <c r="P503" s="343"/>
      <c r="R503" s="250"/>
      <c r="S503" s="265"/>
    </row>
    <row r="504" s="164" customFormat="1" ht="24" customHeight="1" spans="1:19">
      <c r="A504" s="217"/>
      <c r="B504" s="212"/>
      <c r="C504" s="325" t="s">
        <v>1408</v>
      </c>
      <c r="D504" s="203" t="s">
        <v>1381</v>
      </c>
      <c r="E504" s="244"/>
      <c r="F504" s="330"/>
      <c r="G504" s="329">
        <v>26.55</v>
      </c>
      <c r="H504" s="325" t="s">
        <v>1381</v>
      </c>
      <c r="I504" s="212"/>
      <c r="J504" s="244">
        <v>18.5</v>
      </c>
      <c r="K504" s="332">
        <v>1.01</v>
      </c>
      <c r="L504" s="329">
        <v>8.6</v>
      </c>
      <c r="M504" s="341"/>
      <c r="N504" s="342"/>
      <c r="P504" s="343"/>
      <c r="R504" s="250"/>
      <c r="S504" s="265"/>
    </row>
    <row r="505" s="164" customFormat="1" ht="24" customHeight="1" spans="1:19">
      <c r="A505" s="217"/>
      <c r="B505" s="212"/>
      <c r="C505" s="325" t="s">
        <v>1409</v>
      </c>
      <c r="D505" s="203" t="s">
        <v>1381</v>
      </c>
      <c r="E505" s="244"/>
      <c r="F505" s="330"/>
      <c r="G505" s="329">
        <v>32.74</v>
      </c>
      <c r="H505" s="325" t="s">
        <v>1381</v>
      </c>
      <c r="I505" s="212"/>
      <c r="J505" s="244">
        <v>18.5</v>
      </c>
      <c r="K505" s="332">
        <v>1.01</v>
      </c>
      <c r="L505" s="329">
        <v>8.6</v>
      </c>
      <c r="M505" s="341"/>
      <c r="N505" s="342"/>
      <c r="P505" s="343"/>
      <c r="R505" s="250"/>
      <c r="S505" s="265"/>
    </row>
    <row r="506" s="164" customFormat="1" ht="24" customHeight="1" spans="1:19">
      <c r="A506" s="217"/>
      <c r="B506" s="212"/>
      <c r="C506" s="325" t="s">
        <v>1410</v>
      </c>
      <c r="D506" s="203" t="s">
        <v>1381</v>
      </c>
      <c r="E506" s="244"/>
      <c r="F506" s="330"/>
      <c r="G506" s="329">
        <v>58.41</v>
      </c>
      <c r="H506" s="325" t="s">
        <v>1381</v>
      </c>
      <c r="I506" s="212"/>
      <c r="J506" s="244">
        <v>18.5</v>
      </c>
      <c r="K506" s="332">
        <v>1.01</v>
      </c>
      <c r="L506" s="329">
        <v>8.6</v>
      </c>
      <c r="M506" s="341"/>
      <c r="N506" s="342"/>
      <c r="P506" s="343"/>
      <c r="R506" s="250"/>
      <c r="S506" s="265"/>
    </row>
    <row r="507" s="164" customFormat="1" ht="24" customHeight="1" spans="1:19">
      <c r="A507" s="217"/>
      <c r="B507" s="212"/>
      <c r="C507" s="325" t="s">
        <v>1411</v>
      </c>
      <c r="D507" s="203" t="s">
        <v>1381</v>
      </c>
      <c r="E507" s="244"/>
      <c r="F507" s="330"/>
      <c r="G507" s="329">
        <v>23.89</v>
      </c>
      <c r="H507" s="325" t="s">
        <v>1381</v>
      </c>
      <c r="I507" s="212"/>
      <c r="J507" s="244">
        <v>18.5</v>
      </c>
      <c r="K507" s="332">
        <v>1.01</v>
      </c>
      <c r="L507" s="329">
        <v>8.6</v>
      </c>
      <c r="M507" s="341"/>
      <c r="N507" s="342"/>
      <c r="P507" s="343"/>
      <c r="R507" s="250"/>
      <c r="S507" s="265"/>
    </row>
    <row r="508" s="164" customFormat="1" ht="24" customHeight="1" spans="1:19">
      <c r="A508" s="217"/>
      <c r="B508" s="212"/>
      <c r="C508" s="325" t="s">
        <v>1412</v>
      </c>
      <c r="D508" s="203" t="s">
        <v>1381</v>
      </c>
      <c r="E508" s="244"/>
      <c r="F508" s="330"/>
      <c r="G508" s="329">
        <v>76.99</v>
      </c>
      <c r="H508" s="325" t="s">
        <v>1381</v>
      </c>
      <c r="I508" s="212"/>
      <c r="J508" s="244">
        <v>18.5</v>
      </c>
      <c r="K508" s="332">
        <v>1.01</v>
      </c>
      <c r="L508" s="329">
        <v>8.6</v>
      </c>
      <c r="M508" s="341"/>
      <c r="N508" s="342"/>
      <c r="P508" s="343"/>
      <c r="R508" s="250"/>
      <c r="S508" s="265"/>
    </row>
    <row r="509" s="164" customFormat="1" ht="24" customHeight="1" spans="1:19">
      <c r="A509" s="217"/>
      <c r="B509" s="212"/>
      <c r="C509" s="325" t="s">
        <v>1413</v>
      </c>
      <c r="D509" s="203" t="s">
        <v>1381</v>
      </c>
      <c r="E509" s="244"/>
      <c r="F509" s="330"/>
      <c r="G509" s="329">
        <v>26.55</v>
      </c>
      <c r="H509" s="325" t="s">
        <v>1381</v>
      </c>
      <c r="I509" s="212"/>
      <c r="J509" s="244">
        <v>18.5</v>
      </c>
      <c r="K509" s="332">
        <v>1.01</v>
      </c>
      <c r="L509" s="329">
        <v>8.6</v>
      </c>
      <c r="M509" s="341"/>
      <c r="N509" s="342"/>
      <c r="P509" s="343"/>
      <c r="R509" s="250"/>
      <c r="S509" s="265"/>
    </row>
    <row r="510" s="164" customFormat="1" ht="24" customHeight="1" spans="1:19">
      <c r="A510" s="217"/>
      <c r="B510" s="212"/>
      <c r="C510" s="325" t="s">
        <v>1414</v>
      </c>
      <c r="D510" s="203" t="s">
        <v>1381</v>
      </c>
      <c r="E510" s="244"/>
      <c r="F510" s="330"/>
      <c r="G510" s="329">
        <v>23.89</v>
      </c>
      <c r="H510" s="325" t="s">
        <v>1381</v>
      </c>
      <c r="I510" s="212"/>
      <c r="J510" s="244">
        <v>18.5</v>
      </c>
      <c r="K510" s="332">
        <v>1.01</v>
      </c>
      <c r="L510" s="329">
        <v>8.6</v>
      </c>
      <c r="M510" s="341"/>
      <c r="N510" s="342"/>
      <c r="P510" s="343"/>
      <c r="R510" s="250"/>
      <c r="S510" s="265"/>
    </row>
    <row r="511" s="164" customFormat="1" ht="24" customHeight="1" spans="1:19">
      <c r="A511" s="217"/>
      <c r="B511" s="212"/>
      <c r="C511" s="325" t="s">
        <v>1415</v>
      </c>
      <c r="D511" s="203" t="s">
        <v>1381</v>
      </c>
      <c r="E511" s="244"/>
      <c r="F511" s="330"/>
      <c r="G511" s="329">
        <v>26.55</v>
      </c>
      <c r="H511" s="325" t="s">
        <v>1381</v>
      </c>
      <c r="I511" s="212"/>
      <c r="J511" s="244">
        <v>18.5</v>
      </c>
      <c r="K511" s="332">
        <v>1.01</v>
      </c>
      <c r="L511" s="329">
        <v>8.6</v>
      </c>
      <c r="M511" s="341"/>
      <c r="N511" s="342"/>
      <c r="P511" s="343"/>
      <c r="R511" s="250"/>
      <c r="S511" s="265"/>
    </row>
    <row r="512" s="164" customFormat="1" ht="24" customHeight="1" spans="1:19">
      <c r="A512" s="217"/>
      <c r="B512" s="212"/>
      <c r="C512" s="325" t="s">
        <v>1416</v>
      </c>
      <c r="D512" s="203" t="s">
        <v>1381</v>
      </c>
      <c r="E512" s="244"/>
      <c r="F512" s="330"/>
      <c r="G512" s="329">
        <v>23.89</v>
      </c>
      <c r="H512" s="325" t="s">
        <v>1381</v>
      </c>
      <c r="I512" s="212"/>
      <c r="J512" s="244">
        <v>18.5</v>
      </c>
      <c r="K512" s="332">
        <v>1.01</v>
      </c>
      <c r="L512" s="329">
        <v>8.6</v>
      </c>
      <c r="M512" s="341"/>
      <c r="N512" s="342"/>
      <c r="P512" s="343"/>
      <c r="R512" s="250"/>
      <c r="S512" s="265"/>
    </row>
    <row r="513" s="164" customFormat="1" ht="24" customHeight="1" spans="1:19">
      <c r="A513" s="217"/>
      <c r="B513" s="212"/>
      <c r="C513" s="325" t="s">
        <v>1417</v>
      </c>
      <c r="D513" s="203" t="s">
        <v>1381</v>
      </c>
      <c r="E513" s="244"/>
      <c r="F513" s="330"/>
      <c r="G513" s="329">
        <v>26.55</v>
      </c>
      <c r="H513" s="325" t="s">
        <v>1381</v>
      </c>
      <c r="I513" s="212"/>
      <c r="J513" s="244">
        <v>18.5</v>
      </c>
      <c r="K513" s="332">
        <v>1.01</v>
      </c>
      <c r="L513" s="329">
        <v>8.6</v>
      </c>
      <c r="M513" s="341"/>
      <c r="N513" s="342"/>
      <c r="P513" s="343"/>
      <c r="R513" s="250"/>
      <c r="S513" s="265"/>
    </row>
    <row r="514" s="164" customFormat="1" ht="24" customHeight="1" spans="1:19">
      <c r="A514" s="217"/>
      <c r="B514" s="212"/>
      <c r="C514" s="325" t="s">
        <v>1418</v>
      </c>
      <c r="D514" s="203" t="s">
        <v>1381</v>
      </c>
      <c r="E514" s="244"/>
      <c r="F514" s="330"/>
      <c r="G514" s="329">
        <v>37.17</v>
      </c>
      <c r="H514" s="325" t="s">
        <v>1381</v>
      </c>
      <c r="I514" s="212"/>
      <c r="J514" s="244">
        <v>18.5</v>
      </c>
      <c r="K514" s="332">
        <v>1.01</v>
      </c>
      <c r="L514" s="329">
        <v>8.6</v>
      </c>
      <c r="M514" s="341"/>
      <c r="N514" s="342"/>
      <c r="P514" s="343"/>
      <c r="R514" s="250"/>
      <c r="S514" s="265"/>
    </row>
    <row r="515" s="164" customFormat="1" ht="24" customHeight="1" spans="1:19">
      <c r="A515" s="217"/>
      <c r="B515" s="212"/>
      <c r="C515" s="325" t="s">
        <v>1419</v>
      </c>
      <c r="D515" s="203" t="s">
        <v>1381</v>
      </c>
      <c r="E515" s="244"/>
      <c r="F515" s="330"/>
      <c r="G515" s="329">
        <v>32.74</v>
      </c>
      <c r="H515" s="325" t="s">
        <v>1381</v>
      </c>
      <c r="I515" s="212"/>
      <c r="J515" s="244">
        <v>18.5</v>
      </c>
      <c r="K515" s="332">
        <v>1.01</v>
      </c>
      <c r="L515" s="329">
        <v>8.6</v>
      </c>
      <c r="M515" s="341"/>
      <c r="N515" s="342"/>
      <c r="P515" s="343"/>
      <c r="R515" s="250"/>
      <c r="S515" s="265"/>
    </row>
    <row r="516" s="164" customFormat="1" ht="24" customHeight="1" spans="1:19">
      <c r="A516" s="217"/>
      <c r="B516" s="212"/>
      <c r="C516" s="325" t="s">
        <v>1420</v>
      </c>
      <c r="D516" s="203" t="s">
        <v>1381</v>
      </c>
      <c r="E516" s="244"/>
      <c r="F516" s="330"/>
      <c r="G516" s="329">
        <v>35.4</v>
      </c>
      <c r="H516" s="325" t="s">
        <v>1381</v>
      </c>
      <c r="I516" s="212"/>
      <c r="J516" s="244">
        <v>18.5</v>
      </c>
      <c r="K516" s="332">
        <v>1.01</v>
      </c>
      <c r="L516" s="329">
        <v>8.6</v>
      </c>
      <c r="M516" s="341"/>
      <c r="N516" s="342"/>
      <c r="P516" s="343"/>
      <c r="R516" s="250"/>
      <c r="S516" s="265"/>
    </row>
    <row r="517" s="164" customFormat="1" ht="24" customHeight="1" spans="1:19">
      <c r="A517" s="217"/>
      <c r="B517" s="212"/>
      <c r="C517" s="325" t="s">
        <v>1421</v>
      </c>
      <c r="D517" s="203" t="s">
        <v>1381</v>
      </c>
      <c r="E517" s="244"/>
      <c r="F517" s="330"/>
      <c r="G517" s="329">
        <v>40.71</v>
      </c>
      <c r="H517" s="325" t="s">
        <v>1381</v>
      </c>
      <c r="I517" s="212"/>
      <c r="J517" s="244">
        <v>18.5</v>
      </c>
      <c r="K517" s="332">
        <v>1.01</v>
      </c>
      <c r="L517" s="329">
        <v>8.6</v>
      </c>
      <c r="M517" s="341"/>
      <c r="N517" s="342"/>
      <c r="P517" s="343"/>
      <c r="R517" s="250"/>
      <c r="S517" s="265"/>
    </row>
    <row r="518" s="164" customFormat="1" ht="24" customHeight="1" spans="1:19">
      <c r="A518" s="217"/>
      <c r="B518" s="212"/>
      <c r="C518" s="325" t="s">
        <v>1422</v>
      </c>
      <c r="D518" s="203" t="s">
        <v>1381</v>
      </c>
      <c r="E518" s="244"/>
      <c r="F518" s="330"/>
      <c r="G518" s="329">
        <v>48.67</v>
      </c>
      <c r="H518" s="325" t="s">
        <v>1381</v>
      </c>
      <c r="I518" s="212"/>
      <c r="J518" s="244">
        <v>18.5</v>
      </c>
      <c r="K518" s="332">
        <v>1.01</v>
      </c>
      <c r="L518" s="329">
        <v>8.6</v>
      </c>
      <c r="M518" s="341"/>
      <c r="N518" s="342"/>
      <c r="P518" s="343"/>
      <c r="R518" s="250"/>
      <c r="S518" s="265"/>
    </row>
    <row r="519" s="164" customFormat="1" ht="24" customHeight="1" spans="1:19">
      <c r="A519" s="217"/>
      <c r="B519" s="212"/>
      <c r="C519" s="325" t="s">
        <v>1423</v>
      </c>
      <c r="D519" s="203" t="s">
        <v>1381</v>
      </c>
      <c r="E519" s="244"/>
      <c r="F519" s="330"/>
      <c r="G519" s="329">
        <v>51.33</v>
      </c>
      <c r="H519" s="325" t="s">
        <v>1381</v>
      </c>
      <c r="I519" s="212"/>
      <c r="J519" s="244">
        <v>18.5</v>
      </c>
      <c r="K519" s="332">
        <v>1.01</v>
      </c>
      <c r="L519" s="329">
        <v>8.6</v>
      </c>
      <c r="M519" s="341"/>
      <c r="N519" s="342"/>
      <c r="P519" s="343"/>
      <c r="R519" s="250"/>
      <c r="S519" s="265"/>
    </row>
    <row r="520" s="164" customFormat="1" ht="24" customHeight="1" spans="1:19">
      <c r="A520" s="217"/>
      <c r="B520" s="212"/>
      <c r="C520" s="325" t="s">
        <v>1424</v>
      </c>
      <c r="D520" s="203" t="s">
        <v>1381</v>
      </c>
      <c r="E520" s="244"/>
      <c r="F520" s="330"/>
      <c r="G520" s="329">
        <v>42.48</v>
      </c>
      <c r="H520" s="325" t="s">
        <v>1381</v>
      </c>
      <c r="I520" s="212"/>
      <c r="J520" s="244">
        <v>18.5</v>
      </c>
      <c r="K520" s="332">
        <v>1.01</v>
      </c>
      <c r="L520" s="329">
        <v>8.6</v>
      </c>
      <c r="M520" s="341"/>
      <c r="N520" s="342"/>
      <c r="P520" s="343"/>
      <c r="R520" s="250"/>
      <c r="S520" s="265"/>
    </row>
    <row r="521" s="164" customFormat="1" ht="24" customHeight="1" spans="1:19">
      <c r="A521" s="217"/>
      <c r="B521" s="212"/>
      <c r="C521" s="325" t="s">
        <v>1425</v>
      </c>
      <c r="D521" s="203" t="s">
        <v>1381</v>
      </c>
      <c r="E521" s="244"/>
      <c r="F521" s="330"/>
      <c r="G521" s="329">
        <v>45.13</v>
      </c>
      <c r="H521" s="325" t="s">
        <v>1381</v>
      </c>
      <c r="I521" s="212"/>
      <c r="J521" s="244">
        <v>18.5</v>
      </c>
      <c r="K521" s="332">
        <v>1.01</v>
      </c>
      <c r="L521" s="329">
        <v>8.6</v>
      </c>
      <c r="M521" s="341"/>
      <c r="N521" s="342"/>
      <c r="P521" s="343"/>
      <c r="R521" s="250"/>
      <c r="S521" s="265"/>
    </row>
    <row r="522" s="164" customFormat="1" ht="24" customHeight="1" spans="1:19">
      <c r="A522" s="217"/>
      <c r="B522" s="295" t="s">
        <v>1426</v>
      </c>
      <c r="C522" s="325" t="s">
        <v>1427</v>
      </c>
      <c r="D522" s="203" t="s">
        <v>838</v>
      </c>
      <c r="E522" s="244"/>
      <c r="F522" s="330"/>
      <c r="G522" s="329">
        <v>2.65</v>
      </c>
      <c r="H522" s="325" t="s">
        <v>838</v>
      </c>
      <c r="I522" s="212"/>
      <c r="J522" s="244">
        <v>8.08</v>
      </c>
      <c r="K522" s="332">
        <v>1.01</v>
      </c>
      <c r="L522" s="329">
        <v>2.66</v>
      </c>
      <c r="M522" s="341"/>
      <c r="N522" s="342"/>
      <c r="P522" s="343"/>
      <c r="R522" s="250"/>
      <c r="S522" s="265"/>
    </row>
    <row r="523" s="164" customFormat="1" ht="24" customHeight="1" spans="1:19">
      <c r="A523" s="217"/>
      <c r="B523" s="202"/>
      <c r="C523" s="325" t="s">
        <v>1428</v>
      </c>
      <c r="D523" s="203" t="s">
        <v>838</v>
      </c>
      <c r="E523" s="244"/>
      <c r="F523" s="330"/>
      <c r="G523" s="329">
        <v>3.41</v>
      </c>
      <c r="H523" s="325" t="s">
        <v>838</v>
      </c>
      <c r="I523" s="212"/>
      <c r="J523" s="244">
        <v>8.47</v>
      </c>
      <c r="K523" s="332">
        <v>1.01</v>
      </c>
      <c r="L523" s="329">
        <v>2.8</v>
      </c>
      <c r="M523" s="341"/>
      <c r="N523" s="342"/>
      <c r="P523" s="343"/>
      <c r="R523" s="250"/>
      <c r="S523" s="265"/>
    </row>
    <row r="524" s="164" customFormat="1" ht="24" customHeight="1" spans="1:19">
      <c r="A524" s="217"/>
      <c r="B524" s="202"/>
      <c r="C524" s="325" t="s">
        <v>1429</v>
      </c>
      <c r="D524" s="203" t="s">
        <v>838</v>
      </c>
      <c r="E524" s="244"/>
      <c r="F524" s="330"/>
      <c r="G524" s="329">
        <v>3.75</v>
      </c>
      <c r="H524" s="325" t="s">
        <v>838</v>
      </c>
      <c r="I524" s="212"/>
      <c r="J524" s="244">
        <v>8.32</v>
      </c>
      <c r="K524" s="332">
        <v>1.01</v>
      </c>
      <c r="L524" s="329">
        <v>2.85</v>
      </c>
      <c r="M524" s="341"/>
      <c r="N524" s="342"/>
      <c r="P524" s="343"/>
      <c r="R524" s="250"/>
      <c r="S524" s="265"/>
    </row>
    <row r="525" s="164" customFormat="1" ht="24" customHeight="1" spans="1:19">
      <c r="A525" s="217"/>
      <c r="B525" s="202"/>
      <c r="C525" s="325" t="s">
        <v>1430</v>
      </c>
      <c r="D525" s="203" t="s">
        <v>838</v>
      </c>
      <c r="E525" s="244"/>
      <c r="F525" s="330"/>
      <c r="G525" s="329">
        <v>4.2</v>
      </c>
      <c r="H525" s="325" t="s">
        <v>838</v>
      </c>
      <c r="I525" s="212"/>
      <c r="J525" s="244">
        <v>8.31</v>
      </c>
      <c r="K525" s="332">
        <v>1.01</v>
      </c>
      <c r="L525" s="329">
        <v>3.03</v>
      </c>
      <c r="M525" s="341"/>
      <c r="N525" s="342"/>
      <c r="P525" s="343"/>
      <c r="R525" s="250"/>
      <c r="S525" s="265"/>
    </row>
    <row r="526" s="164" customFormat="1" ht="24" customHeight="1" spans="1:19">
      <c r="A526" s="217"/>
      <c r="B526" s="202"/>
      <c r="C526" s="325" t="s">
        <v>1431</v>
      </c>
      <c r="D526" s="203" t="s">
        <v>838</v>
      </c>
      <c r="E526" s="244"/>
      <c r="F526" s="330"/>
      <c r="G526" s="329">
        <v>5</v>
      </c>
      <c r="H526" s="325" t="s">
        <v>838</v>
      </c>
      <c r="I526" s="212"/>
      <c r="J526" s="244">
        <v>8.31</v>
      </c>
      <c r="K526" s="332">
        <v>1.01</v>
      </c>
      <c r="L526" s="329">
        <v>3.03</v>
      </c>
      <c r="M526" s="341"/>
      <c r="N526" s="342"/>
      <c r="P526" s="343"/>
      <c r="R526" s="250"/>
      <c r="S526" s="265"/>
    </row>
    <row r="527" s="164" customFormat="1" ht="24" customHeight="1" spans="1:19">
      <c r="A527" s="217"/>
      <c r="B527" s="202"/>
      <c r="C527" s="325" t="s">
        <v>1432</v>
      </c>
      <c r="D527" s="203" t="s">
        <v>838</v>
      </c>
      <c r="E527" s="244"/>
      <c r="F527" s="330"/>
      <c r="G527" s="329">
        <v>15</v>
      </c>
      <c r="H527" s="325" t="s">
        <v>838</v>
      </c>
      <c r="I527" s="212"/>
      <c r="J527" s="244">
        <v>8.31</v>
      </c>
      <c r="K527" s="332">
        <v>1.01</v>
      </c>
      <c r="L527" s="329">
        <v>3.03</v>
      </c>
      <c r="M527" s="341"/>
      <c r="N527" s="342"/>
      <c r="P527" s="343"/>
      <c r="R527" s="250"/>
      <c r="S527" s="265"/>
    </row>
    <row r="528" s="164" customFormat="1" ht="24" customHeight="1" spans="1:19">
      <c r="A528" s="217"/>
      <c r="B528" s="202"/>
      <c r="C528" s="325" t="s">
        <v>1433</v>
      </c>
      <c r="D528" s="203" t="s">
        <v>838</v>
      </c>
      <c r="E528" s="244"/>
      <c r="F528" s="330"/>
      <c r="G528" s="329">
        <v>15</v>
      </c>
      <c r="H528" s="325" t="s">
        <v>838</v>
      </c>
      <c r="I528" s="212"/>
      <c r="J528" s="244">
        <v>8.31</v>
      </c>
      <c r="K528" s="332">
        <v>1.01</v>
      </c>
      <c r="L528" s="329">
        <v>3.03</v>
      </c>
      <c r="M528" s="341"/>
      <c r="N528" s="342"/>
      <c r="P528" s="343"/>
      <c r="R528" s="250"/>
      <c r="S528" s="265"/>
    </row>
    <row r="529" s="164" customFormat="1" ht="24" customHeight="1" spans="1:19">
      <c r="A529" s="217"/>
      <c r="B529" s="202"/>
      <c r="C529" s="347" t="s">
        <v>1434</v>
      </c>
      <c r="D529" s="203" t="s">
        <v>838</v>
      </c>
      <c r="E529" s="244"/>
      <c r="F529" s="330"/>
      <c r="G529" s="329">
        <v>40</v>
      </c>
      <c r="H529" s="325" t="s">
        <v>838</v>
      </c>
      <c r="I529" s="212"/>
      <c r="J529" s="244">
        <v>15.62</v>
      </c>
      <c r="K529" s="332">
        <v>1.01</v>
      </c>
      <c r="L529" s="329">
        <v>0.72</v>
      </c>
      <c r="M529" s="341"/>
      <c r="N529" s="342"/>
      <c r="P529" s="343"/>
      <c r="R529" s="250"/>
      <c r="S529" s="265"/>
    </row>
    <row r="530" s="164" customFormat="1" ht="24" customHeight="1" spans="1:19">
      <c r="A530" s="217"/>
      <c r="B530" s="202"/>
      <c r="C530" s="325" t="s">
        <v>1435</v>
      </c>
      <c r="D530" s="203" t="s">
        <v>838</v>
      </c>
      <c r="E530" s="244"/>
      <c r="F530" s="330"/>
      <c r="G530" s="329">
        <v>8</v>
      </c>
      <c r="H530" s="325" t="s">
        <v>838</v>
      </c>
      <c r="I530" s="212"/>
      <c r="J530" s="244">
        <v>9.06</v>
      </c>
      <c r="K530" s="332">
        <v>1.01</v>
      </c>
      <c r="L530" s="329">
        <v>2.05</v>
      </c>
      <c r="M530" s="341"/>
      <c r="N530" s="342"/>
      <c r="P530" s="343"/>
      <c r="R530" s="250"/>
      <c r="S530" s="265"/>
    </row>
    <row r="531" s="164" customFormat="1" ht="24" customHeight="1" spans="1:19">
      <c r="A531" s="217"/>
      <c r="B531" s="202"/>
      <c r="C531" s="325" t="s">
        <v>1436</v>
      </c>
      <c r="D531" s="203" t="s">
        <v>838</v>
      </c>
      <c r="E531" s="244"/>
      <c r="F531" s="330"/>
      <c r="G531" s="329">
        <v>35</v>
      </c>
      <c r="H531" s="325" t="s">
        <v>838</v>
      </c>
      <c r="I531" s="212"/>
      <c r="J531" s="244">
        <v>9.06</v>
      </c>
      <c r="K531" s="332">
        <v>1.01</v>
      </c>
      <c r="L531" s="329">
        <v>2.05</v>
      </c>
      <c r="M531" s="341"/>
      <c r="N531" s="342"/>
      <c r="P531" s="343"/>
      <c r="R531" s="250"/>
      <c r="S531" s="265"/>
    </row>
    <row r="532" s="164" customFormat="1" ht="24" customHeight="1" spans="1:19">
      <c r="A532" s="217"/>
      <c r="B532" s="202"/>
      <c r="C532" s="325" t="s">
        <v>1437</v>
      </c>
      <c r="D532" s="203" t="s">
        <v>838</v>
      </c>
      <c r="E532" s="244"/>
      <c r="F532" s="330"/>
      <c r="G532" s="329">
        <v>3</v>
      </c>
      <c r="H532" s="325" t="s">
        <v>838</v>
      </c>
      <c r="I532" s="212"/>
      <c r="J532" s="244">
        <v>9.06</v>
      </c>
      <c r="K532" s="332">
        <v>1.01</v>
      </c>
      <c r="L532" s="329">
        <v>2.05</v>
      </c>
      <c r="M532" s="341"/>
      <c r="N532" s="342"/>
      <c r="P532" s="343"/>
      <c r="R532" s="250"/>
      <c r="S532" s="265"/>
    </row>
    <row r="533" s="164" customFormat="1" ht="24" customHeight="1" spans="1:19">
      <c r="A533" s="217"/>
      <c r="B533" s="202"/>
      <c r="C533" s="325" t="s">
        <v>1438</v>
      </c>
      <c r="D533" s="203" t="s">
        <v>838</v>
      </c>
      <c r="E533" s="244"/>
      <c r="F533" s="330"/>
      <c r="G533" s="329">
        <v>3</v>
      </c>
      <c r="H533" s="325" t="s">
        <v>838</v>
      </c>
      <c r="I533" s="212"/>
      <c r="J533" s="244">
        <v>9.06</v>
      </c>
      <c r="K533" s="332">
        <v>1.01</v>
      </c>
      <c r="L533" s="329">
        <v>2.05</v>
      </c>
      <c r="M533" s="341"/>
      <c r="N533" s="342"/>
      <c r="P533" s="343"/>
      <c r="R533" s="250"/>
      <c r="S533" s="265"/>
    </row>
    <row r="534" s="164" customFormat="1" ht="24" customHeight="1" spans="1:19">
      <c r="A534" s="217"/>
      <c r="B534" s="202"/>
      <c r="C534" s="325" t="s">
        <v>1439</v>
      </c>
      <c r="D534" s="203" t="s">
        <v>838</v>
      </c>
      <c r="E534" s="244"/>
      <c r="F534" s="330"/>
      <c r="G534" s="329">
        <v>3</v>
      </c>
      <c r="H534" s="325" t="s">
        <v>838</v>
      </c>
      <c r="I534" s="207"/>
      <c r="J534" s="244">
        <v>9.06</v>
      </c>
      <c r="K534" s="332">
        <v>1.02</v>
      </c>
      <c r="L534" s="329">
        <v>2.05</v>
      </c>
      <c r="M534" s="341"/>
      <c r="N534" s="342"/>
      <c r="P534" s="343"/>
      <c r="R534" s="250"/>
      <c r="S534" s="265"/>
    </row>
    <row r="535" s="164" customFormat="1" ht="24" customHeight="1" spans="1:19">
      <c r="A535" s="217"/>
      <c r="B535" s="202"/>
      <c r="C535" s="325" t="s">
        <v>1440</v>
      </c>
      <c r="D535" s="203" t="s">
        <v>838</v>
      </c>
      <c r="E535" s="244"/>
      <c r="F535" s="330"/>
      <c r="G535" s="329">
        <v>4</v>
      </c>
      <c r="H535" s="325" t="s">
        <v>838</v>
      </c>
      <c r="I535" s="212"/>
      <c r="J535" s="244">
        <v>9.06</v>
      </c>
      <c r="K535" s="332">
        <v>1.01</v>
      </c>
      <c r="L535" s="329">
        <v>2.05</v>
      </c>
      <c r="M535" s="341"/>
      <c r="N535" s="342"/>
      <c r="P535" s="343"/>
      <c r="R535" s="250"/>
      <c r="S535" s="265"/>
    </row>
    <row r="536" s="164" customFormat="1" ht="24" customHeight="1" spans="1:19">
      <c r="A536" s="217"/>
      <c r="B536" s="202"/>
      <c r="C536" s="325" t="s">
        <v>1441</v>
      </c>
      <c r="D536" s="203" t="s">
        <v>838</v>
      </c>
      <c r="E536" s="244"/>
      <c r="F536" s="330"/>
      <c r="G536" s="329">
        <v>3</v>
      </c>
      <c r="H536" s="325" t="s">
        <v>838</v>
      </c>
      <c r="I536" s="212"/>
      <c r="J536" s="244">
        <v>9.06</v>
      </c>
      <c r="K536" s="332">
        <v>1.01</v>
      </c>
      <c r="L536" s="329">
        <v>2.05</v>
      </c>
      <c r="M536" s="341"/>
      <c r="N536" s="342"/>
      <c r="P536" s="343"/>
      <c r="R536" s="250"/>
      <c r="S536" s="265"/>
    </row>
    <row r="537" s="164" customFormat="1" ht="24" customHeight="1" spans="1:19">
      <c r="A537" s="217"/>
      <c r="B537" s="202"/>
      <c r="C537" s="325" t="s">
        <v>1442</v>
      </c>
      <c r="D537" s="203" t="s">
        <v>838</v>
      </c>
      <c r="E537" s="244"/>
      <c r="F537" s="330"/>
      <c r="G537" s="329">
        <v>3</v>
      </c>
      <c r="H537" s="325" t="s">
        <v>838</v>
      </c>
      <c r="I537" s="212"/>
      <c r="J537" s="244">
        <v>9.06</v>
      </c>
      <c r="K537" s="332">
        <v>1.01</v>
      </c>
      <c r="L537" s="329">
        <v>2.05</v>
      </c>
      <c r="M537" s="341"/>
      <c r="N537" s="342"/>
      <c r="P537" s="343"/>
      <c r="R537" s="250"/>
      <c r="S537" s="265"/>
    </row>
    <row r="538" s="164" customFormat="1" ht="24" customHeight="1" spans="1:19">
      <c r="A538" s="217"/>
      <c r="B538" s="202"/>
      <c r="C538" s="325" t="s">
        <v>1443</v>
      </c>
      <c r="D538" s="203" t="s">
        <v>838</v>
      </c>
      <c r="E538" s="244"/>
      <c r="F538" s="330"/>
      <c r="G538" s="329">
        <v>3</v>
      </c>
      <c r="H538" s="325" t="s">
        <v>838</v>
      </c>
      <c r="I538" s="212"/>
      <c r="J538" s="244">
        <v>9.06</v>
      </c>
      <c r="K538" s="332">
        <v>1.01</v>
      </c>
      <c r="L538" s="329">
        <v>2.05</v>
      </c>
      <c r="M538" s="341"/>
      <c r="N538" s="342"/>
      <c r="P538" s="343"/>
      <c r="R538" s="250"/>
      <c r="S538" s="265"/>
    </row>
    <row r="539" s="164" customFormat="1" ht="24" customHeight="1" spans="1:19">
      <c r="A539" s="217"/>
      <c r="B539" s="202"/>
      <c r="C539" s="325" t="s">
        <v>1444</v>
      </c>
      <c r="D539" s="203" t="s">
        <v>838</v>
      </c>
      <c r="E539" s="244"/>
      <c r="F539" s="330"/>
      <c r="G539" s="329">
        <v>4</v>
      </c>
      <c r="H539" s="325" t="s">
        <v>838</v>
      </c>
      <c r="I539" s="212"/>
      <c r="J539" s="244">
        <v>9.06</v>
      </c>
      <c r="K539" s="332">
        <v>1.01</v>
      </c>
      <c r="L539" s="329">
        <v>2.05</v>
      </c>
      <c r="M539" s="341"/>
      <c r="N539" s="342"/>
      <c r="P539" s="343"/>
      <c r="R539" s="250"/>
      <c r="S539" s="265"/>
    </row>
    <row r="540" s="164" customFormat="1" ht="24" customHeight="1" spans="1:19">
      <c r="A540" s="217"/>
      <c r="B540" s="202"/>
      <c r="C540" s="325" t="s">
        <v>1445</v>
      </c>
      <c r="D540" s="203" t="s">
        <v>838</v>
      </c>
      <c r="E540" s="244"/>
      <c r="F540" s="330"/>
      <c r="G540" s="329">
        <v>3</v>
      </c>
      <c r="H540" s="325" t="s">
        <v>838</v>
      </c>
      <c r="I540" s="212"/>
      <c r="J540" s="244">
        <v>9.06</v>
      </c>
      <c r="K540" s="332">
        <v>1.01</v>
      </c>
      <c r="L540" s="329">
        <v>2.05</v>
      </c>
      <c r="M540" s="341"/>
      <c r="N540" s="342"/>
      <c r="P540" s="343"/>
      <c r="R540" s="250"/>
      <c r="S540" s="265"/>
    </row>
    <row r="541" s="164" customFormat="1" ht="24" customHeight="1" spans="1:19">
      <c r="A541" s="217"/>
      <c r="B541" s="202"/>
      <c r="C541" s="325" t="s">
        <v>1446</v>
      </c>
      <c r="D541" s="203" t="s">
        <v>838</v>
      </c>
      <c r="E541" s="244"/>
      <c r="F541" s="330"/>
      <c r="G541" s="329">
        <v>3</v>
      </c>
      <c r="H541" s="325" t="s">
        <v>838</v>
      </c>
      <c r="I541" s="212"/>
      <c r="J541" s="244">
        <v>9.06</v>
      </c>
      <c r="K541" s="332">
        <v>1.01</v>
      </c>
      <c r="L541" s="329">
        <v>2.05</v>
      </c>
      <c r="M541" s="341"/>
      <c r="N541" s="342"/>
      <c r="P541" s="343"/>
      <c r="R541" s="250"/>
      <c r="S541" s="265"/>
    </row>
    <row r="542" s="164" customFormat="1" ht="24" customHeight="1" spans="1:19">
      <c r="A542" s="217"/>
      <c r="B542" s="202"/>
      <c r="C542" s="325" t="s">
        <v>1447</v>
      </c>
      <c r="D542" s="203" t="s">
        <v>838</v>
      </c>
      <c r="E542" s="244"/>
      <c r="F542" s="330"/>
      <c r="G542" s="329">
        <v>3</v>
      </c>
      <c r="H542" s="325" t="s">
        <v>838</v>
      </c>
      <c r="I542" s="212"/>
      <c r="J542" s="244">
        <v>9.06</v>
      </c>
      <c r="K542" s="332">
        <v>1.01</v>
      </c>
      <c r="L542" s="329">
        <v>2.05</v>
      </c>
      <c r="M542" s="341"/>
      <c r="N542" s="342"/>
      <c r="P542" s="343"/>
      <c r="R542" s="250"/>
      <c r="S542" s="265"/>
    </row>
    <row r="543" s="164" customFormat="1" ht="24" customHeight="1" spans="1:19">
      <c r="A543" s="217"/>
      <c r="B543" s="202"/>
      <c r="C543" s="325" t="s">
        <v>1448</v>
      </c>
      <c r="D543" s="203" t="s">
        <v>838</v>
      </c>
      <c r="E543" s="244"/>
      <c r="F543" s="330"/>
      <c r="G543" s="329">
        <v>3</v>
      </c>
      <c r="H543" s="325" t="s">
        <v>838</v>
      </c>
      <c r="I543" s="212"/>
      <c r="J543" s="244">
        <v>9.06</v>
      </c>
      <c r="K543" s="332">
        <v>1.02</v>
      </c>
      <c r="L543" s="329">
        <v>2.05</v>
      </c>
      <c r="M543" s="341"/>
      <c r="N543" s="342"/>
      <c r="P543" s="343"/>
      <c r="R543" s="250"/>
      <c r="S543" s="265"/>
    </row>
    <row r="544" s="164" customFormat="1" ht="24" customHeight="1" spans="1:19">
      <c r="A544" s="217"/>
      <c r="B544" s="202"/>
      <c r="C544" s="325" t="s">
        <v>1449</v>
      </c>
      <c r="D544" s="203" t="s">
        <v>838</v>
      </c>
      <c r="E544" s="244"/>
      <c r="F544" s="330"/>
      <c r="G544" s="329">
        <v>4</v>
      </c>
      <c r="H544" s="325" t="s">
        <v>838</v>
      </c>
      <c r="I544" s="212"/>
      <c r="J544" s="244">
        <v>9.06</v>
      </c>
      <c r="K544" s="332">
        <v>1.01</v>
      </c>
      <c r="L544" s="329">
        <v>2.05</v>
      </c>
      <c r="M544" s="341"/>
      <c r="N544" s="342"/>
      <c r="P544" s="343"/>
      <c r="R544" s="250"/>
      <c r="S544" s="265"/>
    </row>
    <row r="545" s="164" customFormat="1" ht="24" customHeight="1" spans="1:19">
      <c r="A545" s="217"/>
      <c r="B545" s="202"/>
      <c r="C545" s="325" t="s">
        <v>1450</v>
      </c>
      <c r="D545" s="203" t="s">
        <v>838</v>
      </c>
      <c r="E545" s="244"/>
      <c r="F545" s="330"/>
      <c r="G545" s="329">
        <v>3</v>
      </c>
      <c r="H545" s="325" t="s">
        <v>838</v>
      </c>
      <c r="I545" s="212"/>
      <c r="J545" s="244">
        <v>9.06</v>
      </c>
      <c r="K545" s="332">
        <v>1.02</v>
      </c>
      <c r="L545" s="329">
        <v>2.05</v>
      </c>
      <c r="M545" s="341"/>
      <c r="N545" s="342"/>
      <c r="P545" s="343"/>
      <c r="R545" s="250"/>
      <c r="S545" s="265"/>
    </row>
    <row r="546" s="164" customFormat="1" ht="24" customHeight="1" spans="1:19">
      <c r="A546" s="217"/>
      <c r="B546" s="202"/>
      <c r="C546" s="325" t="s">
        <v>1451</v>
      </c>
      <c r="D546" s="203" t="s">
        <v>838</v>
      </c>
      <c r="E546" s="244"/>
      <c r="F546" s="330"/>
      <c r="G546" s="329">
        <v>3</v>
      </c>
      <c r="H546" s="325" t="s">
        <v>838</v>
      </c>
      <c r="I546" s="212"/>
      <c r="J546" s="244">
        <v>9.06</v>
      </c>
      <c r="K546" s="332">
        <v>1.01</v>
      </c>
      <c r="L546" s="329">
        <v>2.05</v>
      </c>
      <c r="M546" s="341"/>
      <c r="N546" s="342"/>
      <c r="P546" s="343"/>
      <c r="R546" s="250"/>
      <c r="S546" s="265"/>
    </row>
    <row r="547" s="164" customFormat="1" ht="24" customHeight="1" spans="1:19">
      <c r="A547" s="217"/>
      <c r="B547" s="202"/>
      <c r="C547" s="325" t="s">
        <v>1452</v>
      </c>
      <c r="D547" s="203" t="s">
        <v>838</v>
      </c>
      <c r="E547" s="244"/>
      <c r="F547" s="330"/>
      <c r="G547" s="329">
        <v>3</v>
      </c>
      <c r="H547" s="325" t="s">
        <v>838</v>
      </c>
      <c r="I547" s="212"/>
      <c r="J547" s="244">
        <v>9.06</v>
      </c>
      <c r="K547" s="332">
        <v>1.01</v>
      </c>
      <c r="L547" s="329">
        <v>3.05</v>
      </c>
      <c r="M547" s="341"/>
      <c r="N547" s="342"/>
      <c r="P547" s="343"/>
      <c r="R547" s="250"/>
      <c r="S547" s="265"/>
    </row>
    <row r="548" s="164" customFormat="1" ht="24" customHeight="1" spans="1:19">
      <c r="A548" s="217"/>
      <c r="B548" s="202"/>
      <c r="C548" s="325" t="s">
        <v>1453</v>
      </c>
      <c r="D548" s="203" t="s">
        <v>838</v>
      </c>
      <c r="E548" s="244"/>
      <c r="F548" s="330"/>
      <c r="G548" s="329">
        <v>3</v>
      </c>
      <c r="H548" s="325" t="s">
        <v>838</v>
      </c>
      <c r="I548" s="212"/>
      <c r="J548" s="244">
        <v>9.06</v>
      </c>
      <c r="K548" s="332">
        <v>1.02</v>
      </c>
      <c r="L548" s="329">
        <v>2.05</v>
      </c>
      <c r="M548" s="341"/>
      <c r="N548" s="342"/>
      <c r="P548" s="343"/>
      <c r="R548" s="250"/>
      <c r="S548" s="265"/>
    </row>
    <row r="549" s="164" customFormat="1" ht="24" customHeight="1" spans="1:19">
      <c r="A549" s="217"/>
      <c r="B549" s="202"/>
      <c r="C549" s="325" t="s">
        <v>1454</v>
      </c>
      <c r="D549" s="203" t="s">
        <v>838</v>
      </c>
      <c r="E549" s="244"/>
      <c r="F549" s="330"/>
      <c r="G549" s="329">
        <v>4</v>
      </c>
      <c r="H549" s="325" t="s">
        <v>838</v>
      </c>
      <c r="I549" s="212"/>
      <c r="J549" s="244">
        <v>9.06</v>
      </c>
      <c r="K549" s="332">
        <v>1.01</v>
      </c>
      <c r="L549" s="329">
        <v>3.05</v>
      </c>
      <c r="M549" s="341"/>
      <c r="N549" s="342"/>
      <c r="P549" s="343"/>
      <c r="R549" s="250"/>
      <c r="S549" s="265"/>
    </row>
    <row r="550" s="164" customFormat="1" ht="24" customHeight="1" spans="1:19">
      <c r="A550" s="217"/>
      <c r="B550" s="202"/>
      <c r="C550" s="325" t="s">
        <v>1455</v>
      </c>
      <c r="D550" s="203" t="s">
        <v>838</v>
      </c>
      <c r="E550" s="244"/>
      <c r="F550" s="330"/>
      <c r="G550" s="329">
        <v>30</v>
      </c>
      <c r="H550" s="325" t="s">
        <v>838</v>
      </c>
      <c r="I550" s="212"/>
      <c r="J550" s="244">
        <v>9.06</v>
      </c>
      <c r="K550" s="332">
        <v>1.01</v>
      </c>
      <c r="L550" s="329">
        <v>3.05</v>
      </c>
      <c r="M550" s="341"/>
      <c r="N550" s="342"/>
      <c r="P550" s="343"/>
      <c r="R550" s="250"/>
      <c r="S550" s="265"/>
    </row>
    <row r="551" s="164" customFormat="1" ht="24" customHeight="1" spans="1:19">
      <c r="A551" s="217"/>
      <c r="B551" s="202"/>
      <c r="C551" s="325" t="s">
        <v>1456</v>
      </c>
      <c r="D551" s="203" t="s">
        <v>838</v>
      </c>
      <c r="E551" s="244"/>
      <c r="F551" s="330"/>
      <c r="G551" s="329">
        <v>45</v>
      </c>
      <c r="H551" s="325" t="s">
        <v>838</v>
      </c>
      <c r="I551" s="212"/>
      <c r="J551" s="244">
        <v>9.06</v>
      </c>
      <c r="K551" s="332">
        <v>1.01</v>
      </c>
      <c r="L551" s="329">
        <v>3.05</v>
      </c>
      <c r="M551" s="341"/>
      <c r="N551" s="342"/>
      <c r="P551" s="343"/>
      <c r="R551" s="250"/>
      <c r="S551" s="265"/>
    </row>
    <row r="552" s="164" customFormat="1" ht="24" customHeight="1" spans="1:19">
      <c r="A552" s="217"/>
      <c r="B552" s="295" t="s">
        <v>1457</v>
      </c>
      <c r="C552" s="325" t="s">
        <v>1458</v>
      </c>
      <c r="D552" s="203" t="s">
        <v>838</v>
      </c>
      <c r="E552" s="244"/>
      <c r="F552" s="330"/>
      <c r="G552" s="329">
        <v>2.1</v>
      </c>
      <c r="H552" s="325" t="s">
        <v>838</v>
      </c>
      <c r="I552" s="212"/>
      <c r="J552" s="244">
        <v>2.92</v>
      </c>
      <c r="K552" s="332">
        <v>1.02</v>
      </c>
      <c r="L552" s="329">
        <v>1.06</v>
      </c>
      <c r="M552" s="341"/>
      <c r="N552" s="342"/>
      <c r="P552" s="343"/>
      <c r="R552" s="250"/>
      <c r="S552" s="265"/>
    </row>
    <row r="553" s="164" customFormat="1" ht="24" customHeight="1" spans="1:19">
      <c r="A553" s="217"/>
      <c r="B553" s="202"/>
      <c r="C553" s="325" t="s">
        <v>1459</v>
      </c>
      <c r="D553" s="203" t="s">
        <v>838</v>
      </c>
      <c r="E553" s="244"/>
      <c r="F553" s="330"/>
      <c r="G553" s="329">
        <v>1.88</v>
      </c>
      <c r="H553" s="325" t="s">
        <v>838</v>
      </c>
      <c r="I553" s="212"/>
      <c r="J553" s="244">
        <v>2.92</v>
      </c>
      <c r="K553" s="332">
        <v>1.02</v>
      </c>
      <c r="L553" s="329">
        <v>1.06</v>
      </c>
      <c r="M553" s="341"/>
      <c r="N553" s="342"/>
      <c r="P553" s="343"/>
      <c r="R553" s="250"/>
      <c r="S553" s="265"/>
    </row>
    <row r="554" s="164" customFormat="1" ht="24" customHeight="1" spans="1:19">
      <c r="A554" s="217"/>
      <c r="B554" s="202"/>
      <c r="C554" s="325" t="s">
        <v>1460</v>
      </c>
      <c r="D554" s="203" t="s">
        <v>838</v>
      </c>
      <c r="E554" s="244"/>
      <c r="F554" s="330"/>
      <c r="G554" s="329">
        <v>1.54</v>
      </c>
      <c r="H554" s="325" t="s">
        <v>838</v>
      </c>
      <c r="I554" s="212"/>
      <c r="J554" s="244">
        <v>2.83</v>
      </c>
      <c r="K554" s="332">
        <v>1.02</v>
      </c>
      <c r="L554" s="329">
        <v>0.78</v>
      </c>
      <c r="M554" s="341"/>
      <c r="N554" s="342"/>
      <c r="P554" s="343"/>
      <c r="R554" s="250"/>
      <c r="S554" s="265"/>
    </row>
    <row r="555" s="164" customFormat="1" ht="24" customHeight="1" spans="1:19">
      <c r="A555" s="217"/>
      <c r="B555" s="202"/>
      <c r="C555" s="325" t="s">
        <v>1461</v>
      </c>
      <c r="D555" s="203" t="s">
        <v>838</v>
      </c>
      <c r="E555" s="244"/>
      <c r="F555" s="330"/>
      <c r="G555" s="329">
        <v>1.54</v>
      </c>
      <c r="H555" s="325" t="s">
        <v>838</v>
      </c>
      <c r="I555" s="212"/>
      <c r="J555" s="244">
        <v>2.83</v>
      </c>
      <c r="K555" s="332">
        <v>1.02</v>
      </c>
      <c r="L555" s="329">
        <v>0.78</v>
      </c>
      <c r="M555" s="341"/>
      <c r="N555" s="342"/>
      <c r="P555" s="343"/>
      <c r="R555" s="250"/>
      <c r="S555" s="265"/>
    </row>
    <row r="556" s="164" customFormat="1" ht="24" customHeight="1" spans="1:19">
      <c r="A556" s="217"/>
      <c r="B556" s="202"/>
      <c r="C556" s="325" t="s">
        <v>1462</v>
      </c>
      <c r="D556" s="203" t="s">
        <v>838</v>
      </c>
      <c r="E556" s="244"/>
      <c r="F556" s="330"/>
      <c r="G556" s="329">
        <v>3.5</v>
      </c>
      <c r="H556" s="325" t="s">
        <v>838</v>
      </c>
      <c r="I556" s="212"/>
      <c r="J556" s="244">
        <v>3.83</v>
      </c>
      <c r="K556" s="332">
        <v>1.02</v>
      </c>
      <c r="L556" s="329">
        <v>0.78</v>
      </c>
      <c r="M556" s="341"/>
      <c r="N556" s="342"/>
      <c r="P556" s="343"/>
      <c r="R556" s="250"/>
      <c r="S556" s="265"/>
    </row>
    <row r="557" s="164" customFormat="1" ht="24" customHeight="1" spans="1:19">
      <c r="A557" s="217"/>
      <c r="B557" s="202"/>
      <c r="C557" s="325" t="s">
        <v>1463</v>
      </c>
      <c r="D557" s="203" t="s">
        <v>838</v>
      </c>
      <c r="E557" s="244"/>
      <c r="F557" s="330"/>
      <c r="G557" s="329">
        <v>12</v>
      </c>
      <c r="H557" s="325" t="s">
        <v>838</v>
      </c>
      <c r="I557" s="212"/>
      <c r="J557" s="244">
        <v>5</v>
      </c>
      <c r="K557" s="332">
        <v>1.02</v>
      </c>
      <c r="L557" s="329">
        <v>0.78</v>
      </c>
      <c r="M557" s="341"/>
      <c r="N557" s="342"/>
      <c r="P557" s="343"/>
      <c r="R557" s="250"/>
      <c r="S557" s="265"/>
    </row>
    <row r="558" s="164" customFormat="1" ht="24" customHeight="1" spans="1:19">
      <c r="A558" s="217"/>
      <c r="B558" s="202"/>
      <c r="C558" s="325" t="s">
        <v>1464</v>
      </c>
      <c r="D558" s="203" t="s">
        <v>838</v>
      </c>
      <c r="E558" s="244"/>
      <c r="F558" s="330"/>
      <c r="G558" s="329">
        <v>25</v>
      </c>
      <c r="H558" s="325" t="s">
        <v>838</v>
      </c>
      <c r="I558" s="212"/>
      <c r="J558" s="244">
        <v>10</v>
      </c>
      <c r="K558" s="332">
        <v>1</v>
      </c>
      <c r="L558" s="329">
        <v>1.2</v>
      </c>
      <c r="M558" s="341"/>
      <c r="N558" s="342"/>
      <c r="P558" s="343"/>
      <c r="R558" s="250"/>
      <c r="S558" s="265"/>
    </row>
    <row r="559" s="164" customFormat="1" ht="24" customHeight="1" spans="1:19">
      <c r="A559" s="217"/>
      <c r="B559" s="202"/>
      <c r="C559" s="325" t="s">
        <v>1465</v>
      </c>
      <c r="D559" s="203" t="s">
        <v>838</v>
      </c>
      <c r="E559" s="244"/>
      <c r="F559" s="330"/>
      <c r="G559" s="329">
        <v>0.3</v>
      </c>
      <c r="H559" s="325" t="s">
        <v>838</v>
      </c>
      <c r="I559" s="212"/>
      <c r="J559" s="244">
        <v>0.5</v>
      </c>
      <c r="K559" s="332">
        <v>1.02</v>
      </c>
      <c r="L559" s="329">
        <v>0.1</v>
      </c>
      <c r="M559" s="341"/>
      <c r="N559" s="342"/>
      <c r="P559" s="343"/>
      <c r="R559" s="250"/>
      <c r="S559" s="265"/>
    </row>
    <row r="560" s="164" customFormat="1" ht="24" customHeight="1" spans="1:19">
      <c r="A560" s="217"/>
      <c r="B560" s="202"/>
      <c r="C560" s="325" t="s">
        <v>1466</v>
      </c>
      <c r="D560" s="203" t="s">
        <v>838</v>
      </c>
      <c r="E560" s="244"/>
      <c r="F560" s="330"/>
      <c r="G560" s="329">
        <v>0.3</v>
      </c>
      <c r="H560" s="325" t="s">
        <v>838</v>
      </c>
      <c r="I560" s="212"/>
      <c r="J560" s="244">
        <v>0.5</v>
      </c>
      <c r="K560" s="332">
        <v>1.01</v>
      </c>
      <c r="L560" s="329">
        <v>0.1</v>
      </c>
      <c r="M560" s="341"/>
      <c r="N560" s="342"/>
      <c r="P560" s="343"/>
      <c r="R560" s="250"/>
      <c r="S560" s="265"/>
    </row>
    <row r="561" s="164" customFormat="1" ht="24" customHeight="1" spans="1:19">
      <c r="A561" s="217"/>
      <c r="B561" s="202"/>
      <c r="C561" s="325" t="s">
        <v>1467</v>
      </c>
      <c r="D561" s="203" t="s">
        <v>838</v>
      </c>
      <c r="E561" s="244"/>
      <c r="F561" s="330"/>
      <c r="G561" s="329">
        <v>10</v>
      </c>
      <c r="H561" s="325" t="s">
        <v>838</v>
      </c>
      <c r="I561" s="212"/>
      <c r="J561" s="244">
        <v>25</v>
      </c>
      <c r="K561" s="332">
        <v>1.02</v>
      </c>
      <c r="L561" s="329">
        <v>1.67</v>
      </c>
      <c r="M561" s="341"/>
      <c r="N561" s="342"/>
      <c r="P561" s="343"/>
      <c r="R561" s="250"/>
      <c r="S561" s="265"/>
    </row>
    <row r="562" s="164" customFormat="1" ht="24" customHeight="1" spans="1:19">
      <c r="A562" s="217"/>
      <c r="B562" s="202"/>
      <c r="C562" s="325" t="s">
        <v>1468</v>
      </c>
      <c r="D562" s="203" t="s">
        <v>1201</v>
      </c>
      <c r="E562" s="244"/>
      <c r="F562" s="330"/>
      <c r="G562" s="329">
        <v>0</v>
      </c>
      <c r="H562" s="325" t="s">
        <v>1201</v>
      </c>
      <c r="I562" s="212"/>
      <c r="J562" s="244">
        <v>100</v>
      </c>
      <c r="K562" s="332">
        <v>1</v>
      </c>
      <c r="L562" s="329">
        <v>50</v>
      </c>
      <c r="M562" s="341"/>
      <c r="N562" s="342"/>
      <c r="P562" s="343"/>
      <c r="R562" s="250"/>
      <c r="S562" s="265"/>
    </row>
    <row r="563" s="164" customFormat="1" ht="24" customHeight="1" spans="1:19">
      <c r="A563" s="217"/>
      <c r="B563" s="202"/>
      <c r="C563" s="325" t="s">
        <v>1469</v>
      </c>
      <c r="D563" s="203" t="s">
        <v>1201</v>
      </c>
      <c r="E563" s="244"/>
      <c r="F563" s="330"/>
      <c r="G563" s="329">
        <v>0</v>
      </c>
      <c r="H563" s="325" t="s">
        <v>1201</v>
      </c>
      <c r="I563" s="212"/>
      <c r="J563" s="244">
        <v>150</v>
      </c>
      <c r="K563" s="332">
        <v>1</v>
      </c>
      <c r="L563" s="329">
        <v>80</v>
      </c>
      <c r="M563" s="341"/>
      <c r="N563" s="342"/>
      <c r="P563" s="343"/>
      <c r="R563" s="250"/>
      <c r="S563" s="265"/>
    </row>
    <row r="564" s="164" customFormat="1" ht="24" customHeight="1" spans="1:19">
      <c r="A564" s="217"/>
      <c r="B564" s="202"/>
      <c r="C564" s="325" t="s">
        <v>1470</v>
      </c>
      <c r="D564" s="203" t="s">
        <v>838</v>
      </c>
      <c r="E564" s="244"/>
      <c r="F564" s="330"/>
      <c r="G564" s="329">
        <v>300</v>
      </c>
      <c r="H564" s="325" t="s">
        <v>1201</v>
      </c>
      <c r="I564" s="212"/>
      <c r="J564" s="244">
        <v>102.75</v>
      </c>
      <c r="K564" s="332">
        <v>1</v>
      </c>
      <c r="L564" s="329">
        <v>19.78</v>
      </c>
      <c r="M564" s="341"/>
      <c r="N564" s="342"/>
      <c r="P564" s="343"/>
      <c r="R564" s="250"/>
      <c r="S564" s="265"/>
    </row>
    <row r="565" s="164" customFormat="1" ht="24" customHeight="1" spans="1:19">
      <c r="A565" s="217"/>
      <c r="B565" s="295" t="s">
        <v>1471</v>
      </c>
      <c r="C565" s="325" t="s">
        <v>1472</v>
      </c>
      <c r="D565" s="203" t="s">
        <v>845</v>
      </c>
      <c r="E565" s="244"/>
      <c r="F565" s="330"/>
      <c r="G565" s="329">
        <v>0.2</v>
      </c>
      <c r="H565" s="325" t="s">
        <v>845</v>
      </c>
      <c r="I565" s="212"/>
      <c r="J565" s="244">
        <v>3.63</v>
      </c>
      <c r="K565" s="332">
        <v>2</v>
      </c>
      <c r="L565" s="329">
        <v>2.94</v>
      </c>
      <c r="M565" s="341"/>
      <c r="N565" s="342"/>
      <c r="P565" s="343"/>
      <c r="R565" s="250"/>
      <c r="S565" s="265"/>
    </row>
    <row r="566" s="164" customFormat="1" ht="24" customHeight="1" spans="1:19">
      <c r="A566" s="217"/>
      <c r="B566" s="202"/>
      <c r="C566" s="325" t="s">
        <v>1473</v>
      </c>
      <c r="D566" s="203" t="s">
        <v>1040</v>
      </c>
      <c r="E566" s="244"/>
      <c r="F566" s="330"/>
      <c r="G566" s="329">
        <v>0</v>
      </c>
      <c r="H566" s="325" t="s">
        <v>1040</v>
      </c>
      <c r="I566" s="212"/>
      <c r="J566" s="244">
        <v>3.9</v>
      </c>
      <c r="K566" s="332">
        <v>1</v>
      </c>
      <c r="L566" s="329">
        <v>8.29</v>
      </c>
      <c r="M566" s="341"/>
      <c r="N566" s="342"/>
      <c r="P566" s="343"/>
      <c r="R566" s="250"/>
      <c r="S566" s="265"/>
    </row>
    <row r="567" s="164" customFormat="1" ht="24" customHeight="1" spans="1:19">
      <c r="A567" s="217"/>
      <c r="B567" s="202"/>
      <c r="C567" s="325" t="s">
        <v>1474</v>
      </c>
      <c r="D567" s="203" t="s">
        <v>1040</v>
      </c>
      <c r="E567" s="244"/>
      <c r="F567" s="330"/>
      <c r="G567" s="329">
        <v>0</v>
      </c>
      <c r="H567" s="325" t="s">
        <v>1040</v>
      </c>
      <c r="I567" s="212"/>
      <c r="J567" s="244">
        <v>0.8</v>
      </c>
      <c r="K567" s="332">
        <v>1</v>
      </c>
      <c r="L567" s="329">
        <v>1</v>
      </c>
      <c r="M567" s="341"/>
      <c r="N567" s="342"/>
      <c r="P567" s="343"/>
      <c r="R567" s="250"/>
      <c r="S567" s="265"/>
    </row>
    <row r="568" s="164" customFormat="1" ht="24" customHeight="1" spans="1:19">
      <c r="A568" s="217"/>
      <c r="B568" s="202"/>
      <c r="C568" s="325" t="s">
        <v>1475</v>
      </c>
      <c r="D568" s="203" t="s">
        <v>1040</v>
      </c>
      <c r="E568" s="244"/>
      <c r="F568" s="330"/>
      <c r="G568" s="329">
        <v>4.8</v>
      </c>
      <c r="H568" s="325" t="s">
        <v>1040</v>
      </c>
      <c r="I568" s="212"/>
      <c r="J568" s="244">
        <v>12.47</v>
      </c>
      <c r="K568" s="332">
        <v>1.05</v>
      </c>
      <c r="L568" s="329">
        <v>6.03</v>
      </c>
      <c r="M568" s="341"/>
      <c r="N568" s="342"/>
      <c r="P568" s="343"/>
      <c r="R568" s="250"/>
      <c r="S568" s="265"/>
    </row>
    <row r="569" s="164" customFormat="1" ht="24" customHeight="1" spans="1:19">
      <c r="A569" s="217"/>
      <c r="B569" s="202"/>
      <c r="C569" s="325" t="s">
        <v>1476</v>
      </c>
      <c r="D569" s="203" t="s">
        <v>1040</v>
      </c>
      <c r="E569" s="244"/>
      <c r="F569" s="330"/>
      <c r="G569" s="329">
        <v>5.4</v>
      </c>
      <c r="H569" s="325" t="s">
        <v>1040</v>
      </c>
      <c r="I569" s="212"/>
      <c r="J569" s="244">
        <v>13.47</v>
      </c>
      <c r="K569" s="332">
        <v>1.05</v>
      </c>
      <c r="L569" s="329">
        <v>6.53</v>
      </c>
      <c r="M569" s="341"/>
      <c r="N569" s="342"/>
      <c r="P569" s="343"/>
      <c r="R569" s="250"/>
      <c r="S569" s="265"/>
    </row>
    <row r="570" s="164" customFormat="1" ht="24" customHeight="1" spans="1:19">
      <c r="A570" s="217"/>
      <c r="B570" s="202"/>
      <c r="C570" s="325" t="s">
        <v>1477</v>
      </c>
      <c r="D570" s="203" t="s">
        <v>1040</v>
      </c>
      <c r="E570" s="244"/>
      <c r="F570" s="330"/>
      <c r="G570" s="329">
        <v>3.24</v>
      </c>
      <c r="H570" s="325" t="s">
        <v>1040</v>
      </c>
      <c r="I570" s="212"/>
      <c r="J570" s="244">
        <v>11.1</v>
      </c>
      <c r="K570" s="332">
        <v>1.015</v>
      </c>
      <c r="L570" s="329">
        <v>1.97</v>
      </c>
      <c r="M570" s="341"/>
      <c r="N570" s="342"/>
      <c r="P570" s="343"/>
      <c r="R570" s="250"/>
      <c r="S570" s="265"/>
    </row>
    <row r="571" s="164" customFormat="1" ht="24" customHeight="1" spans="1:19">
      <c r="A571" s="217"/>
      <c r="B571" s="202"/>
      <c r="C571" s="325" t="s">
        <v>1478</v>
      </c>
      <c r="D571" s="203" t="s">
        <v>1040</v>
      </c>
      <c r="E571" s="244"/>
      <c r="F571" s="330"/>
      <c r="G571" s="329">
        <v>5.18</v>
      </c>
      <c r="H571" s="325" t="s">
        <v>1040</v>
      </c>
      <c r="I571" s="212"/>
      <c r="J571" s="244">
        <v>11.1</v>
      </c>
      <c r="K571" s="332">
        <v>1.015</v>
      </c>
      <c r="L571" s="329">
        <v>1.97</v>
      </c>
      <c r="M571" s="341"/>
      <c r="N571" s="342"/>
      <c r="P571" s="343"/>
      <c r="R571" s="250"/>
      <c r="S571" s="265"/>
    </row>
    <row r="572" s="164" customFormat="1" ht="24" customHeight="1" spans="1:19">
      <c r="A572" s="217"/>
      <c r="B572" s="202"/>
      <c r="C572" s="325" t="s">
        <v>1479</v>
      </c>
      <c r="D572" s="203" t="s">
        <v>1040</v>
      </c>
      <c r="E572" s="244"/>
      <c r="F572" s="330"/>
      <c r="G572" s="329">
        <v>7.75</v>
      </c>
      <c r="H572" s="325" t="s">
        <v>1040</v>
      </c>
      <c r="I572" s="212"/>
      <c r="J572" s="244">
        <v>11.1</v>
      </c>
      <c r="K572" s="332">
        <v>1.02</v>
      </c>
      <c r="L572" s="329">
        <v>1.97</v>
      </c>
      <c r="M572" s="341"/>
      <c r="N572" s="342"/>
      <c r="P572" s="343"/>
      <c r="R572" s="250"/>
      <c r="S572" s="265"/>
    </row>
    <row r="573" s="164" customFormat="1" ht="24" customHeight="1" spans="1:19">
      <c r="A573" s="217"/>
      <c r="B573" s="202"/>
      <c r="C573" s="325" t="s">
        <v>1480</v>
      </c>
      <c r="D573" s="203" t="s">
        <v>1481</v>
      </c>
      <c r="E573" s="244"/>
      <c r="F573" s="330"/>
      <c r="G573" s="329">
        <v>45</v>
      </c>
      <c r="H573" s="325" t="s">
        <v>1481</v>
      </c>
      <c r="I573" s="212"/>
      <c r="J573" s="244">
        <v>45</v>
      </c>
      <c r="K573" s="332">
        <v>1</v>
      </c>
      <c r="L573" s="329">
        <v>3.5</v>
      </c>
      <c r="M573" s="341"/>
      <c r="N573" s="342"/>
      <c r="P573" s="343"/>
      <c r="R573" s="250"/>
      <c r="S573" s="265"/>
    </row>
    <row r="574" s="164" customFormat="1" ht="24" customHeight="1" spans="1:19">
      <c r="A574" s="217"/>
      <c r="B574" s="202"/>
      <c r="C574" s="325" t="s">
        <v>1482</v>
      </c>
      <c r="D574" s="203" t="s">
        <v>838</v>
      </c>
      <c r="E574" s="244"/>
      <c r="F574" s="330"/>
      <c r="G574" s="329">
        <v>18</v>
      </c>
      <c r="H574" s="325" t="s">
        <v>838</v>
      </c>
      <c r="I574" s="212"/>
      <c r="J574" s="244">
        <v>12</v>
      </c>
      <c r="K574" s="332">
        <v>1</v>
      </c>
      <c r="L574" s="329">
        <v>0.5</v>
      </c>
      <c r="M574" s="341"/>
      <c r="N574" s="342"/>
      <c r="P574" s="343"/>
      <c r="R574" s="250"/>
      <c r="S574" s="265"/>
    </row>
    <row r="575" s="164" customFormat="1" ht="24" customHeight="1" spans="1:19">
      <c r="A575" s="217"/>
      <c r="B575" s="202"/>
      <c r="C575" s="325" t="s">
        <v>1483</v>
      </c>
      <c r="D575" s="203" t="s">
        <v>838</v>
      </c>
      <c r="E575" s="244"/>
      <c r="F575" s="330"/>
      <c r="G575" s="329">
        <v>45</v>
      </c>
      <c r="H575" s="325" t="s">
        <v>838</v>
      </c>
      <c r="I575" s="212"/>
      <c r="J575" s="244">
        <v>40</v>
      </c>
      <c r="K575" s="332">
        <v>1</v>
      </c>
      <c r="L575" s="329">
        <v>6.5</v>
      </c>
      <c r="M575" s="341"/>
      <c r="N575" s="342"/>
      <c r="P575" s="343"/>
      <c r="R575" s="250"/>
      <c r="S575" s="265"/>
    </row>
    <row r="576" s="164" customFormat="1" ht="24" customHeight="1" spans="1:19">
      <c r="A576" s="217"/>
      <c r="B576" s="202"/>
      <c r="C576" s="325" t="s">
        <v>1484</v>
      </c>
      <c r="D576" s="203" t="s">
        <v>838</v>
      </c>
      <c r="E576" s="244"/>
      <c r="F576" s="330"/>
      <c r="G576" s="329">
        <v>30</v>
      </c>
      <c r="H576" s="325" t="s">
        <v>838</v>
      </c>
      <c r="I576" s="212"/>
      <c r="J576" s="244">
        <v>35</v>
      </c>
      <c r="K576" s="332">
        <v>1</v>
      </c>
      <c r="L576" s="329">
        <v>6.5</v>
      </c>
      <c r="M576" s="341"/>
      <c r="N576" s="342"/>
      <c r="P576" s="343"/>
      <c r="R576" s="250"/>
      <c r="S576" s="265"/>
    </row>
    <row r="577" s="164" customFormat="1" ht="24" customHeight="1" spans="1:19">
      <c r="A577" s="217"/>
      <c r="B577" s="202"/>
      <c r="C577" s="325" t="s">
        <v>1485</v>
      </c>
      <c r="D577" s="203" t="s">
        <v>838</v>
      </c>
      <c r="E577" s="244"/>
      <c r="F577" s="330"/>
      <c r="G577" s="329">
        <v>50</v>
      </c>
      <c r="H577" s="325" t="s">
        <v>838</v>
      </c>
      <c r="I577" s="212"/>
      <c r="J577" s="244">
        <v>60</v>
      </c>
      <c r="K577" s="332">
        <v>1</v>
      </c>
      <c r="L577" s="329">
        <v>10.8</v>
      </c>
      <c r="M577" s="341"/>
      <c r="N577" s="342"/>
      <c r="P577" s="343"/>
      <c r="R577" s="250"/>
      <c r="S577" s="265"/>
    </row>
    <row r="578" s="164" customFormat="1" ht="24" customHeight="1" spans="1:19">
      <c r="A578" s="217"/>
      <c r="B578" s="202"/>
      <c r="C578" s="325" t="s">
        <v>1486</v>
      </c>
      <c r="D578" s="203" t="s">
        <v>1040</v>
      </c>
      <c r="E578" s="244"/>
      <c r="F578" s="330"/>
      <c r="G578" s="329">
        <v>0</v>
      </c>
      <c r="H578" s="325" t="s">
        <v>1040</v>
      </c>
      <c r="I578" s="212"/>
      <c r="J578" s="244">
        <v>5.67</v>
      </c>
      <c r="K578" s="332">
        <v>1</v>
      </c>
      <c r="L578" s="329">
        <v>2.98</v>
      </c>
      <c r="M578" s="341"/>
      <c r="N578" s="342"/>
      <c r="P578" s="343"/>
      <c r="R578" s="250"/>
      <c r="S578" s="265"/>
    </row>
    <row r="579" s="164" customFormat="1" ht="24" customHeight="1" spans="1:19">
      <c r="A579" s="217"/>
      <c r="B579" s="202"/>
      <c r="C579" s="325" t="s">
        <v>1487</v>
      </c>
      <c r="D579" s="203" t="s">
        <v>1488</v>
      </c>
      <c r="E579" s="244"/>
      <c r="F579" s="330"/>
      <c r="G579" s="329">
        <v>10</v>
      </c>
      <c r="H579" s="325" t="s">
        <v>1488</v>
      </c>
      <c r="I579" s="212"/>
      <c r="J579" s="244">
        <v>25</v>
      </c>
      <c r="K579" s="332">
        <v>1.015</v>
      </c>
      <c r="L579" s="329">
        <v>1.97</v>
      </c>
      <c r="M579" s="341"/>
      <c r="N579" s="342"/>
      <c r="P579" s="343"/>
      <c r="R579" s="250"/>
      <c r="S579" s="265"/>
    </row>
    <row r="580" s="164" customFormat="1" ht="24" customHeight="1" spans="1:19">
      <c r="A580" s="217"/>
      <c r="B580" s="202"/>
      <c r="C580" s="325" t="s">
        <v>1489</v>
      </c>
      <c r="D580" s="203" t="s">
        <v>1264</v>
      </c>
      <c r="E580" s="244"/>
      <c r="F580" s="330"/>
      <c r="G580" s="329">
        <v>5.18</v>
      </c>
      <c r="H580" s="325" t="s">
        <v>1264</v>
      </c>
      <c r="I580" s="212"/>
      <c r="J580" s="244">
        <v>20</v>
      </c>
      <c r="K580" s="332">
        <v>1.015</v>
      </c>
      <c r="L580" s="329">
        <v>2.98</v>
      </c>
      <c r="M580" s="341"/>
      <c r="N580" s="342"/>
      <c r="P580" s="343"/>
      <c r="R580" s="250"/>
      <c r="S580" s="265"/>
    </row>
    <row r="581" s="164" customFormat="1" ht="24" customHeight="1" spans="1:19">
      <c r="A581" s="217"/>
      <c r="B581" s="202"/>
      <c r="C581" s="325" t="s">
        <v>1490</v>
      </c>
      <c r="D581" s="203" t="s">
        <v>1264</v>
      </c>
      <c r="E581" s="244"/>
      <c r="F581" s="330"/>
      <c r="G581" s="329">
        <v>15</v>
      </c>
      <c r="H581" s="325" t="s">
        <v>1264</v>
      </c>
      <c r="I581" s="212"/>
      <c r="J581" s="244">
        <v>18</v>
      </c>
      <c r="K581" s="332">
        <v>1.015</v>
      </c>
      <c r="L581" s="329">
        <v>2.98</v>
      </c>
      <c r="M581" s="341"/>
      <c r="N581" s="342"/>
      <c r="P581" s="343"/>
      <c r="R581" s="250"/>
      <c r="S581" s="265"/>
    </row>
    <row r="582" s="164" customFormat="1" ht="24" customHeight="1" spans="1:19">
      <c r="A582" s="217"/>
      <c r="B582" s="202"/>
      <c r="C582" s="325" t="s">
        <v>1491</v>
      </c>
      <c r="D582" s="203" t="s">
        <v>1264</v>
      </c>
      <c r="E582" s="244"/>
      <c r="F582" s="330"/>
      <c r="G582" s="329">
        <v>5.18</v>
      </c>
      <c r="H582" s="325" t="s">
        <v>1264</v>
      </c>
      <c r="I582" s="212"/>
      <c r="J582" s="244">
        <v>8</v>
      </c>
      <c r="K582" s="332">
        <v>1.015</v>
      </c>
      <c r="L582" s="329">
        <v>6.978</v>
      </c>
      <c r="M582" s="341"/>
      <c r="N582" s="342"/>
      <c r="P582" s="343"/>
      <c r="R582" s="250"/>
      <c r="S582" s="265"/>
    </row>
    <row r="583" s="164" customFormat="1" ht="24" customHeight="1" spans="1:19">
      <c r="A583" s="217"/>
      <c r="B583" s="202"/>
      <c r="C583" s="325" t="s">
        <v>1492</v>
      </c>
      <c r="D583" s="203" t="s">
        <v>1493</v>
      </c>
      <c r="E583" s="244"/>
      <c r="F583" s="330"/>
      <c r="G583" s="329">
        <v>0</v>
      </c>
      <c r="H583" s="325" t="s">
        <v>1493</v>
      </c>
      <c r="I583" s="212"/>
      <c r="J583" s="244">
        <v>420</v>
      </c>
      <c r="K583" s="332">
        <v>1</v>
      </c>
      <c r="L583" s="329">
        <v>120</v>
      </c>
      <c r="M583" s="341"/>
      <c r="N583" s="342"/>
      <c r="P583" s="343"/>
      <c r="R583" s="250"/>
      <c r="S583" s="265"/>
    </row>
    <row r="584" s="164" customFormat="1" ht="24" customHeight="1" spans="1:19">
      <c r="A584" s="217"/>
      <c r="B584" s="212" t="s">
        <v>1494</v>
      </c>
      <c r="C584" s="325" t="s">
        <v>1495</v>
      </c>
      <c r="D584" s="203" t="s">
        <v>1496</v>
      </c>
      <c r="E584" s="244"/>
      <c r="F584" s="330"/>
      <c r="G584" s="329">
        <v>0</v>
      </c>
      <c r="H584" s="325" t="s">
        <v>1497</v>
      </c>
      <c r="I584" s="212"/>
      <c r="J584" s="244">
        <v>497.02</v>
      </c>
      <c r="K584" s="332">
        <v>1</v>
      </c>
      <c r="L584" s="329">
        <v>45.44</v>
      </c>
      <c r="M584" s="341"/>
      <c r="N584" s="342"/>
      <c r="P584" s="343"/>
      <c r="R584" s="250"/>
      <c r="S584" s="265"/>
    </row>
    <row r="585" s="164" customFormat="1" ht="24" customHeight="1" spans="1:19">
      <c r="A585" s="217"/>
      <c r="B585" s="223" t="s">
        <v>1498</v>
      </c>
      <c r="C585" s="325" t="s">
        <v>1499</v>
      </c>
      <c r="D585" s="203" t="s">
        <v>838</v>
      </c>
      <c r="E585" s="244"/>
      <c r="F585" s="330"/>
      <c r="G585" s="329">
        <v>5</v>
      </c>
      <c r="H585" s="325" t="s">
        <v>838</v>
      </c>
      <c r="I585" s="212"/>
      <c r="J585" s="244">
        <v>18.25</v>
      </c>
      <c r="K585" s="332">
        <v>1</v>
      </c>
      <c r="L585" s="329">
        <v>5</v>
      </c>
      <c r="M585" s="341"/>
      <c r="N585" s="342"/>
      <c r="P585" s="343"/>
      <c r="R585" s="250"/>
      <c r="S585" s="265"/>
    </row>
    <row r="586" s="164" customFormat="1" ht="24" customHeight="1" spans="1:19">
      <c r="A586" s="217"/>
      <c r="B586" s="226"/>
      <c r="C586" s="325" t="s">
        <v>1500</v>
      </c>
      <c r="D586" s="203" t="s">
        <v>838</v>
      </c>
      <c r="E586" s="244"/>
      <c r="F586" s="330"/>
      <c r="G586" s="329">
        <v>8</v>
      </c>
      <c r="H586" s="325" t="s">
        <v>838</v>
      </c>
      <c r="I586" s="212"/>
      <c r="J586" s="244">
        <v>20.45</v>
      </c>
      <c r="K586" s="332">
        <v>1</v>
      </c>
      <c r="L586" s="329">
        <v>8</v>
      </c>
      <c r="M586" s="341"/>
      <c r="N586" s="342"/>
      <c r="P586" s="343"/>
      <c r="R586" s="250"/>
      <c r="S586" s="265"/>
    </row>
    <row r="587" s="164" customFormat="1" ht="24" customHeight="1" spans="1:19">
      <c r="A587" s="217"/>
      <c r="B587" s="226"/>
      <c r="C587" s="325" t="s">
        <v>1501</v>
      </c>
      <c r="D587" s="203" t="s">
        <v>838</v>
      </c>
      <c r="E587" s="244"/>
      <c r="F587" s="330"/>
      <c r="G587" s="329">
        <v>12</v>
      </c>
      <c r="H587" s="325" t="s">
        <v>838</v>
      </c>
      <c r="I587" s="212"/>
      <c r="J587" s="244">
        <v>22.06</v>
      </c>
      <c r="K587" s="332">
        <v>1</v>
      </c>
      <c r="L587" s="329">
        <v>10</v>
      </c>
      <c r="M587" s="341"/>
      <c r="N587" s="342"/>
      <c r="P587" s="343"/>
      <c r="R587" s="250"/>
      <c r="S587" s="265"/>
    </row>
    <row r="588" s="164" customFormat="1" ht="24" customHeight="1" spans="1:19">
      <c r="A588" s="217"/>
      <c r="B588" s="226"/>
      <c r="C588" s="325" t="s">
        <v>1502</v>
      </c>
      <c r="D588" s="203" t="s">
        <v>838</v>
      </c>
      <c r="E588" s="244"/>
      <c r="F588" s="330"/>
      <c r="G588" s="329">
        <v>16</v>
      </c>
      <c r="H588" s="325" t="s">
        <v>838</v>
      </c>
      <c r="I588" s="212"/>
      <c r="J588" s="244">
        <v>29.3</v>
      </c>
      <c r="K588" s="332">
        <v>1</v>
      </c>
      <c r="L588" s="329">
        <v>12</v>
      </c>
      <c r="M588" s="341"/>
      <c r="N588" s="342"/>
      <c r="P588" s="343"/>
      <c r="R588" s="250"/>
      <c r="S588" s="265"/>
    </row>
    <row r="589" s="164" customFormat="1" ht="24" customHeight="1" spans="1:19">
      <c r="A589" s="217"/>
      <c r="B589" s="267"/>
      <c r="C589" s="325" t="s">
        <v>1503</v>
      </c>
      <c r="D589" s="203" t="s">
        <v>838</v>
      </c>
      <c r="E589" s="244"/>
      <c r="F589" s="330"/>
      <c r="G589" s="329">
        <v>28</v>
      </c>
      <c r="H589" s="325" t="s">
        <v>838</v>
      </c>
      <c r="I589" s="212"/>
      <c r="J589" s="244">
        <v>36.8</v>
      </c>
      <c r="K589" s="332">
        <v>1</v>
      </c>
      <c r="L589" s="329">
        <v>15</v>
      </c>
      <c r="M589" s="341"/>
      <c r="N589" s="342"/>
      <c r="P589" s="343"/>
      <c r="R589" s="250"/>
      <c r="S589" s="265"/>
    </row>
    <row r="590" s="164" customFormat="1" ht="24" customHeight="1" spans="1:19">
      <c r="A590" s="217"/>
      <c r="B590" s="295" t="s">
        <v>1504</v>
      </c>
      <c r="C590" s="325" t="s">
        <v>1505</v>
      </c>
      <c r="D590" s="203" t="s">
        <v>838</v>
      </c>
      <c r="E590" s="244"/>
      <c r="F590" s="330"/>
      <c r="G590" s="329">
        <v>17.42</v>
      </c>
      <c r="H590" s="325" t="s">
        <v>838</v>
      </c>
      <c r="I590" s="212"/>
      <c r="J590" s="244">
        <v>38.25</v>
      </c>
      <c r="K590" s="332">
        <v>1</v>
      </c>
      <c r="L590" s="329">
        <v>11.73</v>
      </c>
      <c r="M590" s="341"/>
      <c r="N590" s="342"/>
      <c r="P590" s="343"/>
      <c r="R590" s="250"/>
      <c r="S590" s="265"/>
    </row>
    <row r="591" s="164" customFormat="1" ht="24" customHeight="1" spans="1:19">
      <c r="A591" s="217"/>
      <c r="B591" s="202"/>
      <c r="C591" s="325" t="s">
        <v>1506</v>
      </c>
      <c r="D591" s="203" t="s">
        <v>838</v>
      </c>
      <c r="E591" s="244"/>
      <c r="F591" s="330"/>
      <c r="G591" s="329">
        <v>25.66</v>
      </c>
      <c r="H591" s="325" t="s">
        <v>838</v>
      </c>
      <c r="I591" s="212"/>
      <c r="J591" s="244">
        <v>40.45</v>
      </c>
      <c r="K591" s="332">
        <v>1</v>
      </c>
      <c r="L591" s="329">
        <v>13.39</v>
      </c>
      <c r="M591" s="341"/>
      <c r="N591" s="342"/>
      <c r="P591" s="343"/>
      <c r="R591" s="250"/>
      <c r="S591" s="265"/>
    </row>
    <row r="592" s="164" customFormat="1" ht="24" customHeight="1" spans="1:19">
      <c r="A592" s="217"/>
      <c r="B592" s="202"/>
      <c r="C592" s="325" t="s">
        <v>1507</v>
      </c>
      <c r="D592" s="203" t="s">
        <v>838</v>
      </c>
      <c r="E592" s="244"/>
      <c r="F592" s="330"/>
      <c r="G592" s="329">
        <v>34.48</v>
      </c>
      <c r="H592" s="325" t="s">
        <v>838</v>
      </c>
      <c r="I592" s="212"/>
      <c r="J592" s="244">
        <v>52.06</v>
      </c>
      <c r="K592" s="332">
        <v>1</v>
      </c>
      <c r="L592" s="329">
        <v>15.54</v>
      </c>
      <c r="M592" s="341"/>
      <c r="N592" s="342"/>
      <c r="P592" s="343"/>
      <c r="R592" s="250"/>
      <c r="S592" s="265"/>
    </row>
    <row r="593" s="164" customFormat="1" ht="24" customHeight="1" spans="1:19">
      <c r="A593" s="217"/>
      <c r="B593" s="202"/>
      <c r="C593" s="325" t="s">
        <v>1508</v>
      </c>
      <c r="D593" s="203" t="s">
        <v>838</v>
      </c>
      <c r="E593" s="244"/>
      <c r="F593" s="330"/>
      <c r="G593" s="329">
        <v>52.77</v>
      </c>
      <c r="H593" s="325" t="s">
        <v>838</v>
      </c>
      <c r="I593" s="212"/>
      <c r="J593" s="244">
        <v>69.3</v>
      </c>
      <c r="K593" s="332">
        <v>1</v>
      </c>
      <c r="L593" s="329">
        <v>24.8</v>
      </c>
      <c r="M593" s="341"/>
      <c r="N593" s="342"/>
      <c r="P593" s="343"/>
      <c r="R593" s="250"/>
      <c r="S593" s="265"/>
    </row>
    <row r="594" s="164" customFormat="1" ht="24" customHeight="1" spans="1:19">
      <c r="A594" s="217"/>
      <c r="B594" s="202"/>
      <c r="C594" s="325" t="s">
        <v>1509</v>
      </c>
      <c r="D594" s="203" t="s">
        <v>838</v>
      </c>
      <c r="E594" s="244"/>
      <c r="F594" s="330"/>
      <c r="G594" s="329">
        <v>72.85</v>
      </c>
      <c r="H594" s="325" t="s">
        <v>838</v>
      </c>
      <c r="I594" s="212"/>
      <c r="J594" s="244">
        <v>86.8</v>
      </c>
      <c r="K594" s="332">
        <v>1</v>
      </c>
      <c r="L594" s="329">
        <v>30.6</v>
      </c>
      <c r="M594" s="341"/>
      <c r="N594" s="342"/>
      <c r="P594" s="343"/>
      <c r="R594" s="250"/>
      <c r="S594" s="265"/>
    </row>
    <row r="595" s="164" customFormat="1" ht="24" customHeight="1" spans="1:19">
      <c r="A595" s="217"/>
      <c r="B595" s="348" t="s">
        <v>1510</v>
      </c>
      <c r="C595" s="325" t="s">
        <v>1511</v>
      </c>
      <c r="D595" s="203" t="s">
        <v>845</v>
      </c>
      <c r="E595" s="244"/>
      <c r="F595" s="330"/>
      <c r="G595" s="329">
        <f>78.5*5</f>
        <v>392.5</v>
      </c>
      <c r="H595" s="325" t="s">
        <v>845</v>
      </c>
      <c r="I595" s="212"/>
      <c r="J595" s="244">
        <v>130</v>
      </c>
      <c r="K595" s="332">
        <v>1</v>
      </c>
      <c r="L595" s="329">
        <v>20</v>
      </c>
      <c r="M595" s="341"/>
      <c r="N595" s="342"/>
      <c r="P595" s="343"/>
      <c r="R595" s="250"/>
      <c r="S595" s="265"/>
    </row>
    <row r="596" s="164" customFormat="1" ht="24" customHeight="1" spans="1:19">
      <c r="A596" s="217"/>
      <c r="B596" s="348"/>
      <c r="C596" s="325" t="s">
        <v>1512</v>
      </c>
      <c r="D596" s="203" t="s">
        <v>845</v>
      </c>
      <c r="E596" s="244"/>
      <c r="F596" s="330"/>
      <c r="G596" s="329">
        <f>62.8*5</f>
        <v>314</v>
      </c>
      <c r="H596" s="325" t="s">
        <v>845</v>
      </c>
      <c r="I596" s="212"/>
      <c r="J596" s="244">
        <v>105</v>
      </c>
      <c r="K596" s="332">
        <v>1</v>
      </c>
      <c r="L596" s="329">
        <v>15</v>
      </c>
      <c r="M596" s="341"/>
      <c r="N596" s="342"/>
      <c r="P596" s="343"/>
      <c r="R596" s="250"/>
      <c r="S596" s="265"/>
    </row>
    <row r="597" s="164" customFormat="1" ht="24" customHeight="1" spans="1:19">
      <c r="A597" s="217"/>
      <c r="B597" s="348"/>
      <c r="C597" s="325" t="s">
        <v>1513</v>
      </c>
      <c r="D597" s="203" t="s">
        <v>845</v>
      </c>
      <c r="E597" s="244"/>
      <c r="F597" s="330"/>
      <c r="G597" s="329">
        <f>47.1*5</f>
        <v>235.5</v>
      </c>
      <c r="H597" s="325" t="s">
        <v>845</v>
      </c>
      <c r="I597" s="212"/>
      <c r="J597" s="244">
        <v>90</v>
      </c>
      <c r="K597" s="332">
        <v>1</v>
      </c>
      <c r="L597" s="329">
        <v>10</v>
      </c>
      <c r="M597" s="341"/>
      <c r="N597" s="342"/>
      <c r="P597" s="343"/>
      <c r="R597" s="250"/>
      <c r="S597" s="265"/>
    </row>
    <row r="598" s="164" customFormat="1" ht="24" customHeight="1" spans="1:19">
      <c r="A598" s="217"/>
      <c r="B598" s="348"/>
      <c r="C598" s="325" t="s">
        <v>1514</v>
      </c>
      <c r="D598" s="203" t="s">
        <v>838</v>
      </c>
      <c r="E598" s="244"/>
      <c r="F598" s="330"/>
      <c r="G598" s="329">
        <v>0</v>
      </c>
      <c r="H598" s="325" t="s">
        <v>838</v>
      </c>
      <c r="I598" s="212"/>
      <c r="J598" s="244">
        <v>20</v>
      </c>
      <c r="K598" s="332">
        <v>1</v>
      </c>
      <c r="L598" s="329">
        <v>8</v>
      </c>
      <c r="M598" s="341"/>
      <c r="N598" s="342"/>
      <c r="P598" s="343"/>
      <c r="R598" s="250"/>
      <c r="S598" s="265"/>
    </row>
    <row r="599" s="164" customFormat="1" ht="24" customHeight="1" spans="1:19">
      <c r="A599" s="217"/>
      <c r="B599" s="348"/>
      <c r="C599" s="325" t="s">
        <v>1515</v>
      </c>
      <c r="D599" s="203" t="s">
        <v>838</v>
      </c>
      <c r="E599" s="244"/>
      <c r="F599" s="330"/>
      <c r="G599" s="329">
        <v>0</v>
      </c>
      <c r="H599" s="325" t="s">
        <v>838</v>
      </c>
      <c r="I599" s="212"/>
      <c r="J599" s="244">
        <v>25</v>
      </c>
      <c r="K599" s="332">
        <v>1</v>
      </c>
      <c r="L599" s="329">
        <v>10</v>
      </c>
      <c r="M599" s="341"/>
      <c r="N599" s="342"/>
      <c r="P599" s="343"/>
      <c r="R599" s="250"/>
      <c r="S599" s="265"/>
    </row>
    <row r="600" s="164" customFormat="1" ht="24" customHeight="1" spans="1:19">
      <c r="A600" s="217"/>
      <c r="B600" s="348"/>
      <c r="C600" s="325" t="s">
        <v>1516</v>
      </c>
      <c r="D600" s="203" t="s">
        <v>838</v>
      </c>
      <c r="E600" s="244"/>
      <c r="F600" s="330"/>
      <c r="G600" s="329">
        <v>0</v>
      </c>
      <c r="H600" s="325" t="s">
        <v>838</v>
      </c>
      <c r="I600" s="212"/>
      <c r="J600" s="244">
        <v>30</v>
      </c>
      <c r="K600" s="332">
        <v>1</v>
      </c>
      <c r="L600" s="329">
        <v>12</v>
      </c>
      <c r="M600" s="341"/>
      <c r="N600" s="342"/>
      <c r="P600" s="343"/>
      <c r="R600" s="250"/>
      <c r="S600" s="265"/>
    </row>
    <row r="601" s="164" customFormat="1" ht="24" customHeight="1" spans="1:19">
      <c r="A601" s="217"/>
      <c r="B601" s="348"/>
      <c r="C601" s="325" t="s">
        <v>1517</v>
      </c>
      <c r="D601" s="203" t="s">
        <v>838</v>
      </c>
      <c r="E601" s="244"/>
      <c r="F601" s="330"/>
      <c r="G601" s="329">
        <v>0</v>
      </c>
      <c r="H601" s="325" t="s">
        <v>838</v>
      </c>
      <c r="I601" s="212"/>
      <c r="J601" s="244">
        <v>35</v>
      </c>
      <c r="K601" s="332">
        <v>1</v>
      </c>
      <c r="L601" s="329">
        <v>15</v>
      </c>
      <c r="M601" s="341"/>
      <c r="N601" s="342"/>
      <c r="P601" s="343"/>
      <c r="R601" s="250"/>
      <c r="S601" s="265"/>
    </row>
    <row r="602" s="164" customFormat="1" ht="24" customHeight="1" spans="1:19">
      <c r="A602" s="217"/>
      <c r="B602" s="348"/>
      <c r="C602" s="325" t="s">
        <v>1518</v>
      </c>
      <c r="D602" s="203" t="s">
        <v>838</v>
      </c>
      <c r="E602" s="244"/>
      <c r="F602" s="330"/>
      <c r="G602" s="329">
        <v>0</v>
      </c>
      <c r="H602" s="325" t="s">
        <v>838</v>
      </c>
      <c r="I602" s="212"/>
      <c r="J602" s="244">
        <v>40</v>
      </c>
      <c r="K602" s="332">
        <v>1</v>
      </c>
      <c r="L602" s="329">
        <v>20</v>
      </c>
      <c r="M602" s="341"/>
      <c r="N602" s="342"/>
      <c r="P602" s="343"/>
      <c r="R602" s="250"/>
      <c r="S602" s="265"/>
    </row>
    <row r="603" s="164" customFormat="1" ht="24" customHeight="1" spans="1:19">
      <c r="A603" s="217"/>
      <c r="B603" s="348"/>
      <c r="C603" s="325" t="s">
        <v>1519</v>
      </c>
      <c r="D603" s="203" t="s">
        <v>1040</v>
      </c>
      <c r="E603" s="244"/>
      <c r="F603" s="330"/>
      <c r="G603" s="329">
        <v>32.88</v>
      </c>
      <c r="H603" s="325" t="s">
        <v>1040</v>
      </c>
      <c r="I603" s="212"/>
      <c r="J603" s="244">
        <v>20</v>
      </c>
      <c r="K603" s="332">
        <v>1.03</v>
      </c>
      <c r="L603" s="329">
        <v>6.2</v>
      </c>
      <c r="M603" s="341"/>
      <c r="N603" s="342"/>
      <c r="P603" s="343"/>
      <c r="R603" s="250"/>
      <c r="S603" s="265"/>
    </row>
    <row r="604" s="164" customFormat="1" ht="24" customHeight="1" spans="1:19">
      <c r="A604" s="217"/>
      <c r="B604" s="348"/>
      <c r="C604" s="325" t="s">
        <v>1520</v>
      </c>
      <c r="D604" s="203" t="s">
        <v>1040</v>
      </c>
      <c r="E604" s="244"/>
      <c r="F604" s="330"/>
      <c r="G604" s="329">
        <v>50.71</v>
      </c>
      <c r="H604" s="325" t="s">
        <v>1040</v>
      </c>
      <c r="I604" s="212"/>
      <c r="J604" s="244">
        <v>32</v>
      </c>
      <c r="K604" s="332">
        <v>1.03</v>
      </c>
      <c r="L604" s="329">
        <v>11.3</v>
      </c>
      <c r="M604" s="341"/>
      <c r="N604" s="342"/>
      <c r="P604" s="343"/>
      <c r="R604" s="250"/>
      <c r="S604" s="265"/>
    </row>
    <row r="605" s="164" customFormat="1" ht="24" customHeight="1" spans="1:19">
      <c r="A605" s="217"/>
      <c r="B605" s="348"/>
      <c r="C605" s="325" t="s">
        <v>1521</v>
      </c>
      <c r="D605" s="203" t="s">
        <v>1040</v>
      </c>
      <c r="E605" s="244"/>
      <c r="F605" s="330"/>
      <c r="G605" s="329">
        <v>65.88</v>
      </c>
      <c r="H605" s="325" t="s">
        <v>1040</v>
      </c>
      <c r="I605" s="212"/>
      <c r="J605" s="244">
        <v>35</v>
      </c>
      <c r="K605" s="332">
        <v>1.03</v>
      </c>
      <c r="L605" s="329">
        <v>12.6</v>
      </c>
      <c r="M605" s="341"/>
      <c r="N605" s="342"/>
      <c r="P605" s="343"/>
      <c r="R605" s="250"/>
      <c r="S605" s="265"/>
    </row>
    <row r="606" s="164" customFormat="1" ht="24" customHeight="1" spans="1:19">
      <c r="A606" s="217"/>
      <c r="B606" s="348"/>
      <c r="C606" s="325" t="s">
        <v>1522</v>
      </c>
      <c r="D606" s="203" t="s">
        <v>1040</v>
      </c>
      <c r="E606" s="244"/>
      <c r="F606" s="330"/>
      <c r="G606" s="329">
        <v>95.61</v>
      </c>
      <c r="H606" s="325" t="s">
        <v>1040</v>
      </c>
      <c r="I606" s="212"/>
      <c r="J606" s="244">
        <v>39.15</v>
      </c>
      <c r="K606" s="332">
        <v>1.03</v>
      </c>
      <c r="L606" s="329">
        <v>15.5</v>
      </c>
      <c r="M606" s="341"/>
      <c r="N606" s="342"/>
      <c r="P606" s="343"/>
      <c r="R606" s="250"/>
      <c r="S606" s="265"/>
    </row>
    <row r="607" s="164" customFormat="1" ht="24" customHeight="1" spans="1:19">
      <c r="A607" s="217"/>
      <c r="B607" s="348"/>
      <c r="C607" s="325" t="s">
        <v>1523</v>
      </c>
      <c r="D607" s="203" t="s">
        <v>1040</v>
      </c>
      <c r="E607" s="244"/>
      <c r="F607" s="330"/>
      <c r="G607" s="329">
        <v>116.09</v>
      </c>
      <c r="H607" s="325" t="s">
        <v>1040</v>
      </c>
      <c r="I607" s="212"/>
      <c r="J607" s="244">
        <v>39.15</v>
      </c>
      <c r="K607" s="332">
        <v>1.03</v>
      </c>
      <c r="L607" s="329">
        <v>15.5</v>
      </c>
      <c r="M607" s="341"/>
      <c r="N607" s="342"/>
      <c r="P607" s="343"/>
      <c r="R607" s="250"/>
      <c r="S607" s="265"/>
    </row>
    <row r="608" s="164" customFormat="1" ht="24" customHeight="1" spans="1:19">
      <c r="A608" s="211" t="s">
        <v>1524</v>
      </c>
      <c r="B608" s="295" t="s">
        <v>1525</v>
      </c>
      <c r="C608" s="325" t="s">
        <v>1526</v>
      </c>
      <c r="D608" s="203" t="s">
        <v>1040</v>
      </c>
      <c r="E608" s="244"/>
      <c r="F608" s="330"/>
      <c r="G608" s="349">
        <v>9.63</v>
      </c>
      <c r="H608" s="325" t="s">
        <v>1040</v>
      </c>
      <c r="I608" s="212"/>
      <c r="J608" s="244">
        <v>11.8</v>
      </c>
      <c r="K608" s="332">
        <v>1.02</v>
      </c>
      <c r="L608" s="350">
        <v>4.55</v>
      </c>
      <c r="M608" s="341"/>
      <c r="N608" s="342"/>
      <c r="P608" s="343"/>
      <c r="R608" s="250"/>
      <c r="S608" s="265"/>
    </row>
    <row r="609" s="164" customFormat="1" ht="24" customHeight="1" spans="1:19">
      <c r="A609" s="217"/>
      <c r="B609" s="202"/>
      <c r="C609" s="325" t="s">
        <v>1527</v>
      </c>
      <c r="D609" s="203" t="s">
        <v>1040</v>
      </c>
      <c r="E609" s="244"/>
      <c r="F609" s="330"/>
      <c r="G609" s="349">
        <v>10.54</v>
      </c>
      <c r="H609" s="325" t="s">
        <v>1040</v>
      </c>
      <c r="I609" s="212"/>
      <c r="J609" s="244">
        <v>14.11104</v>
      </c>
      <c r="K609" s="332">
        <v>1.02</v>
      </c>
      <c r="L609" s="350">
        <v>5.75</v>
      </c>
      <c r="M609" s="341"/>
      <c r="N609" s="342"/>
      <c r="P609" s="343"/>
      <c r="R609" s="250"/>
      <c r="S609" s="265"/>
    </row>
    <row r="610" s="164" customFormat="1" ht="24" customHeight="1" spans="1:19">
      <c r="A610" s="217"/>
      <c r="B610" s="202"/>
      <c r="C610" s="325" t="s">
        <v>1528</v>
      </c>
      <c r="D610" s="203" t="s">
        <v>1040</v>
      </c>
      <c r="E610" s="244"/>
      <c r="F610" s="330"/>
      <c r="G610" s="349">
        <v>24.96</v>
      </c>
      <c r="H610" s="325" t="s">
        <v>1040</v>
      </c>
      <c r="I610" s="212"/>
      <c r="J610" s="244">
        <v>17.22</v>
      </c>
      <c r="K610" s="332">
        <v>1.02</v>
      </c>
      <c r="L610" s="350">
        <v>6.9</v>
      </c>
      <c r="M610" s="341"/>
      <c r="N610" s="342"/>
      <c r="P610" s="343"/>
      <c r="R610" s="250"/>
      <c r="S610" s="265"/>
    </row>
    <row r="611" s="164" customFormat="1" ht="24" customHeight="1" spans="1:19">
      <c r="A611" s="217"/>
      <c r="B611" s="202"/>
      <c r="C611" s="325" t="s">
        <v>1529</v>
      </c>
      <c r="D611" s="203" t="s">
        <v>1040</v>
      </c>
      <c r="E611" s="244"/>
      <c r="F611" s="330"/>
      <c r="G611" s="349">
        <v>27.93</v>
      </c>
      <c r="H611" s="325" t="s">
        <v>1040</v>
      </c>
      <c r="I611" s="212"/>
      <c r="J611" s="244">
        <v>17.46</v>
      </c>
      <c r="K611" s="332">
        <v>1.02</v>
      </c>
      <c r="L611" s="350">
        <v>8.35</v>
      </c>
      <c r="M611" s="341"/>
      <c r="N611" s="342"/>
      <c r="P611" s="343"/>
      <c r="R611" s="250"/>
      <c r="S611" s="265"/>
    </row>
    <row r="612" s="164" customFormat="1" ht="24" customHeight="1" spans="1:19">
      <c r="A612" s="217"/>
      <c r="B612" s="202"/>
      <c r="C612" s="325" t="s">
        <v>1530</v>
      </c>
      <c r="D612" s="203" t="s">
        <v>1040</v>
      </c>
      <c r="E612" s="244"/>
      <c r="F612" s="330"/>
      <c r="G612" s="349">
        <v>35.2</v>
      </c>
      <c r="H612" s="325" t="s">
        <v>1040</v>
      </c>
      <c r="I612" s="212"/>
      <c r="J612" s="244">
        <v>20.37</v>
      </c>
      <c r="K612" s="332">
        <v>1.02</v>
      </c>
      <c r="L612" s="350">
        <v>8.71</v>
      </c>
      <c r="M612" s="341"/>
      <c r="N612" s="342"/>
      <c r="P612" s="343"/>
      <c r="R612" s="250"/>
      <c r="S612" s="265"/>
    </row>
    <row r="613" s="164" customFormat="1" ht="24" customHeight="1" spans="1:19">
      <c r="A613" s="217"/>
      <c r="B613" s="202"/>
      <c r="C613" s="325" t="s">
        <v>1531</v>
      </c>
      <c r="D613" s="203" t="s">
        <v>1040</v>
      </c>
      <c r="E613" s="244"/>
      <c r="F613" s="330"/>
      <c r="G613" s="349">
        <v>42.18</v>
      </c>
      <c r="H613" s="325" t="s">
        <v>1040</v>
      </c>
      <c r="I613" s="212"/>
      <c r="J613" s="244">
        <v>20.98</v>
      </c>
      <c r="K613" s="332">
        <v>1.02</v>
      </c>
      <c r="L613" s="350">
        <v>12.13</v>
      </c>
      <c r="M613" s="341"/>
      <c r="N613" s="342"/>
      <c r="P613" s="343"/>
      <c r="R613" s="250"/>
      <c r="S613" s="265"/>
    </row>
    <row r="614" s="164" customFormat="1" ht="24" customHeight="1" spans="1:19">
      <c r="A614" s="217"/>
      <c r="B614" s="202"/>
      <c r="C614" s="325" t="s">
        <v>1532</v>
      </c>
      <c r="D614" s="203" t="s">
        <v>1040</v>
      </c>
      <c r="E614" s="244"/>
      <c r="F614" s="330"/>
      <c r="G614" s="349">
        <v>53.21</v>
      </c>
      <c r="H614" s="325" t="s">
        <v>1040</v>
      </c>
      <c r="I614" s="212"/>
      <c r="J614" s="244">
        <v>21.05</v>
      </c>
      <c r="K614" s="332">
        <v>1.02</v>
      </c>
      <c r="L614" s="350">
        <v>14.04</v>
      </c>
      <c r="M614" s="341"/>
      <c r="N614" s="342"/>
      <c r="P614" s="343"/>
      <c r="R614" s="250"/>
      <c r="S614" s="265"/>
    </row>
    <row r="615" s="164" customFormat="1" ht="24" customHeight="1" spans="1:19">
      <c r="A615" s="217"/>
      <c r="B615" s="202"/>
      <c r="C615" s="325" t="s">
        <v>1533</v>
      </c>
      <c r="D615" s="203" t="s">
        <v>1040</v>
      </c>
      <c r="E615" s="244"/>
      <c r="F615" s="330"/>
      <c r="G615" s="349">
        <v>60.69</v>
      </c>
      <c r="H615" s="325" t="s">
        <v>1040</v>
      </c>
      <c r="I615" s="212"/>
      <c r="J615" s="244">
        <v>22.7</v>
      </c>
      <c r="K615" s="332">
        <v>1.02</v>
      </c>
      <c r="L615" s="350">
        <v>12.05</v>
      </c>
      <c r="M615" s="341"/>
      <c r="N615" s="342"/>
      <c r="P615" s="343"/>
      <c r="R615" s="250"/>
      <c r="S615" s="265"/>
    </row>
    <row r="616" s="164" customFormat="1" ht="24" customHeight="1" spans="1:19">
      <c r="A616" s="217"/>
      <c r="B616" s="202"/>
      <c r="C616" s="325" t="s">
        <v>1534</v>
      </c>
      <c r="D616" s="203" t="s">
        <v>1040</v>
      </c>
      <c r="E616" s="244"/>
      <c r="F616" s="330"/>
      <c r="G616" s="349">
        <v>78.92</v>
      </c>
      <c r="H616" s="325" t="s">
        <v>1040</v>
      </c>
      <c r="I616" s="212"/>
      <c r="J616" s="244">
        <v>24.74</v>
      </c>
      <c r="K616" s="332">
        <v>1.01</v>
      </c>
      <c r="L616" s="350">
        <v>14.4</v>
      </c>
      <c r="M616" s="341"/>
      <c r="N616" s="342"/>
      <c r="P616" s="343"/>
      <c r="R616" s="250"/>
      <c r="S616" s="265"/>
    </row>
    <row r="617" s="164" customFormat="1" ht="24" customHeight="1" spans="1:19">
      <c r="A617" s="217"/>
      <c r="B617" s="202"/>
      <c r="C617" s="325" t="s">
        <v>1535</v>
      </c>
      <c r="D617" s="203" t="s">
        <v>1040</v>
      </c>
      <c r="E617" s="244"/>
      <c r="F617" s="330"/>
      <c r="G617" s="349">
        <v>109</v>
      </c>
      <c r="H617" s="325" t="s">
        <v>1040</v>
      </c>
      <c r="I617" s="212"/>
      <c r="J617" s="244">
        <v>26.68</v>
      </c>
      <c r="K617" s="332">
        <v>1.01</v>
      </c>
      <c r="L617" s="350">
        <v>21.6</v>
      </c>
      <c r="M617" s="341"/>
      <c r="N617" s="342"/>
      <c r="P617" s="343"/>
      <c r="R617" s="250"/>
      <c r="S617" s="265"/>
    </row>
    <row r="618" s="164" customFormat="1" ht="24" customHeight="1" spans="1:19">
      <c r="A618" s="217"/>
      <c r="B618" s="202"/>
      <c r="C618" s="325" t="s">
        <v>1536</v>
      </c>
      <c r="D618" s="203" t="s">
        <v>1040</v>
      </c>
      <c r="E618" s="244"/>
      <c r="F618" s="330"/>
      <c r="G618" s="349">
        <v>129</v>
      </c>
      <c r="H618" s="325" t="s">
        <v>1040</v>
      </c>
      <c r="I618" s="212"/>
      <c r="J618" s="244">
        <v>26.68</v>
      </c>
      <c r="K618" s="332">
        <v>1.01</v>
      </c>
      <c r="L618" s="350">
        <v>26.4</v>
      </c>
      <c r="M618" s="341"/>
      <c r="N618" s="342"/>
      <c r="P618" s="343"/>
      <c r="R618" s="250"/>
      <c r="S618" s="265"/>
    </row>
    <row r="619" s="164" customFormat="1" ht="24" customHeight="1" spans="1:19">
      <c r="A619" s="217"/>
      <c r="B619" s="202"/>
      <c r="C619" s="325" t="s">
        <v>1537</v>
      </c>
      <c r="D619" s="203" t="s">
        <v>1040</v>
      </c>
      <c r="E619" s="244"/>
      <c r="F619" s="330"/>
      <c r="G619" s="349">
        <v>10.83</v>
      </c>
      <c r="H619" s="325" t="s">
        <v>1040</v>
      </c>
      <c r="I619" s="212"/>
      <c r="J619" s="244">
        <v>12</v>
      </c>
      <c r="K619" s="332">
        <v>1.01</v>
      </c>
      <c r="L619" s="350">
        <v>10</v>
      </c>
      <c r="M619" s="341"/>
      <c r="N619" s="342"/>
      <c r="P619" s="343"/>
      <c r="R619" s="250"/>
      <c r="S619" s="265"/>
    </row>
    <row r="620" s="164" customFormat="1" ht="24" customHeight="1" spans="1:19">
      <c r="A620" s="217"/>
      <c r="B620" s="202"/>
      <c r="C620" s="325" t="s">
        <v>1538</v>
      </c>
      <c r="D620" s="203" t="s">
        <v>1040</v>
      </c>
      <c r="E620" s="244"/>
      <c r="F620" s="330"/>
      <c r="G620" s="349">
        <v>13.33</v>
      </c>
      <c r="H620" s="325" t="s">
        <v>1040</v>
      </c>
      <c r="I620" s="212"/>
      <c r="J620" s="244">
        <v>12.5</v>
      </c>
      <c r="K620" s="332">
        <v>1.01</v>
      </c>
      <c r="L620" s="350">
        <v>15</v>
      </c>
      <c r="M620" s="341"/>
      <c r="N620" s="342"/>
      <c r="P620" s="343"/>
      <c r="R620" s="250"/>
      <c r="S620" s="265"/>
    </row>
    <row r="621" s="164" customFormat="1" ht="24" customHeight="1" spans="1:19">
      <c r="A621" s="217"/>
      <c r="B621" s="202"/>
      <c r="C621" s="325" t="s">
        <v>1539</v>
      </c>
      <c r="D621" s="203" t="s">
        <v>1040</v>
      </c>
      <c r="E621" s="244"/>
      <c r="F621" s="330"/>
      <c r="G621" s="349">
        <v>21.95</v>
      </c>
      <c r="H621" s="325" t="s">
        <v>1040</v>
      </c>
      <c r="I621" s="212"/>
      <c r="J621" s="244">
        <v>14.36</v>
      </c>
      <c r="K621" s="332">
        <v>1.01</v>
      </c>
      <c r="L621" s="350">
        <v>18</v>
      </c>
      <c r="M621" s="341"/>
      <c r="N621" s="342"/>
      <c r="P621" s="343"/>
      <c r="R621" s="250"/>
      <c r="S621" s="265"/>
    </row>
    <row r="622" s="164" customFormat="1" ht="24" customHeight="1" spans="1:19">
      <c r="A622" s="217"/>
      <c r="B622" s="202"/>
      <c r="C622" s="325" t="s">
        <v>1540</v>
      </c>
      <c r="D622" s="203" t="s">
        <v>1040</v>
      </c>
      <c r="E622" s="244"/>
      <c r="F622" s="330"/>
      <c r="G622" s="349">
        <v>24.16</v>
      </c>
      <c r="H622" s="325" t="s">
        <v>1040</v>
      </c>
      <c r="I622" s="212"/>
      <c r="J622" s="244">
        <v>14.96</v>
      </c>
      <c r="K622" s="332">
        <v>1.01</v>
      </c>
      <c r="L622" s="350">
        <v>10</v>
      </c>
      <c r="M622" s="341"/>
      <c r="N622" s="342"/>
      <c r="P622" s="343"/>
      <c r="R622" s="250"/>
      <c r="S622" s="265"/>
    </row>
    <row r="623" s="164" customFormat="1" ht="24" customHeight="1" spans="1:19">
      <c r="A623" s="217"/>
      <c r="B623" s="202"/>
      <c r="C623" s="325" t="s">
        <v>1541</v>
      </c>
      <c r="D623" s="203" t="s">
        <v>1040</v>
      </c>
      <c r="E623" s="244"/>
      <c r="F623" s="330"/>
      <c r="G623" s="349">
        <v>40.5</v>
      </c>
      <c r="H623" s="325" t="s">
        <v>1040</v>
      </c>
      <c r="I623" s="212"/>
      <c r="J623" s="244">
        <v>15.64</v>
      </c>
      <c r="K623" s="332">
        <v>1.01</v>
      </c>
      <c r="L623" s="350">
        <v>15</v>
      </c>
      <c r="M623" s="341"/>
      <c r="N623" s="342"/>
      <c r="P623" s="343"/>
      <c r="R623" s="250"/>
      <c r="S623" s="265"/>
    </row>
    <row r="624" s="164" customFormat="1" ht="24" customHeight="1" spans="1:19">
      <c r="A624" s="217"/>
      <c r="B624" s="202"/>
      <c r="C624" s="325" t="s">
        <v>1542</v>
      </c>
      <c r="D624" s="203" t="s">
        <v>1040</v>
      </c>
      <c r="E624" s="244"/>
      <c r="F624" s="330"/>
      <c r="G624" s="349">
        <v>55.01</v>
      </c>
      <c r="H624" s="325" t="s">
        <v>1040</v>
      </c>
      <c r="I624" s="212"/>
      <c r="J624" s="244">
        <v>17</v>
      </c>
      <c r="K624" s="332">
        <v>1.01</v>
      </c>
      <c r="L624" s="350">
        <v>20</v>
      </c>
      <c r="M624" s="341"/>
      <c r="N624" s="342"/>
      <c r="P624" s="343"/>
      <c r="R624" s="250"/>
      <c r="S624" s="265"/>
    </row>
    <row r="625" s="164" customFormat="1" ht="24" customHeight="1" spans="1:19">
      <c r="A625" s="217"/>
      <c r="B625" s="202"/>
      <c r="C625" s="325" t="s">
        <v>1543</v>
      </c>
      <c r="D625" s="203" t="s">
        <v>1040</v>
      </c>
      <c r="E625" s="244"/>
      <c r="F625" s="330"/>
      <c r="G625" s="349">
        <v>89.1</v>
      </c>
      <c r="H625" s="325" t="s">
        <v>1040</v>
      </c>
      <c r="I625" s="212"/>
      <c r="J625" s="244">
        <v>18.1</v>
      </c>
      <c r="K625" s="332">
        <v>1.01</v>
      </c>
      <c r="L625" s="350">
        <v>25</v>
      </c>
      <c r="M625" s="341"/>
      <c r="N625" s="342"/>
      <c r="P625" s="343"/>
      <c r="R625" s="250"/>
      <c r="S625" s="265"/>
    </row>
    <row r="626" s="164" customFormat="1" ht="24" customHeight="1" spans="1:19">
      <c r="A626" s="217"/>
      <c r="B626" s="202"/>
      <c r="C626" s="325" t="s">
        <v>1544</v>
      </c>
      <c r="D626" s="203" t="s">
        <v>1040</v>
      </c>
      <c r="E626" s="244"/>
      <c r="F626" s="330"/>
      <c r="G626" s="349">
        <v>2.27</v>
      </c>
      <c r="H626" s="325" t="s">
        <v>1040</v>
      </c>
      <c r="I626" s="212"/>
      <c r="J626" s="244">
        <v>8.43</v>
      </c>
      <c r="K626" s="332">
        <v>1.02</v>
      </c>
      <c r="L626" s="350">
        <v>3.28</v>
      </c>
      <c r="M626" s="341"/>
      <c r="N626" s="342"/>
      <c r="P626" s="343"/>
      <c r="R626" s="250"/>
      <c r="S626" s="265"/>
    </row>
    <row r="627" s="164" customFormat="1" ht="24" customHeight="1" spans="1:19">
      <c r="A627" s="217"/>
      <c r="B627" s="202"/>
      <c r="C627" s="325" t="s">
        <v>1545</v>
      </c>
      <c r="D627" s="203" t="s">
        <v>1040</v>
      </c>
      <c r="E627" s="244"/>
      <c r="F627" s="330"/>
      <c r="G627" s="349">
        <v>3.27</v>
      </c>
      <c r="H627" s="325" t="s">
        <v>1040</v>
      </c>
      <c r="I627" s="212"/>
      <c r="J627" s="244">
        <v>9.5656</v>
      </c>
      <c r="K627" s="332">
        <v>1.02</v>
      </c>
      <c r="L627" s="350">
        <v>3.645</v>
      </c>
      <c r="M627" s="341"/>
      <c r="N627" s="342"/>
      <c r="P627" s="343"/>
      <c r="R627" s="250"/>
      <c r="S627" s="265"/>
    </row>
    <row r="628" s="164" customFormat="1" ht="24" customHeight="1" spans="1:19">
      <c r="A628" s="217"/>
      <c r="B628" s="202"/>
      <c r="C628" s="325" t="s">
        <v>1546</v>
      </c>
      <c r="D628" s="203" t="s">
        <v>1040</v>
      </c>
      <c r="E628" s="244"/>
      <c r="F628" s="330"/>
      <c r="G628" s="349">
        <v>5.15</v>
      </c>
      <c r="H628" s="325" t="s">
        <v>1040</v>
      </c>
      <c r="I628" s="212"/>
      <c r="J628" s="244">
        <v>10.02</v>
      </c>
      <c r="K628" s="332">
        <v>1.02</v>
      </c>
      <c r="L628" s="350">
        <v>3.08</v>
      </c>
      <c r="M628" s="341"/>
      <c r="N628" s="342"/>
      <c r="P628" s="343"/>
      <c r="R628" s="250"/>
      <c r="S628" s="265"/>
    </row>
    <row r="629" s="164" customFormat="1" ht="24" customHeight="1" spans="1:19">
      <c r="A629" s="217"/>
      <c r="B629" s="202"/>
      <c r="C629" s="325" t="s">
        <v>1547</v>
      </c>
      <c r="D629" s="203" t="s">
        <v>1040</v>
      </c>
      <c r="E629" s="244"/>
      <c r="F629" s="330"/>
      <c r="G629" s="349">
        <v>8.49</v>
      </c>
      <c r="H629" s="325" t="s">
        <v>1040</v>
      </c>
      <c r="I629" s="212"/>
      <c r="J629" s="244">
        <v>11.91</v>
      </c>
      <c r="K629" s="332">
        <v>1.02</v>
      </c>
      <c r="L629" s="350">
        <v>7.23</v>
      </c>
      <c r="M629" s="341"/>
      <c r="N629" s="342"/>
      <c r="P629" s="343"/>
      <c r="R629" s="250"/>
      <c r="S629" s="265"/>
    </row>
    <row r="630" s="164" customFormat="1" ht="24" customHeight="1" spans="1:19">
      <c r="A630" s="217"/>
      <c r="B630" s="202"/>
      <c r="C630" s="325" t="s">
        <v>1548</v>
      </c>
      <c r="D630" s="203" t="s">
        <v>1040</v>
      </c>
      <c r="E630" s="244"/>
      <c r="F630" s="330"/>
      <c r="G630" s="349">
        <v>12.93</v>
      </c>
      <c r="H630" s="325" t="s">
        <v>1040</v>
      </c>
      <c r="I630" s="212"/>
      <c r="J630" s="244">
        <v>13.87</v>
      </c>
      <c r="K630" s="332">
        <v>1.02</v>
      </c>
      <c r="L630" s="350">
        <v>9.65</v>
      </c>
      <c r="M630" s="341"/>
      <c r="N630" s="342"/>
      <c r="P630" s="343"/>
      <c r="R630" s="250"/>
      <c r="S630" s="265"/>
    </row>
    <row r="631" s="164" customFormat="1" ht="24" customHeight="1" spans="1:19">
      <c r="A631" s="217"/>
      <c r="B631" s="202"/>
      <c r="C631" s="325" t="s">
        <v>1549</v>
      </c>
      <c r="D631" s="203" t="s">
        <v>1040</v>
      </c>
      <c r="E631" s="244"/>
      <c r="F631" s="330"/>
      <c r="G631" s="349">
        <v>20.78</v>
      </c>
      <c r="H631" s="325" t="s">
        <v>1040</v>
      </c>
      <c r="I631" s="212"/>
      <c r="J631" s="244">
        <v>15.49</v>
      </c>
      <c r="K631" s="332">
        <v>1.02</v>
      </c>
      <c r="L631" s="350">
        <v>15.78</v>
      </c>
      <c r="M631" s="341"/>
      <c r="N631" s="342"/>
      <c r="P631" s="343"/>
      <c r="R631" s="250"/>
      <c r="S631" s="265"/>
    </row>
    <row r="632" s="164" customFormat="1" ht="24" customHeight="1" spans="1:19">
      <c r="A632" s="217"/>
      <c r="B632" s="202"/>
      <c r="C632" s="325" t="s">
        <v>1550</v>
      </c>
      <c r="D632" s="203" t="s">
        <v>1040</v>
      </c>
      <c r="E632" s="244"/>
      <c r="F632" s="330"/>
      <c r="G632" s="349">
        <v>3.14</v>
      </c>
      <c r="H632" s="325" t="s">
        <v>1040</v>
      </c>
      <c r="I632" s="212"/>
      <c r="J632" s="244">
        <v>8.43</v>
      </c>
      <c r="K632" s="332">
        <v>1.02</v>
      </c>
      <c r="L632" s="350">
        <v>3.28</v>
      </c>
      <c r="M632" s="341"/>
      <c r="N632" s="342"/>
      <c r="P632" s="343"/>
      <c r="R632" s="250"/>
      <c r="S632" s="265"/>
    </row>
    <row r="633" s="164" customFormat="1" ht="24" customHeight="1" spans="1:19">
      <c r="A633" s="217"/>
      <c r="B633" s="202"/>
      <c r="C633" s="325" t="s">
        <v>1551</v>
      </c>
      <c r="D633" s="203" t="s">
        <v>1040</v>
      </c>
      <c r="E633" s="244"/>
      <c r="F633" s="330"/>
      <c r="G633" s="349">
        <v>4.8</v>
      </c>
      <c r="H633" s="325" t="s">
        <v>1040</v>
      </c>
      <c r="I633" s="212"/>
      <c r="J633" s="244">
        <v>8.99</v>
      </c>
      <c r="K633" s="332">
        <v>1.02</v>
      </c>
      <c r="L633" s="350">
        <v>3.59</v>
      </c>
      <c r="M633" s="341"/>
      <c r="N633" s="342"/>
      <c r="P633" s="343"/>
      <c r="R633" s="250"/>
      <c r="S633" s="265"/>
    </row>
    <row r="634" s="164" customFormat="1" ht="24" customHeight="1" spans="1:19">
      <c r="A634" s="217"/>
      <c r="B634" s="202"/>
      <c r="C634" s="325" t="s">
        <v>1552</v>
      </c>
      <c r="D634" s="203" t="s">
        <v>1040</v>
      </c>
      <c r="E634" s="244"/>
      <c r="F634" s="330"/>
      <c r="G634" s="329">
        <v>7.69</v>
      </c>
      <c r="H634" s="325" t="s">
        <v>1040</v>
      </c>
      <c r="I634" s="212"/>
      <c r="J634" s="244">
        <v>10.02</v>
      </c>
      <c r="K634" s="332">
        <v>1.02</v>
      </c>
      <c r="L634" s="350">
        <v>3.59</v>
      </c>
      <c r="M634" s="341"/>
      <c r="N634" s="342"/>
      <c r="P634" s="343"/>
      <c r="R634" s="250"/>
      <c r="S634" s="265"/>
    </row>
    <row r="635" s="164" customFormat="1" ht="24" customHeight="1" spans="1:19">
      <c r="A635" s="217"/>
      <c r="B635" s="295" t="s">
        <v>1553</v>
      </c>
      <c r="C635" s="325" t="s">
        <v>1554</v>
      </c>
      <c r="D635" s="203" t="s">
        <v>1040</v>
      </c>
      <c r="E635" s="244"/>
      <c r="F635" s="330"/>
      <c r="G635" s="329">
        <v>32.88</v>
      </c>
      <c r="H635" s="325" t="s">
        <v>1040</v>
      </c>
      <c r="I635" s="212"/>
      <c r="J635" s="244">
        <v>22.72</v>
      </c>
      <c r="K635" s="332">
        <v>1.02</v>
      </c>
      <c r="L635" s="350">
        <v>7.37</v>
      </c>
      <c r="M635" s="341"/>
      <c r="N635" s="342"/>
      <c r="P635" s="343"/>
      <c r="R635" s="250"/>
      <c r="S635" s="265"/>
    </row>
    <row r="636" s="164" customFormat="1" ht="24" customHeight="1" spans="1:19">
      <c r="A636" s="217"/>
      <c r="B636" s="202"/>
      <c r="C636" s="325" t="s">
        <v>1555</v>
      </c>
      <c r="D636" s="203" t="s">
        <v>1040</v>
      </c>
      <c r="E636" s="244"/>
      <c r="F636" s="330"/>
      <c r="G636" s="329">
        <v>43.23</v>
      </c>
      <c r="H636" s="325" t="s">
        <v>1040</v>
      </c>
      <c r="I636" s="212"/>
      <c r="J636" s="244">
        <v>24.85</v>
      </c>
      <c r="K636" s="332">
        <v>1.02</v>
      </c>
      <c r="L636" s="350">
        <v>8.43</v>
      </c>
      <c r="M636" s="341"/>
      <c r="N636" s="342"/>
      <c r="P636" s="343"/>
      <c r="R636" s="250"/>
      <c r="S636" s="265"/>
    </row>
    <row r="637" s="164" customFormat="1" ht="24" customHeight="1" spans="1:19">
      <c r="A637" s="217"/>
      <c r="B637" s="202"/>
      <c r="C637" s="325" t="s">
        <v>1556</v>
      </c>
      <c r="D637" s="203" t="s">
        <v>1040</v>
      </c>
      <c r="E637" s="244"/>
      <c r="F637" s="330"/>
      <c r="G637" s="329">
        <v>50.71</v>
      </c>
      <c r="H637" s="325" t="s">
        <v>1040</v>
      </c>
      <c r="I637" s="212"/>
      <c r="J637" s="244">
        <v>28.36</v>
      </c>
      <c r="K637" s="332">
        <v>1.02</v>
      </c>
      <c r="L637" s="350">
        <v>10.04</v>
      </c>
      <c r="M637" s="341"/>
      <c r="N637" s="342"/>
      <c r="P637" s="343"/>
      <c r="R637" s="250"/>
      <c r="S637" s="265"/>
    </row>
    <row r="638" s="164" customFormat="1" ht="24" customHeight="1" spans="1:19">
      <c r="A638" s="217"/>
      <c r="B638" s="202"/>
      <c r="C638" s="325" t="s">
        <v>1557</v>
      </c>
      <c r="D638" s="203" t="s">
        <v>1040</v>
      </c>
      <c r="E638" s="244"/>
      <c r="F638" s="330"/>
      <c r="G638" s="329">
        <v>65.88</v>
      </c>
      <c r="H638" s="325" t="s">
        <v>1040</v>
      </c>
      <c r="I638" s="212"/>
      <c r="J638" s="244">
        <v>30.25</v>
      </c>
      <c r="K638" s="332">
        <v>1.02</v>
      </c>
      <c r="L638" s="350">
        <v>15.25</v>
      </c>
      <c r="M638" s="341"/>
      <c r="N638" s="342"/>
      <c r="P638" s="343"/>
      <c r="R638" s="250"/>
      <c r="S638" s="265"/>
    </row>
    <row r="639" s="164" customFormat="1" ht="24" customHeight="1" spans="1:19">
      <c r="A639" s="217"/>
      <c r="B639" s="202"/>
      <c r="C639" s="325" t="s">
        <v>1558</v>
      </c>
      <c r="D639" s="203" t="s">
        <v>1040</v>
      </c>
      <c r="E639" s="244"/>
      <c r="F639" s="330"/>
      <c r="G639" s="329">
        <v>95.61</v>
      </c>
      <c r="H639" s="325" t="s">
        <v>1040</v>
      </c>
      <c r="I639" s="212"/>
      <c r="J639" s="244">
        <v>33.25</v>
      </c>
      <c r="K639" s="332">
        <v>1.02</v>
      </c>
      <c r="L639" s="350">
        <v>18.37</v>
      </c>
      <c r="M639" s="341"/>
      <c r="N639" s="342"/>
      <c r="P639" s="343"/>
      <c r="R639" s="250"/>
      <c r="S639" s="265"/>
    </row>
    <row r="640" s="164" customFormat="1" ht="24" customHeight="1" spans="1:19">
      <c r="A640" s="217"/>
      <c r="B640" s="202"/>
      <c r="C640" s="325" t="s">
        <v>1559</v>
      </c>
      <c r="D640" s="203" t="s">
        <v>1040</v>
      </c>
      <c r="E640" s="244"/>
      <c r="F640" s="330"/>
      <c r="G640" s="329">
        <v>116.09</v>
      </c>
      <c r="H640" s="325" t="s">
        <v>1040</v>
      </c>
      <c r="I640" s="212"/>
      <c r="J640" s="244">
        <v>35.28</v>
      </c>
      <c r="K640" s="332">
        <v>1.02</v>
      </c>
      <c r="L640" s="350">
        <v>24.25</v>
      </c>
      <c r="M640" s="341"/>
      <c r="N640" s="342"/>
      <c r="P640" s="343"/>
      <c r="R640" s="250"/>
      <c r="S640" s="265"/>
    </row>
    <row r="641" s="164" customFormat="1" ht="24" customHeight="1" spans="1:19">
      <c r="A641" s="217"/>
      <c r="B641" s="223" t="s">
        <v>1560</v>
      </c>
      <c r="C641" s="325" t="s">
        <v>1561</v>
      </c>
      <c r="D641" s="203" t="s">
        <v>1040</v>
      </c>
      <c r="E641" s="244"/>
      <c r="F641" s="330"/>
      <c r="G641" s="329">
        <v>32.88</v>
      </c>
      <c r="H641" s="325" t="s">
        <v>1040</v>
      </c>
      <c r="I641" s="212"/>
      <c r="J641" s="244">
        <v>10.25</v>
      </c>
      <c r="K641" s="332">
        <v>1.02</v>
      </c>
      <c r="L641" s="350">
        <v>3.2</v>
      </c>
      <c r="M641" s="341"/>
      <c r="N641" s="342"/>
      <c r="P641" s="343"/>
      <c r="R641" s="250"/>
      <c r="S641" s="265"/>
    </row>
    <row r="642" s="164" customFormat="1" ht="24" customHeight="1" spans="1:19">
      <c r="A642" s="217"/>
      <c r="B642" s="226"/>
      <c r="C642" s="325" t="s">
        <v>1562</v>
      </c>
      <c r="D642" s="203" t="s">
        <v>1040</v>
      </c>
      <c r="E642" s="244"/>
      <c r="F642" s="330"/>
      <c r="G642" s="329">
        <v>43.23</v>
      </c>
      <c r="H642" s="325" t="s">
        <v>1040</v>
      </c>
      <c r="I642" s="212"/>
      <c r="J642" s="244">
        <v>10.36</v>
      </c>
      <c r="K642" s="332">
        <v>1.02</v>
      </c>
      <c r="L642" s="350">
        <v>4.2</v>
      </c>
      <c r="M642" s="341"/>
      <c r="N642" s="342"/>
      <c r="P642" s="343"/>
      <c r="R642" s="250"/>
      <c r="S642" s="265"/>
    </row>
    <row r="643" s="164" customFormat="1" ht="24" customHeight="1" spans="1:19">
      <c r="A643" s="217"/>
      <c r="B643" s="226"/>
      <c r="C643" s="325" t="s">
        <v>1563</v>
      </c>
      <c r="D643" s="203" t="s">
        <v>1040</v>
      </c>
      <c r="E643" s="244"/>
      <c r="F643" s="330"/>
      <c r="G643" s="329">
        <v>50.71</v>
      </c>
      <c r="H643" s="325" t="s">
        <v>1040</v>
      </c>
      <c r="I643" s="212"/>
      <c r="J643" s="244">
        <v>11.25</v>
      </c>
      <c r="K643" s="332">
        <v>1.02</v>
      </c>
      <c r="L643" s="350">
        <v>5.1</v>
      </c>
      <c r="M643" s="341"/>
      <c r="N643" s="342"/>
      <c r="P643" s="343"/>
      <c r="R643" s="250"/>
      <c r="S643" s="265"/>
    </row>
    <row r="644" s="164" customFormat="1" ht="24" customHeight="1" spans="1:19">
      <c r="A644" s="217"/>
      <c r="B644" s="226"/>
      <c r="C644" s="325" t="s">
        <v>1564</v>
      </c>
      <c r="D644" s="203" t="s">
        <v>1040</v>
      </c>
      <c r="E644" s="244"/>
      <c r="F644" s="330"/>
      <c r="G644" s="329">
        <v>65.88</v>
      </c>
      <c r="H644" s="325" t="s">
        <v>1040</v>
      </c>
      <c r="I644" s="212"/>
      <c r="J644" s="244">
        <v>12.18</v>
      </c>
      <c r="K644" s="332">
        <v>1.02</v>
      </c>
      <c r="L644" s="350">
        <v>6.8</v>
      </c>
      <c r="M644" s="341"/>
      <c r="N644" s="342"/>
      <c r="P644" s="343"/>
      <c r="R644" s="250"/>
      <c r="S644" s="265"/>
    </row>
    <row r="645" s="164" customFormat="1" ht="24" customHeight="1" spans="1:19">
      <c r="A645" s="217"/>
      <c r="B645" s="226"/>
      <c r="C645" s="325" t="s">
        <v>1565</v>
      </c>
      <c r="D645" s="203" t="s">
        <v>1040</v>
      </c>
      <c r="E645" s="244"/>
      <c r="F645" s="330"/>
      <c r="G645" s="329">
        <v>95.61</v>
      </c>
      <c r="H645" s="325" t="s">
        <v>1040</v>
      </c>
      <c r="I645" s="212"/>
      <c r="J645" s="244">
        <v>13.25</v>
      </c>
      <c r="K645" s="332">
        <v>1.02</v>
      </c>
      <c r="L645" s="350">
        <v>9.5</v>
      </c>
      <c r="M645" s="341"/>
      <c r="N645" s="342"/>
      <c r="P645" s="343"/>
      <c r="R645" s="250"/>
      <c r="S645" s="265"/>
    </row>
    <row r="646" s="164" customFormat="1" ht="24" customHeight="1" spans="1:19">
      <c r="A646" s="217"/>
      <c r="B646" s="267"/>
      <c r="C646" s="325" t="s">
        <v>1566</v>
      </c>
      <c r="D646" s="203" t="s">
        <v>1040</v>
      </c>
      <c r="E646" s="244"/>
      <c r="F646" s="330"/>
      <c r="G646" s="329">
        <v>116.09</v>
      </c>
      <c r="H646" s="325" t="s">
        <v>1040</v>
      </c>
      <c r="I646" s="212"/>
      <c r="J646" s="244">
        <v>13.88</v>
      </c>
      <c r="K646" s="332">
        <v>1.02</v>
      </c>
      <c r="L646" s="350">
        <v>12.2</v>
      </c>
      <c r="M646" s="341"/>
      <c r="N646" s="342"/>
      <c r="P646" s="343"/>
      <c r="R646" s="250"/>
      <c r="S646" s="265"/>
    </row>
    <row r="647" s="164" customFormat="1" ht="24" customHeight="1" spans="1:19">
      <c r="A647" s="217"/>
      <c r="B647" s="295" t="s">
        <v>1567</v>
      </c>
      <c r="C647" s="325" t="s">
        <v>1568</v>
      </c>
      <c r="D647" s="203" t="s">
        <v>1040</v>
      </c>
      <c r="E647" s="244"/>
      <c r="F647" s="330"/>
      <c r="G647" s="329">
        <v>115.65</v>
      </c>
      <c r="H647" s="325" t="s">
        <v>1040</v>
      </c>
      <c r="I647" s="212"/>
      <c r="J647" s="244">
        <v>42.8</v>
      </c>
      <c r="K647" s="332">
        <v>1.01</v>
      </c>
      <c r="L647" s="350">
        <v>42.82</v>
      </c>
      <c r="M647" s="341"/>
      <c r="N647" s="342"/>
      <c r="P647" s="343"/>
      <c r="R647" s="250"/>
      <c r="S647" s="265"/>
    </row>
    <row r="648" s="164" customFormat="1" ht="24" customHeight="1" spans="1:19">
      <c r="A648" s="217"/>
      <c r="B648" s="202"/>
      <c r="C648" s="325" t="s">
        <v>1569</v>
      </c>
      <c r="D648" s="203" t="s">
        <v>1040</v>
      </c>
      <c r="E648" s="244"/>
      <c r="F648" s="330"/>
      <c r="G648" s="329">
        <v>80.23</v>
      </c>
      <c r="H648" s="325" t="s">
        <v>1040</v>
      </c>
      <c r="I648" s="212"/>
      <c r="J648" s="244">
        <v>36.75</v>
      </c>
      <c r="K648" s="332">
        <v>1.02</v>
      </c>
      <c r="L648" s="350">
        <v>29.7</v>
      </c>
      <c r="M648" s="341"/>
      <c r="N648" s="342"/>
      <c r="P648" s="343"/>
      <c r="R648" s="250"/>
      <c r="S648" s="265"/>
    </row>
    <row r="649" s="164" customFormat="1" ht="24" customHeight="1" spans="1:19">
      <c r="A649" s="217"/>
      <c r="B649" s="202"/>
      <c r="C649" s="325" t="s">
        <v>1570</v>
      </c>
      <c r="D649" s="203" t="s">
        <v>1040</v>
      </c>
      <c r="E649" s="244"/>
      <c r="F649" s="330"/>
      <c r="G649" s="329">
        <v>54.49</v>
      </c>
      <c r="H649" s="325" t="s">
        <v>1040</v>
      </c>
      <c r="I649" s="212"/>
      <c r="J649" s="244">
        <v>33.75</v>
      </c>
      <c r="K649" s="332">
        <v>1.02</v>
      </c>
      <c r="L649" s="350">
        <v>21.4</v>
      </c>
      <c r="M649" s="341"/>
      <c r="N649" s="342"/>
      <c r="P649" s="343"/>
      <c r="R649" s="250"/>
      <c r="S649" s="265"/>
    </row>
    <row r="650" s="164" customFormat="1" ht="24" customHeight="1" spans="1:19">
      <c r="A650" s="217"/>
      <c r="B650" s="202"/>
      <c r="C650" s="325" t="s">
        <v>1571</v>
      </c>
      <c r="D650" s="203" t="s">
        <v>1040</v>
      </c>
      <c r="E650" s="244"/>
      <c r="F650" s="330"/>
      <c r="G650" s="329">
        <v>37.76</v>
      </c>
      <c r="H650" s="325" t="s">
        <v>1040</v>
      </c>
      <c r="I650" s="212"/>
      <c r="J650" s="244">
        <v>26.25</v>
      </c>
      <c r="K650" s="332">
        <v>1.02</v>
      </c>
      <c r="L650" s="350">
        <v>17.28</v>
      </c>
      <c r="M650" s="341"/>
      <c r="N650" s="342"/>
      <c r="P650" s="343"/>
      <c r="R650" s="250"/>
      <c r="S650" s="265"/>
    </row>
    <row r="651" s="164" customFormat="1" ht="24" customHeight="1" spans="1:19">
      <c r="A651" s="217"/>
      <c r="B651" s="202"/>
      <c r="C651" s="325" t="s">
        <v>1572</v>
      </c>
      <c r="D651" s="203" t="s">
        <v>1040</v>
      </c>
      <c r="E651" s="244"/>
      <c r="F651" s="330"/>
      <c r="G651" s="329">
        <v>30.87</v>
      </c>
      <c r="H651" s="325" t="s">
        <v>1040</v>
      </c>
      <c r="I651" s="212"/>
      <c r="J651" s="244">
        <v>22.5</v>
      </c>
      <c r="K651" s="332">
        <v>1.02</v>
      </c>
      <c r="L651" s="350">
        <v>12</v>
      </c>
      <c r="M651" s="341"/>
      <c r="N651" s="342"/>
      <c r="P651" s="343"/>
      <c r="R651" s="250"/>
      <c r="S651" s="265"/>
    </row>
    <row r="652" s="164" customFormat="1" ht="24" customHeight="1" spans="1:19">
      <c r="A652" s="217"/>
      <c r="B652" s="202"/>
      <c r="C652" s="325" t="s">
        <v>1573</v>
      </c>
      <c r="D652" s="203" t="s">
        <v>1040</v>
      </c>
      <c r="E652" s="244"/>
      <c r="F652" s="330"/>
      <c r="G652" s="329">
        <v>185.68</v>
      </c>
      <c r="H652" s="325" t="s">
        <v>1040</v>
      </c>
      <c r="I652" s="212"/>
      <c r="J652" s="244">
        <v>75.58</v>
      </c>
      <c r="K652" s="332">
        <v>1.01</v>
      </c>
      <c r="L652" s="350">
        <v>44.53</v>
      </c>
      <c r="M652" s="341"/>
      <c r="N652" s="342"/>
      <c r="P652" s="343"/>
      <c r="R652" s="250"/>
      <c r="S652" s="265"/>
    </row>
    <row r="653" s="164" customFormat="1" ht="24" customHeight="1" spans="1:19">
      <c r="A653" s="217"/>
      <c r="B653" s="202"/>
      <c r="C653" s="325" t="s">
        <v>1574</v>
      </c>
      <c r="D653" s="203" t="s">
        <v>1040</v>
      </c>
      <c r="E653" s="244"/>
      <c r="F653" s="330"/>
      <c r="G653" s="329">
        <v>112.72</v>
      </c>
      <c r="H653" s="325" t="s">
        <v>1040</v>
      </c>
      <c r="I653" s="212"/>
      <c r="J653" s="244">
        <v>67.78</v>
      </c>
      <c r="K653" s="332">
        <v>1.02</v>
      </c>
      <c r="L653" s="350">
        <v>31.17</v>
      </c>
      <c r="M653" s="341"/>
      <c r="N653" s="342"/>
      <c r="P653" s="343"/>
      <c r="R653" s="250"/>
      <c r="S653" s="265"/>
    </row>
    <row r="654" s="164" customFormat="1" ht="24" customHeight="1" spans="1:19">
      <c r="A654" s="217"/>
      <c r="B654" s="202"/>
      <c r="C654" s="325" t="s">
        <v>1575</v>
      </c>
      <c r="D654" s="203" t="s">
        <v>1040</v>
      </c>
      <c r="E654" s="244"/>
      <c r="F654" s="330"/>
      <c r="G654" s="329">
        <v>70.94</v>
      </c>
      <c r="H654" s="325" t="s">
        <v>1040</v>
      </c>
      <c r="I654" s="212"/>
      <c r="J654" s="244">
        <v>43.88</v>
      </c>
      <c r="K654" s="332">
        <v>1.02</v>
      </c>
      <c r="L654" s="350">
        <v>22.75</v>
      </c>
      <c r="M654" s="341"/>
      <c r="N654" s="342"/>
      <c r="P654" s="343"/>
      <c r="R654" s="250"/>
      <c r="S654" s="265"/>
    </row>
    <row r="655" s="164" customFormat="1" ht="24" customHeight="1" spans="1:19">
      <c r="A655" s="217"/>
      <c r="B655" s="202"/>
      <c r="C655" s="325" t="s">
        <v>1576</v>
      </c>
      <c r="D655" s="203" t="s">
        <v>1040</v>
      </c>
      <c r="E655" s="244"/>
      <c r="F655" s="330"/>
      <c r="G655" s="329">
        <v>45.25</v>
      </c>
      <c r="H655" s="325" t="s">
        <v>1040</v>
      </c>
      <c r="I655" s="212"/>
      <c r="J655" s="244">
        <v>34.13</v>
      </c>
      <c r="K655" s="332">
        <v>1.02</v>
      </c>
      <c r="L655" s="350">
        <v>18.33</v>
      </c>
      <c r="M655" s="341"/>
      <c r="N655" s="342"/>
      <c r="P655" s="343"/>
      <c r="R655" s="250"/>
      <c r="S655" s="265"/>
    </row>
    <row r="656" s="164" customFormat="1" ht="24" customHeight="1" spans="1:19">
      <c r="A656" s="217"/>
      <c r="B656" s="202"/>
      <c r="C656" s="325" t="s">
        <v>1577</v>
      </c>
      <c r="D656" s="203" t="s">
        <v>1040</v>
      </c>
      <c r="E656" s="244"/>
      <c r="F656" s="330"/>
      <c r="G656" s="329">
        <v>37.01</v>
      </c>
      <c r="H656" s="325" t="s">
        <v>1040</v>
      </c>
      <c r="I656" s="212"/>
      <c r="J656" s="244">
        <v>29.25</v>
      </c>
      <c r="K656" s="332">
        <v>1.02</v>
      </c>
      <c r="L656" s="350">
        <v>14.9</v>
      </c>
      <c r="M656" s="341"/>
      <c r="N656" s="342"/>
      <c r="P656" s="343"/>
      <c r="R656" s="250"/>
      <c r="S656" s="265"/>
    </row>
    <row r="657" s="164" customFormat="1" ht="24" customHeight="1" spans="1:19">
      <c r="A657" s="217"/>
      <c r="B657" s="202"/>
      <c r="C657" s="325" t="s">
        <v>1578</v>
      </c>
      <c r="D657" s="203" t="s">
        <v>1040</v>
      </c>
      <c r="E657" s="244"/>
      <c r="F657" s="330"/>
      <c r="G657" s="329">
        <v>4.74</v>
      </c>
      <c r="H657" s="325" t="s">
        <v>1040</v>
      </c>
      <c r="I657" s="212"/>
      <c r="J657" s="244">
        <v>16.31</v>
      </c>
      <c r="K657" s="332">
        <v>1.01</v>
      </c>
      <c r="L657" s="350">
        <v>6.41</v>
      </c>
      <c r="M657" s="341"/>
      <c r="N657" s="342"/>
      <c r="P657" s="343"/>
      <c r="R657" s="250"/>
      <c r="S657" s="265"/>
    </row>
    <row r="658" s="164" customFormat="1" ht="24" customHeight="1" spans="1:19">
      <c r="A658" s="217"/>
      <c r="B658" s="202"/>
      <c r="C658" s="325" t="s">
        <v>1579</v>
      </c>
      <c r="D658" s="203" t="s">
        <v>1040</v>
      </c>
      <c r="E658" s="244"/>
      <c r="F658" s="330"/>
      <c r="G658" s="329">
        <v>8.68</v>
      </c>
      <c r="H658" s="325" t="s">
        <v>1040</v>
      </c>
      <c r="I658" s="212"/>
      <c r="J658" s="244">
        <v>21.71</v>
      </c>
      <c r="K658" s="332">
        <v>1.01</v>
      </c>
      <c r="L658" s="350">
        <v>9.23</v>
      </c>
      <c r="M658" s="341"/>
      <c r="N658" s="342"/>
      <c r="P658" s="343"/>
      <c r="R658" s="250"/>
      <c r="S658" s="265"/>
    </row>
    <row r="659" s="164" customFormat="1" ht="24" customHeight="1" spans="1:19">
      <c r="A659" s="217"/>
      <c r="B659" s="202"/>
      <c r="C659" s="325" t="s">
        <v>1580</v>
      </c>
      <c r="D659" s="203" t="s">
        <v>1040</v>
      </c>
      <c r="E659" s="244"/>
      <c r="F659" s="330"/>
      <c r="G659" s="329">
        <v>15.33</v>
      </c>
      <c r="H659" s="325" t="s">
        <v>1040</v>
      </c>
      <c r="I659" s="212"/>
      <c r="J659" s="244">
        <v>24.41</v>
      </c>
      <c r="K659" s="332">
        <v>1.01</v>
      </c>
      <c r="L659" s="350">
        <v>19.55</v>
      </c>
      <c r="M659" s="341"/>
      <c r="N659" s="342"/>
      <c r="P659" s="343"/>
      <c r="R659" s="250"/>
      <c r="S659" s="265"/>
    </row>
    <row r="660" s="164" customFormat="1" ht="24" customHeight="1" spans="1:19">
      <c r="A660" s="217"/>
      <c r="B660" s="202"/>
      <c r="C660" s="325" t="s">
        <v>1581</v>
      </c>
      <c r="D660" s="203" t="s">
        <v>1040</v>
      </c>
      <c r="E660" s="244"/>
      <c r="F660" s="330"/>
      <c r="G660" s="329">
        <v>10.5</v>
      </c>
      <c r="H660" s="325" t="s">
        <v>1040</v>
      </c>
      <c r="I660" s="212"/>
      <c r="J660" s="244">
        <v>16.7</v>
      </c>
      <c r="K660" s="332">
        <v>1.01</v>
      </c>
      <c r="L660" s="350">
        <v>6.33</v>
      </c>
      <c r="M660" s="341"/>
      <c r="N660" s="342"/>
      <c r="P660" s="343"/>
      <c r="R660" s="250"/>
      <c r="S660" s="265"/>
    </row>
    <row r="661" s="164" customFormat="1" ht="24" customHeight="1" spans="1:19">
      <c r="A661" s="217"/>
      <c r="B661" s="202"/>
      <c r="C661" s="325" t="s">
        <v>1582</v>
      </c>
      <c r="D661" s="203" t="s">
        <v>1040</v>
      </c>
      <c r="E661" s="244"/>
      <c r="F661" s="330"/>
      <c r="G661" s="329">
        <v>25.45</v>
      </c>
      <c r="H661" s="325" t="s">
        <v>1040</v>
      </c>
      <c r="I661" s="212"/>
      <c r="J661" s="244">
        <v>18.78</v>
      </c>
      <c r="K661" s="332">
        <v>1.01</v>
      </c>
      <c r="L661" s="350">
        <v>15.03</v>
      </c>
      <c r="M661" s="341"/>
      <c r="N661" s="342"/>
      <c r="P661" s="343"/>
      <c r="R661" s="250"/>
      <c r="S661" s="265"/>
    </row>
    <row r="662" s="164" customFormat="1" ht="24" customHeight="1" spans="1:19">
      <c r="A662" s="217"/>
      <c r="B662" s="202"/>
      <c r="C662" s="325" t="s">
        <v>1583</v>
      </c>
      <c r="D662" s="203" t="s">
        <v>1040</v>
      </c>
      <c r="E662" s="244"/>
      <c r="F662" s="330"/>
      <c r="G662" s="329">
        <v>43.3</v>
      </c>
      <c r="H662" s="325" t="s">
        <v>1040</v>
      </c>
      <c r="I662" s="212"/>
      <c r="J662" s="244">
        <v>23.7</v>
      </c>
      <c r="K662" s="332">
        <v>1.01</v>
      </c>
      <c r="L662" s="350">
        <v>16.31</v>
      </c>
      <c r="M662" s="341"/>
      <c r="N662" s="342"/>
      <c r="P662" s="343"/>
      <c r="R662" s="250"/>
      <c r="S662" s="265"/>
    </row>
    <row r="663" s="164" customFormat="1" ht="24" customHeight="1" spans="1:19">
      <c r="A663" s="217"/>
      <c r="B663" s="202"/>
      <c r="C663" s="325" t="s">
        <v>1584</v>
      </c>
      <c r="D663" s="203" t="s">
        <v>1040</v>
      </c>
      <c r="E663" s="244"/>
      <c r="F663" s="330"/>
      <c r="G663" s="329">
        <v>15.33</v>
      </c>
      <c r="H663" s="325" t="s">
        <v>1040</v>
      </c>
      <c r="I663" s="212"/>
      <c r="J663" s="244">
        <v>18.78</v>
      </c>
      <c r="K663" s="332">
        <v>1.01</v>
      </c>
      <c r="L663" s="350">
        <v>9.86</v>
      </c>
      <c r="M663" s="341"/>
      <c r="N663" s="342"/>
      <c r="P663" s="343"/>
      <c r="R663" s="250"/>
      <c r="S663" s="265"/>
    </row>
    <row r="664" s="164" customFormat="1" ht="24" customHeight="1" spans="1:19">
      <c r="A664" s="217"/>
      <c r="B664" s="202"/>
      <c r="C664" s="325" t="s">
        <v>1585</v>
      </c>
      <c r="D664" s="203" t="s">
        <v>1040</v>
      </c>
      <c r="E664" s="244"/>
      <c r="F664" s="330"/>
      <c r="G664" s="329">
        <v>4.74</v>
      </c>
      <c r="H664" s="325" t="s">
        <v>1040</v>
      </c>
      <c r="I664" s="212"/>
      <c r="J664" s="244">
        <v>16.3</v>
      </c>
      <c r="K664" s="332">
        <v>1.01</v>
      </c>
      <c r="L664" s="350">
        <v>1.85</v>
      </c>
      <c r="M664" s="341"/>
      <c r="N664" s="342"/>
      <c r="P664" s="343"/>
      <c r="R664" s="250"/>
      <c r="S664" s="265"/>
    </row>
    <row r="665" s="164" customFormat="1" ht="24" customHeight="1" spans="1:19">
      <c r="A665" s="217"/>
      <c r="B665" s="202"/>
      <c r="C665" s="325" t="s">
        <v>1586</v>
      </c>
      <c r="D665" s="203" t="s">
        <v>1040</v>
      </c>
      <c r="E665" s="244"/>
      <c r="F665" s="330"/>
      <c r="G665" s="329">
        <v>8.68</v>
      </c>
      <c r="H665" s="325" t="s">
        <v>1040</v>
      </c>
      <c r="I665" s="212"/>
      <c r="J665" s="244">
        <v>21.7</v>
      </c>
      <c r="K665" s="332">
        <v>1.01</v>
      </c>
      <c r="L665" s="350">
        <v>3.25</v>
      </c>
      <c r="M665" s="341"/>
      <c r="N665" s="342"/>
      <c r="P665" s="343"/>
      <c r="R665" s="250"/>
      <c r="S665" s="265"/>
    </row>
    <row r="666" s="164" customFormat="1" ht="24" customHeight="1" spans="1:19">
      <c r="A666" s="217"/>
      <c r="B666" s="202"/>
      <c r="C666" s="325" t="s">
        <v>1587</v>
      </c>
      <c r="D666" s="203" t="s">
        <v>1040</v>
      </c>
      <c r="E666" s="244"/>
      <c r="F666" s="330"/>
      <c r="G666" s="329">
        <v>11</v>
      </c>
      <c r="H666" s="325" t="s">
        <v>1040</v>
      </c>
      <c r="I666" s="212"/>
      <c r="J666" s="244">
        <v>16.7</v>
      </c>
      <c r="K666" s="332">
        <v>1.01</v>
      </c>
      <c r="L666" s="350">
        <v>3.25</v>
      </c>
      <c r="M666" s="341"/>
      <c r="N666" s="342"/>
      <c r="P666" s="343"/>
      <c r="R666" s="250"/>
      <c r="S666" s="265"/>
    </row>
    <row r="667" s="164" customFormat="1" ht="24" customHeight="1" spans="1:19">
      <c r="A667" s="217"/>
      <c r="B667" s="202"/>
      <c r="C667" s="325" t="s">
        <v>1588</v>
      </c>
      <c r="D667" s="203" t="s">
        <v>1040</v>
      </c>
      <c r="E667" s="244"/>
      <c r="F667" s="330"/>
      <c r="G667" s="329">
        <v>20.16</v>
      </c>
      <c r="H667" s="325" t="s">
        <v>1040</v>
      </c>
      <c r="I667" s="212"/>
      <c r="J667" s="244">
        <v>18.78</v>
      </c>
      <c r="K667" s="332">
        <v>1.01</v>
      </c>
      <c r="L667" s="350">
        <v>9.86</v>
      </c>
      <c r="M667" s="341"/>
      <c r="N667" s="342"/>
      <c r="P667" s="343"/>
      <c r="R667" s="250"/>
      <c r="S667" s="265"/>
    </row>
    <row r="668" s="164" customFormat="1" ht="24" customHeight="1" spans="1:19">
      <c r="A668" s="217"/>
      <c r="B668" s="295" t="s">
        <v>1589</v>
      </c>
      <c r="C668" s="325" t="s">
        <v>1590</v>
      </c>
      <c r="D668" s="203" t="s">
        <v>1040</v>
      </c>
      <c r="E668" s="244"/>
      <c r="F668" s="330"/>
      <c r="G668" s="329">
        <v>115.65</v>
      </c>
      <c r="H668" s="325" t="s">
        <v>1040</v>
      </c>
      <c r="I668" s="212"/>
      <c r="J668" s="244">
        <v>14.26</v>
      </c>
      <c r="K668" s="332">
        <v>1.01</v>
      </c>
      <c r="L668" s="350">
        <v>14.27</v>
      </c>
      <c r="M668" s="341"/>
      <c r="N668" s="342"/>
      <c r="P668" s="343"/>
      <c r="R668" s="250"/>
      <c r="S668" s="265"/>
    </row>
    <row r="669" s="164" customFormat="1" ht="24" customHeight="1" spans="1:19">
      <c r="A669" s="217"/>
      <c r="B669" s="202"/>
      <c r="C669" s="325" t="s">
        <v>1591</v>
      </c>
      <c r="D669" s="203" t="s">
        <v>1040</v>
      </c>
      <c r="E669" s="244"/>
      <c r="F669" s="330"/>
      <c r="G669" s="329">
        <v>80.23</v>
      </c>
      <c r="H669" s="325" t="s">
        <v>1040</v>
      </c>
      <c r="I669" s="212"/>
      <c r="J669" s="244">
        <v>12.25</v>
      </c>
      <c r="K669" s="332">
        <v>1.02</v>
      </c>
      <c r="L669" s="350">
        <v>9.9</v>
      </c>
      <c r="M669" s="341"/>
      <c r="N669" s="342"/>
      <c r="P669" s="343"/>
      <c r="R669" s="250"/>
      <c r="S669" s="265"/>
    </row>
    <row r="670" s="164" customFormat="1" ht="24" customHeight="1" spans="1:19">
      <c r="A670" s="217"/>
      <c r="B670" s="202"/>
      <c r="C670" s="325" t="s">
        <v>1592</v>
      </c>
      <c r="D670" s="203" t="s">
        <v>1040</v>
      </c>
      <c r="E670" s="244"/>
      <c r="F670" s="330"/>
      <c r="G670" s="329">
        <v>54.49</v>
      </c>
      <c r="H670" s="325" t="s">
        <v>1040</v>
      </c>
      <c r="I670" s="212"/>
      <c r="J670" s="244">
        <v>11.25</v>
      </c>
      <c r="K670" s="332">
        <v>1.02</v>
      </c>
      <c r="L670" s="350">
        <v>7.14</v>
      </c>
      <c r="M670" s="341"/>
      <c r="N670" s="342"/>
      <c r="P670" s="343"/>
      <c r="R670" s="250"/>
      <c r="S670" s="265"/>
    </row>
    <row r="671" s="164" customFormat="1" ht="24" customHeight="1" spans="1:19">
      <c r="A671" s="217"/>
      <c r="B671" s="202"/>
      <c r="C671" s="325" t="s">
        <v>1593</v>
      </c>
      <c r="D671" s="203" t="s">
        <v>1040</v>
      </c>
      <c r="E671" s="244"/>
      <c r="F671" s="330"/>
      <c r="G671" s="329">
        <v>37.76</v>
      </c>
      <c r="H671" s="325" t="s">
        <v>1040</v>
      </c>
      <c r="I671" s="212"/>
      <c r="J671" s="244">
        <v>8.75</v>
      </c>
      <c r="K671" s="332">
        <v>1.02</v>
      </c>
      <c r="L671" s="350">
        <v>5.76</v>
      </c>
      <c r="M671" s="341"/>
      <c r="N671" s="342"/>
      <c r="P671" s="343"/>
      <c r="R671" s="250"/>
      <c r="S671" s="265"/>
    </row>
    <row r="672" s="164" customFormat="1" ht="24" customHeight="1" spans="1:19">
      <c r="A672" s="217"/>
      <c r="B672" s="202"/>
      <c r="C672" s="325" t="s">
        <v>1594</v>
      </c>
      <c r="D672" s="203" t="s">
        <v>1040</v>
      </c>
      <c r="E672" s="244"/>
      <c r="F672" s="330"/>
      <c r="G672" s="329">
        <v>30.87</v>
      </c>
      <c r="H672" s="325" t="s">
        <v>1040</v>
      </c>
      <c r="I672" s="212"/>
      <c r="J672" s="244">
        <v>7.5</v>
      </c>
      <c r="K672" s="332">
        <v>1.02</v>
      </c>
      <c r="L672" s="350">
        <v>4</v>
      </c>
      <c r="M672" s="341"/>
      <c r="N672" s="342"/>
      <c r="P672" s="343"/>
      <c r="R672" s="250"/>
      <c r="S672" s="265"/>
    </row>
    <row r="673" s="164" customFormat="1" ht="24" customHeight="1" spans="1:19">
      <c r="A673" s="217"/>
      <c r="B673" s="202"/>
      <c r="C673" s="325" t="s">
        <v>1595</v>
      </c>
      <c r="D673" s="203" t="s">
        <v>1040</v>
      </c>
      <c r="E673" s="244"/>
      <c r="F673" s="330"/>
      <c r="G673" s="329">
        <v>185.68</v>
      </c>
      <c r="H673" s="325" t="s">
        <v>1040</v>
      </c>
      <c r="I673" s="212"/>
      <c r="J673" s="244">
        <v>25.2</v>
      </c>
      <c r="K673" s="332">
        <v>1.01</v>
      </c>
      <c r="L673" s="350">
        <v>14.84</v>
      </c>
      <c r="M673" s="341"/>
      <c r="N673" s="342"/>
      <c r="P673" s="343"/>
      <c r="R673" s="250"/>
      <c r="S673" s="265"/>
    </row>
    <row r="674" s="164" customFormat="1" ht="24" customHeight="1" spans="1:19">
      <c r="A674" s="217"/>
      <c r="B674" s="202"/>
      <c r="C674" s="325" t="s">
        <v>1596</v>
      </c>
      <c r="D674" s="203" t="s">
        <v>1040</v>
      </c>
      <c r="E674" s="244"/>
      <c r="F674" s="330"/>
      <c r="G674" s="329">
        <v>112.72</v>
      </c>
      <c r="H674" s="325" t="s">
        <v>1040</v>
      </c>
      <c r="I674" s="212"/>
      <c r="J674" s="244">
        <v>22.6</v>
      </c>
      <c r="K674" s="332">
        <v>1.02</v>
      </c>
      <c r="L674" s="350">
        <v>10.39</v>
      </c>
      <c r="M674" s="341"/>
      <c r="N674" s="342"/>
      <c r="P674" s="343"/>
      <c r="R674" s="250"/>
      <c r="S674" s="265"/>
    </row>
    <row r="675" s="164" customFormat="1" ht="24" customHeight="1" spans="1:19">
      <c r="A675" s="217"/>
      <c r="B675" s="202"/>
      <c r="C675" s="325" t="s">
        <v>1597</v>
      </c>
      <c r="D675" s="203" t="s">
        <v>1040</v>
      </c>
      <c r="E675" s="244"/>
      <c r="F675" s="330"/>
      <c r="G675" s="329">
        <v>70.94</v>
      </c>
      <c r="H675" s="325" t="s">
        <v>1040</v>
      </c>
      <c r="I675" s="212"/>
      <c r="J675" s="244">
        <v>14.62</v>
      </c>
      <c r="K675" s="332">
        <v>1.02</v>
      </c>
      <c r="L675" s="350">
        <v>7.58</v>
      </c>
      <c r="M675" s="341"/>
      <c r="N675" s="342"/>
      <c r="P675" s="343"/>
      <c r="R675" s="250"/>
      <c r="S675" s="265"/>
    </row>
    <row r="676" s="164" customFormat="1" ht="24" customHeight="1" spans="1:19">
      <c r="A676" s="217"/>
      <c r="B676" s="202"/>
      <c r="C676" s="325" t="s">
        <v>1598</v>
      </c>
      <c r="D676" s="203" t="s">
        <v>1040</v>
      </c>
      <c r="E676" s="244"/>
      <c r="F676" s="330"/>
      <c r="G676" s="329">
        <v>45.25</v>
      </c>
      <c r="H676" s="325" t="s">
        <v>1040</v>
      </c>
      <c r="I676" s="212"/>
      <c r="J676" s="244">
        <v>11.38</v>
      </c>
      <c r="K676" s="332">
        <v>1.02</v>
      </c>
      <c r="L676" s="350">
        <v>6.11</v>
      </c>
      <c r="M676" s="341"/>
      <c r="N676" s="342"/>
      <c r="P676" s="343"/>
      <c r="R676" s="250"/>
      <c r="S676" s="265"/>
    </row>
    <row r="677" s="164" customFormat="1" ht="24" customHeight="1" spans="1:19">
      <c r="A677" s="217"/>
      <c r="B677" s="202"/>
      <c r="C677" s="325" t="s">
        <v>1599</v>
      </c>
      <c r="D677" s="203" t="s">
        <v>1040</v>
      </c>
      <c r="E677" s="244"/>
      <c r="F677" s="330"/>
      <c r="G677" s="329">
        <v>37.01</v>
      </c>
      <c r="H677" s="325" t="s">
        <v>1040</v>
      </c>
      <c r="I677" s="212"/>
      <c r="J677" s="244">
        <v>9.75</v>
      </c>
      <c r="K677" s="332">
        <v>1.02</v>
      </c>
      <c r="L677" s="350">
        <v>4.96</v>
      </c>
      <c r="M677" s="341"/>
      <c r="N677" s="342"/>
      <c r="P677" s="343"/>
      <c r="R677" s="250"/>
      <c r="S677" s="265"/>
    </row>
    <row r="678" s="164" customFormat="1" ht="24" customHeight="1" spans="1:19">
      <c r="A678" s="217"/>
      <c r="B678" s="202"/>
      <c r="C678" s="325" t="s">
        <v>1600</v>
      </c>
      <c r="D678" s="203" t="s">
        <v>1040</v>
      </c>
      <c r="E678" s="244"/>
      <c r="F678" s="330"/>
      <c r="G678" s="329">
        <v>5.85</v>
      </c>
      <c r="H678" s="325" t="s">
        <v>1040</v>
      </c>
      <c r="I678" s="212"/>
      <c r="J678" s="244">
        <v>3.24</v>
      </c>
      <c r="K678" s="332">
        <v>0.95</v>
      </c>
      <c r="L678" s="350">
        <v>0.91</v>
      </c>
      <c r="M678" s="341"/>
      <c r="N678" s="342"/>
      <c r="P678" s="343"/>
      <c r="R678" s="250"/>
      <c r="S678" s="265"/>
    </row>
    <row r="679" s="164" customFormat="1" ht="24" customHeight="1" spans="1:19">
      <c r="A679" s="217"/>
      <c r="B679" s="202"/>
      <c r="C679" s="325" t="s">
        <v>1601</v>
      </c>
      <c r="D679" s="203" t="s">
        <v>1040</v>
      </c>
      <c r="E679" s="244"/>
      <c r="F679" s="330"/>
      <c r="G679" s="329">
        <v>10.5</v>
      </c>
      <c r="H679" s="325" t="s">
        <v>1040</v>
      </c>
      <c r="I679" s="212"/>
      <c r="J679" s="244">
        <v>3.24</v>
      </c>
      <c r="K679" s="332">
        <v>0.95</v>
      </c>
      <c r="L679" s="350">
        <v>0.91</v>
      </c>
      <c r="M679" s="341"/>
      <c r="N679" s="342"/>
      <c r="P679" s="343"/>
      <c r="R679" s="250"/>
      <c r="S679" s="265"/>
    </row>
    <row r="680" s="164" customFormat="1" ht="24" customHeight="1" spans="1:19">
      <c r="A680" s="217"/>
      <c r="B680" s="202"/>
      <c r="C680" s="325" t="s">
        <v>1602</v>
      </c>
      <c r="D680" s="203" t="s">
        <v>1040</v>
      </c>
      <c r="E680" s="244"/>
      <c r="F680" s="330"/>
      <c r="G680" s="329">
        <v>25.45</v>
      </c>
      <c r="H680" s="325" t="s">
        <v>1040</v>
      </c>
      <c r="I680" s="212"/>
      <c r="J680" s="244">
        <v>3.49</v>
      </c>
      <c r="K680" s="332">
        <v>0.852333333333333</v>
      </c>
      <c r="L680" s="350">
        <v>1.34</v>
      </c>
      <c r="M680" s="341"/>
      <c r="N680" s="342"/>
      <c r="P680" s="343"/>
      <c r="R680" s="250"/>
      <c r="S680" s="265"/>
    </row>
    <row r="681" s="164" customFormat="1" ht="24" customHeight="1" spans="1:19">
      <c r="A681" s="217"/>
      <c r="B681" s="202"/>
      <c r="C681" s="325" t="s">
        <v>1603</v>
      </c>
      <c r="D681" s="203" t="s">
        <v>1040</v>
      </c>
      <c r="E681" s="244"/>
      <c r="F681" s="330"/>
      <c r="G681" s="329">
        <v>43.3</v>
      </c>
      <c r="H681" s="325" t="s">
        <v>1040</v>
      </c>
      <c r="I681" s="212"/>
      <c r="J681" s="244">
        <v>4.32</v>
      </c>
      <c r="K681" s="332">
        <v>0.9355</v>
      </c>
      <c r="L681" s="350">
        <v>3</v>
      </c>
      <c r="M681" s="341"/>
      <c r="N681" s="342"/>
      <c r="P681" s="343"/>
      <c r="R681" s="250"/>
      <c r="S681" s="265"/>
    </row>
    <row r="682" s="164" customFormat="1" ht="24" customHeight="1" spans="1:19">
      <c r="A682" s="217"/>
      <c r="B682" s="295" t="s">
        <v>1604</v>
      </c>
      <c r="C682" s="325" t="s">
        <v>1605</v>
      </c>
      <c r="D682" s="203" t="s">
        <v>838</v>
      </c>
      <c r="E682" s="244"/>
      <c r="F682" s="330"/>
      <c r="G682" s="329">
        <v>18.12</v>
      </c>
      <c r="H682" s="325" t="s">
        <v>838</v>
      </c>
      <c r="I682" s="212"/>
      <c r="J682" s="244">
        <v>8.03</v>
      </c>
      <c r="K682" s="332">
        <v>1.01</v>
      </c>
      <c r="L682" s="350">
        <v>3.14</v>
      </c>
      <c r="M682" s="341"/>
      <c r="N682" s="342"/>
      <c r="P682" s="343"/>
      <c r="R682" s="250"/>
      <c r="S682" s="265"/>
    </row>
    <row r="683" s="164" customFormat="1" ht="24" customHeight="1" spans="1:19">
      <c r="A683" s="217"/>
      <c r="B683" s="202"/>
      <c r="C683" s="325" t="s">
        <v>1606</v>
      </c>
      <c r="D683" s="203" t="s">
        <v>838</v>
      </c>
      <c r="E683" s="244"/>
      <c r="F683" s="330"/>
      <c r="G683" s="329">
        <v>22.5</v>
      </c>
      <c r="H683" s="325" t="s">
        <v>838</v>
      </c>
      <c r="I683" s="212"/>
      <c r="J683" s="244">
        <v>9.14</v>
      </c>
      <c r="K683" s="332">
        <v>1.0075</v>
      </c>
      <c r="L683" s="350">
        <v>5.53</v>
      </c>
      <c r="M683" s="341"/>
      <c r="N683" s="342"/>
      <c r="P683" s="343"/>
      <c r="R683" s="250"/>
      <c r="S683" s="265"/>
    </row>
    <row r="684" s="164" customFormat="1" ht="24" customHeight="1" spans="1:19">
      <c r="A684" s="217"/>
      <c r="B684" s="202"/>
      <c r="C684" s="325" t="s">
        <v>1607</v>
      </c>
      <c r="D684" s="203" t="s">
        <v>838</v>
      </c>
      <c r="E684" s="244"/>
      <c r="F684" s="330"/>
      <c r="G684" s="329">
        <v>65</v>
      </c>
      <c r="H684" s="325" t="s">
        <v>838</v>
      </c>
      <c r="I684" s="212"/>
      <c r="J684" s="244">
        <v>9.14</v>
      </c>
      <c r="K684" s="332">
        <v>1.0075</v>
      </c>
      <c r="L684" s="350">
        <v>5.53</v>
      </c>
      <c r="M684" s="341"/>
      <c r="N684" s="342"/>
      <c r="P684" s="343"/>
      <c r="R684" s="250"/>
      <c r="S684" s="265"/>
    </row>
    <row r="685" s="164" customFormat="1" ht="24" customHeight="1" spans="1:19">
      <c r="A685" s="217"/>
      <c r="B685" s="202"/>
      <c r="C685" s="325" t="s">
        <v>1608</v>
      </c>
      <c r="D685" s="203" t="s">
        <v>838</v>
      </c>
      <c r="E685" s="244"/>
      <c r="F685" s="330"/>
      <c r="G685" s="329">
        <v>19.12</v>
      </c>
      <c r="H685" s="325" t="s">
        <v>838</v>
      </c>
      <c r="I685" s="212"/>
      <c r="J685" s="244">
        <v>8.03</v>
      </c>
      <c r="K685" s="332">
        <v>1.01</v>
      </c>
      <c r="L685" s="350">
        <v>3.14</v>
      </c>
      <c r="M685" s="341"/>
      <c r="N685" s="342"/>
      <c r="P685" s="343"/>
      <c r="R685" s="250"/>
      <c r="S685" s="265"/>
    </row>
    <row r="686" s="164" customFormat="1" ht="24" customHeight="1" spans="1:19">
      <c r="A686" s="217"/>
      <c r="B686" s="202"/>
      <c r="C686" s="325" t="s">
        <v>1609</v>
      </c>
      <c r="D686" s="203" t="s">
        <v>838</v>
      </c>
      <c r="E686" s="244"/>
      <c r="F686" s="330"/>
      <c r="G686" s="329">
        <v>23.69</v>
      </c>
      <c r="H686" s="325" t="s">
        <v>838</v>
      </c>
      <c r="I686" s="212"/>
      <c r="J686" s="244">
        <v>9.14</v>
      </c>
      <c r="K686" s="332">
        <v>1.0075</v>
      </c>
      <c r="L686" s="350">
        <v>5.53</v>
      </c>
      <c r="M686" s="341"/>
      <c r="N686" s="342"/>
      <c r="P686" s="343"/>
      <c r="R686" s="250"/>
      <c r="S686" s="265"/>
    </row>
    <row r="687" s="164" customFormat="1" ht="24" customHeight="1" spans="1:19">
      <c r="A687" s="217"/>
      <c r="B687" s="202"/>
      <c r="C687" s="325" t="s">
        <v>1610</v>
      </c>
      <c r="D687" s="203" t="s">
        <v>838</v>
      </c>
      <c r="E687" s="244"/>
      <c r="F687" s="330"/>
      <c r="G687" s="329">
        <v>35</v>
      </c>
      <c r="H687" s="325" t="s">
        <v>838</v>
      </c>
      <c r="I687" s="212"/>
      <c r="J687" s="244">
        <v>11</v>
      </c>
      <c r="K687" s="332">
        <v>1.01</v>
      </c>
      <c r="L687" s="350">
        <v>9.74</v>
      </c>
      <c r="M687" s="341"/>
      <c r="N687" s="342"/>
      <c r="P687" s="343"/>
      <c r="R687" s="250"/>
      <c r="S687" s="265"/>
    </row>
    <row r="688" s="164" customFormat="1" ht="24" customHeight="1" spans="1:19">
      <c r="A688" s="217"/>
      <c r="B688" s="202"/>
      <c r="C688" s="325" t="s">
        <v>1611</v>
      </c>
      <c r="D688" s="203" t="s">
        <v>838</v>
      </c>
      <c r="E688" s="244"/>
      <c r="F688" s="330"/>
      <c r="G688" s="329">
        <v>57.38</v>
      </c>
      <c r="H688" s="325" t="s">
        <v>838</v>
      </c>
      <c r="I688" s="212"/>
      <c r="J688" s="244">
        <v>13</v>
      </c>
      <c r="K688" s="332">
        <v>1.01</v>
      </c>
      <c r="L688" s="350">
        <v>6.3</v>
      </c>
      <c r="M688" s="341"/>
      <c r="N688" s="342"/>
      <c r="P688" s="343"/>
      <c r="R688" s="250"/>
      <c r="S688" s="265"/>
    </row>
    <row r="689" s="164" customFormat="1" ht="24" customHeight="1" spans="1:19">
      <c r="A689" s="217"/>
      <c r="B689" s="202"/>
      <c r="C689" s="325" t="s">
        <v>1612</v>
      </c>
      <c r="D689" s="203" t="s">
        <v>838</v>
      </c>
      <c r="E689" s="244"/>
      <c r="F689" s="330"/>
      <c r="G689" s="329">
        <v>88.35</v>
      </c>
      <c r="H689" s="325" t="s">
        <v>838</v>
      </c>
      <c r="I689" s="212"/>
      <c r="J689" s="244">
        <v>18</v>
      </c>
      <c r="K689" s="332">
        <v>1.01</v>
      </c>
      <c r="L689" s="350">
        <v>10.2</v>
      </c>
      <c r="M689" s="341"/>
      <c r="N689" s="342"/>
      <c r="P689" s="343"/>
      <c r="R689" s="250"/>
      <c r="S689" s="265"/>
    </row>
    <row r="690" s="164" customFormat="1" ht="24" customHeight="1" spans="1:19">
      <c r="A690" s="217"/>
      <c r="B690" s="202"/>
      <c r="C690" s="325" t="s">
        <v>1613</v>
      </c>
      <c r="D690" s="203" t="s">
        <v>838</v>
      </c>
      <c r="E690" s="244"/>
      <c r="F690" s="330"/>
      <c r="G690" s="329">
        <v>105</v>
      </c>
      <c r="H690" s="325" t="s">
        <v>838</v>
      </c>
      <c r="I690" s="212"/>
      <c r="J690" s="244">
        <v>24.5</v>
      </c>
      <c r="K690" s="332">
        <v>1.01</v>
      </c>
      <c r="L690" s="350">
        <v>18.82</v>
      </c>
      <c r="M690" s="341"/>
      <c r="N690" s="342"/>
      <c r="P690" s="343"/>
      <c r="R690" s="250"/>
      <c r="S690" s="265"/>
    </row>
    <row r="691" s="164" customFormat="1" ht="24" customHeight="1" spans="1:19">
      <c r="A691" s="217"/>
      <c r="B691" s="202"/>
      <c r="C691" s="325" t="s">
        <v>1614</v>
      </c>
      <c r="D691" s="203" t="s">
        <v>838</v>
      </c>
      <c r="E691" s="244"/>
      <c r="F691" s="330"/>
      <c r="G691" s="329">
        <v>15.68</v>
      </c>
      <c r="H691" s="325" t="s">
        <v>838</v>
      </c>
      <c r="I691" s="212"/>
      <c r="J691" s="244">
        <v>7.44</v>
      </c>
      <c r="K691" s="332">
        <v>1.01</v>
      </c>
      <c r="L691" s="350">
        <v>4.91</v>
      </c>
      <c r="M691" s="341"/>
      <c r="N691" s="342"/>
      <c r="P691" s="343"/>
      <c r="R691" s="250"/>
      <c r="S691" s="265"/>
    </row>
    <row r="692" s="164" customFormat="1" ht="24" customHeight="1" spans="1:19">
      <c r="A692" s="217"/>
      <c r="B692" s="202"/>
      <c r="C692" s="325" t="s">
        <v>1615</v>
      </c>
      <c r="D692" s="203" t="s">
        <v>838</v>
      </c>
      <c r="E692" s="244"/>
      <c r="F692" s="330"/>
      <c r="G692" s="329">
        <v>18.6</v>
      </c>
      <c r="H692" s="325" t="s">
        <v>838</v>
      </c>
      <c r="I692" s="212"/>
      <c r="J692" s="244">
        <v>8.03</v>
      </c>
      <c r="K692" s="332">
        <v>1.01</v>
      </c>
      <c r="L692" s="350">
        <v>5.32</v>
      </c>
      <c r="M692" s="341"/>
      <c r="N692" s="342"/>
      <c r="P692" s="343"/>
      <c r="R692" s="250"/>
      <c r="S692" s="265"/>
    </row>
    <row r="693" s="164" customFormat="1" ht="24" customHeight="1" spans="1:19">
      <c r="A693" s="217"/>
      <c r="B693" s="202"/>
      <c r="C693" s="325" t="s">
        <v>1616</v>
      </c>
      <c r="D693" s="203" t="s">
        <v>838</v>
      </c>
      <c r="E693" s="244"/>
      <c r="F693" s="330"/>
      <c r="G693" s="329">
        <v>32.88</v>
      </c>
      <c r="H693" s="325" t="s">
        <v>838</v>
      </c>
      <c r="I693" s="212"/>
      <c r="J693" s="244">
        <v>9.14</v>
      </c>
      <c r="K693" s="332">
        <v>1.01</v>
      </c>
      <c r="L693" s="350">
        <v>8.17</v>
      </c>
      <c r="M693" s="341"/>
      <c r="N693" s="342"/>
      <c r="P693" s="343"/>
      <c r="R693" s="250"/>
      <c r="S693" s="265"/>
    </row>
    <row r="694" s="164" customFormat="1" ht="24" customHeight="1" spans="1:19">
      <c r="A694" s="217"/>
      <c r="B694" s="202"/>
      <c r="C694" s="325" t="s">
        <v>1617</v>
      </c>
      <c r="D694" s="203" t="s">
        <v>838</v>
      </c>
      <c r="E694" s="244"/>
      <c r="F694" s="330"/>
      <c r="G694" s="329">
        <v>48.2</v>
      </c>
      <c r="H694" s="325" t="s">
        <v>838</v>
      </c>
      <c r="I694" s="212"/>
      <c r="J694" s="244">
        <v>11</v>
      </c>
      <c r="K694" s="332">
        <v>1.01</v>
      </c>
      <c r="L694" s="350">
        <v>9.74</v>
      </c>
      <c r="M694" s="341"/>
      <c r="N694" s="342"/>
      <c r="P694" s="343"/>
      <c r="R694" s="250"/>
      <c r="S694" s="265"/>
    </row>
    <row r="695" s="164" customFormat="1" ht="24" customHeight="1" spans="1:19">
      <c r="A695" s="217"/>
      <c r="B695" s="202"/>
      <c r="C695" s="325" t="s">
        <v>1618</v>
      </c>
      <c r="D695" s="203" t="s">
        <v>838</v>
      </c>
      <c r="E695" s="244"/>
      <c r="F695" s="330"/>
      <c r="G695" s="329">
        <v>56</v>
      </c>
      <c r="H695" s="325" t="s">
        <v>838</v>
      </c>
      <c r="I695" s="212"/>
      <c r="J695" s="244">
        <v>18.83</v>
      </c>
      <c r="K695" s="332">
        <v>1.01</v>
      </c>
      <c r="L695" s="350">
        <v>12.82</v>
      </c>
      <c r="M695" s="341"/>
      <c r="N695" s="342"/>
      <c r="P695" s="343"/>
      <c r="R695" s="250"/>
      <c r="S695" s="265"/>
    </row>
    <row r="696" s="164" customFormat="1" ht="24" customHeight="1" spans="1:19">
      <c r="A696" s="217"/>
      <c r="B696" s="202"/>
      <c r="C696" s="325" t="s">
        <v>1619</v>
      </c>
      <c r="D696" s="203" t="s">
        <v>838</v>
      </c>
      <c r="E696" s="244"/>
      <c r="F696" s="330"/>
      <c r="G696" s="329">
        <v>72</v>
      </c>
      <c r="H696" s="325" t="s">
        <v>838</v>
      </c>
      <c r="I696" s="212"/>
      <c r="J696" s="244">
        <v>18.9</v>
      </c>
      <c r="K696" s="332">
        <v>1.01</v>
      </c>
      <c r="L696" s="350">
        <v>14.67</v>
      </c>
      <c r="M696" s="341"/>
      <c r="N696" s="342"/>
      <c r="P696" s="343"/>
      <c r="R696" s="250"/>
      <c r="S696" s="265"/>
    </row>
    <row r="697" s="164" customFormat="1" ht="24" customHeight="1" spans="1:19">
      <c r="A697" s="217"/>
      <c r="B697" s="202"/>
      <c r="C697" s="325" t="s">
        <v>1620</v>
      </c>
      <c r="D697" s="203" t="s">
        <v>838</v>
      </c>
      <c r="E697" s="244"/>
      <c r="F697" s="330"/>
      <c r="G697" s="329">
        <v>30</v>
      </c>
      <c r="H697" s="325" t="s">
        <v>838</v>
      </c>
      <c r="I697" s="212"/>
      <c r="J697" s="244">
        <v>9.14</v>
      </c>
      <c r="K697" s="332">
        <v>1.01</v>
      </c>
      <c r="L697" s="350">
        <v>8.18</v>
      </c>
      <c r="M697" s="341"/>
      <c r="N697" s="342"/>
      <c r="P697" s="343"/>
      <c r="R697" s="250"/>
      <c r="S697" s="265"/>
    </row>
    <row r="698" s="164" customFormat="1" ht="24" customHeight="1" spans="1:19">
      <c r="A698" s="217"/>
      <c r="B698" s="202"/>
      <c r="C698" s="325" t="s">
        <v>1621</v>
      </c>
      <c r="D698" s="203" t="s">
        <v>838</v>
      </c>
      <c r="E698" s="244"/>
      <c r="F698" s="330"/>
      <c r="G698" s="329">
        <v>45</v>
      </c>
      <c r="H698" s="325" t="s">
        <v>838</v>
      </c>
      <c r="I698" s="212"/>
      <c r="J698" s="244">
        <v>11</v>
      </c>
      <c r="K698" s="332">
        <v>1.01</v>
      </c>
      <c r="L698" s="350">
        <v>9.74</v>
      </c>
      <c r="M698" s="341"/>
      <c r="N698" s="342"/>
      <c r="P698" s="343"/>
      <c r="R698" s="250"/>
      <c r="S698" s="265"/>
    </row>
    <row r="699" s="164" customFormat="1" ht="24" customHeight="1" spans="1:19">
      <c r="A699" s="217"/>
      <c r="B699" s="202"/>
      <c r="C699" s="325" t="s">
        <v>1622</v>
      </c>
      <c r="D699" s="203" t="s">
        <v>838</v>
      </c>
      <c r="E699" s="244"/>
      <c r="F699" s="330"/>
      <c r="G699" s="329">
        <v>60</v>
      </c>
      <c r="H699" s="325" t="s">
        <v>838</v>
      </c>
      <c r="I699" s="212"/>
      <c r="J699" s="244">
        <v>18.83</v>
      </c>
      <c r="K699" s="332">
        <v>1.01</v>
      </c>
      <c r="L699" s="350">
        <v>12.82</v>
      </c>
      <c r="M699" s="341"/>
      <c r="N699" s="342"/>
      <c r="P699" s="343"/>
      <c r="R699" s="250"/>
      <c r="S699" s="265"/>
    </row>
    <row r="700" s="164" customFormat="1" ht="24" customHeight="1" spans="1:19">
      <c r="A700" s="217"/>
      <c r="B700" s="202"/>
      <c r="C700" s="325" t="s">
        <v>1623</v>
      </c>
      <c r="D700" s="203" t="s">
        <v>838</v>
      </c>
      <c r="E700" s="244"/>
      <c r="F700" s="330"/>
      <c r="G700" s="329">
        <v>89.6</v>
      </c>
      <c r="H700" s="325" t="s">
        <v>838</v>
      </c>
      <c r="I700" s="212"/>
      <c r="J700" s="244">
        <v>18.9</v>
      </c>
      <c r="K700" s="332">
        <v>1</v>
      </c>
      <c r="L700" s="350">
        <v>14.67</v>
      </c>
      <c r="M700" s="341"/>
      <c r="N700" s="342"/>
      <c r="P700" s="343"/>
      <c r="R700" s="250"/>
      <c r="S700" s="265"/>
    </row>
    <row r="701" s="164" customFormat="1" ht="24" customHeight="1" spans="1:19">
      <c r="A701" s="217"/>
      <c r="B701" s="202"/>
      <c r="C701" s="325" t="s">
        <v>1624</v>
      </c>
      <c r="D701" s="203" t="s">
        <v>838</v>
      </c>
      <c r="E701" s="244"/>
      <c r="F701" s="330"/>
      <c r="G701" s="329">
        <v>18.17</v>
      </c>
      <c r="H701" s="325" t="s">
        <v>838</v>
      </c>
      <c r="I701" s="212"/>
      <c r="J701" s="244">
        <v>9.14</v>
      </c>
      <c r="K701" s="332">
        <v>1.01</v>
      </c>
      <c r="L701" s="350">
        <v>8.17</v>
      </c>
      <c r="M701" s="341"/>
      <c r="N701" s="342"/>
      <c r="P701" s="343"/>
      <c r="R701" s="250"/>
      <c r="S701" s="265"/>
    </row>
    <row r="702" s="164" customFormat="1" ht="24" customHeight="1" spans="1:19">
      <c r="A702" s="217"/>
      <c r="B702" s="202"/>
      <c r="C702" s="325" t="s">
        <v>1625</v>
      </c>
      <c r="D702" s="203" t="s">
        <v>838</v>
      </c>
      <c r="E702" s="244"/>
      <c r="F702" s="330"/>
      <c r="G702" s="329">
        <v>32.12</v>
      </c>
      <c r="H702" s="325" t="s">
        <v>838</v>
      </c>
      <c r="I702" s="212"/>
      <c r="J702" s="244">
        <v>11</v>
      </c>
      <c r="K702" s="332">
        <v>1.01</v>
      </c>
      <c r="L702" s="350">
        <v>9.74</v>
      </c>
      <c r="M702" s="341"/>
      <c r="N702" s="342"/>
      <c r="P702" s="343"/>
      <c r="R702" s="250"/>
      <c r="S702" s="265"/>
    </row>
    <row r="703" s="164" customFormat="1" ht="24" customHeight="1" spans="1:19">
      <c r="A703" s="217"/>
      <c r="B703" s="202"/>
      <c r="C703" s="325" t="s">
        <v>1626</v>
      </c>
      <c r="D703" s="203" t="s">
        <v>838</v>
      </c>
      <c r="E703" s="244"/>
      <c r="F703" s="330"/>
      <c r="G703" s="329">
        <v>24.6</v>
      </c>
      <c r="H703" s="325" t="s">
        <v>838</v>
      </c>
      <c r="I703" s="212"/>
      <c r="J703" s="244">
        <v>8.03</v>
      </c>
      <c r="K703" s="332">
        <v>1.01</v>
      </c>
      <c r="L703" s="350">
        <v>5.32</v>
      </c>
      <c r="M703" s="341"/>
      <c r="N703" s="342"/>
      <c r="P703" s="343"/>
      <c r="R703" s="250"/>
      <c r="S703" s="265"/>
    </row>
    <row r="704" s="164" customFormat="1" ht="24" customHeight="1" spans="1:19">
      <c r="A704" s="217"/>
      <c r="B704" s="202"/>
      <c r="C704" s="325" t="s">
        <v>1627</v>
      </c>
      <c r="D704" s="203" t="s">
        <v>838</v>
      </c>
      <c r="E704" s="244"/>
      <c r="F704" s="330"/>
      <c r="G704" s="329">
        <v>36.6</v>
      </c>
      <c r="H704" s="325" t="s">
        <v>838</v>
      </c>
      <c r="I704" s="212"/>
      <c r="J704" s="244">
        <v>9.14</v>
      </c>
      <c r="K704" s="332">
        <v>1.01</v>
      </c>
      <c r="L704" s="350">
        <v>8.17</v>
      </c>
      <c r="M704" s="341"/>
      <c r="N704" s="342"/>
      <c r="P704" s="343"/>
      <c r="R704" s="250"/>
      <c r="S704" s="265"/>
    </row>
    <row r="705" s="164" customFormat="1" ht="24" customHeight="1" spans="1:19">
      <c r="A705" s="217"/>
      <c r="B705" s="202"/>
      <c r="C705" s="325" t="s">
        <v>1628</v>
      </c>
      <c r="D705" s="203" t="s">
        <v>838</v>
      </c>
      <c r="E705" s="244"/>
      <c r="F705" s="330"/>
      <c r="G705" s="329">
        <v>40.38</v>
      </c>
      <c r="H705" s="325" t="s">
        <v>838</v>
      </c>
      <c r="I705" s="212"/>
      <c r="J705" s="244">
        <v>11</v>
      </c>
      <c r="K705" s="332">
        <v>1.01</v>
      </c>
      <c r="L705" s="350">
        <v>9.74</v>
      </c>
      <c r="M705" s="341"/>
      <c r="N705" s="342"/>
      <c r="P705" s="343"/>
      <c r="R705" s="250"/>
      <c r="S705" s="265"/>
    </row>
    <row r="706" s="164" customFormat="1" ht="24" customHeight="1" spans="1:19">
      <c r="A706" s="217"/>
      <c r="B706" s="202"/>
      <c r="C706" s="325" t="s">
        <v>1629</v>
      </c>
      <c r="D706" s="203" t="s">
        <v>838</v>
      </c>
      <c r="E706" s="244"/>
      <c r="F706" s="330"/>
      <c r="G706" s="329">
        <v>75.6</v>
      </c>
      <c r="H706" s="325" t="s">
        <v>838</v>
      </c>
      <c r="I706" s="212"/>
      <c r="J706" s="244">
        <v>18.83</v>
      </c>
      <c r="K706" s="332">
        <v>1.01</v>
      </c>
      <c r="L706" s="350">
        <v>12.82</v>
      </c>
      <c r="M706" s="341"/>
      <c r="N706" s="342"/>
      <c r="P706" s="343"/>
      <c r="R706" s="250"/>
      <c r="S706" s="265"/>
    </row>
    <row r="707" s="164" customFormat="1" ht="24" customHeight="1" spans="1:19">
      <c r="A707" s="217"/>
      <c r="B707" s="202"/>
      <c r="C707" s="325" t="s">
        <v>1630</v>
      </c>
      <c r="D707" s="203" t="s">
        <v>838</v>
      </c>
      <c r="E707" s="244"/>
      <c r="F707" s="330"/>
      <c r="G707" s="329">
        <v>90</v>
      </c>
      <c r="H707" s="325" t="s">
        <v>838</v>
      </c>
      <c r="I707" s="212"/>
      <c r="J707" s="244">
        <v>18.9</v>
      </c>
      <c r="K707" s="332">
        <v>1.01</v>
      </c>
      <c r="L707" s="350">
        <v>14.67</v>
      </c>
      <c r="M707" s="341"/>
      <c r="N707" s="342"/>
      <c r="P707" s="343"/>
      <c r="R707" s="250"/>
      <c r="S707" s="265"/>
    </row>
    <row r="708" s="164" customFormat="1" ht="24" customHeight="1" spans="1:19">
      <c r="A708" s="217"/>
      <c r="B708" s="202"/>
      <c r="C708" s="325" t="s">
        <v>1631</v>
      </c>
      <c r="D708" s="203" t="s">
        <v>838</v>
      </c>
      <c r="E708" s="244"/>
      <c r="F708" s="330"/>
      <c r="G708" s="329">
        <v>21.63</v>
      </c>
      <c r="H708" s="325" t="s">
        <v>838</v>
      </c>
      <c r="I708" s="212"/>
      <c r="J708" s="244">
        <v>8.03</v>
      </c>
      <c r="K708" s="332">
        <v>1.01</v>
      </c>
      <c r="L708" s="350">
        <v>5.32</v>
      </c>
      <c r="M708" s="341"/>
      <c r="N708" s="342"/>
      <c r="P708" s="343"/>
      <c r="R708" s="250"/>
      <c r="S708" s="265"/>
    </row>
    <row r="709" s="164" customFormat="1" ht="24" customHeight="1" spans="1:19">
      <c r="A709" s="217"/>
      <c r="B709" s="202"/>
      <c r="C709" s="325" t="s">
        <v>1632</v>
      </c>
      <c r="D709" s="203" t="s">
        <v>838</v>
      </c>
      <c r="E709" s="244"/>
      <c r="F709" s="330"/>
      <c r="G709" s="329">
        <v>25.6</v>
      </c>
      <c r="H709" s="325" t="s">
        <v>838</v>
      </c>
      <c r="I709" s="212"/>
      <c r="J709" s="244">
        <v>9.14</v>
      </c>
      <c r="K709" s="332">
        <v>1.01</v>
      </c>
      <c r="L709" s="350">
        <v>8.17</v>
      </c>
      <c r="M709" s="341"/>
      <c r="N709" s="342"/>
      <c r="P709" s="343"/>
      <c r="R709" s="250"/>
      <c r="S709" s="265"/>
    </row>
    <row r="710" s="164" customFormat="1" ht="24" customHeight="1" spans="1:19">
      <c r="A710" s="217"/>
      <c r="B710" s="202"/>
      <c r="C710" s="325" t="s">
        <v>1633</v>
      </c>
      <c r="D710" s="203" t="s">
        <v>838</v>
      </c>
      <c r="E710" s="244"/>
      <c r="F710" s="330"/>
      <c r="G710" s="329">
        <v>32.5</v>
      </c>
      <c r="H710" s="325" t="s">
        <v>838</v>
      </c>
      <c r="I710" s="212"/>
      <c r="J710" s="244">
        <v>11</v>
      </c>
      <c r="K710" s="332">
        <v>1.01</v>
      </c>
      <c r="L710" s="350">
        <v>9.74</v>
      </c>
      <c r="M710" s="341"/>
      <c r="N710" s="342"/>
      <c r="P710" s="343"/>
      <c r="R710" s="250"/>
      <c r="S710" s="265"/>
    </row>
    <row r="711" s="164" customFormat="1" ht="24" customHeight="1" spans="1:19">
      <c r="A711" s="217"/>
      <c r="B711" s="202"/>
      <c r="C711" s="325" t="s">
        <v>1634</v>
      </c>
      <c r="D711" s="203" t="s">
        <v>838</v>
      </c>
      <c r="E711" s="244"/>
      <c r="F711" s="330"/>
      <c r="G711" s="329">
        <v>45.6</v>
      </c>
      <c r="H711" s="325" t="s">
        <v>838</v>
      </c>
      <c r="I711" s="212"/>
      <c r="J711" s="244">
        <v>18.83</v>
      </c>
      <c r="K711" s="332">
        <v>1.01</v>
      </c>
      <c r="L711" s="350">
        <v>12.82</v>
      </c>
      <c r="M711" s="341"/>
      <c r="N711" s="342"/>
      <c r="P711" s="343"/>
      <c r="R711" s="250"/>
      <c r="S711" s="265"/>
    </row>
    <row r="712" s="164" customFormat="1" ht="24" customHeight="1" spans="1:19">
      <c r="A712" s="217"/>
      <c r="B712" s="202"/>
      <c r="C712" s="325" t="s">
        <v>1635</v>
      </c>
      <c r="D712" s="203" t="s">
        <v>838</v>
      </c>
      <c r="E712" s="244"/>
      <c r="F712" s="330"/>
      <c r="G712" s="329">
        <v>82.6</v>
      </c>
      <c r="H712" s="325" t="s">
        <v>838</v>
      </c>
      <c r="I712" s="212"/>
      <c r="J712" s="244">
        <v>18.9</v>
      </c>
      <c r="K712" s="332">
        <v>1.01</v>
      </c>
      <c r="L712" s="350">
        <v>14.67</v>
      </c>
      <c r="M712" s="341"/>
      <c r="N712" s="342"/>
      <c r="P712" s="343"/>
      <c r="R712" s="250"/>
      <c r="S712" s="265"/>
    </row>
    <row r="713" s="164" customFormat="1" ht="24" customHeight="1" spans="1:19">
      <c r="A713" s="217"/>
      <c r="B713" s="202"/>
      <c r="C713" s="325" t="s">
        <v>1636</v>
      </c>
      <c r="D713" s="203" t="s">
        <v>838</v>
      </c>
      <c r="E713" s="244"/>
      <c r="F713" s="330"/>
      <c r="G713" s="329">
        <v>38.4</v>
      </c>
      <c r="H713" s="325" t="s">
        <v>838</v>
      </c>
      <c r="I713" s="212"/>
      <c r="J713" s="244">
        <v>8.03</v>
      </c>
      <c r="K713" s="332">
        <v>1.01</v>
      </c>
      <c r="L713" s="350">
        <v>5.32</v>
      </c>
      <c r="M713" s="341"/>
      <c r="N713" s="342"/>
      <c r="P713" s="343"/>
      <c r="R713" s="250"/>
      <c r="S713" s="265"/>
    </row>
    <row r="714" s="164" customFormat="1" ht="24" customHeight="1" spans="1:19">
      <c r="A714" s="217"/>
      <c r="B714" s="202"/>
      <c r="C714" s="325" t="s">
        <v>1637</v>
      </c>
      <c r="D714" s="203" t="s">
        <v>838</v>
      </c>
      <c r="E714" s="244"/>
      <c r="F714" s="330"/>
      <c r="G714" s="329">
        <v>47.4</v>
      </c>
      <c r="H714" s="325" t="s">
        <v>838</v>
      </c>
      <c r="I714" s="212"/>
      <c r="J714" s="244">
        <v>9.14</v>
      </c>
      <c r="K714" s="332">
        <v>1.01</v>
      </c>
      <c r="L714" s="350">
        <v>8.17</v>
      </c>
      <c r="M714" s="341"/>
      <c r="N714" s="342"/>
      <c r="P714" s="343"/>
      <c r="R714" s="250"/>
      <c r="S714" s="265"/>
    </row>
    <row r="715" s="164" customFormat="1" ht="24" customHeight="1" spans="1:19">
      <c r="A715" s="217"/>
      <c r="B715" s="202"/>
      <c r="C715" s="325" t="s">
        <v>1638</v>
      </c>
      <c r="D715" s="203" t="s">
        <v>838</v>
      </c>
      <c r="E715" s="244"/>
      <c r="F715" s="330"/>
      <c r="G715" s="329">
        <v>88</v>
      </c>
      <c r="H715" s="325" t="s">
        <v>838</v>
      </c>
      <c r="I715" s="212"/>
      <c r="J715" s="244">
        <v>11</v>
      </c>
      <c r="K715" s="332">
        <v>1.01</v>
      </c>
      <c r="L715" s="350">
        <v>9.74</v>
      </c>
      <c r="M715" s="341"/>
      <c r="N715" s="342"/>
      <c r="P715" s="343"/>
      <c r="R715" s="250"/>
      <c r="S715" s="265"/>
    </row>
    <row r="716" s="164" customFormat="1" ht="24" customHeight="1" spans="1:19">
      <c r="A716" s="217"/>
      <c r="B716" s="202"/>
      <c r="C716" s="325" t="s">
        <v>1639</v>
      </c>
      <c r="D716" s="203" t="s">
        <v>838</v>
      </c>
      <c r="E716" s="244"/>
      <c r="F716" s="330"/>
      <c r="G716" s="329">
        <v>105</v>
      </c>
      <c r="H716" s="325" t="s">
        <v>838</v>
      </c>
      <c r="I716" s="212"/>
      <c r="J716" s="244">
        <v>18.83</v>
      </c>
      <c r="K716" s="332">
        <v>1.01</v>
      </c>
      <c r="L716" s="350">
        <v>12.82</v>
      </c>
      <c r="M716" s="341"/>
      <c r="N716" s="342"/>
      <c r="P716" s="343"/>
      <c r="R716" s="250"/>
      <c r="S716" s="265"/>
    </row>
    <row r="717" s="164" customFormat="1" ht="24" customHeight="1" spans="1:19">
      <c r="A717" s="217"/>
      <c r="B717" s="202"/>
      <c r="C717" s="325" t="s">
        <v>1640</v>
      </c>
      <c r="D717" s="203" t="s">
        <v>838</v>
      </c>
      <c r="E717" s="244"/>
      <c r="F717" s="330"/>
      <c r="G717" s="329">
        <v>149</v>
      </c>
      <c r="H717" s="325" t="s">
        <v>838</v>
      </c>
      <c r="I717" s="212"/>
      <c r="J717" s="244">
        <v>18.9</v>
      </c>
      <c r="K717" s="332">
        <v>1.01</v>
      </c>
      <c r="L717" s="350">
        <v>14.67</v>
      </c>
      <c r="M717" s="341"/>
      <c r="N717" s="342"/>
      <c r="P717" s="343"/>
      <c r="R717" s="250"/>
      <c r="S717" s="265"/>
    </row>
    <row r="718" s="164" customFormat="1" ht="24" customHeight="1" spans="1:19">
      <c r="A718" s="217"/>
      <c r="B718" s="202"/>
      <c r="C718" s="325" t="s">
        <v>1641</v>
      </c>
      <c r="D718" s="203" t="s">
        <v>838</v>
      </c>
      <c r="E718" s="244"/>
      <c r="F718" s="330"/>
      <c r="G718" s="329">
        <v>16.22</v>
      </c>
      <c r="H718" s="325" t="s">
        <v>838</v>
      </c>
      <c r="I718" s="212"/>
      <c r="J718" s="244">
        <v>8.03</v>
      </c>
      <c r="K718" s="332">
        <v>1.01</v>
      </c>
      <c r="L718" s="350">
        <v>5.32</v>
      </c>
      <c r="M718" s="341"/>
      <c r="N718" s="342"/>
      <c r="P718" s="343"/>
      <c r="R718" s="250"/>
      <c r="S718" s="265"/>
    </row>
    <row r="719" s="164" customFormat="1" ht="24" customHeight="1" spans="1:19">
      <c r="A719" s="217"/>
      <c r="B719" s="202"/>
      <c r="C719" s="325" t="s">
        <v>1642</v>
      </c>
      <c r="D719" s="203" t="s">
        <v>838</v>
      </c>
      <c r="E719" s="244"/>
      <c r="F719" s="330"/>
      <c r="G719" s="329">
        <v>21.63</v>
      </c>
      <c r="H719" s="325" t="s">
        <v>838</v>
      </c>
      <c r="I719" s="212"/>
      <c r="J719" s="244">
        <v>9.14</v>
      </c>
      <c r="K719" s="332">
        <v>1.01</v>
      </c>
      <c r="L719" s="350">
        <v>8.17</v>
      </c>
      <c r="M719" s="341"/>
      <c r="N719" s="342"/>
      <c r="P719" s="343"/>
      <c r="R719" s="250"/>
      <c r="S719" s="265"/>
    </row>
    <row r="720" s="164" customFormat="1" ht="24" customHeight="1" spans="1:19">
      <c r="A720" s="217"/>
      <c r="B720" s="202"/>
      <c r="C720" s="325" t="s">
        <v>1643</v>
      </c>
      <c r="D720" s="203" t="s">
        <v>838</v>
      </c>
      <c r="E720" s="244"/>
      <c r="F720" s="330"/>
      <c r="G720" s="329">
        <v>48.5</v>
      </c>
      <c r="H720" s="325" t="s">
        <v>838</v>
      </c>
      <c r="I720" s="212"/>
      <c r="J720" s="244">
        <v>11</v>
      </c>
      <c r="K720" s="332">
        <v>1.01</v>
      </c>
      <c r="L720" s="350">
        <v>9.74</v>
      </c>
      <c r="M720" s="341"/>
      <c r="N720" s="342"/>
      <c r="P720" s="343"/>
      <c r="R720" s="250"/>
      <c r="S720" s="265"/>
    </row>
    <row r="721" s="164" customFormat="1" ht="24" customHeight="1" spans="1:19">
      <c r="A721" s="217"/>
      <c r="B721" s="202"/>
      <c r="C721" s="325" t="s">
        <v>1644</v>
      </c>
      <c r="D721" s="203" t="s">
        <v>838</v>
      </c>
      <c r="E721" s="244"/>
      <c r="F721" s="330"/>
      <c r="G721" s="329">
        <v>89.6</v>
      </c>
      <c r="H721" s="325" t="s">
        <v>838</v>
      </c>
      <c r="I721" s="212"/>
      <c r="J721" s="244">
        <v>18.83</v>
      </c>
      <c r="K721" s="332">
        <v>1.01</v>
      </c>
      <c r="L721" s="350">
        <v>12.82</v>
      </c>
      <c r="M721" s="341"/>
      <c r="N721" s="342"/>
      <c r="P721" s="343"/>
      <c r="R721" s="250"/>
      <c r="S721" s="265"/>
    </row>
    <row r="722" s="164" customFormat="1" ht="24" customHeight="1" spans="1:19">
      <c r="A722" s="217"/>
      <c r="B722" s="202"/>
      <c r="C722" s="325" t="s">
        <v>1645</v>
      </c>
      <c r="D722" s="203" t="s">
        <v>838</v>
      </c>
      <c r="E722" s="244"/>
      <c r="F722" s="330"/>
      <c r="G722" s="329">
        <v>125</v>
      </c>
      <c r="H722" s="325" t="s">
        <v>838</v>
      </c>
      <c r="I722" s="212"/>
      <c r="J722" s="244">
        <v>18.9</v>
      </c>
      <c r="K722" s="332">
        <v>1.01</v>
      </c>
      <c r="L722" s="350">
        <v>14.67</v>
      </c>
      <c r="M722" s="341"/>
      <c r="N722" s="342"/>
      <c r="P722" s="343"/>
      <c r="R722" s="250"/>
      <c r="S722" s="265"/>
    </row>
    <row r="723" s="164" customFormat="1" ht="24" customHeight="1" spans="1:19">
      <c r="A723" s="217"/>
      <c r="B723" s="202"/>
      <c r="C723" s="325" t="s">
        <v>1646</v>
      </c>
      <c r="D723" s="203" t="s">
        <v>838</v>
      </c>
      <c r="E723" s="244"/>
      <c r="F723" s="330"/>
      <c r="G723" s="329">
        <v>42</v>
      </c>
      <c r="H723" s="325" t="s">
        <v>838</v>
      </c>
      <c r="I723" s="212"/>
      <c r="J723" s="244">
        <v>8.84</v>
      </c>
      <c r="K723" s="332">
        <v>1.01</v>
      </c>
      <c r="L723" s="350">
        <v>2.05</v>
      </c>
      <c r="M723" s="341"/>
      <c r="N723" s="342"/>
      <c r="P723" s="343"/>
      <c r="R723" s="250"/>
      <c r="S723" s="265"/>
    </row>
    <row r="724" s="164" customFormat="1" ht="24" customHeight="1" spans="1:19">
      <c r="A724" s="217"/>
      <c r="B724" s="202"/>
      <c r="C724" s="325" t="s">
        <v>1647</v>
      </c>
      <c r="D724" s="203" t="s">
        <v>838</v>
      </c>
      <c r="E724" s="244"/>
      <c r="F724" s="330"/>
      <c r="G724" s="329">
        <v>82</v>
      </c>
      <c r="H724" s="325" t="s">
        <v>838</v>
      </c>
      <c r="I724" s="212"/>
      <c r="J724" s="244">
        <v>10.91</v>
      </c>
      <c r="K724" s="332">
        <v>1.01</v>
      </c>
      <c r="L724" s="350">
        <v>5.45</v>
      </c>
      <c r="M724" s="341"/>
      <c r="N724" s="342"/>
      <c r="P724" s="343"/>
      <c r="R724" s="250"/>
      <c r="S724" s="265"/>
    </row>
    <row r="725" s="164" customFormat="1" ht="24" customHeight="1" spans="1:19">
      <c r="A725" s="217"/>
      <c r="B725" s="202"/>
      <c r="C725" s="325" t="s">
        <v>1648</v>
      </c>
      <c r="D725" s="203" t="s">
        <v>838</v>
      </c>
      <c r="E725" s="244"/>
      <c r="F725" s="330"/>
      <c r="G725" s="329">
        <v>139.39</v>
      </c>
      <c r="H725" s="325" t="s">
        <v>838</v>
      </c>
      <c r="I725" s="212"/>
      <c r="J725" s="244">
        <v>17.25</v>
      </c>
      <c r="K725" s="332">
        <v>1.01</v>
      </c>
      <c r="L725" s="350">
        <v>8.76</v>
      </c>
      <c r="M725" s="341"/>
      <c r="N725" s="342"/>
      <c r="P725" s="343"/>
      <c r="R725" s="250"/>
      <c r="S725" s="265"/>
    </row>
    <row r="726" s="164" customFormat="1" ht="24" customHeight="1" spans="1:19">
      <c r="A726" s="217"/>
      <c r="B726" s="202"/>
      <c r="C726" s="325" t="s">
        <v>1649</v>
      </c>
      <c r="D726" s="203" t="s">
        <v>838</v>
      </c>
      <c r="E726" s="244"/>
      <c r="F726" s="330"/>
      <c r="G726" s="329">
        <v>46.9</v>
      </c>
      <c r="H726" s="325" t="s">
        <v>838</v>
      </c>
      <c r="I726" s="212"/>
      <c r="J726" s="244">
        <v>8.03</v>
      </c>
      <c r="K726" s="332">
        <v>1.01</v>
      </c>
      <c r="L726" s="350">
        <v>5.32</v>
      </c>
      <c r="M726" s="341"/>
      <c r="N726" s="342"/>
      <c r="P726" s="343"/>
      <c r="R726" s="250"/>
      <c r="S726" s="265"/>
    </row>
    <row r="727" s="164" customFormat="1" ht="24" customHeight="1" spans="1:19">
      <c r="A727" s="217"/>
      <c r="B727" s="202"/>
      <c r="C727" s="325" t="s">
        <v>1650</v>
      </c>
      <c r="D727" s="203" t="s">
        <v>838</v>
      </c>
      <c r="E727" s="244"/>
      <c r="F727" s="330"/>
      <c r="G727" s="329">
        <v>60.5</v>
      </c>
      <c r="H727" s="325" t="s">
        <v>838</v>
      </c>
      <c r="I727" s="212"/>
      <c r="J727" s="244">
        <v>9.14</v>
      </c>
      <c r="K727" s="332">
        <v>1.01</v>
      </c>
      <c r="L727" s="350">
        <v>8.17</v>
      </c>
      <c r="M727" s="341"/>
      <c r="N727" s="342"/>
      <c r="P727" s="343"/>
      <c r="R727" s="250"/>
      <c r="S727" s="265"/>
    </row>
    <row r="728" s="164" customFormat="1" ht="24" customHeight="1" spans="1:19">
      <c r="A728" s="217"/>
      <c r="B728" s="202"/>
      <c r="C728" s="325" t="s">
        <v>1651</v>
      </c>
      <c r="D728" s="203" t="s">
        <v>838</v>
      </c>
      <c r="E728" s="244"/>
      <c r="F728" s="330"/>
      <c r="G728" s="329">
        <v>80.2</v>
      </c>
      <c r="H728" s="325" t="s">
        <v>838</v>
      </c>
      <c r="I728" s="212"/>
      <c r="J728" s="244">
        <v>11</v>
      </c>
      <c r="K728" s="332">
        <v>1.01</v>
      </c>
      <c r="L728" s="350">
        <v>9.74</v>
      </c>
      <c r="M728" s="341"/>
      <c r="N728" s="342"/>
      <c r="P728" s="343"/>
      <c r="R728" s="250"/>
      <c r="S728" s="265"/>
    </row>
    <row r="729" s="164" customFormat="1" ht="24" customHeight="1" spans="1:19">
      <c r="A729" s="217"/>
      <c r="B729" s="202"/>
      <c r="C729" s="347" t="s">
        <v>1652</v>
      </c>
      <c r="D729" s="203" t="s">
        <v>838</v>
      </c>
      <c r="E729" s="244"/>
      <c r="F729" s="330"/>
      <c r="G729" s="329">
        <v>45</v>
      </c>
      <c r="H729" s="325" t="s">
        <v>838</v>
      </c>
      <c r="I729" s="212"/>
      <c r="J729" s="244">
        <v>8.03</v>
      </c>
      <c r="K729" s="332">
        <v>1.01</v>
      </c>
      <c r="L729" s="350">
        <v>5.32</v>
      </c>
      <c r="M729" s="341"/>
      <c r="N729" s="342"/>
      <c r="P729" s="343"/>
      <c r="R729" s="250"/>
      <c r="S729" s="265"/>
    </row>
    <row r="730" s="164" customFormat="1" ht="24" customHeight="1" spans="1:19">
      <c r="A730" s="217"/>
      <c r="B730" s="202"/>
      <c r="C730" s="347" t="s">
        <v>1653</v>
      </c>
      <c r="D730" s="203" t="s">
        <v>838</v>
      </c>
      <c r="E730" s="244"/>
      <c r="F730" s="330"/>
      <c r="G730" s="329">
        <v>65</v>
      </c>
      <c r="H730" s="325" t="s">
        <v>838</v>
      </c>
      <c r="I730" s="212"/>
      <c r="J730" s="244">
        <v>9.14</v>
      </c>
      <c r="K730" s="332">
        <v>1.01</v>
      </c>
      <c r="L730" s="350">
        <v>8.17</v>
      </c>
      <c r="M730" s="341"/>
      <c r="N730" s="342"/>
      <c r="P730" s="343"/>
      <c r="R730" s="250"/>
      <c r="S730" s="265"/>
    </row>
    <row r="731" s="164" customFormat="1" ht="24" customHeight="1" spans="1:19">
      <c r="A731" s="217"/>
      <c r="B731" s="202"/>
      <c r="C731" s="325" t="s">
        <v>1654</v>
      </c>
      <c r="D731" s="203" t="s">
        <v>838</v>
      </c>
      <c r="E731" s="244"/>
      <c r="F731" s="330"/>
      <c r="G731" s="329">
        <v>25.6</v>
      </c>
      <c r="H731" s="325" t="s">
        <v>838</v>
      </c>
      <c r="I731" s="212"/>
      <c r="J731" s="244">
        <v>8.03</v>
      </c>
      <c r="K731" s="332">
        <v>1.01</v>
      </c>
      <c r="L731" s="350">
        <v>5.32</v>
      </c>
      <c r="M731" s="341"/>
      <c r="N731" s="342"/>
      <c r="P731" s="343"/>
      <c r="R731" s="250"/>
      <c r="S731" s="265"/>
    </row>
    <row r="732" s="164" customFormat="1" ht="24" customHeight="1" spans="1:19">
      <c r="A732" s="217"/>
      <c r="B732" s="202"/>
      <c r="C732" s="325" t="s">
        <v>1655</v>
      </c>
      <c r="D732" s="203" t="s">
        <v>838</v>
      </c>
      <c r="E732" s="244"/>
      <c r="F732" s="330"/>
      <c r="G732" s="329">
        <v>32.7</v>
      </c>
      <c r="H732" s="325" t="s">
        <v>838</v>
      </c>
      <c r="I732" s="212"/>
      <c r="J732" s="244">
        <v>9.14</v>
      </c>
      <c r="K732" s="332">
        <v>1.01</v>
      </c>
      <c r="L732" s="350">
        <v>8.17</v>
      </c>
      <c r="M732" s="341"/>
      <c r="N732" s="342"/>
      <c r="P732" s="343"/>
      <c r="R732" s="250"/>
      <c r="S732" s="265"/>
    </row>
    <row r="733" s="164" customFormat="1" ht="24" customHeight="1" spans="1:19">
      <c r="A733" s="217"/>
      <c r="B733" s="202"/>
      <c r="C733" s="325" t="s">
        <v>1656</v>
      </c>
      <c r="D733" s="203" t="s">
        <v>838</v>
      </c>
      <c r="E733" s="244"/>
      <c r="F733" s="330"/>
      <c r="G733" s="329">
        <v>19.4</v>
      </c>
      <c r="H733" s="325" t="s">
        <v>838</v>
      </c>
      <c r="I733" s="212"/>
      <c r="J733" s="244">
        <v>12.46</v>
      </c>
      <c r="K733" s="332">
        <v>1.01</v>
      </c>
      <c r="L733" s="350">
        <v>3.58</v>
      </c>
      <c r="M733" s="341"/>
      <c r="N733" s="342"/>
      <c r="P733" s="343"/>
      <c r="R733" s="250"/>
      <c r="S733" s="265"/>
    </row>
    <row r="734" s="164" customFormat="1" ht="24" customHeight="1" spans="1:19">
      <c r="A734" s="217"/>
      <c r="B734" s="202"/>
      <c r="C734" s="325" t="s">
        <v>1657</v>
      </c>
      <c r="D734" s="203" t="s">
        <v>838</v>
      </c>
      <c r="E734" s="244"/>
      <c r="F734" s="330"/>
      <c r="G734" s="329">
        <v>21.4</v>
      </c>
      <c r="H734" s="325" t="s">
        <v>838</v>
      </c>
      <c r="I734" s="212"/>
      <c r="J734" s="244">
        <v>12.46</v>
      </c>
      <c r="K734" s="332">
        <v>1.01</v>
      </c>
      <c r="L734" s="350">
        <v>3.58</v>
      </c>
      <c r="M734" s="341"/>
      <c r="N734" s="342"/>
      <c r="P734" s="343"/>
      <c r="R734" s="250"/>
      <c r="S734" s="265"/>
    </row>
    <row r="735" s="164" customFormat="1" ht="24" customHeight="1" spans="1:19">
      <c r="A735" s="217"/>
      <c r="B735" s="202"/>
      <c r="C735" s="325" t="s">
        <v>1658</v>
      </c>
      <c r="D735" s="203" t="s">
        <v>838</v>
      </c>
      <c r="E735" s="244"/>
      <c r="F735" s="330"/>
      <c r="G735" s="329">
        <v>30</v>
      </c>
      <c r="H735" s="325" t="s">
        <v>838</v>
      </c>
      <c r="I735" s="212"/>
      <c r="J735" s="244">
        <v>2.05</v>
      </c>
      <c r="K735" s="332">
        <v>1.01</v>
      </c>
      <c r="L735" s="350">
        <v>0.22</v>
      </c>
      <c r="M735" s="341"/>
      <c r="N735" s="342"/>
      <c r="P735" s="343"/>
      <c r="R735" s="250"/>
      <c r="S735" s="265"/>
    </row>
    <row r="736" s="164" customFormat="1" ht="24" customHeight="1" spans="1:19">
      <c r="A736" s="217"/>
      <c r="B736" s="202"/>
      <c r="C736" s="325" t="s">
        <v>1659</v>
      </c>
      <c r="D736" s="203" t="s">
        <v>838</v>
      </c>
      <c r="E736" s="244"/>
      <c r="F736" s="330"/>
      <c r="G736" s="329">
        <v>56</v>
      </c>
      <c r="H736" s="325" t="s">
        <v>838</v>
      </c>
      <c r="I736" s="212"/>
      <c r="J736" s="244">
        <v>17.25</v>
      </c>
      <c r="K736" s="332">
        <v>1.01</v>
      </c>
      <c r="L736" s="350">
        <v>12</v>
      </c>
      <c r="M736" s="341"/>
      <c r="N736" s="342"/>
      <c r="P736" s="343"/>
      <c r="R736" s="250"/>
      <c r="S736" s="265"/>
    </row>
    <row r="737" s="164" customFormat="1" ht="24" customHeight="1" spans="1:19">
      <c r="A737" s="217"/>
      <c r="B737" s="202"/>
      <c r="C737" s="325" t="s">
        <v>1660</v>
      </c>
      <c r="D737" s="203" t="s">
        <v>838</v>
      </c>
      <c r="E737" s="244"/>
      <c r="F737" s="330"/>
      <c r="G737" s="329">
        <v>65.2</v>
      </c>
      <c r="H737" s="325" t="s">
        <v>838</v>
      </c>
      <c r="I737" s="212"/>
      <c r="J737" s="244">
        <v>11</v>
      </c>
      <c r="K737" s="332">
        <v>1.01</v>
      </c>
      <c r="L737" s="350">
        <v>9.74</v>
      </c>
      <c r="M737" s="341"/>
      <c r="N737" s="342"/>
      <c r="P737" s="343"/>
      <c r="R737" s="250"/>
      <c r="S737" s="265"/>
    </row>
    <row r="738" s="164" customFormat="1" ht="24" customHeight="1" spans="1:19">
      <c r="A738" s="217"/>
      <c r="B738" s="202"/>
      <c r="C738" s="325" t="s">
        <v>1661</v>
      </c>
      <c r="D738" s="203" t="s">
        <v>838</v>
      </c>
      <c r="E738" s="244"/>
      <c r="F738" s="330"/>
      <c r="G738" s="329">
        <v>70.5</v>
      </c>
      <c r="H738" s="325" t="s">
        <v>838</v>
      </c>
      <c r="I738" s="212"/>
      <c r="J738" s="244">
        <v>14.8</v>
      </c>
      <c r="K738" s="332">
        <v>1.01</v>
      </c>
      <c r="L738" s="350">
        <v>12.48</v>
      </c>
      <c r="M738" s="341"/>
      <c r="N738" s="342"/>
      <c r="P738" s="343"/>
      <c r="R738" s="250"/>
      <c r="S738" s="265"/>
    </row>
    <row r="739" s="164" customFormat="1" ht="24" customHeight="1" spans="1:19">
      <c r="A739" s="217"/>
      <c r="B739" s="202"/>
      <c r="C739" s="325" t="s">
        <v>1662</v>
      </c>
      <c r="D739" s="203" t="s">
        <v>838</v>
      </c>
      <c r="E739" s="244"/>
      <c r="F739" s="330"/>
      <c r="G739" s="329">
        <v>78.2</v>
      </c>
      <c r="H739" s="325" t="s">
        <v>838</v>
      </c>
      <c r="I739" s="212"/>
      <c r="J739" s="244">
        <v>18.9</v>
      </c>
      <c r="K739" s="332">
        <v>1.01</v>
      </c>
      <c r="L739" s="350">
        <v>14.67</v>
      </c>
      <c r="M739" s="341"/>
      <c r="N739" s="342"/>
      <c r="P739" s="343"/>
      <c r="R739" s="250"/>
      <c r="S739" s="265"/>
    </row>
    <row r="740" s="164" customFormat="1" ht="24" customHeight="1" spans="1:19">
      <c r="A740" s="217"/>
      <c r="B740" s="295" t="s">
        <v>1663</v>
      </c>
      <c r="C740" s="325" t="s">
        <v>1664</v>
      </c>
      <c r="D740" s="203" t="s">
        <v>838</v>
      </c>
      <c r="E740" s="244"/>
      <c r="F740" s="330"/>
      <c r="G740" s="329">
        <v>140</v>
      </c>
      <c r="H740" s="325" t="s">
        <v>838</v>
      </c>
      <c r="I740" s="212"/>
      <c r="J740" s="244">
        <v>24.75</v>
      </c>
      <c r="K740" s="332">
        <v>1</v>
      </c>
      <c r="L740" s="350">
        <v>58.3</v>
      </c>
      <c r="M740" s="341"/>
      <c r="N740" s="342"/>
      <c r="P740" s="343"/>
      <c r="R740" s="250"/>
      <c r="S740" s="265"/>
    </row>
    <row r="741" s="164" customFormat="1" ht="24" customHeight="1" spans="1:19">
      <c r="A741" s="217"/>
      <c r="B741" s="202"/>
      <c r="C741" s="325" t="s">
        <v>1665</v>
      </c>
      <c r="D741" s="203" t="s">
        <v>838</v>
      </c>
      <c r="E741" s="244"/>
      <c r="F741" s="330"/>
      <c r="G741" s="329">
        <v>200</v>
      </c>
      <c r="H741" s="325" t="s">
        <v>838</v>
      </c>
      <c r="I741" s="212"/>
      <c r="J741" s="244">
        <v>39.58</v>
      </c>
      <c r="K741" s="332">
        <v>1.01</v>
      </c>
      <c r="L741" s="350">
        <v>61.49</v>
      </c>
      <c r="M741" s="341"/>
      <c r="N741" s="342"/>
      <c r="P741" s="343"/>
      <c r="R741" s="250"/>
      <c r="S741" s="265"/>
    </row>
    <row r="742" s="164" customFormat="1" ht="24" customHeight="1" spans="1:19">
      <c r="A742" s="217"/>
      <c r="B742" s="202"/>
      <c r="C742" s="325" t="s">
        <v>1666</v>
      </c>
      <c r="D742" s="203" t="s">
        <v>838</v>
      </c>
      <c r="E742" s="244"/>
      <c r="F742" s="330"/>
      <c r="G742" s="329">
        <v>240</v>
      </c>
      <c r="H742" s="325" t="s">
        <v>838</v>
      </c>
      <c r="I742" s="212"/>
      <c r="J742" s="244">
        <v>57.34</v>
      </c>
      <c r="K742" s="332">
        <v>1</v>
      </c>
      <c r="L742" s="350">
        <v>86.21</v>
      </c>
      <c r="M742" s="341"/>
      <c r="N742" s="342"/>
      <c r="P742" s="343"/>
      <c r="R742" s="250"/>
      <c r="S742" s="265"/>
    </row>
    <row r="743" s="164" customFormat="1" ht="24" customHeight="1" spans="1:19">
      <c r="A743" s="217"/>
      <c r="B743" s="202"/>
      <c r="C743" s="325" t="s">
        <v>1667</v>
      </c>
      <c r="D743" s="203" t="s">
        <v>838</v>
      </c>
      <c r="E743" s="244"/>
      <c r="F743" s="330"/>
      <c r="G743" s="329">
        <v>320</v>
      </c>
      <c r="H743" s="325" t="s">
        <v>838</v>
      </c>
      <c r="I743" s="212"/>
      <c r="J743" s="244">
        <v>57.34</v>
      </c>
      <c r="K743" s="332">
        <v>1</v>
      </c>
      <c r="L743" s="350">
        <v>106.21</v>
      </c>
      <c r="M743" s="341"/>
      <c r="N743" s="342"/>
      <c r="P743" s="343"/>
      <c r="R743" s="250"/>
      <c r="S743" s="265"/>
    </row>
    <row r="744" s="164" customFormat="1" ht="24" customHeight="1" spans="1:19">
      <c r="A744" s="217"/>
      <c r="B744" s="202"/>
      <c r="C744" s="325" t="s">
        <v>1668</v>
      </c>
      <c r="D744" s="203" t="s">
        <v>838</v>
      </c>
      <c r="E744" s="244"/>
      <c r="F744" s="330"/>
      <c r="G744" s="329">
        <v>171.98</v>
      </c>
      <c r="H744" s="325" t="s">
        <v>838</v>
      </c>
      <c r="I744" s="212"/>
      <c r="J744" s="244">
        <v>39.58</v>
      </c>
      <c r="K744" s="332">
        <v>1.01</v>
      </c>
      <c r="L744" s="350">
        <v>61.49</v>
      </c>
      <c r="M744" s="341"/>
      <c r="N744" s="342"/>
      <c r="P744" s="343"/>
      <c r="R744" s="250"/>
      <c r="S744" s="265"/>
    </row>
    <row r="745" s="164" customFormat="1" ht="24" customHeight="1" spans="1:19">
      <c r="A745" s="217"/>
      <c r="B745" s="202"/>
      <c r="C745" s="325" t="s">
        <v>1669</v>
      </c>
      <c r="D745" s="203" t="s">
        <v>838</v>
      </c>
      <c r="E745" s="244"/>
      <c r="F745" s="330"/>
      <c r="G745" s="329">
        <v>230.38</v>
      </c>
      <c r="H745" s="325" t="s">
        <v>838</v>
      </c>
      <c r="I745" s="212"/>
      <c r="J745" s="244">
        <v>57.34</v>
      </c>
      <c r="K745" s="332">
        <v>1</v>
      </c>
      <c r="L745" s="350">
        <v>86.21</v>
      </c>
      <c r="M745" s="341"/>
      <c r="N745" s="342"/>
      <c r="P745" s="343"/>
      <c r="R745" s="250"/>
      <c r="S745" s="265"/>
    </row>
    <row r="746" s="164" customFormat="1" ht="24" customHeight="1" spans="1:19">
      <c r="A746" s="217"/>
      <c r="B746" s="202"/>
      <c r="C746" s="325" t="s">
        <v>1670</v>
      </c>
      <c r="D746" s="203" t="s">
        <v>838</v>
      </c>
      <c r="E746" s="244"/>
      <c r="F746" s="330"/>
      <c r="G746" s="329">
        <v>280.36</v>
      </c>
      <c r="H746" s="325" t="s">
        <v>838</v>
      </c>
      <c r="I746" s="212"/>
      <c r="J746" s="244">
        <v>57.34</v>
      </c>
      <c r="K746" s="332">
        <v>1</v>
      </c>
      <c r="L746" s="350">
        <v>106.21</v>
      </c>
      <c r="M746" s="341"/>
      <c r="N746" s="342"/>
      <c r="P746" s="343"/>
      <c r="R746" s="250"/>
      <c r="S746" s="265"/>
    </row>
    <row r="747" s="164" customFormat="1" ht="24" customHeight="1" spans="1:19">
      <c r="A747" s="217"/>
      <c r="B747" s="202"/>
      <c r="C747" s="325" t="s">
        <v>1671</v>
      </c>
      <c r="D747" s="203" t="s">
        <v>838</v>
      </c>
      <c r="E747" s="244"/>
      <c r="F747" s="330"/>
      <c r="G747" s="329">
        <v>120</v>
      </c>
      <c r="H747" s="325" t="s">
        <v>838</v>
      </c>
      <c r="I747" s="212"/>
      <c r="J747" s="244">
        <v>24.75</v>
      </c>
      <c r="K747" s="332">
        <v>1</v>
      </c>
      <c r="L747" s="350">
        <v>58.3</v>
      </c>
      <c r="M747" s="341"/>
      <c r="N747" s="342"/>
      <c r="P747" s="343"/>
      <c r="R747" s="250"/>
      <c r="S747" s="265"/>
    </row>
    <row r="748" s="164" customFormat="1" ht="24" customHeight="1" spans="1:19">
      <c r="A748" s="217"/>
      <c r="B748" s="202"/>
      <c r="C748" s="325" t="s">
        <v>1672</v>
      </c>
      <c r="D748" s="203" t="s">
        <v>838</v>
      </c>
      <c r="E748" s="244"/>
      <c r="F748" s="330"/>
      <c r="G748" s="329">
        <v>150</v>
      </c>
      <c r="H748" s="325" t="s">
        <v>838</v>
      </c>
      <c r="I748" s="212"/>
      <c r="J748" s="244">
        <v>39.58</v>
      </c>
      <c r="K748" s="332">
        <v>1.01</v>
      </c>
      <c r="L748" s="350">
        <v>61.49</v>
      </c>
      <c r="M748" s="341"/>
      <c r="N748" s="342"/>
      <c r="P748" s="343"/>
      <c r="R748" s="250"/>
      <c r="S748" s="265"/>
    </row>
    <row r="749" s="164" customFormat="1" ht="24" customHeight="1" spans="1:19">
      <c r="A749" s="217"/>
      <c r="B749" s="202"/>
      <c r="C749" s="325" t="s">
        <v>1673</v>
      </c>
      <c r="D749" s="203" t="s">
        <v>838</v>
      </c>
      <c r="E749" s="244"/>
      <c r="F749" s="330"/>
      <c r="G749" s="329">
        <v>185</v>
      </c>
      <c r="H749" s="325" t="s">
        <v>838</v>
      </c>
      <c r="I749" s="212"/>
      <c r="J749" s="244">
        <v>57.34</v>
      </c>
      <c r="K749" s="332">
        <v>1</v>
      </c>
      <c r="L749" s="350">
        <v>86.21</v>
      </c>
      <c r="M749" s="341"/>
      <c r="N749" s="342"/>
      <c r="P749" s="343"/>
      <c r="R749" s="250"/>
      <c r="S749" s="265"/>
    </row>
    <row r="750" s="164" customFormat="1" ht="24" customHeight="1" spans="1:19">
      <c r="A750" s="217"/>
      <c r="B750" s="202"/>
      <c r="C750" s="325" t="s">
        <v>1674</v>
      </c>
      <c r="D750" s="203" t="s">
        <v>838</v>
      </c>
      <c r="E750" s="244"/>
      <c r="F750" s="330"/>
      <c r="G750" s="329">
        <v>229</v>
      </c>
      <c r="H750" s="325" t="s">
        <v>838</v>
      </c>
      <c r="I750" s="212"/>
      <c r="J750" s="244">
        <v>57.34</v>
      </c>
      <c r="K750" s="332">
        <v>1</v>
      </c>
      <c r="L750" s="350">
        <v>106.21</v>
      </c>
      <c r="M750" s="341"/>
      <c r="N750" s="342"/>
      <c r="P750" s="343"/>
      <c r="R750" s="250"/>
      <c r="S750" s="265"/>
    </row>
    <row r="751" s="164" customFormat="1" ht="24" customHeight="1" spans="1:19">
      <c r="A751" s="217"/>
      <c r="B751" s="202"/>
      <c r="C751" s="325" t="s">
        <v>1675</v>
      </c>
      <c r="D751" s="203" t="s">
        <v>838</v>
      </c>
      <c r="E751" s="244"/>
      <c r="F751" s="330"/>
      <c r="G751" s="329">
        <v>82</v>
      </c>
      <c r="H751" s="325" t="s">
        <v>838</v>
      </c>
      <c r="I751" s="212"/>
      <c r="J751" s="244">
        <v>24.75</v>
      </c>
      <c r="K751" s="332">
        <v>1</v>
      </c>
      <c r="L751" s="350">
        <v>42.6</v>
      </c>
      <c r="M751" s="341"/>
      <c r="N751" s="342"/>
      <c r="P751" s="343"/>
      <c r="R751" s="250"/>
      <c r="S751" s="265"/>
    </row>
    <row r="752" s="164" customFormat="1" ht="24" customHeight="1" spans="1:19">
      <c r="A752" s="217"/>
      <c r="B752" s="202"/>
      <c r="C752" s="325" t="s">
        <v>1676</v>
      </c>
      <c r="D752" s="203" t="s">
        <v>838</v>
      </c>
      <c r="E752" s="244"/>
      <c r="F752" s="330"/>
      <c r="G752" s="329">
        <v>115</v>
      </c>
      <c r="H752" s="325" t="s">
        <v>838</v>
      </c>
      <c r="I752" s="212"/>
      <c r="J752" s="244">
        <v>24.75</v>
      </c>
      <c r="K752" s="332">
        <v>1</v>
      </c>
      <c r="L752" s="350">
        <v>58.3</v>
      </c>
      <c r="M752" s="341"/>
      <c r="N752" s="342"/>
      <c r="P752" s="343"/>
      <c r="R752" s="250"/>
      <c r="S752" s="265"/>
    </row>
    <row r="753" s="164" customFormat="1" ht="24" customHeight="1" spans="1:19">
      <c r="A753" s="217"/>
      <c r="B753" s="202"/>
      <c r="C753" s="325" t="s">
        <v>1677</v>
      </c>
      <c r="D753" s="203" t="s">
        <v>838</v>
      </c>
      <c r="E753" s="244"/>
      <c r="F753" s="330"/>
      <c r="G753" s="329">
        <v>121</v>
      </c>
      <c r="H753" s="325" t="s">
        <v>838</v>
      </c>
      <c r="I753" s="212"/>
      <c r="J753" s="244">
        <v>39.58</v>
      </c>
      <c r="K753" s="332">
        <v>1.01</v>
      </c>
      <c r="L753" s="350">
        <v>61.49</v>
      </c>
      <c r="M753" s="341"/>
      <c r="N753" s="342"/>
      <c r="P753" s="343"/>
      <c r="R753" s="250"/>
      <c r="S753" s="265"/>
    </row>
    <row r="754" s="164" customFormat="1" ht="24" customHeight="1" spans="1:19">
      <c r="A754" s="217"/>
      <c r="B754" s="202"/>
      <c r="C754" s="325" t="s">
        <v>1678</v>
      </c>
      <c r="D754" s="203" t="s">
        <v>838</v>
      </c>
      <c r="E754" s="244"/>
      <c r="F754" s="330"/>
      <c r="G754" s="329">
        <v>131</v>
      </c>
      <c r="H754" s="325" t="s">
        <v>838</v>
      </c>
      <c r="I754" s="212"/>
      <c r="J754" s="244">
        <v>57.34</v>
      </c>
      <c r="K754" s="332">
        <v>1</v>
      </c>
      <c r="L754" s="350">
        <v>86.21</v>
      </c>
      <c r="M754" s="341"/>
      <c r="N754" s="342"/>
      <c r="P754" s="343"/>
      <c r="R754" s="250"/>
      <c r="S754" s="265"/>
    </row>
    <row r="755" s="164" customFormat="1" ht="24" customHeight="1" spans="1:19">
      <c r="A755" s="217"/>
      <c r="B755" s="202"/>
      <c r="C755" s="325" t="s">
        <v>1679</v>
      </c>
      <c r="D755" s="203" t="s">
        <v>838</v>
      </c>
      <c r="E755" s="244"/>
      <c r="F755" s="330"/>
      <c r="G755" s="329">
        <v>161</v>
      </c>
      <c r="H755" s="325" t="s">
        <v>838</v>
      </c>
      <c r="I755" s="212"/>
      <c r="J755" s="244">
        <v>57.34</v>
      </c>
      <c r="K755" s="332">
        <v>1</v>
      </c>
      <c r="L755" s="350">
        <v>106.21</v>
      </c>
      <c r="M755" s="341"/>
      <c r="N755" s="342"/>
      <c r="P755" s="343"/>
      <c r="R755" s="250"/>
      <c r="S755" s="265"/>
    </row>
    <row r="756" s="164" customFormat="1" ht="24" customHeight="1" spans="1:19">
      <c r="A756" s="217"/>
      <c r="B756" s="202"/>
      <c r="C756" s="325" t="s">
        <v>1680</v>
      </c>
      <c r="D756" s="203" t="s">
        <v>838</v>
      </c>
      <c r="E756" s="244"/>
      <c r="F756" s="330"/>
      <c r="G756" s="329">
        <v>216</v>
      </c>
      <c r="H756" s="325" t="s">
        <v>838</v>
      </c>
      <c r="I756" s="212"/>
      <c r="J756" s="244">
        <v>63</v>
      </c>
      <c r="K756" s="332">
        <v>1.01</v>
      </c>
      <c r="L756" s="350">
        <v>135.2</v>
      </c>
      <c r="M756" s="341"/>
      <c r="N756" s="342"/>
      <c r="P756" s="343"/>
      <c r="R756" s="250"/>
      <c r="S756" s="265"/>
    </row>
    <row r="757" s="164" customFormat="1" ht="24" customHeight="1" spans="1:19">
      <c r="A757" s="217"/>
      <c r="B757" s="202"/>
      <c r="C757" s="325" t="s">
        <v>1681</v>
      </c>
      <c r="D757" s="203" t="s">
        <v>838</v>
      </c>
      <c r="E757" s="244"/>
      <c r="F757" s="330"/>
      <c r="G757" s="329">
        <v>244</v>
      </c>
      <c r="H757" s="325" t="s">
        <v>838</v>
      </c>
      <c r="I757" s="212"/>
      <c r="J757" s="244">
        <v>76.5</v>
      </c>
      <c r="K757" s="332">
        <v>1.01</v>
      </c>
      <c r="L757" s="350">
        <v>145.2</v>
      </c>
      <c r="M757" s="341"/>
      <c r="N757" s="342"/>
      <c r="P757" s="343"/>
      <c r="R757" s="250"/>
      <c r="S757" s="265"/>
    </row>
    <row r="758" s="164" customFormat="1" ht="24" customHeight="1" spans="1:19">
      <c r="A758" s="217"/>
      <c r="B758" s="202"/>
      <c r="C758" s="325" t="s">
        <v>1682</v>
      </c>
      <c r="D758" s="203" t="s">
        <v>838</v>
      </c>
      <c r="E758" s="244"/>
      <c r="F758" s="330"/>
      <c r="G758" s="329">
        <v>285</v>
      </c>
      <c r="H758" s="325" t="s">
        <v>838</v>
      </c>
      <c r="I758" s="212"/>
      <c r="J758" s="244">
        <v>118.6</v>
      </c>
      <c r="K758" s="332">
        <v>1.01</v>
      </c>
      <c r="L758" s="350">
        <v>186.2</v>
      </c>
      <c r="M758" s="341"/>
      <c r="N758" s="342"/>
      <c r="P758" s="343"/>
      <c r="R758" s="250"/>
      <c r="S758" s="265"/>
    </row>
    <row r="759" s="164" customFormat="1" ht="24" customHeight="1" spans="1:19">
      <c r="A759" s="217"/>
      <c r="B759" s="202"/>
      <c r="C759" s="325" t="s">
        <v>1683</v>
      </c>
      <c r="D759" s="203" t="s">
        <v>838</v>
      </c>
      <c r="E759" s="244"/>
      <c r="F759" s="330"/>
      <c r="G759" s="329">
        <v>336</v>
      </c>
      <c r="H759" s="325" t="s">
        <v>838</v>
      </c>
      <c r="I759" s="212"/>
      <c r="J759" s="244">
        <v>156.8</v>
      </c>
      <c r="K759" s="332">
        <v>1.01</v>
      </c>
      <c r="L759" s="350">
        <v>212.5</v>
      </c>
      <c r="M759" s="341"/>
      <c r="N759" s="342"/>
      <c r="P759" s="343"/>
      <c r="R759" s="250"/>
      <c r="S759" s="265"/>
    </row>
    <row r="760" s="164" customFormat="1" ht="24" customHeight="1" spans="1:19">
      <c r="A760" s="217"/>
      <c r="B760" s="202"/>
      <c r="C760" s="325" t="s">
        <v>1684</v>
      </c>
      <c r="D760" s="203" t="s">
        <v>838</v>
      </c>
      <c r="E760" s="244"/>
      <c r="F760" s="330"/>
      <c r="G760" s="329">
        <v>350.43</v>
      </c>
      <c r="H760" s="325" t="s">
        <v>838</v>
      </c>
      <c r="I760" s="212"/>
      <c r="J760" s="244">
        <v>51.82</v>
      </c>
      <c r="K760" s="332">
        <v>1</v>
      </c>
      <c r="L760" s="350">
        <v>61.49</v>
      </c>
      <c r="M760" s="341"/>
      <c r="N760" s="342"/>
      <c r="P760" s="343"/>
      <c r="R760" s="250"/>
      <c r="S760" s="265"/>
    </row>
    <row r="761" s="164" customFormat="1" ht="24" customHeight="1" spans="1:19">
      <c r="A761" s="217"/>
      <c r="B761" s="202"/>
      <c r="C761" s="325" t="s">
        <v>1685</v>
      </c>
      <c r="D761" s="203" t="s">
        <v>838</v>
      </c>
      <c r="E761" s="244"/>
      <c r="F761" s="330"/>
      <c r="G761" s="329">
        <v>451.28</v>
      </c>
      <c r="H761" s="325" t="s">
        <v>838</v>
      </c>
      <c r="I761" s="212"/>
      <c r="J761" s="244">
        <v>61.13</v>
      </c>
      <c r="K761" s="332">
        <v>1</v>
      </c>
      <c r="L761" s="350">
        <v>72.98</v>
      </c>
      <c r="M761" s="341"/>
      <c r="N761" s="342"/>
      <c r="P761" s="343"/>
      <c r="R761" s="250"/>
      <c r="S761" s="265"/>
    </row>
    <row r="762" s="164" customFormat="1" ht="24" customHeight="1" spans="1:19">
      <c r="A762" s="217"/>
      <c r="B762" s="202"/>
      <c r="C762" s="325" t="s">
        <v>1686</v>
      </c>
      <c r="D762" s="203" t="s">
        <v>838</v>
      </c>
      <c r="E762" s="244"/>
      <c r="F762" s="330"/>
      <c r="G762" s="329">
        <v>70</v>
      </c>
      <c r="H762" s="325" t="s">
        <v>838</v>
      </c>
      <c r="I762" s="212"/>
      <c r="J762" s="244">
        <v>24.75</v>
      </c>
      <c r="K762" s="332">
        <v>1</v>
      </c>
      <c r="L762" s="350">
        <v>58.3</v>
      </c>
      <c r="M762" s="341"/>
      <c r="N762" s="342"/>
      <c r="P762" s="343"/>
      <c r="R762" s="250"/>
      <c r="S762" s="265"/>
    </row>
    <row r="763" s="164" customFormat="1" ht="24" customHeight="1" spans="1:19">
      <c r="A763" s="217"/>
      <c r="B763" s="202"/>
      <c r="C763" s="325" t="s">
        <v>1687</v>
      </c>
      <c r="D763" s="203" t="s">
        <v>838</v>
      </c>
      <c r="E763" s="244"/>
      <c r="F763" s="330"/>
      <c r="G763" s="329">
        <v>98</v>
      </c>
      <c r="H763" s="325" t="s">
        <v>838</v>
      </c>
      <c r="I763" s="212"/>
      <c r="J763" s="244">
        <v>39.58</v>
      </c>
      <c r="K763" s="332">
        <v>1.01</v>
      </c>
      <c r="L763" s="350">
        <v>61.49</v>
      </c>
      <c r="M763" s="341"/>
      <c r="N763" s="342"/>
      <c r="P763" s="343"/>
      <c r="R763" s="250"/>
      <c r="S763" s="265"/>
    </row>
    <row r="764" s="164" customFormat="1" ht="24" customHeight="1" spans="1:19">
      <c r="A764" s="217"/>
      <c r="B764" s="202"/>
      <c r="C764" s="325" t="s">
        <v>1688</v>
      </c>
      <c r="D764" s="203" t="s">
        <v>838</v>
      </c>
      <c r="E764" s="244"/>
      <c r="F764" s="330"/>
      <c r="G764" s="329">
        <v>108</v>
      </c>
      <c r="H764" s="325" t="s">
        <v>838</v>
      </c>
      <c r="I764" s="212"/>
      <c r="J764" s="244">
        <v>57.34</v>
      </c>
      <c r="K764" s="332">
        <v>1</v>
      </c>
      <c r="L764" s="350">
        <v>86.21</v>
      </c>
      <c r="M764" s="341"/>
      <c r="N764" s="342"/>
      <c r="P764" s="343"/>
      <c r="R764" s="250"/>
      <c r="S764" s="265"/>
    </row>
    <row r="765" s="164" customFormat="1" ht="24" customHeight="1" spans="1:19">
      <c r="A765" s="217"/>
      <c r="B765" s="202"/>
      <c r="C765" s="325" t="s">
        <v>1689</v>
      </c>
      <c r="D765" s="203" t="s">
        <v>838</v>
      </c>
      <c r="E765" s="244"/>
      <c r="F765" s="330"/>
      <c r="G765" s="329">
        <v>130</v>
      </c>
      <c r="H765" s="325" t="s">
        <v>838</v>
      </c>
      <c r="I765" s="212"/>
      <c r="J765" s="244">
        <v>57.34</v>
      </c>
      <c r="K765" s="332">
        <v>1</v>
      </c>
      <c r="L765" s="350">
        <v>106.21</v>
      </c>
      <c r="M765" s="341"/>
      <c r="N765" s="342"/>
      <c r="P765" s="343"/>
      <c r="R765" s="250"/>
      <c r="S765" s="265"/>
    </row>
    <row r="766" s="164" customFormat="1" ht="24" customHeight="1" spans="1:19">
      <c r="A766" s="217"/>
      <c r="B766" s="202"/>
      <c r="C766" s="325" t="s">
        <v>1690</v>
      </c>
      <c r="D766" s="203" t="s">
        <v>838</v>
      </c>
      <c r="E766" s="244"/>
      <c r="F766" s="330"/>
      <c r="G766" s="329">
        <v>123.74</v>
      </c>
      <c r="H766" s="325" t="s">
        <v>838</v>
      </c>
      <c r="I766" s="212"/>
      <c r="J766" s="244">
        <v>39.58</v>
      </c>
      <c r="K766" s="332">
        <v>1.01</v>
      </c>
      <c r="L766" s="350">
        <v>61.49</v>
      </c>
      <c r="M766" s="341"/>
      <c r="N766" s="342"/>
      <c r="P766" s="343"/>
      <c r="R766" s="250"/>
      <c r="S766" s="265"/>
    </row>
    <row r="767" s="164" customFormat="1" ht="24" customHeight="1" spans="1:19">
      <c r="A767" s="217"/>
      <c r="B767" s="202"/>
      <c r="C767" s="325" t="s">
        <v>1691</v>
      </c>
      <c r="D767" s="203" t="s">
        <v>838</v>
      </c>
      <c r="E767" s="244"/>
      <c r="F767" s="330"/>
      <c r="G767" s="329">
        <f>171/1.13</f>
        <v>151.327433628319</v>
      </c>
      <c r="H767" s="325" t="s">
        <v>838</v>
      </c>
      <c r="I767" s="212"/>
      <c r="J767" s="244">
        <v>57.34</v>
      </c>
      <c r="K767" s="332">
        <v>1</v>
      </c>
      <c r="L767" s="350">
        <v>86.21</v>
      </c>
      <c r="M767" s="341"/>
      <c r="N767" s="342"/>
      <c r="P767" s="343"/>
      <c r="R767" s="250"/>
      <c r="S767" s="265"/>
    </row>
    <row r="768" s="164" customFormat="1" ht="24" customHeight="1" spans="1:19">
      <c r="A768" s="217"/>
      <c r="B768" s="202"/>
      <c r="C768" s="325" t="s">
        <v>1692</v>
      </c>
      <c r="D768" s="203" t="s">
        <v>838</v>
      </c>
      <c r="E768" s="244"/>
      <c r="F768" s="330"/>
      <c r="G768" s="329">
        <f>204/1.13</f>
        <v>180.530973451327</v>
      </c>
      <c r="H768" s="325" t="s">
        <v>838</v>
      </c>
      <c r="I768" s="212"/>
      <c r="J768" s="244">
        <v>57.34</v>
      </c>
      <c r="K768" s="332">
        <v>1</v>
      </c>
      <c r="L768" s="350">
        <v>106.21</v>
      </c>
      <c r="M768" s="341"/>
      <c r="N768" s="342"/>
      <c r="P768" s="343"/>
      <c r="R768" s="250"/>
      <c r="S768" s="265"/>
    </row>
    <row r="769" s="164" customFormat="1" ht="24" customHeight="1" spans="1:19">
      <c r="A769" s="217"/>
      <c r="B769" s="202"/>
      <c r="C769" s="325" t="s">
        <v>1693</v>
      </c>
      <c r="D769" s="203" t="s">
        <v>838</v>
      </c>
      <c r="E769" s="244"/>
      <c r="F769" s="330"/>
      <c r="G769" s="329">
        <f>302/1.13</f>
        <v>267.256637168142</v>
      </c>
      <c r="H769" s="325" t="s">
        <v>838</v>
      </c>
      <c r="I769" s="212"/>
      <c r="J769" s="244">
        <v>63</v>
      </c>
      <c r="K769" s="332">
        <v>1.01</v>
      </c>
      <c r="L769" s="350">
        <v>135.2</v>
      </c>
      <c r="M769" s="341"/>
      <c r="N769" s="342"/>
      <c r="P769" s="343"/>
      <c r="R769" s="250"/>
      <c r="S769" s="265"/>
    </row>
    <row r="770" s="164" customFormat="1" ht="24" customHeight="1" spans="1:19">
      <c r="A770" s="217"/>
      <c r="B770" s="202"/>
      <c r="C770" s="325" t="s">
        <v>1694</v>
      </c>
      <c r="D770" s="203" t="s">
        <v>838</v>
      </c>
      <c r="E770" s="244"/>
      <c r="F770" s="330"/>
      <c r="G770" s="329">
        <v>306.89</v>
      </c>
      <c r="H770" s="325" t="s">
        <v>838</v>
      </c>
      <c r="I770" s="212"/>
      <c r="J770" s="244">
        <v>76.5</v>
      </c>
      <c r="K770" s="332">
        <v>1.01</v>
      </c>
      <c r="L770" s="350">
        <v>145.2</v>
      </c>
      <c r="M770" s="341"/>
      <c r="N770" s="342"/>
      <c r="P770" s="343"/>
      <c r="R770" s="250"/>
      <c r="S770" s="265"/>
    </row>
    <row r="771" s="164" customFormat="1" ht="24" customHeight="1" spans="1:19">
      <c r="A771" s="217"/>
      <c r="B771" s="202"/>
      <c r="C771" s="325" t="s">
        <v>1695</v>
      </c>
      <c r="D771" s="203" t="s">
        <v>838</v>
      </c>
      <c r="E771" s="244"/>
      <c r="F771" s="330"/>
      <c r="G771" s="329">
        <f>538/1.13</f>
        <v>476.106194690266</v>
      </c>
      <c r="H771" s="325" t="s">
        <v>838</v>
      </c>
      <c r="I771" s="212"/>
      <c r="J771" s="244">
        <v>118.6</v>
      </c>
      <c r="K771" s="332">
        <v>1.01</v>
      </c>
      <c r="L771" s="350">
        <v>186.2</v>
      </c>
      <c r="M771" s="341"/>
      <c r="N771" s="342"/>
      <c r="P771" s="343"/>
      <c r="R771" s="250"/>
      <c r="S771" s="265"/>
    </row>
    <row r="772" s="164" customFormat="1" ht="24" customHeight="1" spans="1:19">
      <c r="A772" s="217"/>
      <c r="B772" s="202"/>
      <c r="C772" s="325" t="s">
        <v>1696</v>
      </c>
      <c r="D772" s="203" t="s">
        <v>838</v>
      </c>
      <c r="E772" s="244"/>
      <c r="F772" s="330"/>
      <c r="G772" s="329">
        <v>500</v>
      </c>
      <c r="H772" s="325" t="s">
        <v>838</v>
      </c>
      <c r="I772" s="212"/>
      <c r="J772" s="244">
        <v>95.75</v>
      </c>
      <c r="K772" s="332">
        <v>1.01</v>
      </c>
      <c r="L772" s="350">
        <v>200</v>
      </c>
      <c r="M772" s="341"/>
      <c r="N772" s="342"/>
      <c r="P772" s="343"/>
      <c r="R772" s="250"/>
      <c r="S772" s="265"/>
    </row>
    <row r="773" s="164" customFormat="1" ht="24" customHeight="1" spans="1:19">
      <c r="A773" s="217"/>
      <c r="B773" s="202"/>
      <c r="C773" s="325" t="s">
        <v>1697</v>
      </c>
      <c r="D773" s="203" t="s">
        <v>838</v>
      </c>
      <c r="E773" s="244"/>
      <c r="F773" s="330"/>
      <c r="G773" s="329">
        <v>76.38</v>
      </c>
      <c r="H773" s="325" t="s">
        <v>838</v>
      </c>
      <c r="I773" s="212"/>
      <c r="J773" s="244">
        <v>23</v>
      </c>
      <c r="K773" s="332">
        <v>1.01</v>
      </c>
      <c r="L773" s="350">
        <v>18.85</v>
      </c>
      <c r="M773" s="341"/>
      <c r="N773" s="342"/>
      <c r="P773" s="343"/>
      <c r="R773" s="250"/>
      <c r="S773" s="265"/>
    </row>
    <row r="774" s="164" customFormat="1" ht="24" customHeight="1" spans="1:19">
      <c r="A774" s="217"/>
      <c r="B774" s="202"/>
      <c r="C774" s="325" t="s">
        <v>1698</v>
      </c>
      <c r="D774" s="203" t="s">
        <v>1381</v>
      </c>
      <c r="E774" s="244"/>
      <c r="F774" s="330"/>
      <c r="G774" s="329">
        <v>68</v>
      </c>
      <c r="H774" s="325" t="s">
        <v>1381</v>
      </c>
      <c r="I774" s="212"/>
      <c r="J774" s="244">
        <v>27.25</v>
      </c>
      <c r="K774" s="332">
        <v>1.01</v>
      </c>
      <c r="L774" s="350">
        <v>25.6</v>
      </c>
      <c r="M774" s="341"/>
      <c r="N774" s="342"/>
      <c r="P774" s="343"/>
      <c r="R774" s="250"/>
      <c r="S774" s="265"/>
    </row>
    <row r="775" s="164" customFormat="1" ht="24" customHeight="1" spans="1:19">
      <c r="A775" s="217"/>
      <c r="B775" s="295" t="s">
        <v>1699</v>
      </c>
      <c r="C775" s="325" t="s">
        <v>1700</v>
      </c>
      <c r="D775" s="203" t="s">
        <v>1701</v>
      </c>
      <c r="E775" s="244"/>
      <c r="F775" s="330"/>
      <c r="G775" s="329">
        <v>142</v>
      </c>
      <c r="H775" s="325" t="s">
        <v>1701</v>
      </c>
      <c r="I775" s="212"/>
      <c r="J775" s="244">
        <v>13.13</v>
      </c>
      <c r="K775" s="332">
        <v>1</v>
      </c>
      <c r="L775" s="350">
        <v>5.03</v>
      </c>
      <c r="M775" s="341"/>
      <c r="N775" s="342"/>
      <c r="P775" s="343"/>
      <c r="R775" s="250"/>
      <c r="S775" s="265"/>
    </row>
    <row r="776" s="164" customFormat="1" ht="24" customHeight="1" spans="1:19">
      <c r="A776" s="217"/>
      <c r="B776" s="202"/>
      <c r="C776" s="325" t="s">
        <v>1702</v>
      </c>
      <c r="D776" s="203" t="s">
        <v>1701</v>
      </c>
      <c r="E776" s="244"/>
      <c r="F776" s="330"/>
      <c r="G776" s="329">
        <v>146</v>
      </c>
      <c r="H776" s="325" t="s">
        <v>1701</v>
      </c>
      <c r="I776" s="212"/>
      <c r="J776" s="244">
        <v>15.13</v>
      </c>
      <c r="K776" s="332">
        <v>1</v>
      </c>
      <c r="L776" s="350">
        <v>5.03</v>
      </c>
      <c r="M776" s="341"/>
      <c r="N776" s="342"/>
      <c r="P776" s="343"/>
      <c r="R776" s="250"/>
      <c r="S776" s="265"/>
    </row>
    <row r="777" s="164" customFormat="1" ht="24" customHeight="1" spans="1:19">
      <c r="A777" s="217"/>
      <c r="B777" s="202"/>
      <c r="C777" s="325" t="s">
        <v>1703</v>
      </c>
      <c r="D777" s="203" t="s">
        <v>1488</v>
      </c>
      <c r="E777" s="244"/>
      <c r="F777" s="330"/>
      <c r="G777" s="329">
        <v>0</v>
      </c>
      <c r="H777" s="325" t="s">
        <v>1488</v>
      </c>
      <c r="I777" s="212"/>
      <c r="J777" s="244">
        <v>25</v>
      </c>
      <c r="K777" s="332">
        <v>1</v>
      </c>
      <c r="L777" s="350">
        <v>5.45</v>
      </c>
      <c r="M777" s="341"/>
      <c r="N777" s="342"/>
      <c r="P777" s="343"/>
      <c r="R777" s="250"/>
      <c r="S777" s="265"/>
    </row>
    <row r="778" s="164" customFormat="1" ht="24" customHeight="1" spans="1:19">
      <c r="A778" s="217"/>
      <c r="B778" s="202"/>
      <c r="C778" s="325" t="s">
        <v>1704</v>
      </c>
      <c r="D778" s="203" t="s">
        <v>1488</v>
      </c>
      <c r="E778" s="244"/>
      <c r="F778" s="330"/>
      <c r="G778" s="329">
        <v>165</v>
      </c>
      <c r="H778" s="325" t="s">
        <v>1488</v>
      </c>
      <c r="I778" s="212"/>
      <c r="J778" s="244">
        <v>25</v>
      </c>
      <c r="K778" s="332">
        <v>1</v>
      </c>
      <c r="L778" s="350">
        <v>5.45</v>
      </c>
      <c r="M778" s="341"/>
      <c r="N778" s="342"/>
      <c r="P778" s="343"/>
      <c r="R778" s="250"/>
      <c r="S778" s="265"/>
    </row>
    <row r="779" s="164" customFormat="1" ht="24" customHeight="1" spans="1:19">
      <c r="A779" s="217"/>
      <c r="B779" s="202"/>
      <c r="C779" s="325" t="s">
        <v>1705</v>
      </c>
      <c r="D779" s="203" t="s">
        <v>1488</v>
      </c>
      <c r="E779" s="244"/>
      <c r="F779" s="330"/>
      <c r="G779" s="329">
        <v>0</v>
      </c>
      <c r="H779" s="325" t="s">
        <v>1488</v>
      </c>
      <c r="I779" s="212"/>
      <c r="J779" s="244">
        <v>15.13</v>
      </c>
      <c r="K779" s="332">
        <v>1</v>
      </c>
      <c r="L779" s="350">
        <v>5.03</v>
      </c>
      <c r="M779" s="341"/>
      <c r="N779" s="342"/>
      <c r="P779" s="343"/>
      <c r="R779" s="250"/>
      <c r="S779" s="265"/>
    </row>
    <row r="780" s="164" customFormat="1" ht="24" customHeight="1" spans="1:19">
      <c r="A780" s="217"/>
      <c r="B780" s="202"/>
      <c r="C780" s="325" t="s">
        <v>1706</v>
      </c>
      <c r="D780" s="203" t="s">
        <v>1488</v>
      </c>
      <c r="E780" s="244"/>
      <c r="F780" s="330"/>
      <c r="G780" s="329">
        <v>0</v>
      </c>
      <c r="H780" s="325" t="s">
        <v>1488</v>
      </c>
      <c r="I780" s="212"/>
      <c r="J780" s="244">
        <v>28.56</v>
      </c>
      <c r="K780" s="332">
        <v>1</v>
      </c>
      <c r="L780" s="350">
        <v>5.99</v>
      </c>
      <c r="M780" s="341"/>
      <c r="N780" s="342"/>
      <c r="P780" s="343"/>
      <c r="R780" s="250"/>
      <c r="S780" s="265"/>
    </row>
    <row r="781" s="164" customFormat="1" ht="24" customHeight="1" spans="1:19">
      <c r="A781" s="217"/>
      <c r="B781" s="202"/>
      <c r="C781" s="325" t="s">
        <v>1707</v>
      </c>
      <c r="D781" s="203" t="s">
        <v>1488</v>
      </c>
      <c r="E781" s="244"/>
      <c r="F781" s="330"/>
      <c r="G781" s="329">
        <v>0</v>
      </c>
      <c r="H781" s="325" t="s">
        <v>1488</v>
      </c>
      <c r="I781" s="212"/>
      <c r="J781" s="244">
        <v>18.83</v>
      </c>
      <c r="K781" s="332">
        <v>1</v>
      </c>
      <c r="L781" s="350">
        <v>12.82</v>
      </c>
      <c r="M781" s="341"/>
      <c r="N781" s="342"/>
      <c r="P781" s="343"/>
      <c r="R781" s="250"/>
      <c r="S781" s="265"/>
    </row>
    <row r="782" s="164" customFormat="1" ht="24" customHeight="1" spans="1:19">
      <c r="A782" s="217"/>
      <c r="B782" s="202"/>
      <c r="C782" s="325" t="s">
        <v>1708</v>
      </c>
      <c r="D782" s="203" t="s">
        <v>1488</v>
      </c>
      <c r="E782" s="244"/>
      <c r="F782" s="330"/>
      <c r="G782" s="329">
        <v>0</v>
      </c>
      <c r="H782" s="325" t="s">
        <v>1488</v>
      </c>
      <c r="I782" s="212"/>
      <c r="J782" s="244">
        <v>28.9</v>
      </c>
      <c r="K782" s="332">
        <v>1</v>
      </c>
      <c r="L782" s="350">
        <v>14.671</v>
      </c>
      <c r="M782" s="341"/>
      <c r="N782" s="342"/>
      <c r="P782" s="343"/>
      <c r="R782" s="250"/>
      <c r="S782" s="265"/>
    </row>
    <row r="783" s="164" customFormat="1" ht="24" customHeight="1" spans="1:19">
      <c r="A783" s="217"/>
      <c r="B783" s="202"/>
      <c r="C783" s="325" t="s">
        <v>1709</v>
      </c>
      <c r="D783" s="203" t="s">
        <v>1488</v>
      </c>
      <c r="E783" s="244"/>
      <c r="F783" s="330"/>
      <c r="G783" s="329">
        <v>0</v>
      </c>
      <c r="H783" s="325" t="s">
        <v>1488</v>
      </c>
      <c r="I783" s="212"/>
      <c r="J783" s="244">
        <v>51.82</v>
      </c>
      <c r="K783" s="332">
        <v>1</v>
      </c>
      <c r="L783" s="350">
        <v>61.49</v>
      </c>
      <c r="M783" s="341"/>
      <c r="N783" s="342"/>
      <c r="P783" s="343"/>
      <c r="R783" s="250"/>
      <c r="S783" s="265"/>
    </row>
    <row r="784" s="164" customFormat="1" ht="24" customHeight="1" spans="1:19">
      <c r="A784" s="217"/>
      <c r="B784" s="202"/>
      <c r="C784" s="325" t="s">
        <v>1710</v>
      </c>
      <c r="D784" s="203" t="s">
        <v>1488</v>
      </c>
      <c r="E784" s="244"/>
      <c r="F784" s="330"/>
      <c r="G784" s="329">
        <v>0</v>
      </c>
      <c r="H784" s="325" t="s">
        <v>1488</v>
      </c>
      <c r="I784" s="212"/>
      <c r="J784" s="244">
        <v>57.34</v>
      </c>
      <c r="K784" s="332">
        <v>1</v>
      </c>
      <c r="L784" s="350">
        <v>86.21</v>
      </c>
      <c r="M784" s="341"/>
      <c r="N784" s="342"/>
      <c r="P784" s="343"/>
      <c r="R784" s="250"/>
      <c r="S784" s="265"/>
    </row>
    <row r="785" s="164" customFormat="1" ht="24" customHeight="1" spans="1:19">
      <c r="A785" s="217"/>
      <c r="B785" s="202"/>
      <c r="C785" s="325" t="s">
        <v>1711</v>
      </c>
      <c r="D785" s="203" t="s">
        <v>1488</v>
      </c>
      <c r="E785" s="244"/>
      <c r="F785" s="330"/>
      <c r="G785" s="329">
        <v>0</v>
      </c>
      <c r="H785" s="325" t="s">
        <v>1488</v>
      </c>
      <c r="I785" s="212"/>
      <c r="J785" s="244">
        <v>156.8</v>
      </c>
      <c r="K785" s="332">
        <v>1.01</v>
      </c>
      <c r="L785" s="350">
        <v>212.5</v>
      </c>
      <c r="M785" s="341"/>
      <c r="N785" s="342"/>
      <c r="P785" s="343"/>
      <c r="R785" s="250"/>
      <c r="S785" s="265"/>
    </row>
    <row r="786" s="164" customFormat="1" ht="24" customHeight="1" spans="1:19">
      <c r="A786" s="217"/>
      <c r="B786" s="202"/>
      <c r="C786" s="325" t="s">
        <v>1712</v>
      </c>
      <c r="D786" s="203" t="s">
        <v>1381</v>
      </c>
      <c r="E786" s="244"/>
      <c r="F786" s="330"/>
      <c r="G786" s="329">
        <v>45</v>
      </c>
      <c r="H786" s="325" t="s">
        <v>1381</v>
      </c>
      <c r="I786" s="212"/>
      <c r="J786" s="244">
        <v>30</v>
      </c>
      <c r="K786" s="332">
        <v>1</v>
      </c>
      <c r="L786" s="350">
        <v>8</v>
      </c>
      <c r="M786" s="341"/>
      <c r="N786" s="342"/>
      <c r="P786" s="343"/>
      <c r="R786" s="250"/>
      <c r="S786" s="265"/>
    </row>
    <row r="787" s="164" customFormat="1" ht="24" customHeight="1" spans="1:19">
      <c r="A787" s="217"/>
      <c r="B787" s="202"/>
      <c r="C787" s="325" t="s">
        <v>1713</v>
      </c>
      <c r="D787" s="203" t="s">
        <v>838</v>
      </c>
      <c r="E787" s="244"/>
      <c r="F787" s="330"/>
      <c r="G787" s="329">
        <v>25</v>
      </c>
      <c r="H787" s="325" t="s">
        <v>1381</v>
      </c>
      <c r="I787" s="212"/>
      <c r="J787" s="244">
        <v>10</v>
      </c>
      <c r="K787" s="332">
        <v>1</v>
      </c>
      <c r="L787" s="350">
        <v>1</v>
      </c>
      <c r="M787" s="341"/>
      <c r="N787" s="342"/>
      <c r="P787" s="343"/>
      <c r="R787" s="250"/>
      <c r="S787" s="265"/>
    </row>
    <row r="788" s="164" customFormat="1" ht="24" customHeight="1" spans="1:19">
      <c r="A788" s="217"/>
      <c r="B788" s="202"/>
      <c r="C788" s="325" t="s">
        <v>1714</v>
      </c>
      <c r="D788" s="203" t="s">
        <v>1715</v>
      </c>
      <c r="E788" s="244"/>
      <c r="F788" s="330"/>
      <c r="G788" s="329">
        <v>19.48</v>
      </c>
      <c r="H788" s="325" t="s">
        <v>1715</v>
      </c>
      <c r="I788" s="212"/>
      <c r="J788" s="244">
        <v>30.75</v>
      </c>
      <c r="K788" s="332">
        <v>1</v>
      </c>
      <c r="L788" s="350">
        <v>3.36</v>
      </c>
      <c r="M788" s="341"/>
      <c r="N788" s="342"/>
      <c r="P788" s="343"/>
      <c r="R788" s="250"/>
      <c r="S788" s="265"/>
    </row>
    <row r="789" s="164" customFormat="1" ht="24" customHeight="1" spans="1:19">
      <c r="A789" s="217"/>
      <c r="B789" s="295" t="s">
        <v>1716</v>
      </c>
      <c r="C789" s="325" t="s">
        <v>1717</v>
      </c>
      <c r="D789" s="203" t="s">
        <v>838</v>
      </c>
      <c r="E789" s="244"/>
      <c r="F789" s="330"/>
      <c r="G789" s="329">
        <v>12.49</v>
      </c>
      <c r="H789" s="325" t="s">
        <v>838</v>
      </c>
      <c r="I789" s="212"/>
      <c r="J789" s="244">
        <v>15</v>
      </c>
      <c r="K789" s="332">
        <v>1.01</v>
      </c>
      <c r="L789" s="350">
        <v>0.54</v>
      </c>
      <c r="M789" s="341"/>
      <c r="N789" s="342"/>
      <c r="P789" s="343"/>
      <c r="R789" s="250"/>
      <c r="S789" s="265"/>
    </row>
    <row r="790" s="164" customFormat="1" ht="24" customHeight="1" spans="1:19">
      <c r="A790" s="217"/>
      <c r="B790" s="202"/>
      <c r="C790" s="325" t="s">
        <v>1718</v>
      </c>
      <c r="D790" s="203" t="s">
        <v>838</v>
      </c>
      <c r="E790" s="244"/>
      <c r="F790" s="330"/>
      <c r="G790" s="329">
        <v>32</v>
      </c>
      <c r="H790" s="325" t="s">
        <v>838</v>
      </c>
      <c r="I790" s="212"/>
      <c r="J790" s="244">
        <v>12</v>
      </c>
      <c r="K790" s="332">
        <v>1.01</v>
      </c>
      <c r="L790" s="350">
        <v>1.74</v>
      </c>
      <c r="M790" s="341"/>
      <c r="N790" s="342"/>
      <c r="P790" s="343"/>
      <c r="R790" s="250"/>
      <c r="S790" s="265"/>
    </row>
    <row r="791" s="164" customFormat="1" ht="24" customHeight="1" spans="1:19">
      <c r="A791" s="217"/>
      <c r="B791" s="202"/>
      <c r="C791" s="325" t="s">
        <v>1719</v>
      </c>
      <c r="D791" s="203" t="s">
        <v>838</v>
      </c>
      <c r="E791" s="244"/>
      <c r="F791" s="330"/>
      <c r="G791" s="329">
        <v>4.08</v>
      </c>
      <c r="H791" s="325" t="s">
        <v>838</v>
      </c>
      <c r="I791" s="212"/>
      <c r="J791" s="244">
        <v>7.23</v>
      </c>
      <c r="K791" s="332">
        <v>1.01</v>
      </c>
      <c r="L791" s="350">
        <v>0.54</v>
      </c>
      <c r="M791" s="341"/>
      <c r="N791" s="342"/>
      <c r="P791" s="343"/>
      <c r="R791" s="250"/>
      <c r="S791" s="265"/>
    </row>
    <row r="792" s="164" customFormat="1" ht="24" customHeight="1" spans="1:19">
      <c r="A792" s="217"/>
      <c r="B792" s="202"/>
      <c r="C792" s="325" t="s">
        <v>1720</v>
      </c>
      <c r="D792" s="203" t="s">
        <v>838</v>
      </c>
      <c r="E792" s="244"/>
      <c r="F792" s="330"/>
      <c r="G792" s="329">
        <v>6.5</v>
      </c>
      <c r="H792" s="325" t="s">
        <v>838</v>
      </c>
      <c r="I792" s="212"/>
      <c r="J792" s="244">
        <v>7.22</v>
      </c>
      <c r="K792" s="332">
        <v>1.01</v>
      </c>
      <c r="L792" s="350">
        <v>1.74</v>
      </c>
      <c r="M792" s="341"/>
      <c r="N792" s="342"/>
      <c r="P792" s="343"/>
      <c r="R792" s="250"/>
      <c r="S792" s="265"/>
    </row>
    <row r="793" s="164" customFormat="1" ht="24" customHeight="1" spans="1:19">
      <c r="A793" s="217"/>
      <c r="B793" s="202"/>
      <c r="C793" s="325" t="s">
        <v>1721</v>
      </c>
      <c r="D793" s="203" t="s">
        <v>838</v>
      </c>
      <c r="E793" s="244"/>
      <c r="F793" s="330"/>
      <c r="G793" s="329">
        <v>17.41</v>
      </c>
      <c r="H793" s="325" t="s">
        <v>838</v>
      </c>
      <c r="I793" s="212"/>
      <c r="J793" s="244">
        <v>10.26</v>
      </c>
      <c r="K793" s="332">
        <v>1.01</v>
      </c>
      <c r="L793" s="350">
        <v>0.84</v>
      </c>
      <c r="M793" s="341"/>
      <c r="N793" s="342"/>
      <c r="P793" s="343"/>
      <c r="R793" s="250"/>
      <c r="S793" s="265"/>
    </row>
    <row r="794" s="164" customFormat="1" ht="24" customHeight="1" spans="1:19">
      <c r="A794" s="217"/>
      <c r="B794" s="202"/>
      <c r="C794" s="325" t="s">
        <v>1722</v>
      </c>
      <c r="D794" s="203" t="s">
        <v>838</v>
      </c>
      <c r="E794" s="244"/>
      <c r="F794" s="330"/>
      <c r="G794" s="329">
        <v>22.8</v>
      </c>
      <c r="H794" s="325" t="s">
        <v>838</v>
      </c>
      <c r="I794" s="212"/>
      <c r="J794" s="244">
        <v>12.06</v>
      </c>
      <c r="K794" s="332">
        <v>1.01</v>
      </c>
      <c r="L794" s="350">
        <v>1.25</v>
      </c>
      <c r="M794" s="341"/>
      <c r="N794" s="342"/>
      <c r="P794" s="343"/>
      <c r="R794" s="250"/>
      <c r="S794" s="265"/>
    </row>
    <row r="795" s="164" customFormat="1" ht="24" customHeight="1" spans="1:19">
      <c r="A795" s="217"/>
      <c r="B795" s="202"/>
      <c r="C795" s="325" t="s">
        <v>1723</v>
      </c>
      <c r="D795" s="203" t="s">
        <v>838</v>
      </c>
      <c r="E795" s="244"/>
      <c r="F795" s="330"/>
      <c r="G795" s="329">
        <v>30</v>
      </c>
      <c r="H795" s="325" t="s">
        <v>838</v>
      </c>
      <c r="I795" s="212"/>
      <c r="J795" s="244">
        <v>15.35</v>
      </c>
      <c r="K795" s="332">
        <v>1.01</v>
      </c>
      <c r="L795" s="350">
        <v>1.85</v>
      </c>
      <c r="M795" s="341"/>
      <c r="N795" s="342"/>
      <c r="P795" s="343"/>
      <c r="R795" s="250"/>
      <c r="S795" s="265"/>
    </row>
    <row r="796" s="164" customFormat="1" ht="24" customHeight="1" spans="1:19">
      <c r="A796" s="217"/>
      <c r="B796" s="202"/>
      <c r="C796" s="325" t="s">
        <v>1724</v>
      </c>
      <c r="D796" s="203" t="s">
        <v>838</v>
      </c>
      <c r="E796" s="244"/>
      <c r="F796" s="330"/>
      <c r="G796" s="329">
        <v>40</v>
      </c>
      <c r="H796" s="325" t="s">
        <v>838</v>
      </c>
      <c r="I796" s="212"/>
      <c r="J796" s="244">
        <v>12.06</v>
      </c>
      <c r="K796" s="332">
        <v>1</v>
      </c>
      <c r="L796" s="350">
        <v>1.25</v>
      </c>
      <c r="M796" s="341"/>
      <c r="N796" s="342"/>
      <c r="P796" s="343"/>
      <c r="R796" s="250"/>
      <c r="S796" s="265"/>
    </row>
    <row r="797" s="164" customFormat="1" ht="24" customHeight="1" spans="1:19">
      <c r="A797" s="217"/>
      <c r="B797" s="202"/>
      <c r="C797" s="325" t="s">
        <v>1725</v>
      </c>
      <c r="D797" s="203" t="s">
        <v>838</v>
      </c>
      <c r="E797" s="244"/>
      <c r="F797" s="330"/>
      <c r="G797" s="329">
        <v>8.5</v>
      </c>
      <c r="H797" s="325" t="s">
        <v>838</v>
      </c>
      <c r="I797" s="212"/>
      <c r="J797" s="244">
        <v>10.26</v>
      </c>
      <c r="K797" s="332">
        <v>1</v>
      </c>
      <c r="L797" s="350">
        <v>0.84</v>
      </c>
      <c r="M797" s="341"/>
      <c r="N797" s="342"/>
      <c r="P797" s="343"/>
      <c r="R797" s="250"/>
      <c r="S797" s="265"/>
    </row>
    <row r="798" s="164" customFormat="1" ht="24" customHeight="1" spans="1:19">
      <c r="A798" s="217"/>
      <c r="B798" s="202"/>
      <c r="C798" s="325" t="s">
        <v>1726</v>
      </c>
      <c r="D798" s="203" t="s">
        <v>838</v>
      </c>
      <c r="E798" s="244"/>
      <c r="F798" s="330"/>
      <c r="G798" s="329">
        <v>13</v>
      </c>
      <c r="H798" s="325" t="s">
        <v>838</v>
      </c>
      <c r="I798" s="212"/>
      <c r="J798" s="244">
        <v>12.35</v>
      </c>
      <c r="K798" s="332">
        <v>1.01</v>
      </c>
      <c r="L798" s="350">
        <v>1.85</v>
      </c>
      <c r="M798" s="341"/>
      <c r="N798" s="342"/>
      <c r="P798" s="343"/>
      <c r="R798" s="250"/>
      <c r="S798" s="265"/>
    </row>
    <row r="799" s="164" customFormat="1" ht="24" customHeight="1" spans="1:19">
      <c r="A799" s="217"/>
      <c r="B799" s="202"/>
      <c r="C799" s="325" t="s">
        <v>1727</v>
      </c>
      <c r="D799" s="203" t="s">
        <v>838</v>
      </c>
      <c r="E799" s="244"/>
      <c r="F799" s="330"/>
      <c r="G799" s="329">
        <v>9.2</v>
      </c>
      <c r="H799" s="325" t="s">
        <v>838</v>
      </c>
      <c r="I799" s="212"/>
      <c r="J799" s="244">
        <v>10.26</v>
      </c>
      <c r="K799" s="332">
        <v>1</v>
      </c>
      <c r="L799" s="350">
        <v>0.84</v>
      </c>
      <c r="M799" s="341"/>
      <c r="N799" s="342"/>
      <c r="P799" s="343"/>
      <c r="R799" s="250"/>
      <c r="S799" s="265"/>
    </row>
    <row r="800" s="164" customFormat="1" ht="24" customHeight="1" spans="1:19">
      <c r="A800" s="217"/>
      <c r="B800" s="202"/>
      <c r="C800" s="325" t="s">
        <v>1728</v>
      </c>
      <c r="D800" s="203" t="s">
        <v>838</v>
      </c>
      <c r="E800" s="244"/>
      <c r="F800" s="330"/>
      <c r="G800" s="329">
        <v>9.07</v>
      </c>
      <c r="H800" s="325" t="s">
        <v>838</v>
      </c>
      <c r="I800" s="212"/>
      <c r="J800" s="244">
        <v>11.08</v>
      </c>
      <c r="K800" s="332">
        <v>1.01</v>
      </c>
      <c r="L800" s="350">
        <v>1.25</v>
      </c>
      <c r="M800" s="341"/>
      <c r="N800" s="342"/>
      <c r="P800" s="343"/>
      <c r="R800" s="250"/>
      <c r="S800" s="265"/>
    </row>
    <row r="801" s="164" customFormat="1" ht="24" customHeight="1" spans="1:19">
      <c r="A801" s="217"/>
      <c r="B801" s="202"/>
      <c r="C801" s="325" t="s">
        <v>1729</v>
      </c>
      <c r="D801" s="203" t="s">
        <v>838</v>
      </c>
      <c r="E801" s="244"/>
      <c r="F801" s="330"/>
      <c r="G801" s="329">
        <v>6.42</v>
      </c>
      <c r="H801" s="325" t="s">
        <v>838</v>
      </c>
      <c r="I801" s="212"/>
      <c r="J801" s="244">
        <v>2.26</v>
      </c>
      <c r="K801" s="332">
        <v>1.00666666666667</v>
      </c>
      <c r="L801" s="350">
        <v>0.85</v>
      </c>
      <c r="M801" s="341"/>
      <c r="N801" s="342"/>
      <c r="P801" s="343"/>
      <c r="R801" s="250"/>
      <c r="S801" s="265"/>
    </row>
    <row r="802" s="164" customFormat="1" ht="24" customHeight="1" spans="1:19">
      <c r="A802" s="217"/>
      <c r="B802" s="202"/>
      <c r="C802" s="325" t="s">
        <v>1730</v>
      </c>
      <c r="D802" s="203" t="s">
        <v>838</v>
      </c>
      <c r="E802" s="244"/>
      <c r="F802" s="330"/>
      <c r="G802" s="329">
        <v>8</v>
      </c>
      <c r="H802" s="325" t="s">
        <v>838</v>
      </c>
      <c r="I802" s="212"/>
      <c r="J802" s="244">
        <v>2.26</v>
      </c>
      <c r="K802" s="332">
        <v>1.00666666666667</v>
      </c>
      <c r="L802" s="350">
        <v>1.05</v>
      </c>
      <c r="M802" s="341"/>
      <c r="N802" s="342"/>
      <c r="P802" s="343"/>
      <c r="R802" s="250"/>
      <c r="S802" s="265"/>
    </row>
    <row r="803" s="164" customFormat="1" ht="24" customHeight="1" spans="1:19">
      <c r="A803" s="217"/>
      <c r="B803" s="295" t="s">
        <v>1731</v>
      </c>
      <c r="C803" s="325" t="s">
        <v>1732</v>
      </c>
      <c r="D803" s="203" t="s">
        <v>838</v>
      </c>
      <c r="E803" s="244"/>
      <c r="F803" s="330"/>
      <c r="G803" s="329">
        <v>43.9</v>
      </c>
      <c r="H803" s="325" t="s">
        <v>838</v>
      </c>
      <c r="I803" s="212"/>
      <c r="J803" s="244">
        <v>60</v>
      </c>
      <c r="K803" s="332">
        <v>1</v>
      </c>
      <c r="L803" s="350">
        <v>20</v>
      </c>
      <c r="M803" s="341"/>
      <c r="N803" s="342"/>
      <c r="P803" s="343"/>
      <c r="R803" s="250"/>
      <c r="S803" s="265"/>
    </row>
    <row r="804" s="164" customFormat="1" ht="24" customHeight="1" spans="1:19">
      <c r="A804" s="217"/>
      <c r="B804" s="202"/>
      <c r="C804" s="325" t="s">
        <v>1733</v>
      </c>
      <c r="D804" s="203" t="s">
        <v>838</v>
      </c>
      <c r="E804" s="244"/>
      <c r="F804" s="330"/>
      <c r="G804" s="329">
        <v>69.3</v>
      </c>
      <c r="H804" s="325" t="s">
        <v>838</v>
      </c>
      <c r="I804" s="212"/>
      <c r="J804" s="244">
        <v>60</v>
      </c>
      <c r="K804" s="332">
        <v>1</v>
      </c>
      <c r="L804" s="350">
        <v>20</v>
      </c>
      <c r="M804" s="341"/>
      <c r="N804" s="342"/>
      <c r="P804" s="343"/>
      <c r="R804" s="250"/>
      <c r="S804" s="265"/>
    </row>
    <row r="805" s="164" customFormat="1" ht="24" customHeight="1" spans="1:19">
      <c r="A805" s="217"/>
      <c r="B805" s="202"/>
      <c r="C805" s="325" t="s">
        <v>1734</v>
      </c>
      <c r="D805" s="203" t="s">
        <v>838</v>
      </c>
      <c r="E805" s="244"/>
      <c r="F805" s="330"/>
      <c r="G805" s="329">
        <v>69.3</v>
      </c>
      <c r="H805" s="325" t="s">
        <v>838</v>
      </c>
      <c r="I805" s="212"/>
      <c r="J805" s="244">
        <v>60</v>
      </c>
      <c r="K805" s="332">
        <v>1</v>
      </c>
      <c r="L805" s="350">
        <v>20</v>
      </c>
      <c r="M805" s="341"/>
      <c r="N805" s="342"/>
      <c r="P805" s="343"/>
      <c r="R805" s="250"/>
      <c r="S805" s="265"/>
    </row>
    <row r="806" s="164" customFormat="1" ht="24" customHeight="1" spans="1:19">
      <c r="A806" s="217"/>
      <c r="B806" s="202"/>
      <c r="C806" s="325" t="s">
        <v>1735</v>
      </c>
      <c r="D806" s="203" t="s">
        <v>838</v>
      </c>
      <c r="E806" s="244"/>
      <c r="F806" s="330"/>
      <c r="G806" s="329">
        <v>86.2</v>
      </c>
      <c r="H806" s="325" t="s">
        <v>838</v>
      </c>
      <c r="I806" s="212"/>
      <c r="J806" s="244">
        <v>96</v>
      </c>
      <c r="K806" s="332">
        <v>1</v>
      </c>
      <c r="L806" s="350">
        <v>30</v>
      </c>
      <c r="M806" s="341"/>
      <c r="N806" s="342"/>
      <c r="P806" s="343"/>
      <c r="R806" s="250"/>
      <c r="S806" s="265"/>
    </row>
    <row r="807" s="164" customFormat="1" ht="24" customHeight="1" spans="1:19">
      <c r="A807" s="217"/>
      <c r="B807" s="202"/>
      <c r="C807" s="325" t="s">
        <v>1736</v>
      </c>
      <c r="D807" s="203" t="s">
        <v>838</v>
      </c>
      <c r="E807" s="244"/>
      <c r="F807" s="330"/>
      <c r="G807" s="329">
        <v>96.3</v>
      </c>
      <c r="H807" s="325" t="s">
        <v>838</v>
      </c>
      <c r="I807" s="212"/>
      <c r="J807" s="244">
        <v>96</v>
      </c>
      <c r="K807" s="332">
        <v>1</v>
      </c>
      <c r="L807" s="350">
        <v>30</v>
      </c>
      <c r="M807" s="341"/>
      <c r="N807" s="342"/>
      <c r="P807" s="343"/>
      <c r="R807" s="250"/>
      <c r="S807" s="265"/>
    </row>
    <row r="808" s="164" customFormat="1" ht="24" customHeight="1" spans="1:19">
      <c r="A808" s="217"/>
      <c r="B808" s="202"/>
      <c r="C808" s="325" t="s">
        <v>1737</v>
      </c>
      <c r="D808" s="203" t="s">
        <v>838</v>
      </c>
      <c r="E808" s="244"/>
      <c r="F808" s="330"/>
      <c r="G808" s="329">
        <v>128</v>
      </c>
      <c r="H808" s="325" t="s">
        <v>838</v>
      </c>
      <c r="I808" s="212"/>
      <c r="J808" s="244">
        <v>96</v>
      </c>
      <c r="K808" s="332">
        <v>1</v>
      </c>
      <c r="L808" s="350">
        <v>30</v>
      </c>
      <c r="M808" s="341"/>
      <c r="N808" s="342"/>
      <c r="P808" s="343"/>
      <c r="R808" s="250"/>
      <c r="S808" s="265"/>
    </row>
    <row r="809" s="164" customFormat="1" ht="24" customHeight="1" spans="1:19">
      <c r="A809" s="217"/>
      <c r="B809" s="202"/>
      <c r="C809" s="325" t="s">
        <v>1738</v>
      </c>
      <c r="D809" s="203" t="s">
        <v>838</v>
      </c>
      <c r="E809" s="244"/>
      <c r="F809" s="330"/>
      <c r="G809" s="329">
        <v>174</v>
      </c>
      <c r="H809" s="325" t="s">
        <v>838</v>
      </c>
      <c r="I809" s="212"/>
      <c r="J809" s="244">
        <v>120</v>
      </c>
      <c r="K809" s="332">
        <v>1</v>
      </c>
      <c r="L809" s="350">
        <v>45</v>
      </c>
      <c r="M809" s="341"/>
      <c r="N809" s="342"/>
      <c r="P809" s="343"/>
      <c r="R809" s="250"/>
      <c r="S809" s="265"/>
    </row>
    <row r="810" s="164" customFormat="1" ht="24" customHeight="1" spans="1:19">
      <c r="A810" s="217"/>
      <c r="B810" s="202"/>
      <c r="C810" s="325" t="s">
        <v>1739</v>
      </c>
      <c r="D810" s="203" t="s">
        <v>838</v>
      </c>
      <c r="E810" s="244"/>
      <c r="F810" s="330"/>
      <c r="G810" s="329">
        <v>216</v>
      </c>
      <c r="H810" s="325" t="s">
        <v>838</v>
      </c>
      <c r="I810" s="212"/>
      <c r="J810" s="244">
        <v>144</v>
      </c>
      <c r="K810" s="332">
        <v>1</v>
      </c>
      <c r="L810" s="350">
        <v>45</v>
      </c>
      <c r="M810" s="341"/>
      <c r="N810" s="342"/>
      <c r="P810" s="343"/>
      <c r="R810" s="250"/>
      <c r="S810" s="265"/>
    </row>
    <row r="811" s="164" customFormat="1" ht="24" customHeight="1" spans="1:19">
      <c r="A811" s="217"/>
      <c r="B811" s="202"/>
      <c r="C811" s="325" t="s">
        <v>1740</v>
      </c>
      <c r="D811" s="203" t="s">
        <v>838</v>
      </c>
      <c r="E811" s="244"/>
      <c r="F811" s="330"/>
      <c r="G811" s="329">
        <v>289</v>
      </c>
      <c r="H811" s="325" t="s">
        <v>838</v>
      </c>
      <c r="I811" s="212"/>
      <c r="J811" s="244">
        <v>144</v>
      </c>
      <c r="K811" s="332">
        <v>1</v>
      </c>
      <c r="L811" s="350">
        <v>45</v>
      </c>
      <c r="M811" s="341"/>
      <c r="N811" s="342"/>
      <c r="P811" s="343"/>
      <c r="R811" s="250"/>
      <c r="S811" s="265"/>
    </row>
    <row r="812" s="164" customFormat="1" ht="24" customHeight="1" spans="1:19">
      <c r="A812" s="217"/>
      <c r="B812" s="202"/>
      <c r="C812" s="325" t="s">
        <v>1741</v>
      </c>
      <c r="D812" s="203" t="s">
        <v>838</v>
      </c>
      <c r="E812" s="244"/>
      <c r="F812" s="330"/>
      <c r="G812" s="329">
        <v>98</v>
      </c>
      <c r="H812" s="325" t="s">
        <v>838</v>
      </c>
      <c r="I812" s="212"/>
      <c r="J812" s="244">
        <v>60</v>
      </c>
      <c r="K812" s="332">
        <v>1</v>
      </c>
      <c r="L812" s="350">
        <v>20</v>
      </c>
      <c r="M812" s="341"/>
      <c r="N812" s="342"/>
      <c r="P812" s="343"/>
      <c r="R812" s="250"/>
      <c r="S812" s="265"/>
    </row>
    <row r="813" s="164" customFormat="1" ht="24" customHeight="1" spans="1:19">
      <c r="A813" s="217"/>
      <c r="B813" s="202"/>
      <c r="C813" s="325" t="s">
        <v>1742</v>
      </c>
      <c r="D813" s="203" t="s">
        <v>838</v>
      </c>
      <c r="E813" s="244"/>
      <c r="F813" s="330"/>
      <c r="G813" s="329">
        <v>125</v>
      </c>
      <c r="H813" s="325" t="s">
        <v>838</v>
      </c>
      <c r="I813" s="212"/>
      <c r="J813" s="244">
        <v>60</v>
      </c>
      <c r="K813" s="332">
        <v>1</v>
      </c>
      <c r="L813" s="350">
        <v>20</v>
      </c>
      <c r="M813" s="341"/>
      <c r="N813" s="342"/>
      <c r="P813" s="343"/>
      <c r="R813" s="250"/>
      <c r="S813" s="265"/>
    </row>
    <row r="814" s="164" customFormat="1" ht="24" customHeight="1" spans="1:19">
      <c r="A814" s="217"/>
      <c r="B814" s="202"/>
      <c r="C814" s="325" t="s">
        <v>1743</v>
      </c>
      <c r="D814" s="203" t="s">
        <v>838</v>
      </c>
      <c r="E814" s="244"/>
      <c r="F814" s="330"/>
      <c r="G814" s="329">
        <v>154</v>
      </c>
      <c r="H814" s="325" t="s">
        <v>838</v>
      </c>
      <c r="I814" s="212"/>
      <c r="J814" s="244">
        <v>60</v>
      </c>
      <c r="K814" s="332">
        <v>1</v>
      </c>
      <c r="L814" s="350">
        <v>20</v>
      </c>
      <c r="M814" s="341"/>
      <c r="N814" s="342"/>
      <c r="P814" s="343"/>
      <c r="R814" s="250"/>
      <c r="S814" s="265"/>
    </row>
    <row r="815" s="164" customFormat="1" ht="24" customHeight="1" spans="1:19">
      <c r="A815" s="217"/>
      <c r="B815" s="202"/>
      <c r="C815" s="325" t="s">
        <v>1744</v>
      </c>
      <c r="D815" s="203" t="s">
        <v>838</v>
      </c>
      <c r="E815" s="244"/>
      <c r="F815" s="330"/>
      <c r="G815" s="329">
        <v>193</v>
      </c>
      <c r="H815" s="325" t="s">
        <v>838</v>
      </c>
      <c r="I815" s="212"/>
      <c r="J815" s="244">
        <v>96</v>
      </c>
      <c r="K815" s="332">
        <v>1</v>
      </c>
      <c r="L815" s="350">
        <v>30</v>
      </c>
      <c r="M815" s="341"/>
      <c r="N815" s="342"/>
      <c r="P815" s="343"/>
      <c r="R815" s="250"/>
      <c r="S815" s="265"/>
    </row>
    <row r="816" s="164" customFormat="1" ht="24" customHeight="1" spans="1:19">
      <c r="A816" s="217"/>
      <c r="B816" s="202"/>
      <c r="C816" s="325" t="s">
        <v>1745</v>
      </c>
      <c r="D816" s="203" t="s">
        <v>838</v>
      </c>
      <c r="E816" s="244"/>
      <c r="F816" s="330"/>
      <c r="G816" s="329">
        <v>242</v>
      </c>
      <c r="H816" s="325" t="s">
        <v>838</v>
      </c>
      <c r="I816" s="212"/>
      <c r="J816" s="244">
        <v>96</v>
      </c>
      <c r="K816" s="332">
        <v>1</v>
      </c>
      <c r="L816" s="350">
        <v>30</v>
      </c>
      <c r="M816" s="341"/>
      <c r="N816" s="342"/>
      <c r="P816" s="343"/>
      <c r="R816" s="250"/>
      <c r="S816" s="265"/>
    </row>
    <row r="817" s="164" customFormat="1" ht="24" customHeight="1" spans="1:19">
      <c r="A817" s="217"/>
      <c r="B817" s="202"/>
      <c r="C817" s="325" t="s">
        <v>1746</v>
      </c>
      <c r="D817" s="203" t="s">
        <v>838</v>
      </c>
      <c r="E817" s="244"/>
      <c r="F817" s="330"/>
      <c r="G817" s="329">
        <v>289</v>
      </c>
      <c r="H817" s="325" t="s">
        <v>838</v>
      </c>
      <c r="I817" s="212"/>
      <c r="J817" s="244">
        <v>96</v>
      </c>
      <c r="K817" s="332">
        <v>1</v>
      </c>
      <c r="L817" s="350">
        <v>30</v>
      </c>
      <c r="M817" s="341"/>
      <c r="N817" s="342"/>
      <c r="P817" s="343"/>
      <c r="R817" s="250"/>
      <c r="S817" s="265"/>
    </row>
    <row r="818" s="164" customFormat="1" ht="24" customHeight="1" spans="1:19">
      <c r="A818" s="217"/>
      <c r="B818" s="202"/>
      <c r="C818" s="325" t="s">
        <v>1747</v>
      </c>
      <c r="D818" s="203" t="s">
        <v>838</v>
      </c>
      <c r="E818" s="244"/>
      <c r="F818" s="330"/>
      <c r="G818" s="329">
        <v>387</v>
      </c>
      <c r="H818" s="325" t="s">
        <v>838</v>
      </c>
      <c r="I818" s="212"/>
      <c r="J818" s="244">
        <v>120</v>
      </c>
      <c r="K818" s="332">
        <v>1</v>
      </c>
      <c r="L818" s="350">
        <v>45</v>
      </c>
      <c r="M818" s="341"/>
      <c r="N818" s="342"/>
      <c r="P818" s="343"/>
      <c r="R818" s="250"/>
      <c r="S818" s="265"/>
    </row>
    <row r="819" s="164" customFormat="1" ht="24" customHeight="1" spans="1:19">
      <c r="A819" s="217"/>
      <c r="B819" s="202"/>
      <c r="C819" s="325" t="s">
        <v>1748</v>
      </c>
      <c r="D819" s="203" t="s">
        <v>838</v>
      </c>
      <c r="E819" s="244"/>
      <c r="F819" s="330"/>
      <c r="G819" s="329">
        <v>483</v>
      </c>
      <c r="H819" s="325" t="s">
        <v>838</v>
      </c>
      <c r="I819" s="212"/>
      <c r="J819" s="244">
        <v>144</v>
      </c>
      <c r="K819" s="332">
        <v>1</v>
      </c>
      <c r="L819" s="350">
        <v>45</v>
      </c>
      <c r="M819" s="341"/>
      <c r="N819" s="342"/>
      <c r="P819" s="343"/>
      <c r="R819" s="250"/>
      <c r="S819" s="265"/>
    </row>
    <row r="820" s="164" customFormat="1" ht="24" customHeight="1" spans="1:19">
      <c r="A820" s="217"/>
      <c r="B820" s="202"/>
      <c r="C820" s="325" t="s">
        <v>1749</v>
      </c>
      <c r="D820" s="203" t="s">
        <v>838</v>
      </c>
      <c r="E820" s="244"/>
      <c r="F820" s="330"/>
      <c r="G820" s="329">
        <v>581</v>
      </c>
      <c r="H820" s="325" t="s">
        <v>838</v>
      </c>
      <c r="I820" s="212"/>
      <c r="J820" s="244">
        <v>144</v>
      </c>
      <c r="K820" s="332">
        <v>1</v>
      </c>
      <c r="L820" s="350">
        <v>45</v>
      </c>
      <c r="M820" s="341"/>
      <c r="N820" s="342"/>
      <c r="P820" s="343"/>
      <c r="R820" s="250"/>
      <c r="S820" s="265"/>
    </row>
    <row r="821" s="164" customFormat="1" ht="24" customHeight="1" spans="1:19">
      <c r="A821" s="217"/>
      <c r="B821" s="202"/>
      <c r="C821" s="325" t="s">
        <v>1750</v>
      </c>
      <c r="D821" s="203" t="s">
        <v>838</v>
      </c>
      <c r="E821" s="244"/>
      <c r="F821" s="330"/>
      <c r="G821" s="329">
        <v>780</v>
      </c>
      <c r="H821" s="325" t="s">
        <v>838</v>
      </c>
      <c r="I821" s="212"/>
      <c r="J821" s="244">
        <v>180</v>
      </c>
      <c r="K821" s="332">
        <v>1</v>
      </c>
      <c r="L821" s="350">
        <v>65</v>
      </c>
      <c r="M821" s="341"/>
      <c r="N821" s="342"/>
      <c r="P821" s="343"/>
      <c r="R821" s="250"/>
      <c r="S821" s="265"/>
    </row>
    <row r="822" s="164" customFormat="1" ht="24" customHeight="1" spans="1:19">
      <c r="A822" s="217"/>
      <c r="B822" s="202"/>
      <c r="C822" s="325" t="s">
        <v>1751</v>
      </c>
      <c r="D822" s="203" t="s">
        <v>838</v>
      </c>
      <c r="E822" s="244"/>
      <c r="F822" s="330"/>
      <c r="G822" s="329">
        <v>1020</v>
      </c>
      <c r="H822" s="325" t="s">
        <v>838</v>
      </c>
      <c r="I822" s="212"/>
      <c r="J822" s="244">
        <v>216</v>
      </c>
      <c r="K822" s="332">
        <v>1</v>
      </c>
      <c r="L822" s="350">
        <v>80</v>
      </c>
      <c r="M822" s="341"/>
      <c r="N822" s="342"/>
      <c r="P822" s="343"/>
      <c r="R822" s="250"/>
      <c r="S822" s="265"/>
    </row>
    <row r="823" s="164" customFormat="1" ht="24" customHeight="1" spans="1:19">
      <c r="A823" s="217"/>
      <c r="B823" s="295" t="s">
        <v>1752</v>
      </c>
      <c r="C823" s="325" t="s">
        <v>1753</v>
      </c>
      <c r="D823" s="203" t="s">
        <v>838</v>
      </c>
      <c r="E823" s="244"/>
      <c r="F823" s="330"/>
      <c r="G823" s="329">
        <v>8.29</v>
      </c>
      <c r="H823" s="325" t="s">
        <v>838</v>
      </c>
      <c r="I823" s="212"/>
      <c r="J823" s="244">
        <v>10.35</v>
      </c>
      <c r="K823" s="332">
        <v>1</v>
      </c>
      <c r="L823" s="350">
        <v>6.84</v>
      </c>
      <c r="M823" s="341"/>
      <c r="N823" s="342"/>
      <c r="P823" s="343"/>
      <c r="R823" s="250"/>
      <c r="S823" s="265"/>
    </row>
    <row r="824" s="164" customFormat="1" ht="24" customHeight="1" spans="1:19">
      <c r="A824" s="217"/>
      <c r="B824" s="202"/>
      <c r="C824" s="325" t="s">
        <v>1754</v>
      </c>
      <c r="D824" s="203" t="s">
        <v>838</v>
      </c>
      <c r="E824" s="244"/>
      <c r="F824" s="330"/>
      <c r="G824" s="329">
        <v>18.5</v>
      </c>
      <c r="H824" s="325" t="s">
        <v>838</v>
      </c>
      <c r="I824" s="212"/>
      <c r="J824" s="244">
        <v>21.05</v>
      </c>
      <c r="K824" s="332">
        <v>1</v>
      </c>
      <c r="L824" s="350">
        <v>9.88</v>
      </c>
      <c r="M824" s="341"/>
      <c r="N824" s="342"/>
      <c r="P824" s="343"/>
      <c r="R824" s="250"/>
      <c r="S824" s="265"/>
    </row>
    <row r="825" s="164" customFormat="1" ht="24" customHeight="1" spans="1:19">
      <c r="A825" s="217"/>
      <c r="B825" s="202"/>
      <c r="C825" s="325" t="s">
        <v>1755</v>
      </c>
      <c r="D825" s="203" t="s">
        <v>838</v>
      </c>
      <c r="E825" s="244"/>
      <c r="F825" s="330"/>
      <c r="G825" s="329">
        <v>36.22</v>
      </c>
      <c r="H825" s="325" t="s">
        <v>838</v>
      </c>
      <c r="I825" s="212"/>
      <c r="J825" s="244">
        <v>23.95</v>
      </c>
      <c r="K825" s="332">
        <v>1</v>
      </c>
      <c r="L825" s="350">
        <v>13.25</v>
      </c>
      <c r="M825" s="341"/>
      <c r="N825" s="342"/>
      <c r="P825" s="343"/>
      <c r="R825" s="250"/>
      <c r="S825" s="265"/>
    </row>
    <row r="826" s="164" customFormat="1" ht="24" customHeight="1" spans="1:19">
      <c r="A826" s="217"/>
      <c r="B826" s="202"/>
      <c r="C826" s="325" t="s">
        <v>1756</v>
      </c>
      <c r="D826" s="203" t="s">
        <v>838</v>
      </c>
      <c r="E826" s="244"/>
      <c r="F826" s="330"/>
      <c r="G826" s="329">
        <v>52.5</v>
      </c>
      <c r="H826" s="325" t="s">
        <v>838</v>
      </c>
      <c r="I826" s="212"/>
      <c r="J826" s="244">
        <v>32.2</v>
      </c>
      <c r="K826" s="332">
        <v>1</v>
      </c>
      <c r="L826" s="350">
        <v>15.58</v>
      </c>
      <c r="M826" s="341"/>
      <c r="N826" s="342"/>
      <c r="P826" s="343"/>
      <c r="R826" s="250"/>
      <c r="S826" s="265"/>
    </row>
    <row r="827" s="164" customFormat="1" ht="24" customHeight="1" spans="1:19">
      <c r="A827" s="217"/>
      <c r="B827" s="295" t="s">
        <v>1757</v>
      </c>
      <c r="C827" s="325" t="s">
        <v>1758</v>
      </c>
      <c r="D827" s="203" t="s">
        <v>868</v>
      </c>
      <c r="E827" s="244"/>
      <c r="F827" s="330"/>
      <c r="G827" s="329">
        <v>1050</v>
      </c>
      <c r="H827" s="325" t="s">
        <v>868</v>
      </c>
      <c r="I827" s="212"/>
      <c r="J827" s="244">
        <v>356.46</v>
      </c>
      <c r="K827" s="332">
        <v>1.03</v>
      </c>
      <c r="L827" s="350">
        <v>19.11</v>
      </c>
      <c r="M827" s="341"/>
      <c r="N827" s="342"/>
      <c r="P827" s="343"/>
      <c r="R827" s="250"/>
      <c r="S827" s="265"/>
    </row>
    <row r="828" s="164" customFormat="1" ht="24" customHeight="1" spans="1:19">
      <c r="A828" s="217"/>
      <c r="B828" s="202"/>
      <c r="C828" s="325" t="s">
        <v>1759</v>
      </c>
      <c r="D828" s="203" t="s">
        <v>845</v>
      </c>
      <c r="E828" s="244"/>
      <c r="F828" s="330"/>
      <c r="G828" s="329">
        <v>2.53</v>
      </c>
      <c r="H828" s="325" t="s">
        <v>845</v>
      </c>
      <c r="I828" s="212"/>
      <c r="J828" s="244">
        <v>6</v>
      </c>
      <c r="K828" s="332">
        <v>1.4</v>
      </c>
      <c r="L828" s="350">
        <v>0.025</v>
      </c>
      <c r="M828" s="341"/>
      <c r="N828" s="342"/>
      <c r="P828" s="343"/>
      <c r="R828" s="250"/>
      <c r="S828" s="265"/>
    </row>
    <row r="829" s="164" customFormat="1" ht="24" customHeight="1" spans="1:19">
      <c r="A829" s="217"/>
      <c r="B829" s="202"/>
      <c r="C829" s="347" t="s">
        <v>1760</v>
      </c>
      <c r="D829" s="203" t="s">
        <v>845</v>
      </c>
      <c r="E829" s="244"/>
      <c r="F829" s="330"/>
      <c r="G829" s="329">
        <v>1.42</v>
      </c>
      <c r="H829" s="203" t="s">
        <v>845</v>
      </c>
      <c r="I829" s="212"/>
      <c r="J829" s="244">
        <v>1</v>
      </c>
      <c r="K829" s="332">
        <v>1.4</v>
      </c>
      <c r="L829" s="350">
        <v>0.025</v>
      </c>
      <c r="M829" s="341"/>
      <c r="N829" s="342"/>
      <c r="P829" s="343"/>
      <c r="R829" s="250"/>
      <c r="S829" s="265"/>
    </row>
    <row r="830" s="164" customFormat="1" ht="24" customHeight="1" spans="1:19">
      <c r="A830" s="217"/>
      <c r="B830" s="202"/>
      <c r="C830" s="347" t="s">
        <v>1761</v>
      </c>
      <c r="D830" s="203" t="s">
        <v>1040</v>
      </c>
      <c r="E830" s="244"/>
      <c r="F830" s="330"/>
      <c r="G830" s="329">
        <v>2.6</v>
      </c>
      <c r="H830" s="203" t="s">
        <v>1040</v>
      </c>
      <c r="I830" s="212"/>
      <c r="J830" s="244">
        <v>2</v>
      </c>
      <c r="K830" s="336">
        <v>1.05</v>
      </c>
      <c r="L830" s="350">
        <v>0.025</v>
      </c>
      <c r="M830" s="341"/>
      <c r="N830" s="342"/>
      <c r="P830" s="343"/>
      <c r="R830" s="250"/>
      <c r="S830" s="265"/>
    </row>
    <row r="831" s="164" customFormat="1" ht="24" customHeight="1" spans="1:19">
      <c r="A831" s="217"/>
      <c r="B831" s="202"/>
      <c r="C831" s="347" t="s">
        <v>1762</v>
      </c>
      <c r="D831" s="203" t="s">
        <v>1201</v>
      </c>
      <c r="E831" s="244"/>
      <c r="F831" s="330"/>
      <c r="G831" s="329">
        <v>120</v>
      </c>
      <c r="H831" s="203" t="s">
        <v>1201</v>
      </c>
      <c r="I831" s="212"/>
      <c r="J831" s="244">
        <v>45</v>
      </c>
      <c r="K831" s="332">
        <v>1</v>
      </c>
      <c r="L831" s="350">
        <v>15.58</v>
      </c>
      <c r="M831" s="341"/>
      <c r="N831" s="342"/>
      <c r="P831" s="343"/>
      <c r="R831" s="250"/>
      <c r="S831" s="265"/>
    </row>
    <row r="832" s="164" customFormat="1" ht="24" customHeight="1" spans="1:19">
      <c r="A832" s="217"/>
      <c r="B832" s="202"/>
      <c r="C832" s="347" t="s">
        <v>1763</v>
      </c>
      <c r="D832" s="203" t="s">
        <v>845</v>
      </c>
      <c r="E832" s="244"/>
      <c r="F832" s="330"/>
      <c r="G832" s="329">
        <v>2.45</v>
      </c>
      <c r="H832" s="203" t="s">
        <v>845</v>
      </c>
      <c r="I832" s="212"/>
      <c r="J832" s="244">
        <v>3</v>
      </c>
      <c r="K832" s="332">
        <v>1.4</v>
      </c>
      <c r="L832" s="350">
        <v>0.025</v>
      </c>
      <c r="M832" s="341"/>
      <c r="N832" s="342"/>
      <c r="P832" s="343"/>
      <c r="R832" s="250"/>
      <c r="S832" s="265"/>
    </row>
    <row r="833" s="164" customFormat="1" ht="24" customHeight="1" spans="1:19">
      <c r="A833" s="217"/>
      <c r="B833" s="202"/>
      <c r="C833" s="325" t="s">
        <v>1764</v>
      </c>
      <c r="D833" s="203" t="s">
        <v>845</v>
      </c>
      <c r="E833" s="244"/>
      <c r="F833" s="330"/>
      <c r="G833" s="329">
        <v>3.06</v>
      </c>
      <c r="H833" s="325" t="s">
        <v>845</v>
      </c>
      <c r="I833" s="212"/>
      <c r="J833" s="244">
        <v>6</v>
      </c>
      <c r="K833" s="332">
        <v>1.4</v>
      </c>
      <c r="L833" s="350">
        <v>0.03</v>
      </c>
      <c r="M833" s="341"/>
      <c r="N833" s="342"/>
      <c r="P833" s="343"/>
      <c r="R833" s="250"/>
      <c r="S833" s="265"/>
    </row>
    <row r="834" s="164" customFormat="1" ht="24" customHeight="1" spans="1:19">
      <c r="A834" s="217"/>
      <c r="B834" s="295" t="s">
        <v>1765</v>
      </c>
      <c r="C834" s="325" t="s">
        <v>1552</v>
      </c>
      <c r="D834" s="203" t="s">
        <v>1040</v>
      </c>
      <c r="E834" s="244"/>
      <c r="F834" s="330"/>
      <c r="G834" s="329">
        <v>7.69</v>
      </c>
      <c r="H834" s="325" t="s">
        <v>1040</v>
      </c>
      <c r="I834" s="212"/>
      <c r="J834" s="244">
        <v>10.02</v>
      </c>
      <c r="K834" s="332">
        <v>1.02</v>
      </c>
      <c r="L834" s="350">
        <v>3.59</v>
      </c>
      <c r="M834" s="341"/>
      <c r="N834" s="342"/>
      <c r="P834" s="343"/>
      <c r="R834" s="250"/>
      <c r="S834" s="265"/>
    </row>
    <row r="835" s="164" customFormat="1" ht="24" customHeight="1" spans="1:19">
      <c r="A835" s="217"/>
      <c r="B835" s="202"/>
      <c r="C835" s="325" t="s">
        <v>1766</v>
      </c>
      <c r="D835" s="203" t="s">
        <v>1040</v>
      </c>
      <c r="E835" s="244"/>
      <c r="F835" s="330"/>
      <c r="G835" s="329">
        <v>8.57</v>
      </c>
      <c r="H835" s="325" t="s">
        <v>1040</v>
      </c>
      <c r="I835" s="212"/>
      <c r="J835" s="244">
        <v>11.8</v>
      </c>
      <c r="K835" s="332">
        <v>1.02</v>
      </c>
      <c r="L835" s="350">
        <v>4.82</v>
      </c>
      <c r="M835" s="341"/>
      <c r="N835" s="342"/>
      <c r="P835" s="343"/>
      <c r="R835" s="250"/>
      <c r="S835" s="265"/>
    </row>
    <row r="836" s="164" customFormat="1" ht="24" customHeight="1" spans="1:19">
      <c r="A836" s="217"/>
      <c r="B836" s="202"/>
      <c r="C836" s="325" t="s">
        <v>1767</v>
      </c>
      <c r="D836" s="203" t="s">
        <v>1040</v>
      </c>
      <c r="E836" s="244"/>
      <c r="F836" s="330"/>
      <c r="G836" s="329">
        <v>10.96</v>
      </c>
      <c r="H836" s="325" t="s">
        <v>1040</v>
      </c>
      <c r="I836" s="212"/>
      <c r="J836" s="244">
        <v>14.11104</v>
      </c>
      <c r="K836" s="332">
        <v>1.02</v>
      </c>
      <c r="L836" s="350">
        <v>5.18</v>
      </c>
      <c r="M836" s="341"/>
      <c r="N836" s="342"/>
      <c r="P836" s="343"/>
      <c r="R836" s="250"/>
      <c r="S836" s="265"/>
    </row>
    <row r="837" s="164" customFormat="1" ht="24" customHeight="1" spans="1:19">
      <c r="A837" s="217"/>
      <c r="B837" s="202"/>
      <c r="C837" s="325" t="s">
        <v>1768</v>
      </c>
      <c r="D837" s="203" t="s">
        <v>1040</v>
      </c>
      <c r="E837" s="244"/>
      <c r="F837" s="330"/>
      <c r="G837" s="329">
        <v>15.43</v>
      </c>
      <c r="H837" s="325" t="s">
        <v>1040</v>
      </c>
      <c r="I837" s="212"/>
      <c r="J837" s="244">
        <v>17.22</v>
      </c>
      <c r="K837" s="332">
        <v>1.02</v>
      </c>
      <c r="L837" s="350">
        <v>5.62</v>
      </c>
      <c r="M837" s="341"/>
      <c r="N837" s="342"/>
      <c r="P837" s="343"/>
      <c r="R837" s="250"/>
      <c r="S837" s="265"/>
    </row>
    <row r="838" s="164" customFormat="1" ht="24" customHeight="1" spans="1:19">
      <c r="A838" s="217"/>
      <c r="B838" s="202"/>
      <c r="C838" s="325" t="s">
        <v>1769</v>
      </c>
      <c r="D838" s="203" t="s">
        <v>1040</v>
      </c>
      <c r="E838" s="244"/>
      <c r="F838" s="330"/>
      <c r="G838" s="329">
        <v>21.36</v>
      </c>
      <c r="H838" s="325" t="s">
        <v>1040</v>
      </c>
      <c r="I838" s="212"/>
      <c r="J838" s="244">
        <v>17.46</v>
      </c>
      <c r="K838" s="332">
        <v>1.02</v>
      </c>
      <c r="L838" s="350">
        <v>6.11</v>
      </c>
      <c r="M838" s="341"/>
      <c r="N838" s="342"/>
      <c r="P838" s="343"/>
      <c r="R838" s="250"/>
      <c r="S838" s="265"/>
    </row>
    <row r="839" s="164" customFormat="1" ht="24" customHeight="1" spans="1:19">
      <c r="A839" s="217"/>
      <c r="B839" s="202"/>
      <c r="C839" s="325" t="s">
        <v>1770</v>
      </c>
      <c r="D839" s="203" t="s">
        <v>1040</v>
      </c>
      <c r="E839" s="244"/>
      <c r="F839" s="330"/>
      <c r="G839" s="329">
        <v>24.44</v>
      </c>
      <c r="H839" s="325" t="s">
        <v>1040</v>
      </c>
      <c r="I839" s="212"/>
      <c r="J839" s="244">
        <v>20.37</v>
      </c>
      <c r="K839" s="332">
        <v>1.02</v>
      </c>
      <c r="L839" s="350">
        <v>5.61</v>
      </c>
      <c r="M839" s="341"/>
      <c r="N839" s="342"/>
      <c r="P839" s="343"/>
      <c r="R839" s="250"/>
      <c r="S839" s="265"/>
    </row>
    <row r="840" s="164" customFormat="1" ht="24" customHeight="1" spans="1:19">
      <c r="A840" s="217"/>
      <c r="B840" s="202"/>
      <c r="C840" s="325" t="s">
        <v>1771</v>
      </c>
      <c r="D840" s="203" t="s">
        <v>1040</v>
      </c>
      <c r="E840" s="244"/>
      <c r="F840" s="330"/>
      <c r="G840" s="329">
        <v>32.88</v>
      </c>
      <c r="H840" s="325" t="s">
        <v>1040</v>
      </c>
      <c r="I840" s="212"/>
      <c r="J840" s="244">
        <v>20.98</v>
      </c>
      <c r="K840" s="332">
        <v>1.02</v>
      </c>
      <c r="L840" s="350">
        <v>7.37</v>
      </c>
      <c r="M840" s="341"/>
      <c r="N840" s="342"/>
      <c r="P840" s="343"/>
      <c r="R840" s="250"/>
      <c r="S840" s="265"/>
    </row>
    <row r="841" s="164" customFormat="1" ht="24" customHeight="1" spans="1:19">
      <c r="A841" s="217"/>
      <c r="B841" s="202"/>
      <c r="C841" s="325" t="s">
        <v>1772</v>
      </c>
      <c r="D841" s="203" t="s">
        <v>1040</v>
      </c>
      <c r="E841" s="244"/>
      <c r="F841" s="330"/>
      <c r="G841" s="329">
        <v>43.23</v>
      </c>
      <c r="H841" s="325" t="s">
        <v>1040</v>
      </c>
      <c r="I841" s="212"/>
      <c r="J841" s="244">
        <v>21.05</v>
      </c>
      <c r="K841" s="332">
        <v>1.02</v>
      </c>
      <c r="L841" s="350">
        <v>8.43</v>
      </c>
      <c r="M841" s="341"/>
      <c r="N841" s="342"/>
      <c r="P841" s="343"/>
      <c r="R841" s="250"/>
      <c r="S841" s="265"/>
    </row>
    <row r="842" s="164" customFormat="1" ht="24" customHeight="1" spans="1:19">
      <c r="A842" s="217"/>
      <c r="B842" s="202"/>
      <c r="C842" s="325" t="s">
        <v>1773</v>
      </c>
      <c r="D842" s="203" t="s">
        <v>1040</v>
      </c>
      <c r="E842" s="244"/>
      <c r="F842" s="330"/>
      <c r="G842" s="329">
        <v>50.71</v>
      </c>
      <c r="H842" s="325" t="s">
        <v>1040</v>
      </c>
      <c r="I842" s="212"/>
      <c r="J842" s="244">
        <v>22.7</v>
      </c>
      <c r="K842" s="332">
        <v>1.02</v>
      </c>
      <c r="L842" s="350">
        <v>10.04</v>
      </c>
      <c r="M842" s="341"/>
      <c r="N842" s="342"/>
      <c r="P842" s="343"/>
      <c r="R842" s="250"/>
      <c r="S842" s="265"/>
    </row>
    <row r="843" s="164" customFormat="1" ht="24" customHeight="1" spans="1:19">
      <c r="A843" s="217"/>
      <c r="B843" s="202"/>
      <c r="C843" s="325" t="s">
        <v>1774</v>
      </c>
      <c r="D843" s="203" t="s">
        <v>1040</v>
      </c>
      <c r="E843" s="244"/>
      <c r="F843" s="330"/>
      <c r="G843" s="329">
        <v>71.17</v>
      </c>
      <c r="H843" s="325" t="s">
        <v>1040</v>
      </c>
      <c r="I843" s="212"/>
      <c r="J843" s="244">
        <v>30.08</v>
      </c>
      <c r="K843" s="332">
        <v>1.02</v>
      </c>
      <c r="L843" s="350">
        <v>15.72</v>
      </c>
      <c r="M843" s="341"/>
      <c r="N843" s="342"/>
      <c r="P843" s="343"/>
      <c r="R843" s="250"/>
      <c r="S843" s="265"/>
    </row>
    <row r="844" s="164" customFormat="1" ht="24" customHeight="1" spans="1:19">
      <c r="A844" s="217"/>
      <c r="B844" s="202"/>
      <c r="C844" s="325" t="s">
        <v>1775</v>
      </c>
      <c r="D844" s="203" t="s">
        <v>1040</v>
      </c>
      <c r="E844" s="244"/>
      <c r="F844" s="330"/>
      <c r="G844" s="329">
        <v>110.85</v>
      </c>
      <c r="H844" s="325" t="s">
        <v>1040</v>
      </c>
      <c r="I844" s="212"/>
      <c r="J844" s="244">
        <v>32.85</v>
      </c>
      <c r="K844" s="332">
        <v>1.02</v>
      </c>
      <c r="L844" s="350">
        <v>18.37</v>
      </c>
      <c r="M844" s="341"/>
      <c r="N844" s="342"/>
      <c r="P844" s="343"/>
      <c r="R844" s="250"/>
      <c r="S844" s="265"/>
    </row>
    <row r="845" s="164" customFormat="1" ht="24" customHeight="1" spans="1:19">
      <c r="A845" s="217"/>
      <c r="B845" s="202"/>
      <c r="C845" s="325" t="s">
        <v>1776</v>
      </c>
      <c r="D845" s="203" t="s">
        <v>1040</v>
      </c>
      <c r="E845" s="244"/>
      <c r="F845" s="330"/>
      <c r="G845" s="329">
        <v>121.49</v>
      </c>
      <c r="H845" s="325" t="s">
        <v>1040</v>
      </c>
      <c r="I845" s="212"/>
      <c r="J845" s="244">
        <v>35.08</v>
      </c>
      <c r="K845" s="332">
        <v>1.02</v>
      </c>
      <c r="L845" s="350">
        <v>24.25</v>
      </c>
      <c r="M845" s="341"/>
      <c r="N845" s="342"/>
      <c r="P845" s="343"/>
      <c r="R845" s="250"/>
      <c r="S845" s="265"/>
    </row>
    <row r="846" s="164" customFormat="1" ht="24" customHeight="1" spans="1:19">
      <c r="A846" s="217"/>
      <c r="B846" s="202"/>
      <c r="C846" s="325" t="s">
        <v>1777</v>
      </c>
      <c r="D846" s="203" t="s">
        <v>1040</v>
      </c>
      <c r="E846" s="244"/>
      <c r="F846" s="330"/>
      <c r="G846" s="329">
        <v>225.66</v>
      </c>
      <c r="H846" s="325" t="s">
        <v>1040</v>
      </c>
      <c r="I846" s="212"/>
      <c r="J846" s="244">
        <v>41.37</v>
      </c>
      <c r="K846" s="332">
        <v>1.02</v>
      </c>
      <c r="L846" s="350">
        <v>40.85</v>
      </c>
      <c r="M846" s="341"/>
      <c r="N846" s="342"/>
      <c r="P846" s="343"/>
      <c r="R846" s="250"/>
      <c r="S846" s="265"/>
    </row>
    <row r="847" s="164" customFormat="1" ht="24" customHeight="1" spans="1:19">
      <c r="A847" s="217"/>
      <c r="B847" s="202"/>
      <c r="C847" s="325" t="s">
        <v>1778</v>
      </c>
      <c r="D847" s="203" t="s">
        <v>1040</v>
      </c>
      <c r="E847" s="244"/>
      <c r="F847" s="330"/>
      <c r="G847" s="329">
        <v>316.81</v>
      </c>
      <c r="H847" s="325" t="s">
        <v>1040</v>
      </c>
      <c r="I847" s="212"/>
      <c r="J847" s="244">
        <v>44.82</v>
      </c>
      <c r="K847" s="332">
        <v>1.02</v>
      </c>
      <c r="L847" s="350">
        <v>43.82</v>
      </c>
      <c r="M847" s="341"/>
      <c r="N847" s="342"/>
      <c r="P847" s="343"/>
      <c r="R847" s="250"/>
      <c r="S847" s="265"/>
    </row>
    <row r="848" s="164" customFormat="1" ht="24" customHeight="1" spans="1:19">
      <c r="A848" s="217"/>
      <c r="B848" s="295" t="s">
        <v>1779</v>
      </c>
      <c r="C848" s="325" t="s">
        <v>1780</v>
      </c>
      <c r="D848" s="203" t="s">
        <v>838</v>
      </c>
      <c r="E848" s="244"/>
      <c r="F848" s="330"/>
      <c r="G848" s="329">
        <v>136</v>
      </c>
      <c r="H848" s="325" t="s">
        <v>838</v>
      </c>
      <c r="I848" s="212"/>
      <c r="J848" s="244">
        <v>48</v>
      </c>
      <c r="K848" s="332">
        <v>1</v>
      </c>
      <c r="L848" s="350">
        <v>43</v>
      </c>
      <c r="M848" s="341"/>
      <c r="N848" s="342"/>
      <c r="P848" s="343"/>
      <c r="R848" s="250"/>
      <c r="S848" s="265"/>
    </row>
    <row r="849" s="164" customFormat="1" ht="24" customHeight="1" spans="1:19">
      <c r="A849" s="217"/>
      <c r="B849" s="202"/>
      <c r="C849" s="325" t="s">
        <v>1781</v>
      </c>
      <c r="D849" s="203" t="s">
        <v>838</v>
      </c>
      <c r="E849" s="244"/>
      <c r="F849" s="330"/>
      <c r="G849" s="329">
        <v>206</v>
      </c>
      <c r="H849" s="325" t="s">
        <v>838</v>
      </c>
      <c r="I849" s="212"/>
      <c r="J849" s="244">
        <v>50</v>
      </c>
      <c r="K849" s="332">
        <v>1</v>
      </c>
      <c r="L849" s="350">
        <v>50</v>
      </c>
      <c r="M849" s="341"/>
      <c r="N849" s="342"/>
      <c r="P849" s="343"/>
      <c r="R849" s="250"/>
      <c r="S849" s="265"/>
    </row>
    <row r="850" s="164" customFormat="1" ht="24" customHeight="1" spans="1:19">
      <c r="A850" s="217"/>
      <c r="B850" s="202"/>
      <c r="C850" s="325" t="s">
        <v>1782</v>
      </c>
      <c r="D850" s="203" t="s">
        <v>838</v>
      </c>
      <c r="E850" s="244"/>
      <c r="F850" s="330"/>
      <c r="G850" s="329">
        <v>242</v>
      </c>
      <c r="H850" s="325" t="s">
        <v>838</v>
      </c>
      <c r="I850" s="212"/>
      <c r="J850" s="244">
        <v>88</v>
      </c>
      <c r="K850" s="332">
        <v>1</v>
      </c>
      <c r="L850" s="350">
        <v>107</v>
      </c>
      <c r="M850" s="341"/>
      <c r="N850" s="342"/>
      <c r="P850" s="343"/>
      <c r="R850" s="250"/>
      <c r="S850" s="265"/>
    </row>
    <row r="851" s="164" customFormat="1" ht="24" customHeight="1" spans="1:19">
      <c r="A851" s="217"/>
      <c r="B851" s="202"/>
      <c r="C851" s="325" t="s">
        <v>1783</v>
      </c>
      <c r="D851" s="203" t="s">
        <v>838</v>
      </c>
      <c r="E851" s="244"/>
      <c r="F851" s="330"/>
      <c r="G851" s="329">
        <v>302</v>
      </c>
      <c r="H851" s="325" t="s">
        <v>838</v>
      </c>
      <c r="I851" s="212"/>
      <c r="J851" s="244">
        <v>60</v>
      </c>
      <c r="K851" s="332">
        <v>1</v>
      </c>
      <c r="L851" s="350">
        <v>145</v>
      </c>
      <c r="M851" s="341"/>
      <c r="N851" s="342"/>
      <c r="P851" s="343"/>
      <c r="R851" s="250"/>
      <c r="S851" s="265"/>
    </row>
    <row r="852" s="164" customFormat="1" ht="24" customHeight="1" spans="1:19">
      <c r="A852" s="217"/>
      <c r="B852" s="202"/>
      <c r="C852" s="325" t="s">
        <v>1784</v>
      </c>
      <c r="D852" s="203" t="s">
        <v>838</v>
      </c>
      <c r="E852" s="244"/>
      <c r="F852" s="330"/>
      <c r="G852" s="329">
        <v>350</v>
      </c>
      <c r="H852" s="325" t="s">
        <v>838</v>
      </c>
      <c r="I852" s="212"/>
      <c r="J852" s="244">
        <v>65</v>
      </c>
      <c r="K852" s="332">
        <v>1</v>
      </c>
      <c r="L852" s="350">
        <v>165</v>
      </c>
      <c r="M852" s="341"/>
      <c r="N852" s="342"/>
      <c r="P852" s="343"/>
      <c r="R852" s="250"/>
      <c r="S852" s="265"/>
    </row>
    <row r="853" s="164" customFormat="1" ht="24" customHeight="1" spans="1:19">
      <c r="A853" s="217"/>
      <c r="B853" s="202"/>
      <c r="C853" s="325" t="s">
        <v>1785</v>
      </c>
      <c r="D853" s="203" t="s">
        <v>838</v>
      </c>
      <c r="E853" s="244"/>
      <c r="F853" s="330"/>
      <c r="G853" s="329">
        <v>408</v>
      </c>
      <c r="H853" s="325" t="s">
        <v>838</v>
      </c>
      <c r="I853" s="212"/>
      <c r="J853" s="244">
        <v>75</v>
      </c>
      <c r="K853" s="332">
        <v>1</v>
      </c>
      <c r="L853" s="350">
        <v>188</v>
      </c>
      <c r="M853" s="341"/>
      <c r="N853" s="342"/>
      <c r="P853" s="343"/>
      <c r="R853" s="250"/>
      <c r="S853" s="265"/>
    </row>
    <row r="854" s="164" customFormat="1" ht="24" customHeight="1" spans="1:19">
      <c r="A854" s="217"/>
      <c r="B854" s="202"/>
      <c r="C854" s="325" t="s">
        <v>1786</v>
      </c>
      <c r="D854" s="203" t="s">
        <v>838</v>
      </c>
      <c r="E854" s="244"/>
      <c r="F854" s="330"/>
      <c r="G854" s="329">
        <v>550</v>
      </c>
      <c r="H854" s="325" t="s">
        <v>838</v>
      </c>
      <c r="I854" s="212"/>
      <c r="J854" s="244">
        <v>120</v>
      </c>
      <c r="K854" s="332">
        <v>1</v>
      </c>
      <c r="L854" s="350">
        <v>218</v>
      </c>
      <c r="M854" s="341"/>
      <c r="N854" s="342"/>
      <c r="P854" s="343"/>
      <c r="R854" s="250"/>
      <c r="S854" s="265"/>
    </row>
    <row r="855" s="164" customFormat="1" ht="24" customHeight="1" spans="1:19">
      <c r="A855" s="217"/>
      <c r="B855" s="295" t="s">
        <v>1787</v>
      </c>
      <c r="C855" s="325" t="s">
        <v>1788</v>
      </c>
      <c r="D855" s="203" t="s">
        <v>838</v>
      </c>
      <c r="E855" s="244"/>
      <c r="F855" s="330"/>
      <c r="G855" s="329">
        <v>3</v>
      </c>
      <c r="H855" s="325" t="s">
        <v>838</v>
      </c>
      <c r="I855" s="212"/>
      <c r="J855" s="244">
        <v>12</v>
      </c>
      <c r="K855" s="332">
        <v>1</v>
      </c>
      <c r="L855" s="350">
        <v>4</v>
      </c>
      <c r="M855" s="341"/>
      <c r="N855" s="342"/>
      <c r="P855" s="343"/>
      <c r="R855" s="250"/>
      <c r="S855" s="265"/>
    </row>
    <row r="856" s="164" customFormat="1" ht="24" customHeight="1" spans="1:19">
      <c r="A856" s="217"/>
      <c r="B856" s="202"/>
      <c r="C856" s="325" t="s">
        <v>1789</v>
      </c>
      <c r="D856" s="203" t="s">
        <v>838</v>
      </c>
      <c r="E856" s="244"/>
      <c r="F856" s="330"/>
      <c r="G856" s="329">
        <v>5</v>
      </c>
      <c r="H856" s="325" t="s">
        <v>838</v>
      </c>
      <c r="I856" s="212"/>
      <c r="J856" s="244">
        <v>14</v>
      </c>
      <c r="K856" s="332">
        <v>1</v>
      </c>
      <c r="L856" s="350">
        <v>4</v>
      </c>
      <c r="M856" s="341"/>
      <c r="N856" s="342"/>
      <c r="P856" s="343"/>
      <c r="R856" s="250"/>
      <c r="S856" s="265"/>
    </row>
    <row r="857" s="164" customFormat="1" ht="24" customHeight="1" spans="1:19">
      <c r="A857" s="217"/>
      <c r="B857" s="202"/>
      <c r="C857" s="325" t="s">
        <v>1790</v>
      </c>
      <c r="D857" s="203" t="s">
        <v>838</v>
      </c>
      <c r="E857" s="244"/>
      <c r="F857" s="330"/>
      <c r="G857" s="329">
        <v>8</v>
      </c>
      <c r="H857" s="325" t="s">
        <v>838</v>
      </c>
      <c r="I857" s="212"/>
      <c r="J857" s="244">
        <v>16</v>
      </c>
      <c r="K857" s="332">
        <v>1</v>
      </c>
      <c r="L857" s="350">
        <v>4</v>
      </c>
      <c r="M857" s="341"/>
      <c r="N857" s="342"/>
      <c r="P857" s="343"/>
      <c r="R857" s="250"/>
      <c r="S857" s="265"/>
    </row>
    <row r="858" s="164" customFormat="1" ht="24" customHeight="1" spans="1:19">
      <c r="A858" s="217"/>
      <c r="B858" s="202" t="s">
        <v>1791</v>
      </c>
      <c r="C858" s="325" t="s">
        <v>1792</v>
      </c>
      <c r="D858" s="203" t="s">
        <v>1201</v>
      </c>
      <c r="E858" s="244"/>
      <c r="F858" s="330"/>
      <c r="G858" s="329" t="e">
        <f>#REF!</f>
        <v>#REF!</v>
      </c>
      <c r="H858" s="325" t="s">
        <v>1201</v>
      </c>
      <c r="I858" s="212"/>
      <c r="J858" s="244">
        <v>243.98</v>
      </c>
      <c r="K858" s="332">
        <v>1</v>
      </c>
      <c r="L858" s="350">
        <v>141.5</v>
      </c>
      <c r="M858" s="341"/>
      <c r="N858" s="342"/>
      <c r="P858" s="343"/>
      <c r="R858" s="250"/>
      <c r="S858" s="265"/>
    </row>
    <row r="859" s="164" customFormat="1" ht="24" customHeight="1" spans="1:19">
      <c r="A859" s="217"/>
      <c r="B859" s="202"/>
      <c r="C859" s="325" t="s">
        <v>1793</v>
      </c>
      <c r="D859" s="203" t="s">
        <v>1201</v>
      </c>
      <c r="E859" s="244"/>
      <c r="F859" s="330"/>
      <c r="G859" s="329" t="e">
        <f>#REF!</f>
        <v>#REF!</v>
      </c>
      <c r="H859" s="325" t="s">
        <v>1201</v>
      </c>
      <c r="I859" s="212"/>
      <c r="J859" s="244">
        <v>243.98</v>
      </c>
      <c r="K859" s="332">
        <v>1</v>
      </c>
      <c r="L859" s="350">
        <v>141.5</v>
      </c>
      <c r="M859" s="341"/>
      <c r="N859" s="342"/>
      <c r="P859" s="343"/>
      <c r="R859" s="250"/>
      <c r="S859" s="265"/>
    </row>
    <row r="860" s="164" customFormat="1" ht="24" customHeight="1" spans="1:19">
      <c r="A860" s="217"/>
      <c r="B860" s="202"/>
      <c r="C860" s="325" t="s">
        <v>1794</v>
      </c>
      <c r="D860" s="203" t="s">
        <v>1201</v>
      </c>
      <c r="E860" s="244"/>
      <c r="F860" s="330"/>
      <c r="G860" s="329" t="e">
        <f>#REF!</f>
        <v>#REF!</v>
      </c>
      <c r="H860" s="325" t="s">
        <v>1201</v>
      </c>
      <c r="I860" s="212"/>
      <c r="J860" s="244">
        <v>243.98</v>
      </c>
      <c r="K860" s="332">
        <v>1</v>
      </c>
      <c r="L860" s="350">
        <v>141.5</v>
      </c>
      <c r="M860" s="341"/>
      <c r="N860" s="342"/>
      <c r="P860" s="343"/>
      <c r="R860" s="250"/>
      <c r="S860" s="265"/>
    </row>
    <row r="861" s="164" customFormat="1" ht="24" customHeight="1" spans="1:19">
      <c r="A861" s="217"/>
      <c r="B861" s="202"/>
      <c r="C861" s="325" t="s">
        <v>1795</v>
      </c>
      <c r="D861" s="203" t="s">
        <v>1201</v>
      </c>
      <c r="E861" s="244"/>
      <c r="F861" s="330"/>
      <c r="G861" s="329" t="e">
        <f>#REF!</f>
        <v>#REF!</v>
      </c>
      <c r="H861" s="325" t="s">
        <v>1201</v>
      </c>
      <c r="I861" s="212"/>
      <c r="J861" s="244">
        <v>243.98</v>
      </c>
      <c r="K861" s="332">
        <v>1</v>
      </c>
      <c r="L861" s="350">
        <v>141.5</v>
      </c>
      <c r="M861" s="341"/>
      <c r="N861" s="342"/>
      <c r="P861" s="343"/>
      <c r="R861" s="250"/>
      <c r="S861" s="265"/>
    </row>
    <row r="862" s="164" customFormat="1" ht="24" customHeight="1" spans="1:19">
      <c r="A862" s="217"/>
      <c r="B862" s="202"/>
      <c r="C862" s="325" t="s">
        <v>1796</v>
      </c>
      <c r="D862" s="203" t="s">
        <v>1201</v>
      </c>
      <c r="E862" s="244"/>
      <c r="F862" s="330"/>
      <c r="G862" s="329" t="e">
        <f>#REF!</f>
        <v>#REF!</v>
      </c>
      <c r="H862" s="325" t="s">
        <v>1201</v>
      </c>
      <c r="I862" s="212"/>
      <c r="J862" s="244">
        <v>243.98</v>
      </c>
      <c r="K862" s="332">
        <v>1</v>
      </c>
      <c r="L862" s="350">
        <v>141.5</v>
      </c>
      <c r="M862" s="341"/>
      <c r="N862" s="342"/>
      <c r="P862" s="343"/>
      <c r="R862" s="250"/>
      <c r="S862" s="265"/>
    </row>
    <row r="863" s="164" customFormat="1" ht="24" customHeight="1" spans="1:19">
      <c r="A863" s="217"/>
      <c r="B863" s="202"/>
      <c r="C863" s="325" t="s">
        <v>1797</v>
      </c>
      <c r="D863" s="203" t="s">
        <v>1201</v>
      </c>
      <c r="E863" s="244"/>
      <c r="F863" s="330"/>
      <c r="G863" s="329" t="e">
        <f>#REF!</f>
        <v>#REF!</v>
      </c>
      <c r="H863" s="325" t="s">
        <v>1201</v>
      </c>
      <c r="I863" s="212"/>
      <c r="J863" s="244">
        <v>243.98</v>
      </c>
      <c r="K863" s="332">
        <v>1</v>
      </c>
      <c r="L863" s="350">
        <v>141.5</v>
      </c>
      <c r="M863" s="341"/>
      <c r="N863" s="342"/>
      <c r="P863" s="343"/>
      <c r="R863" s="250"/>
      <c r="S863" s="265"/>
    </row>
    <row r="864" s="164" customFormat="1" ht="24" customHeight="1" spans="1:19">
      <c r="A864" s="217"/>
      <c r="B864" s="202"/>
      <c r="C864" s="325" t="s">
        <v>1798</v>
      </c>
      <c r="D864" s="203" t="s">
        <v>1201</v>
      </c>
      <c r="E864" s="244"/>
      <c r="F864" s="330"/>
      <c r="G864" s="329" t="e">
        <f>#REF!</f>
        <v>#REF!</v>
      </c>
      <c r="H864" s="325" t="s">
        <v>1201</v>
      </c>
      <c r="I864" s="212"/>
      <c r="J864" s="244">
        <v>243.98</v>
      </c>
      <c r="K864" s="332">
        <v>1</v>
      </c>
      <c r="L864" s="350">
        <v>141.5</v>
      </c>
      <c r="M864" s="341"/>
      <c r="N864" s="342"/>
      <c r="P864" s="343"/>
      <c r="R864" s="250"/>
      <c r="S864" s="265"/>
    </row>
    <row r="865" s="164" customFormat="1" ht="24" customHeight="1" spans="1:19">
      <c r="A865" s="217"/>
      <c r="B865" s="202"/>
      <c r="C865" s="325" t="s">
        <v>1799</v>
      </c>
      <c r="D865" s="203" t="s">
        <v>1201</v>
      </c>
      <c r="E865" s="244"/>
      <c r="F865" s="330"/>
      <c r="G865" s="329" t="e">
        <f>#REF!</f>
        <v>#REF!</v>
      </c>
      <c r="H865" s="325" t="s">
        <v>1201</v>
      </c>
      <c r="I865" s="212"/>
      <c r="J865" s="244">
        <v>243.98</v>
      </c>
      <c r="K865" s="332">
        <v>1</v>
      </c>
      <c r="L865" s="350">
        <v>141.5</v>
      </c>
      <c r="M865" s="341"/>
      <c r="N865" s="342"/>
      <c r="P865" s="343"/>
      <c r="R865" s="250"/>
      <c r="S865" s="265"/>
    </row>
    <row r="866" s="164" customFormat="1" ht="24" customHeight="1" spans="1:19">
      <c r="A866" s="217"/>
      <c r="B866" s="202"/>
      <c r="C866" s="325" t="s">
        <v>1800</v>
      </c>
      <c r="D866" s="203" t="s">
        <v>1201</v>
      </c>
      <c r="E866" s="244"/>
      <c r="F866" s="330"/>
      <c r="G866" s="329" t="e">
        <f>#REF!</f>
        <v>#REF!</v>
      </c>
      <c r="H866" s="325" t="s">
        <v>1201</v>
      </c>
      <c r="I866" s="212"/>
      <c r="J866" s="244">
        <v>243.98</v>
      </c>
      <c r="K866" s="332">
        <v>1</v>
      </c>
      <c r="L866" s="350">
        <v>141.5</v>
      </c>
      <c r="M866" s="341"/>
      <c r="N866" s="342"/>
      <c r="P866" s="343"/>
      <c r="R866" s="250"/>
      <c r="S866" s="265"/>
    </row>
    <row r="867" s="164" customFormat="1" ht="24" customHeight="1" spans="1:19">
      <c r="A867" s="217"/>
      <c r="B867" s="202"/>
      <c r="C867" s="325" t="s">
        <v>1801</v>
      </c>
      <c r="D867" s="203" t="s">
        <v>1201</v>
      </c>
      <c r="E867" s="244"/>
      <c r="F867" s="330"/>
      <c r="G867" s="329" t="e">
        <f>#REF!</f>
        <v>#REF!</v>
      </c>
      <c r="H867" s="325" t="s">
        <v>1201</v>
      </c>
      <c r="I867" s="212"/>
      <c r="J867" s="244">
        <v>243.98</v>
      </c>
      <c r="K867" s="332">
        <v>1</v>
      </c>
      <c r="L867" s="350">
        <v>141.5</v>
      </c>
      <c r="M867" s="341"/>
      <c r="N867" s="342"/>
      <c r="P867" s="343"/>
      <c r="R867" s="250"/>
      <c r="S867" s="265"/>
    </row>
    <row r="868" s="164" customFormat="1" ht="24" customHeight="1" spans="1:19">
      <c r="A868" s="217"/>
      <c r="B868" s="202"/>
      <c r="C868" s="325" t="s">
        <v>1802</v>
      </c>
      <c r="D868" s="203" t="s">
        <v>1201</v>
      </c>
      <c r="E868" s="244"/>
      <c r="F868" s="330"/>
      <c r="G868" s="329" t="e">
        <f>#REF!</f>
        <v>#REF!</v>
      </c>
      <c r="H868" s="325" t="s">
        <v>1201</v>
      </c>
      <c r="I868" s="212"/>
      <c r="J868" s="244">
        <v>243.98</v>
      </c>
      <c r="K868" s="332">
        <v>1</v>
      </c>
      <c r="L868" s="350">
        <v>141.5</v>
      </c>
      <c r="M868" s="341"/>
      <c r="N868" s="342"/>
      <c r="P868" s="343"/>
      <c r="R868" s="250"/>
      <c r="S868" s="265"/>
    </row>
    <row r="869" s="164" customFormat="1" ht="24" customHeight="1" spans="1:19">
      <c r="A869" s="217"/>
      <c r="B869" s="202"/>
      <c r="C869" s="351" t="s">
        <v>1803</v>
      </c>
      <c r="D869" s="203" t="s">
        <v>1201</v>
      </c>
      <c r="E869" s="244"/>
      <c r="F869" s="330"/>
      <c r="G869" s="329" t="e">
        <f>#REF!</f>
        <v>#REF!</v>
      </c>
      <c r="H869" s="325" t="s">
        <v>1201</v>
      </c>
      <c r="I869" s="212"/>
      <c r="J869" s="244">
        <v>40</v>
      </c>
      <c r="K869" s="332">
        <v>1</v>
      </c>
      <c r="L869" s="350">
        <v>15</v>
      </c>
      <c r="M869" s="341"/>
      <c r="N869" s="342"/>
      <c r="P869" s="343"/>
      <c r="R869" s="250"/>
      <c r="S869" s="265"/>
    </row>
    <row r="870" s="164" customFormat="1" ht="24" customHeight="1" spans="1:19">
      <c r="A870" s="217"/>
      <c r="B870" s="295" t="s">
        <v>1804</v>
      </c>
      <c r="C870" s="325" t="s">
        <v>1805</v>
      </c>
      <c r="D870" s="203" t="s">
        <v>1701</v>
      </c>
      <c r="E870" s="244"/>
      <c r="F870" s="330"/>
      <c r="G870" s="329">
        <v>380</v>
      </c>
      <c r="H870" s="325" t="s">
        <v>1701</v>
      </c>
      <c r="I870" s="212"/>
      <c r="J870" s="244">
        <v>120</v>
      </c>
      <c r="K870" s="332">
        <v>1</v>
      </c>
      <c r="L870" s="350">
        <v>105</v>
      </c>
      <c r="M870" s="341"/>
      <c r="N870" s="342"/>
      <c r="P870" s="343"/>
      <c r="R870" s="250"/>
      <c r="S870" s="265"/>
    </row>
    <row r="871" s="164" customFormat="1" ht="24" customHeight="1" spans="1:19">
      <c r="A871" s="217"/>
      <c r="B871" s="202"/>
      <c r="C871" s="325" t="s">
        <v>1806</v>
      </c>
      <c r="D871" s="203" t="s">
        <v>1701</v>
      </c>
      <c r="E871" s="244"/>
      <c r="F871" s="330"/>
      <c r="G871" s="329">
        <v>485</v>
      </c>
      <c r="H871" s="325" t="s">
        <v>1701</v>
      </c>
      <c r="I871" s="212"/>
      <c r="J871" s="244">
        <v>205</v>
      </c>
      <c r="K871" s="332">
        <v>1</v>
      </c>
      <c r="L871" s="350">
        <v>168</v>
      </c>
      <c r="M871" s="341"/>
      <c r="N871" s="342"/>
      <c r="P871" s="343"/>
      <c r="R871" s="250"/>
      <c r="S871" s="265"/>
    </row>
    <row r="872" s="164" customFormat="1" ht="24" customHeight="1" spans="1:19">
      <c r="A872" s="217"/>
      <c r="B872" s="202"/>
      <c r="C872" s="325" t="s">
        <v>1807</v>
      </c>
      <c r="D872" s="203" t="s">
        <v>1701</v>
      </c>
      <c r="E872" s="244"/>
      <c r="F872" s="330"/>
      <c r="G872" s="329">
        <v>615</v>
      </c>
      <c r="H872" s="325" t="s">
        <v>1701</v>
      </c>
      <c r="I872" s="212"/>
      <c r="J872" s="244">
        <v>310</v>
      </c>
      <c r="K872" s="332">
        <v>1</v>
      </c>
      <c r="L872" s="350">
        <v>225</v>
      </c>
      <c r="M872" s="341"/>
      <c r="N872" s="342"/>
      <c r="P872" s="343"/>
      <c r="R872" s="250"/>
      <c r="S872" s="265"/>
    </row>
    <row r="873" s="164" customFormat="1" ht="24" customHeight="1" spans="1:19">
      <c r="A873" s="217"/>
      <c r="B873" s="202"/>
      <c r="C873" s="325" t="s">
        <v>1808</v>
      </c>
      <c r="D873" s="203" t="s">
        <v>1701</v>
      </c>
      <c r="E873" s="244"/>
      <c r="F873" s="330"/>
      <c r="G873" s="329">
        <v>972.9</v>
      </c>
      <c r="H873" s="325" t="s">
        <v>1701</v>
      </c>
      <c r="I873" s="212"/>
      <c r="J873" s="244">
        <v>398.9</v>
      </c>
      <c r="K873" s="332">
        <v>1</v>
      </c>
      <c r="L873" s="350">
        <v>640</v>
      </c>
      <c r="M873" s="341"/>
      <c r="N873" s="342"/>
      <c r="P873" s="343"/>
      <c r="R873" s="250"/>
      <c r="S873" s="265"/>
    </row>
    <row r="874" s="164" customFormat="1" ht="24" customHeight="1" spans="1:19">
      <c r="A874" s="217"/>
      <c r="B874" s="202"/>
      <c r="C874" s="325" t="s">
        <v>1809</v>
      </c>
      <c r="D874" s="203" t="s">
        <v>1701</v>
      </c>
      <c r="E874" s="244"/>
      <c r="F874" s="330"/>
      <c r="G874" s="329">
        <v>1887.14</v>
      </c>
      <c r="H874" s="325" t="s">
        <v>1701</v>
      </c>
      <c r="I874" s="212"/>
      <c r="J874" s="244">
        <v>587.51</v>
      </c>
      <c r="K874" s="332">
        <v>1</v>
      </c>
      <c r="L874" s="350">
        <v>949.94</v>
      </c>
      <c r="M874" s="341"/>
      <c r="N874" s="342"/>
      <c r="P874" s="343"/>
      <c r="R874" s="250"/>
      <c r="S874" s="265"/>
    </row>
    <row r="875" s="164" customFormat="1" ht="24" customHeight="1" spans="1:19">
      <c r="A875" s="217"/>
      <c r="B875" s="202"/>
      <c r="C875" s="325" t="s">
        <v>1810</v>
      </c>
      <c r="D875" s="203" t="s">
        <v>1701</v>
      </c>
      <c r="E875" s="244"/>
      <c r="F875" s="330"/>
      <c r="G875" s="329">
        <v>2479.49</v>
      </c>
      <c r="H875" s="325" t="s">
        <v>1701</v>
      </c>
      <c r="I875" s="212"/>
      <c r="J875" s="244">
        <v>626.04</v>
      </c>
      <c r="K875" s="332">
        <v>1</v>
      </c>
      <c r="L875" s="350">
        <v>1079.48</v>
      </c>
      <c r="M875" s="341"/>
      <c r="N875" s="342"/>
      <c r="P875" s="343"/>
      <c r="R875" s="250"/>
      <c r="S875" s="265"/>
    </row>
    <row r="876" s="164" customFormat="1" ht="24" customHeight="1" spans="1:19">
      <c r="A876" s="217"/>
      <c r="B876" s="202"/>
      <c r="C876" s="325" t="s">
        <v>1811</v>
      </c>
      <c r="D876" s="203" t="s">
        <v>1701</v>
      </c>
      <c r="E876" s="244"/>
      <c r="F876" s="330"/>
      <c r="G876" s="329">
        <v>2814.46</v>
      </c>
      <c r="H876" s="325" t="s">
        <v>1701</v>
      </c>
      <c r="I876" s="212"/>
      <c r="J876" s="244">
        <v>738.32</v>
      </c>
      <c r="K876" s="332">
        <v>1</v>
      </c>
      <c r="L876" s="350">
        <v>1325.66</v>
      </c>
      <c r="M876" s="341"/>
      <c r="N876" s="342"/>
      <c r="P876" s="343"/>
      <c r="R876" s="250"/>
      <c r="S876" s="265"/>
    </row>
    <row r="877" s="164" customFormat="1" ht="24" customHeight="1" spans="1:19">
      <c r="A877" s="217"/>
      <c r="B877" s="295" t="s">
        <v>1812</v>
      </c>
      <c r="C877" s="325" t="s">
        <v>1813</v>
      </c>
      <c r="D877" s="203" t="s">
        <v>1381</v>
      </c>
      <c r="E877" s="244"/>
      <c r="F877" s="330"/>
      <c r="G877" s="329">
        <v>95</v>
      </c>
      <c r="H877" s="325" t="s">
        <v>1381</v>
      </c>
      <c r="I877" s="212"/>
      <c r="J877" s="244">
        <v>40.5</v>
      </c>
      <c r="K877" s="332">
        <v>1</v>
      </c>
      <c r="L877" s="350">
        <v>7.77</v>
      </c>
      <c r="M877" s="341"/>
      <c r="N877" s="342"/>
      <c r="P877" s="343"/>
      <c r="R877" s="250"/>
      <c r="S877" s="265"/>
    </row>
    <row r="878" s="164" customFormat="1" ht="24" customHeight="1" spans="1:19">
      <c r="A878" s="217"/>
      <c r="B878" s="202"/>
      <c r="C878" s="325" t="s">
        <v>1814</v>
      </c>
      <c r="D878" s="203" t="s">
        <v>1381</v>
      </c>
      <c r="E878" s="244"/>
      <c r="F878" s="330"/>
      <c r="G878" s="329">
        <v>135</v>
      </c>
      <c r="H878" s="325" t="s">
        <v>1381</v>
      </c>
      <c r="I878" s="212"/>
      <c r="J878" s="244">
        <v>40.5</v>
      </c>
      <c r="K878" s="332">
        <v>1</v>
      </c>
      <c r="L878" s="350">
        <v>7.77</v>
      </c>
      <c r="M878" s="341"/>
      <c r="N878" s="342"/>
      <c r="P878" s="343"/>
      <c r="R878" s="250"/>
      <c r="S878" s="265"/>
    </row>
    <row r="879" s="164" customFormat="1" ht="24" customHeight="1" spans="1:19">
      <c r="A879" s="217"/>
      <c r="B879" s="202"/>
      <c r="C879" s="325" t="s">
        <v>1815</v>
      </c>
      <c r="D879" s="203" t="s">
        <v>1381</v>
      </c>
      <c r="E879" s="244"/>
      <c r="F879" s="330"/>
      <c r="G879" s="329">
        <v>180</v>
      </c>
      <c r="H879" s="325" t="s">
        <v>1381</v>
      </c>
      <c r="I879" s="212"/>
      <c r="J879" s="244">
        <v>40.5</v>
      </c>
      <c r="K879" s="332">
        <v>1</v>
      </c>
      <c r="L879" s="350">
        <v>11.13</v>
      </c>
      <c r="M879" s="341"/>
      <c r="N879" s="342"/>
      <c r="P879" s="343"/>
      <c r="R879" s="250"/>
      <c r="S879" s="265"/>
    </row>
    <row r="880" s="164" customFormat="1" ht="24" customHeight="1" spans="1:19">
      <c r="A880" s="217"/>
      <c r="B880" s="202"/>
      <c r="C880" s="325" t="s">
        <v>1816</v>
      </c>
      <c r="D880" s="203" t="s">
        <v>1381</v>
      </c>
      <c r="E880" s="244"/>
      <c r="F880" s="330"/>
      <c r="G880" s="329">
        <v>225</v>
      </c>
      <c r="H880" s="325" t="s">
        <v>1381</v>
      </c>
      <c r="I880" s="212"/>
      <c r="J880" s="244">
        <v>40.5</v>
      </c>
      <c r="K880" s="332">
        <v>1</v>
      </c>
      <c r="L880" s="350">
        <v>11.13</v>
      </c>
      <c r="M880" s="341"/>
      <c r="N880" s="342"/>
      <c r="P880" s="343"/>
      <c r="R880" s="250"/>
      <c r="S880" s="265"/>
    </row>
    <row r="881" s="164" customFormat="1" ht="24" customHeight="1" spans="1:19">
      <c r="A881" s="217"/>
      <c r="B881" s="202"/>
      <c r="C881" s="325" t="s">
        <v>1817</v>
      </c>
      <c r="D881" s="203" t="s">
        <v>1381</v>
      </c>
      <c r="E881" s="244"/>
      <c r="F881" s="330"/>
      <c r="G881" s="329">
        <v>270</v>
      </c>
      <c r="H881" s="325" t="s">
        <v>1381</v>
      </c>
      <c r="I881" s="212"/>
      <c r="J881" s="244">
        <v>40.5</v>
      </c>
      <c r="K881" s="332">
        <v>1</v>
      </c>
      <c r="L881" s="350">
        <v>11.13</v>
      </c>
      <c r="M881" s="341"/>
      <c r="N881" s="342"/>
      <c r="P881" s="343"/>
      <c r="R881" s="250"/>
      <c r="S881" s="265"/>
    </row>
    <row r="882" s="164" customFormat="1" ht="24" customHeight="1" spans="1:19">
      <c r="A882" s="217"/>
      <c r="B882" s="202"/>
      <c r="C882" s="325" t="s">
        <v>1818</v>
      </c>
      <c r="D882" s="203" t="s">
        <v>1381</v>
      </c>
      <c r="E882" s="244"/>
      <c r="F882" s="330"/>
      <c r="G882" s="329">
        <v>320</v>
      </c>
      <c r="H882" s="325" t="s">
        <v>1381</v>
      </c>
      <c r="I882" s="212"/>
      <c r="J882" s="244">
        <v>40.5</v>
      </c>
      <c r="K882" s="332">
        <v>1</v>
      </c>
      <c r="L882" s="350">
        <v>11.13</v>
      </c>
      <c r="M882" s="341"/>
      <c r="N882" s="342"/>
      <c r="P882" s="343"/>
      <c r="R882" s="250"/>
      <c r="S882" s="265"/>
    </row>
    <row r="883" s="164" customFormat="1" ht="24" customHeight="1" spans="1:19">
      <c r="A883" s="217"/>
      <c r="B883" s="202"/>
      <c r="C883" s="325" t="s">
        <v>1819</v>
      </c>
      <c r="D883" s="203" t="s">
        <v>1381</v>
      </c>
      <c r="E883" s="244"/>
      <c r="F883" s="330"/>
      <c r="G883" s="329">
        <v>370</v>
      </c>
      <c r="H883" s="325" t="s">
        <v>1381</v>
      </c>
      <c r="I883" s="212"/>
      <c r="J883" s="244">
        <v>40.5</v>
      </c>
      <c r="K883" s="332">
        <v>1</v>
      </c>
      <c r="L883" s="350">
        <v>11.13</v>
      </c>
      <c r="M883" s="341"/>
      <c r="N883" s="342"/>
      <c r="P883" s="343"/>
      <c r="R883" s="250"/>
      <c r="S883" s="265"/>
    </row>
    <row r="884" s="164" customFormat="1" ht="24" customHeight="1" spans="1:19">
      <c r="A884" s="217"/>
      <c r="B884" s="295" t="s">
        <v>1820</v>
      </c>
      <c r="C884" s="325" t="s">
        <v>1821</v>
      </c>
      <c r="D884" s="203" t="s">
        <v>1701</v>
      </c>
      <c r="E884" s="244"/>
      <c r="F884" s="330"/>
      <c r="G884" s="329">
        <v>302.72</v>
      </c>
      <c r="H884" s="325" t="s">
        <v>1701</v>
      </c>
      <c r="I884" s="212"/>
      <c r="J884" s="244">
        <v>17.4</v>
      </c>
      <c r="K884" s="332">
        <v>1</v>
      </c>
      <c r="L884" s="350">
        <v>73.29</v>
      </c>
      <c r="M884" s="341"/>
      <c r="N884" s="342"/>
      <c r="P884" s="343"/>
      <c r="R884" s="250"/>
      <c r="S884" s="265"/>
    </row>
    <row r="885" s="164" customFormat="1" ht="24" customHeight="1" spans="1:19">
      <c r="A885" s="266"/>
      <c r="B885" s="202"/>
      <c r="C885" s="325" t="s">
        <v>1822</v>
      </c>
      <c r="D885" s="203" t="s">
        <v>1701</v>
      </c>
      <c r="E885" s="244"/>
      <c r="F885" s="330"/>
      <c r="G885" s="329">
        <v>605.45</v>
      </c>
      <c r="H885" s="325" t="s">
        <v>1701</v>
      </c>
      <c r="I885" s="212"/>
      <c r="J885" s="244">
        <v>39</v>
      </c>
      <c r="K885" s="332">
        <v>1</v>
      </c>
      <c r="L885" s="350">
        <v>104.78</v>
      </c>
      <c r="M885" s="341"/>
      <c r="N885" s="342"/>
      <c r="P885" s="343"/>
      <c r="R885" s="250"/>
      <c r="S885" s="265"/>
    </row>
    <row r="886" s="164" customFormat="1" ht="24" customHeight="1" spans="1:19">
      <c r="A886" s="223" t="s">
        <v>1823</v>
      </c>
      <c r="B886" s="295" t="s">
        <v>1824</v>
      </c>
      <c r="C886" s="325" t="s">
        <v>1825</v>
      </c>
      <c r="D886" s="203" t="s">
        <v>845</v>
      </c>
      <c r="E886" s="244"/>
      <c r="F886" s="330"/>
      <c r="G886" s="329">
        <v>9.9</v>
      </c>
      <c r="H886" s="325" t="s">
        <v>845</v>
      </c>
      <c r="I886" s="212"/>
      <c r="J886" s="244">
        <v>5</v>
      </c>
      <c r="K886" s="332">
        <v>1.05</v>
      </c>
      <c r="L886" s="350">
        <v>0.3</v>
      </c>
      <c r="M886" s="341"/>
      <c r="N886" s="342"/>
      <c r="P886" s="343"/>
      <c r="R886" s="250"/>
      <c r="S886" s="265"/>
    </row>
    <row r="887" s="164" customFormat="1" ht="24" customHeight="1" spans="1:19">
      <c r="A887" s="226"/>
      <c r="B887" s="202"/>
      <c r="C887" s="325" t="s">
        <v>1826</v>
      </c>
      <c r="D887" s="203" t="s">
        <v>845</v>
      </c>
      <c r="E887" s="244"/>
      <c r="F887" s="330"/>
      <c r="G887" s="329">
        <v>10.7</v>
      </c>
      <c r="H887" s="325" t="s">
        <v>845</v>
      </c>
      <c r="I887" s="212"/>
      <c r="J887" s="244">
        <v>5</v>
      </c>
      <c r="K887" s="332">
        <v>1.05</v>
      </c>
      <c r="L887" s="350">
        <v>0.3</v>
      </c>
      <c r="M887" s="341"/>
      <c r="N887" s="342"/>
      <c r="P887" s="343"/>
      <c r="R887" s="250"/>
      <c r="S887" s="265"/>
    </row>
    <row r="888" s="164" customFormat="1" ht="24" customHeight="1" spans="1:19">
      <c r="A888" s="226"/>
      <c r="B888" s="202"/>
      <c r="C888" s="325" t="s">
        <v>1827</v>
      </c>
      <c r="D888" s="203" t="s">
        <v>845</v>
      </c>
      <c r="E888" s="244"/>
      <c r="F888" s="330"/>
      <c r="G888" s="329">
        <v>28</v>
      </c>
      <c r="H888" s="325" t="s">
        <v>845</v>
      </c>
      <c r="I888" s="212"/>
      <c r="J888" s="244">
        <v>12</v>
      </c>
      <c r="K888" s="332">
        <v>1</v>
      </c>
      <c r="L888" s="350">
        <v>1.3</v>
      </c>
      <c r="M888" s="341"/>
      <c r="N888" s="342"/>
      <c r="P888" s="343"/>
      <c r="R888" s="250"/>
      <c r="S888" s="265"/>
    </row>
    <row r="889" s="164" customFormat="1" ht="24" customHeight="1" spans="1:19">
      <c r="A889" s="226"/>
      <c r="B889" s="202"/>
      <c r="C889" s="325" t="s">
        <v>1828</v>
      </c>
      <c r="D889" s="203" t="s">
        <v>845</v>
      </c>
      <c r="E889" s="244"/>
      <c r="F889" s="330"/>
      <c r="G889" s="329">
        <v>18</v>
      </c>
      <c r="H889" s="325" t="s">
        <v>845</v>
      </c>
      <c r="I889" s="212"/>
      <c r="J889" s="244">
        <v>15.6</v>
      </c>
      <c r="K889" s="332">
        <v>1</v>
      </c>
      <c r="L889" s="350">
        <v>0.3</v>
      </c>
      <c r="M889" s="341"/>
      <c r="N889" s="342"/>
      <c r="P889" s="343"/>
      <c r="R889" s="250"/>
      <c r="S889" s="265"/>
    </row>
    <row r="890" s="164" customFormat="1" ht="24" customHeight="1" spans="1:19">
      <c r="A890" s="226"/>
      <c r="B890" s="202"/>
      <c r="C890" s="325" t="s">
        <v>1829</v>
      </c>
      <c r="D890" s="203" t="s">
        <v>845</v>
      </c>
      <c r="E890" s="244"/>
      <c r="F890" s="330"/>
      <c r="G890" s="329">
        <v>50</v>
      </c>
      <c r="H890" s="325" t="s">
        <v>845</v>
      </c>
      <c r="I890" s="212"/>
      <c r="J890" s="244">
        <v>0.5</v>
      </c>
      <c r="K890" s="332">
        <v>1.05</v>
      </c>
      <c r="L890" s="350">
        <v>0.1</v>
      </c>
      <c r="M890" s="341"/>
      <c r="N890" s="342"/>
      <c r="P890" s="343"/>
      <c r="R890" s="250"/>
      <c r="S890" s="265"/>
    </row>
    <row r="891" s="164" customFormat="1" ht="24" customHeight="1" spans="1:19">
      <c r="A891" s="226"/>
      <c r="B891" s="202"/>
      <c r="C891" s="325" t="s">
        <v>1830</v>
      </c>
      <c r="D891" s="203" t="s">
        <v>845</v>
      </c>
      <c r="E891" s="244"/>
      <c r="F891" s="330"/>
      <c r="G891" s="329">
        <v>9</v>
      </c>
      <c r="H891" s="325" t="s">
        <v>845</v>
      </c>
      <c r="I891" s="212"/>
      <c r="J891" s="244">
        <v>13.5</v>
      </c>
      <c r="K891" s="332">
        <v>1</v>
      </c>
      <c r="L891" s="350">
        <v>0.3</v>
      </c>
      <c r="M891" s="341"/>
      <c r="N891" s="342"/>
      <c r="P891" s="343"/>
      <c r="R891" s="250"/>
      <c r="S891" s="265"/>
    </row>
    <row r="892" s="164" customFormat="1" ht="24" customHeight="1" spans="1:19">
      <c r="A892" s="226"/>
      <c r="B892" s="202"/>
      <c r="C892" s="325" t="s">
        <v>1831</v>
      </c>
      <c r="D892" s="203" t="s">
        <v>845</v>
      </c>
      <c r="E892" s="244"/>
      <c r="F892" s="330"/>
      <c r="G892" s="329">
        <v>0</v>
      </c>
      <c r="H892" s="325" t="s">
        <v>845</v>
      </c>
      <c r="I892" s="212"/>
      <c r="J892" s="244">
        <v>1.6</v>
      </c>
      <c r="K892" s="332">
        <v>1</v>
      </c>
      <c r="L892" s="350"/>
      <c r="M892" s="341"/>
      <c r="N892" s="342"/>
      <c r="P892" s="343"/>
      <c r="R892" s="250"/>
      <c r="S892" s="265"/>
    </row>
    <row r="893" s="164" customFormat="1" ht="24" customHeight="1" spans="1:19">
      <c r="A893" s="226"/>
      <c r="B893" s="295" t="s">
        <v>1832</v>
      </c>
      <c r="C893" s="325" t="s">
        <v>1833</v>
      </c>
      <c r="D893" s="203" t="s">
        <v>845</v>
      </c>
      <c r="E893" s="244"/>
      <c r="F893" s="330"/>
      <c r="G893" s="329">
        <v>8</v>
      </c>
      <c r="H893" s="325" t="s">
        <v>845</v>
      </c>
      <c r="I893" s="212"/>
      <c r="J893" s="244">
        <v>2.8</v>
      </c>
      <c r="K893" s="332">
        <v>1.05</v>
      </c>
      <c r="L893" s="350">
        <v>0.3</v>
      </c>
      <c r="M893" s="341"/>
      <c r="N893" s="342"/>
      <c r="P893" s="343"/>
      <c r="R893" s="250"/>
      <c r="S893" s="265"/>
    </row>
    <row r="894" s="164" customFormat="1" ht="24" customHeight="1" spans="1:19">
      <c r="A894" s="226"/>
      <c r="B894" s="202"/>
      <c r="C894" s="325" t="s">
        <v>1834</v>
      </c>
      <c r="D894" s="203" t="s">
        <v>845</v>
      </c>
      <c r="E894" s="244"/>
      <c r="F894" s="330"/>
      <c r="G894" s="329">
        <v>8.8</v>
      </c>
      <c r="H894" s="325" t="s">
        <v>845</v>
      </c>
      <c r="I894" s="212"/>
      <c r="J894" s="244">
        <v>2.8</v>
      </c>
      <c r="K894" s="332">
        <v>1.05</v>
      </c>
      <c r="L894" s="350">
        <v>0.3</v>
      </c>
      <c r="M894" s="341"/>
      <c r="N894" s="342"/>
      <c r="P894" s="343"/>
      <c r="R894" s="250"/>
      <c r="S894" s="265"/>
    </row>
    <row r="895" s="164" customFormat="1" ht="24" customHeight="1" spans="1:19">
      <c r="A895" s="226"/>
      <c r="B895" s="202"/>
      <c r="C895" s="325" t="s">
        <v>1835</v>
      </c>
      <c r="D895" s="203" t="s">
        <v>845</v>
      </c>
      <c r="E895" s="244"/>
      <c r="F895" s="330"/>
      <c r="G895" s="329">
        <v>10</v>
      </c>
      <c r="H895" s="325" t="s">
        <v>845</v>
      </c>
      <c r="I895" s="212"/>
      <c r="J895" s="244">
        <v>0.8</v>
      </c>
      <c r="K895" s="332">
        <v>1.05</v>
      </c>
      <c r="L895" s="350">
        <v>0.3</v>
      </c>
      <c r="M895" s="341"/>
      <c r="N895" s="342"/>
      <c r="P895" s="343"/>
      <c r="R895" s="250"/>
      <c r="S895" s="265"/>
    </row>
    <row r="896" s="164" customFormat="1" ht="24" customHeight="1" spans="1:19">
      <c r="A896" s="226"/>
      <c r="B896" s="202"/>
      <c r="C896" s="325" t="s">
        <v>1836</v>
      </c>
      <c r="D896" s="203" t="s">
        <v>845</v>
      </c>
      <c r="E896" s="244"/>
      <c r="F896" s="330"/>
      <c r="G896" s="329">
        <v>20</v>
      </c>
      <c r="H896" s="325" t="s">
        <v>845</v>
      </c>
      <c r="I896" s="212"/>
      <c r="J896" s="244">
        <v>0.8</v>
      </c>
      <c r="K896" s="332">
        <v>1.05</v>
      </c>
      <c r="L896" s="350">
        <v>0.6</v>
      </c>
      <c r="M896" s="341"/>
      <c r="N896" s="342"/>
      <c r="P896" s="343"/>
      <c r="R896" s="250"/>
      <c r="S896" s="265"/>
    </row>
    <row r="897" s="164" customFormat="1" ht="24" customHeight="1" spans="1:19">
      <c r="A897" s="226"/>
      <c r="B897" s="202"/>
      <c r="C897" s="325" t="s">
        <v>1837</v>
      </c>
      <c r="D897" s="203" t="s">
        <v>845</v>
      </c>
      <c r="E897" s="244"/>
      <c r="F897" s="330"/>
      <c r="G897" s="329">
        <v>2</v>
      </c>
      <c r="H897" s="325" t="s">
        <v>845</v>
      </c>
      <c r="I897" s="212"/>
      <c r="J897" s="244">
        <v>0.5</v>
      </c>
      <c r="K897" s="332">
        <v>1.05</v>
      </c>
      <c r="L897" s="350"/>
      <c r="M897" s="341"/>
      <c r="N897" s="342"/>
      <c r="P897" s="343"/>
      <c r="R897" s="250"/>
      <c r="S897" s="265"/>
    </row>
    <row r="898" s="164" customFormat="1" ht="24" customHeight="1" spans="1:19">
      <c r="A898" s="226"/>
      <c r="B898" s="202"/>
      <c r="C898" s="325" t="s">
        <v>1838</v>
      </c>
      <c r="D898" s="203" t="s">
        <v>845</v>
      </c>
      <c r="E898" s="244"/>
      <c r="F898" s="330"/>
      <c r="G898" s="329">
        <v>1.5</v>
      </c>
      <c r="H898" s="325" t="s">
        <v>845</v>
      </c>
      <c r="I898" s="212"/>
      <c r="J898" s="244">
        <v>0.8</v>
      </c>
      <c r="K898" s="332">
        <v>1.05</v>
      </c>
      <c r="L898" s="350"/>
      <c r="M898" s="341"/>
      <c r="N898" s="342"/>
      <c r="P898" s="343"/>
      <c r="R898" s="250"/>
      <c r="S898" s="265"/>
    </row>
    <row r="899" s="164" customFormat="1" ht="24" customHeight="1" spans="1:19">
      <c r="A899" s="226"/>
      <c r="B899" s="202"/>
      <c r="C899" s="325" t="s">
        <v>1839</v>
      </c>
      <c r="D899" s="203" t="s">
        <v>845</v>
      </c>
      <c r="E899" s="244"/>
      <c r="F899" s="330"/>
      <c r="G899" s="329">
        <v>8</v>
      </c>
      <c r="H899" s="325" t="s">
        <v>845</v>
      </c>
      <c r="I899" s="212"/>
      <c r="J899" s="244">
        <v>0.5</v>
      </c>
      <c r="K899" s="332">
        <v>1.05</v>
      </c>
      <c r="L899" s="350">
        <v>0.3</v>
      </c>
      <c r="M899" s="341"/>
      <c r="N899" s="342"/>
      <c r="P899" s="343"/>
      <c r="R899" s="250"/>
      <c r="S899" s="265"/>
    </row>
    <row r="900" s="164" customFormat="1" ht="24" customHeight="1" spans="1:19">
      <c r="A900" s="226"/>
      <c r="B900" s="212" t="s">
        <v>1840</v>
      </c>
      <c r="C900" s="325" t="s">
        <v>1841</v>
      </c>
      <c r="D900" s="203" t="s">
        <v>845</v>
      </c>
      <c r="E900" s="244"/>
      <c r="F900" s="330"/>
      <c r="G900" s="329">
        <v>55</v>
      </c>
      <c r="H900" s="325" t="s">
        <v>845</v>
      </c>
      <c r="I900" s="212"/>
      <c r="J900" s="244">
        <v>0.5</v>
      </c>
      <c r="K900" s="332">
        <v>1.05</v>
      </c>
      <c r="L900" s="350">
        <v>0.3</v>
      </c>
      <c r="M900" s="341"/>
      <c r="N900" s="342"/>
      <c r="P900" s="343"/>
      <c r="R900" s="250"/>
      <c r="S900" s="265"/>
    </row>
    <row r="901" s="164" customFormat="1" ht="24" customHeight="1" spans="1:19">
      <c r="A901" s="226"/>
      <c r="B901" s="212"/>
      <c r="C901" s="325" t="s">
        <v>1842</v>
      </c>
      <c r="D901" s="203" t="s">
        <v>845</v>
      </c>
      <c r="E901" s="244"/>
      <c r="F901" s="330"/>
      <c r="G901" s="329">
        <v>62</v>
      </c>
      <c r="H901" s="325" t="s">
        <v>845</v>
      </c>
      <c r="I901" s="212"/>
      <c r="J901" s="244">
        <v>0.5</v>
      </c>
      <c r="K901" s="332">
        <v>1.05</v>
      </c>
      <c r="L901" s="350">
        <v>0.3</v>
      </c>
      <c r="M901" s="341"/>
      <c r="N901" s="342"/>
      <c r="P901" s="343"/>
      <c r="R901" s="250"/>
      <c r="S901" s="265"/>
    </row>
    <row r="902" s="164" customFormat="1" ht="24" customHeight="1" spans="1:22">
      <c r="A902" s="226"/>
      <c r="B902" s="212"/>
      <c r="C902" s="325" t="s">
        <v>1843</v>
      </c>
      <c r="D902" s="203" t="s">
        <v>845</v>
      </c>
      <c r="E902" s="244"/>
      <c r="F902" s="330"/>
      <c r="G902" s="329">
        <v>64</v>
      </c>
      <c r="H902" s="325" t="s">
        <v>845</v>
      </c>
      <c r="I902" s="212"/>
      <c r="J902" s="244">
        <v>0.5</v>
      </c>
      <c r="K902" s="332">
        <v>1.05</v>
      </c>
      <c r="L902" s="350">
        <v>0.3</v>
      </c>
      <c r="M902" s="341"/>
      <c r="N902" s="342"/>
      <c r="P902" s="343"/>
      <c r="R902" s="250"/>
      <c r="S902" s="265"/>
      <c r="V902" s="165"/>
    </row>
    <row r="903" s="164" customFormat="1" ht="24" customHeight="1" spans="1:22">
      <c r="A903" s="352" t="s">
        <v>1497</v>
      </c>
      <c r="B903" s="212" t="s">
        <v>1844</v>
      </c>
      <c r="C903" s="325" t="s">
        <v>1845</v>
      </c>
      <c r="D903" s="203" t="s">
        <v>845</v>
      </c>
      <c r="E903" s="244"/>
      <c r="F903" s="330"/>
      <c r="G903" s="329">
        <v>0</v>
      </c>
      <c r="H903" s="325" t="s">
        <v>845</v>
      </c>
      <c r="I903" s="212"/>
      <c r="J903" s="244">
        <v>1.6</v>
      </c>
      <c r="K903" s="332">
        <v>1</v>
      </c>
      <c r="L903" s="350">
        <v>0</v>
      </c>
      <c r="M903" s="341"/>
      <c r="N903" s="342"/>
      <c r="P903" s="343"/>
      <c r="R903" s="250"/>
      <c r="S903" s="265"/>
      <c r="V903" s="165"/>
    </row>
    <row r="904" s="164" customFormat="1" ht="24" customHeight="1" spans="1:22">
      <c r="A904" s="211" t="s">
        <v>1846</v>
      </c>
      <c r="B904" s="223" t="s">
        <v>1847</v>
      </c>
      <c r="C904" s="325" t="s">
        <v>1848</v>
      </c>
      <c r="D904" s="203" t="s">
        <v>868</v>
      </c>
      <c r="E904" s="244"/>
      <c r="F904" s="330"/>
      <c r="G904" s="329">
        <v>0</v>
      </c>
      <c r="H904" s="325" t="s">
        <v>868</v>
      </c>
      <c r="I904" s="212"/>
      <c r="J904" s="244">
        <v>28.97</v>
      </c>
      <c r="K904" s="332">
        <v>0</v>
      </c>
      <c r="L904" s="350">
        <v>5.3</v>
      </c>
      <c r="M904" s="341"/>
      <c r="N904" s="342"/>
      <c r="P904" s="343"/>
      <c r="R904" s="250"/>
      <c r="S904" s="265"/>
      <c r="V904" s="165"/>
    </row>
    <row r="905" s="165" customFormat="1" ht="24" customHeight="1" spans="1:19">
      <c r="A905" s="217"/>
      <c r="B905" s="226"/>
      <c r="C905" s="325" t="s">
        <v>1849</v>
      </c>
      <c r="D905" s="203" t="s">
        <v>845</v>
      </c>
      <c r="E905" s="244"/>
      <c r="F905" s="330"/>
      <c r="G905" s="329">
        <v>17.62</v>
      </c>
      <c r="H905" s="325" t="s">
        <v>845</v>
      </c>
      <c r="I905" s="212"/>
      <c r="J905" s="244">
        <v>1</v>
      </c>
      <c r="K905" s="332">
        <v>1.01</v>
      </c>
      <c r="L905" s="350">
        <v>0.07</v>
      </c>
      <c r="M905" s="341"/>
      <c r="N905" s="353"/>
      <c r="P905" s="354"/>
      <c r="R905" s="250"/>
      <c r="S905" s="265"/>
    </row>
    <row r="906" s="165" customFormat="1" ht="24" customHeight="1" spans="1:19">
      <c r="A906" s="217"/>
      <c r="B906" s="226"/>
      <c r="C906" s="325" t="s">
        <v>1850</v>
      </c>
      <c r="D906" s="203" t="s">
        <v>845</v>
      </c>
      <c r="E906" s="244"/>
      <c r="F906" s="330"/>
      <c r="G906" s="329">
        <v>4.3</v>
      </c>
      <c r="H906" s="325" t="s">
        <v>845</v>
      </c>
      <c r="I906" s="212"/>
      <c r="J906" s="244">
        <v>1</v>
      </c>
      <c r="K906" s="332">
        <v>1.01</v>
      </c>
      <c r="L906" s="350">
        <v>0.07</v>
      </c>
      <c r="M906" s="341"/>
      <c r="N906" s="353"/>
      <c r="P906" s="354"/>
      <c r="R906" s="250"/>
      <c r="S906" s="265"/>
    </row>
    <row r="907" s="165" customFormat="1" ht="24" customHeight="1" spans="1:19">
      <c r="A907" s="217"/>
      <c r="B907" s="226"/>
      <c r="C907" s="325" t="s">
        <v>1851</v>
      </c>
      <c r="D907" s="203" t="s">
        <v>845</v>
      </c>
      <c r="E907" s="244"/>
      <c r="F907" s="330"/>
      <c r="G907" s="329">
        <v>3.2</v>
      </c>
      <c r="H907" s="325" t="s">
        <v>845</v>
      </c>
      <c r="I907" s="212"/>
      <c r="J907" s="244">
        <v>1</v>
      </c>
      <c r="K907" s="332">
        <v>1.01</v>
      </c>
      <c r="L907" s="350">
        <v>0.07</v>
      </c>
      <c r="M907" s="341"/>
      <c r="N907" s="353"/>
      <c r="P907" s="354"/>
      <c r="R907" s="250"/>
      <c r="S907" s="265"/>
    </row>
  </sheetData>
  <autoFilter ref="A1:U907">
    <extLst/>
  </autoFilter>
  <mergeCells count="71">
    <mergeCell ref="A1:K1"/>
    <mergeCell ref="D2:G2"/>
    <mergeCell ref="H2:K2"/>
    <mergeCell ref="A2:A3"/>
    <mergeCell ref="A4:A27"/>
    <mergeCell ref="A28:A66"/>
    <mergeCell ref="A67:A104"/>
    <mergeCell ref="A105:A127"/>
    <mergeCell ref="A128:A256"/>
    <mergeCell ref="A257:A301"/>
    <mergeCell ref="A302:A594"/>
    <mergeCell ref="A608:A885"/>
    <mergeCell ref="A886:A902"/>
    <mergeCell ref="A904:A907"/>
    <mergeCell ref="B2:B3"/>
    <mergeCell ref="B4:B17"/>
    <mergeCell ref="B18:B23"/>
    <mergeCell ref="B24:B27"/>
    <mergeCell ref="B28:B46"/>
    <mergeCell ref="B47:B66"/>
    <mergeCell ref="B67:B80"/>
    <mergeCell ref="B81:B104"/>
    <mergeCell ref="B105:B110"/>
    <mergeCell ref="B111:B121"/>
    <mergeCell ref="B122:B127"/>
    <mergeCell ref="B128:B130"/>
    <mergeCell ref="B131:B138"/>
    <mergeCell ref="B139:B181"/>
    <mergeCell ref="B182:B256"/>
    <mergeCell ref="B257:B263"/>
    <mergeCell ref="B264:B282"/>
    <mergeCell ref="B285:B301"/>
    <mergeCell ref="B302:B324"/>
    <mergeCell ref="B325:B364"/>
    <mergeCell ref="B365:B432"/>
    <mergeCell ref="B433:B476"/>
    <mergeCell ref="B477:B521"/>
    <mergeCell ref="B522:B551"/>
    <mergeCell ref="B552:B560"/>
    <mergeCell ref="B561:B564"/>
    <mergeCell ref="B565:B583"/>
    <mergeCell ref="B585:B589"/>
    <mergeCell ref="B590:B594"/>
    <mergeCell ref="B595:B607"/>
    <mergeCell ref="B608:B634"/>
    <mergeCell ref="B635:B640"/>
    <mergeCell ref="B641:B646"/>
    <mergeCell ref="B647:B667"/>
    <mergeCell ref="B668:B681"/>
    <mergeCell ref="B682:B739"/>
    <mergeCell ref="B740:B774"/>
    <mergeCell ref="B775:B788"/>
    <mergeCell ref="B789:B802"/>
    <mergeCell ref="B803:B822"/>
    <mergeCell ref="B823:B826"/>
    <mergeCell ref="B827:B833"/>
    <mergeCell ref="B834:B847"/>
    <mergeCell ref="B848:B854"/>
    <mergeCell ref="B855:B857"/>
    <mergeCell ref="B858:B869"/>
    <mergeCell ref="B870:B876"/>
    <mergeCell ref="B877:B883"/>
    <mergeCell ref="B884:B885"/>
    <mergeCell ref="B886:B892"/>
    <mergeCell ref="B893:B899"/>
    <mergeCell ref="B900:B902"/>
    <mergeCell ref="B904:B907"/>
    <mergeCell ref="C2:C3"/>
    <mergeCell ref="O24:O25"/>
    <mergeCell ref="O26:O27"/>
    <mergeCell ref="P24:P27"/>
  </mergeCells>
  <conditionalFormatting sqref="C307">
    <cfRule type="duplicateValues" dxfId="0" priority="364"/>
  </conditionalFormatting>
  <conditionalFormatting sqref="C308">
    <cfRule type="duplicateValues" dxfId="0" priority="363"/>
  </conditionalFormatting>
  <conditionalFormatting sqref="C323">
    <cfRule type="duplicateValues" dxfId="0" priority="358"/>
  </conditionalFormatting>
  <conditionalFormatting sqref="C324">
    <cfRule type="duplicateValues" dxfId="0" priority="366"/>
  </conditionalFormatting>
  <conditionalFormatting sqref="C342">
    <cfRule type="duplicateValues" dxfId="0" priority="360"/>
  </conditionalFormatting>
  <conditionalFormatting sqref="C343">
    <cfRule type="duplicateValues" dxfId="0" priority="218"/>
  </conditionalFormatting>
  <conditionalFormatting sqref="C344">
    <cfRule type="duplicateValues" dxfId="0" priority="359"/>
  </conditionalFormatting>
  <conditionalFormatting sqref="C345">
    <cfRule type="duplicateValues" dxfId="0" priority="219"/>
  </conditionalFormatting>
  <conditionalFormatting sqref="C348">
    <cfRule type="duplicateValues" dxfId="0" priority="226"/>
  </conditionalFormatting>
  <conditionalFormatting sqref="C349">
    <cfRule type="duplicateValues" dxfId="0" priority="225"/>
  </conditionalFormatting>
  <conditionalFormatting sqref="C351">
    <cfRule type="duplicateValues" dxfId="0" priority="19"/>
  </conditionalFormatting>
  <conditionalFormatting sqref="C356">
    <cfRule type="duplicateValues" dxfId="0" priority="224"/>
  </conditionalFormatting>
  <conditionalFormatting sqref="C357">
    <cfRule type="duplicateValues" dxfId="0" priority="223"/>
  </conditionalFormatting>
  <conditionalFormatting sqref="C359">
    <cfRule type="duplicateValues" dxfId="0" priority="222"/>
  </conditionalFormatting>
  <conditionalFormatting sqref="C362">
    <cfRule type="duplicateValues" dxfId="0" priority="221"/>
  </conditionalFormatting>
  <conditionalFormatting sqref="C364">
    <cfRule type="duplicateValues" dxfId="0" priority="361"/>
  </conditionalFormatting>
  <conditionalFormatting sqref="C409">
    <cfRule type="duplicateValues" dxfId="0" priority="206"/>
  </conditionalFormatting>
  <conditionalFormatting sqref="C488">
    <cfRule type="duplicateValues" dxfId="0" priority="296"/>
  </conditionalFormatting>
  <conditionalFormatting sqref="C524">
    <cfRule type="duplicateValues" dxfId="0" priority="353"/>
  </conditionalFormatting>
  <conditionalFormatting sqref="C526">
    <cfRule type="duplicateValues" dxfId="0" priority="13"/>
  </conditionalFormatting>
  <conditionalFormatting sqref="C534">
    <cfRule type="duplicateValues" dxfId="0" priority="350"/>
  </conditionalFormatting>
  <conditionalFormatting sqref="C537">
    <cfRule type="duplicateValues" dxfId="0" priority="348"/>
  </conditionalFormatting>
  <conditionalFormatting sqref="C538">
    <cfRule type="duplicateValues" dxfId="0" priority="347"/>
  </conditionalFormatting>
  <conditionalFormatting sqref="C540">
    <cfRule type="duplicateValues" dxfId="0" priority="346"/>
  </conditionalFormatting>
  <conditionalFormatting sqref="C543">
    <cfRule type="duplicateValues" dxfId="0" priority="344"/>
  </conditionalFormatting>
  <conditionalFormatting sqref="C546">
    <cfRule type="duplicateValues" dxfId="0" priority="342"/>
  </conditionalFormatting>
  <conditionalFormatting sqref="C547">
    <cfRule type="duplicateValues" dxfId="0" priority="341"/>
  </conditionalFormatting>
  <conditionalFormatting sqref="C548">
    <cfRule type="duplicateValues" dxfId="0" priority="340"/>
  </conditionalFormatting>
  <conditionalFormatting sqref="C549">
    <cfRule type="duplicateValues" dxfId="0" priority="229"/>
  </conditionalFormatting>
  <conditionalFormatting sqref="C550">
    <cfRule type="duplicateValues" dxfId="0" priority="228"/>
  </conditionalFormatting>
  <conditionalFormatting sqref="C551">
    <cfRule type="duplicateValues" dxfId="0" priority="227"/>
  </conditionalFormatting>
  <conditionalFormatting sqref="C559">
    <cfRule type="duplicateValues" dxfId="0" priority="299"/>
  </conditionalFormatting>
  <conditionalFormatting sqref="C560">
    <cfRule type="duplicateValues" dxfId="0" priority="339"/>
  </conditionalFormatting>
  <conditionalFormatting sqref="C561">
    <cfRule type="duplicateValues" dxfId="0" priority="324"/>
  </conditionalFormatting>
  <conditionalFormatting sqref="C562">
    <cfRule type="duplicateValues" dxfId="0" priority="335"/>
  </conditionalFormatting>
  <conditionalFormatting sqref="C563">
    <cfRule type="duplicateValues" dxfId="0" priority="337"/>
  </conditionalFormatting>
  <conditionalFormatting sqref="C564">
    <cfRule type="duplicateValues" dxfId="0" priority="336"/>
  </conditionalFormatting>
  <conditionalFormatting sqref="C565">
    <cfRule type="duplicateValues" dxfId="0" priority="334"/>
  </conditionalFormatting>
  <conditionalFormatting sqref="C566">
    <cfRule type="duplicateValues" dxfId="0" priority="333"/>
  </conditionalFormatting>
  <conditionalFormatting sqref="C567">
    <cfRule type="duplicateValues" dxfId="0" priority="332"/>
  </conditionalFormatting>
  <conditionalFormatting sqref="C569">
    <cfRule type="duplicateValues" dxfId="0" priority="205"/>
  </conditionalFormatting>
  <conditionalFormatting sqref="C570">
    <cfRule type="duplicateValues" dxfId="0" priority="331"/>
  </conditionalFormatting>
  <conditionalFormatting sqref="C571">
    <cfRule type="duplicateValues" dxfId="0" priority="330"/>
  </conditionalFormatting>
  <conditionalFormatting sqref="C576">
    <cfRule type="duplicateValues" dxfId="0" priority="230"/>
  </conditionalFormatting>
  <conditionalFormatting sqref="C578">
    <cfRule type="duplicateValues" dxfId="0" priority="328"/>
  </conditionalFormatting>
  <conditionalFormatting sqref="C579">
    <cfRule type="duplicateValues" dxfId="0" priority="327"/>
  </conditionalFormatting>
  <conditionalFormatting sqref="C580">
    <cfRule type="duplicateValues" dxfId="0" priority="326"/>
  </conditionalFormatting>
  <conditionalFormatting sqref="C581">
    <cfRule type="duplicateValues" dxfId="0" priority="298"/>
  </conditionalFormatting>
  <conditionalFormatting sqref="C582">
    <cfRule type="duplicateValues" dxfId="0" priority="325"/>
  </conditionalFormatting>
  <conditionalFormatting sqref="C583">
    <cfRule type="duplicateValues" dxfId="0" priority="201"/>
  </conditionalFormatting>
  <conditionalFormatting sqref="C584">
    <cfRule type="duplicateValues" dxfId="0" priority="323"/>
  </conditionalFormatting>
  <conditionalFormatting sqref="C585">
    <cfRule type="duplicateValues" dxfId="0" priority="294"/>
  </conditionalFormatting>
  <conditionalFormatting sqref="C589">
    <cfRule type="duplicateValues" dxfId="0" priority="292"/>
  </conditionalFormatting>
  <conditionalFormatting sqref="C590">
    <cfRule type="duplicateValues" dxfId="0" priority="322"/>
  </conditionalFormatting>
  <conditionalFormatting sqref="C602">
    <cfRule type="duplicateValues" dxfId="0" priority="191"/>
  </conditionalFormatting>
  <conditionalFormatting sqref="C603">
    <cfRule type="duplicateValues" dxfId="0" priority="188"/>
  </conditionalFormatting>
  <conditionalFormatting sqref="C604">
    <cfRule type="duplicateValues" dxfId="0" priority="189"/>
  </conditionalFormatting>
  <conditionalFormatting sqref="C606">
    <cfRule type="duplicateValues" dxfId="0" priority="187"/>
  </conditionalFormatting>
  <conditionalFormatting sqref="C608">
    <cfRule type="duplicateValues" dxfId="0" priority="291"/>
  </conditionalFormatting>
  <conditionalFormatting sqref="C609">
    <cfRule type="duplicateValues" dxfId="0" priority="290"/>
  </conditionalFormatting>
  <conditionalFormatting sqref="C610">
    <cfRule type="duplicateValues" dxfId="0" priority="289"/>
  </conditionalFormatting>
  <conditionalFormatting sqref="C611">
    <cfRule type="duplicateValues" dxfId="0" priority="288"/>
  </conditionalFormatting>
  <conditionalFormatting sqref="C612">
    <cfRule type="duplicateValues" dxfId="0" priority="287"/>
  </conditionalFormatting>
  <conditionalFormatting sqref="C613">
    <cfRule type="duplicateValues" dxfId="0" priority="286"/>
  </conditionalFormatting>
  <conditionalFormatting sqref="C614">
    <cfRule type="duplicateValues" dxfId="0" priority="285"/>
  </conditionalFormatting>
  <conditionalFormatting sqref="C616">
    <cfRule type="duplicateValues" dxfId="0" priority="284"/>
  </conditionalFormatting>
  <conditionalFormatting sqref="C617">
    <cfRule type="duplicateValues" dxfId="0" priority="283"/>
  </conditionalFormatting>
  <conditionalFormatting sqref="C633">
    <cfRule type="duplicateValues" dxfId="0" priority="16"/>
  </conditionalFormatting>
  <conditionalFormatting sqref="C638">
    <cfRule type="duplicateValues" dxfId="0" priority="211"/>
  </conditionalFormatting>
  <conditionalFormatting sqref="C644">
    <cfRule type="duplicateValues" dxfId="0" priority="209"/>
  </conditionalFormatting>
  <conditionalFormatting sqref="C683">
    <cfRule type="duplicateValues" dxfId="0" priority="184"/>
  </conditionalFormatting>
  <conditionalFormatting sqref="C689">
    <cfRule type="duplicateValues" dxfId="0" priority="278"/>
  </conditionalFormatting>
  <conditionalFormatting sqref="C714">
    <cfRule type="duplicateValues" dxfId="0" priority="276"/>
  </conditionalFormatting>
  <conditionalFormatting sqref="C715">
    <cfRule type="duplicateValues" dxfId="0" priority="277"/>
  </conditionalFormatting>
  <conditionalFormatting sqref="C720">
    <cfRule type="duplicateValues" dxfId="0" priority="274"/>
  </conditionalFormatting>
  <conditionalFormatting sqref="C727">
    <cfRule type="duplicateValues" dxfId="0" priority="273"/>
  </conditionalFormatting>
  <conditionalFormatting sqref="C728">
    <cfRule type="duplicateValues" dxfId="0" priority="185"/>
  </conditionalFormatting>
  <conditionalFormatting sqref="C731">
    <cfRule type="duplicateValues" dxfId="0" priority="1"/>
  </conditionalFormatting>
  <conditionalFormatting sqref="C735">
    <cfRule type="duplicateValues" dxfId="0" priority="272"/>
  </conditionalFormatting>
  <conditionalFormatting sqref="C738">
    <cfRule type="duplicateValues" dxfId="0" priority="186"/>
  </conditionalFormatting>
  <conditionalFormatting sqref="C751">
    <cfRule type="duplicateValues" dxfId="0" priority="217"/>
  </conditionalFormatting>
  <conditionalFormatting sqref="C774">
    <cfRule type="duplicateValues" dxfId="0" priority="271"/>
  </conditionalFormatting>
  <conditionalFormatting sqref="C777">
    <cfRule type="duplicateValues" dxfId="0" priority="270"/>
  </conditionalFormatting>
  <conditionalFormatting sqref="C778">
    <cfRule type="duplicateValues" dxfId="0" priority="202"/>
  </conditionalFormatting>
  <conditionalFormatting sqref="C785">
    <cfRule type="duplicateValues" dxfId="0" priority="203"/>
  </conditionalFormatting>
  <conditionalFormatting sqref="C787">
    <cfRule type="duplicateValues" dxfId="0" priority="268"/>
  </conditionalFormatting>
  <conditionalFormatting sqref="C788">
    <cfRule type="duplicateValues" dxfId="0" priority="269"/>
  </conditionalFormatting>
  <conditionalFormatting sqref="C789">
    <cfRule type="duplicateValues" dxfId="0" priority="267"/>
  </conditionalFormatting>
  <conditionalFormatting sqref="C790">
    <cfRule type="duplicateValues" dxfId="0" priority="266"/>
  </conditionalFormatting>
  <conditionalFormatting sqref="C791">
    <cfRule type="duplicateValues" dxfId="0" priority="265"/>
  </conditionalFormatting>
  <conditionalFormatting sqref="C792">
    <cfRule type="duplicateValues" dxfId="0" priority="264"/>
  </conditionalFormatting>
  <conditionalFormatting sqref="C793">
    <cfRule type="duplicateValues" dxfId="0" priority="262"/>
  </conditionalFormatting>
  <conditionalFormatting sqref="C794">
    <cfRule type="duplicateValues" dxfId="0" priority="263"/>
  </conditionalFormatting>
  <conditionalFormatting sqref="C795">
    <cfRule type="duplicateValues" dxfId="0" priority="261"/>
  </conditionalFormatting>
  <conditionalFormatting sqref="C796">
    <cfRule type="duplicateValues" dxfId="0" priority="260"/>
  </conditionalFormatting>
  <conditionalFormatting sqref="C798">
    <cfRule type="duplicateValues" dxfId="0" priority="231"/>
  </conditionalFormatting>
  <conditionalFormatting sqref="C799">
    <cfRule type="duplicateValues" dxfId="0" priority="259"/>
  </conditionalFormatting>
  <conditionalFormatting sqref="C800">
    <cfRule type="duplicateValues" dxfId="0" priority="258"/>
  </conditionalFormatting>
  <conditionalFormatting sqref="C801">
    <cfRule type="duplicateValues" dxfId="0" priority="257"/>
  </conditionalFormatting>
  <conditionalFormatting sqref="C802">
    <cfRule type="duplicateValues" dxfId="0" priority="256"/>
  </conditionalFormatting>
  <conditionalFormatting sqref="C809">
    <cfRule type="duplicateValues" dxfId="0" priority="255"/>
  </conditionalFormatting>
  <conditionalFormatting sqref="C812">
    <cfRule type="duplicateValues" dxfId="0" priority="254"/>
  </conditionalFormatting>
  <conditionalFormatting sqref="C818">
    <cfRule type="duplicateValues" dxfId="0" priority="200"/>
  </conditionalFormatting>
  <conditionalFormatting sqref="C821">
    <cfRule type="duplicateValues" dxfId="0" priority="251"/>
  </conditionalFormatting>
  <conditionalFormatting sqref="C822">
    <cfRule type="duplicateValues" dxfId="0" priority="250"/>
  </conditionalFormatting>
  <conditionalFormatting sqref="C823">
    <cfRule type="duplicateValues" dxfId="0" priority="248"/>
  </conditionalFormatting>
  <conditionalFormatting sqref="C833">
    <cfRule type="duplicateValues" dxfId="0" priority="246"/>
  </conditionalFormatting>
  <conditionalFormatting sqref="C834">
    <cfRule type="duplicateValues" dxfId="0" priority="212"/>
  </conditionalFormatting>
  <conditionalFormatting sqref="C835">
    <cfRule type="duplicateValues" dxfId="0" priority="213"/>
  </conditionalFormatting>
  <conditionalFormatting sqref="C870">
    <cfRule type="duplicateValues" dxfId="0" priority="244"/>
  </conditionalFormatting>
  <conditionalFormatting sqref="C871">
    <cfRule type="duplicateValues" dxfId="0" priority="243"/>
  </conditionalFormatting>
  <conditionalFormatting sqref="C872">
    <cfRule type="duplicateValues" dxfId="0" priority="242"/>
  </conditionalFormatting>
  <conditionalFormatting sqref="C877">
    <cfRule type="duplicateValues" dxfId="0" priority="240"/>
  </conditionalFormatting>
  <conditionalFormatting sqref="C879">
    <cfRule type="duplicateValues" dxfId="0" priority="241"/>
  </conditionalFormatting>
  <conditionalFormatting sqref="C881">
    <cfRule type="duplicateValues" dxfId="0" priority="15"/>
  </conditionalFormatting>
  <conditionalFormatting sqref="C882">
    <cfRule type="duplicateValues" dxfId="0" priority="14"/>
  </conditionalFormatting>
  <conditionalFormatting sqref="C894">
    <cfRule type="duplicateValues" dxfId="0" priority="4"/>
  </conditionalFormatting>
  <conditionalFormatting sqref="C895">
    <cfRule type="duplicateValues" dxfId="0" priority="3"/>
  </conditionalFormatting>
  <conditionalFormatting sqref="C896">
    <cfRule type="duplicateValues" dxfId="0" priority="2"/>
  </conditionalFormatting>
  <conditionalFormatting sqref="C902">
    <cfRule type="duplicateValues" dxfId="0" priority="232"/>
  </conditionalFormatting>
  <conditionalFormatting sqref="C904">
    <cfRule type="duplicateValues" dxfId="0" priority="199"/>
  </conditionalFormatting>
  <conditionalFormatting sqref="C905">
    <cfRule type="duplicateValues" dxfId="0" priority="198"/>
  </conditionalFormatting>
  <conditionalFormatting sqref="C906">
    <cfRule type="duplicateValues" dxfId="0" priority="197"/>
  </conditionalFormatting>
  <conditionalFormatting sqref="C907">
    <cfRule type="duplicateValues" dxfId="0" priority="196"/>
  </conditionalFormatting>
  <conditionalFormatting sqref="C313:C322">
    <cfRule type="duplicateValues" dxfId="0" priority="362"/>
  </conditionalFormatting>
  <conditionalFormatting sqref="C386:C396">
    <cfRule type="duplicateValues" dxfId="0" priority="220"/>
  </conditionalFormatting>
  <conditionalFormatting sqref="C397:C402">
    <cfRule type="duplicateValues" dxfId="0" priority="300"/>
  </conditionalFormatting>
  <conditionalFormatting sqref="C403:C408">
    <cfRule type="duplicateValues" dxfId="0" priority="207"/>
  </conditionalFormatting>
  <conditionalFormatting sqref="C414:C418">
    <cfRule type="duplicateValues" dxfId="0" priority="208"/>
  </conditionalFormatting>
  <conditionalFormatting sqref="C419:C428">
    <cfRule type="duplicateValues" dxfId="0" priority="18"/>
  </conditionalFormatting>
  <conditionalFormatting sqref="C479:C483">
    <cfRule type="duplicateValues" dxfId="0" priority="17"/>
  </conditionalFormatting>
  <conditionalFormatting sqref="C485:C487">
    <cfRule type="duplicateValues" dxfId="0" priority="297"/>
  </conditionalFormatting>
  <conditionalFormatting sqref="C522:C523">
    <cfRule type="duplicateValues" dxfId="0" priority="354"/>
  </conditionalFormatting>
  <conditionalFormatting sqref="C529:C531">
    <cfRule type="duplicateValues" dxfId="0" priority="351"/>
  </conditionalFormatting>
  <conditionalFormatting sqref="C535:C536">
    <cfRule type="duplicateValues" dxfId="0" priority="349"/>
  </conditionalFormatting>
  <conditionalFormatting sqref="C544:C545">
    <cfRule type="duplicateValues" dxfId="0" priority="343"/>
  </conditionalFormatting>
  <conditionalFormatting sqref="C586:C588">
    <cfRule type="duplicateValues" dxfId="0" priority="293"/>
  </conditionalFormatting>
  <conditionalFormatting sqref="C591:C593">
    <cfRule type="duplicateValues" dxfId="0" priority="321"/>
  </conditionalFormatting>
  <conditionalFormatting sqref="C594:C601">
    <cfRule type="duplicateValues" dxfId="0" priority="301"/>
  </conditionalFormatting>
  <conditionalFormatting sqref="C618:C625">
    <cfRule type="duplicateValues" dxfId="0" priority="282"/>
  </conditionalFormatting>
  <conditionalFormatting sqref="C652:C656">
    <cfRule type="duplicateValues" dxfId="0" priority="281"/>
  </conditionalFormatting>
  <conditionalFormatting sqref="C673:C678">
    <cfRule type="duplicateValues" dxfId="0" priority="279"/>
  </conditionalFormatting>
  <conditionalFormatting sqref="C721:C722">
    <cfRule type="duplicateValues" dxfId="0" priority="275"/>
  </conditionalFormatting>
  <conditionalFormatting sqref="C813:C817">
    <cfRule type="duplicateValues" dxfId="0" priority="253"/>
  </conditionalFormatting>
  <conditionalFormatting sqref="C819:C820">
    <cfRule type="duplicateValues" dxfId="0" priority="252"/>
  </conditionalFormatting>
  <conditionalFormatting sqref="C824:C826">
    <cfRule type="duplicateValues" dxfId="0" priority="249"/>
  </conditionalFormatting>
  <conditionalFormatting sqref="C828:C832">
    <cfRule type="duplicateValues" dxfId="0" priority="247"/>
  </conditionalFormatting>
  <conditionalFormatting sqref="C858:C868">
    <cfRule type="duplicateValues" dxfId="0" priority="9"/>
  </conditionalFormatting>
  <conditionalFormatting sqref="C884:C885">
    <cfRule type="duplicateValues" dxfId="0" priority="239"/>
  </conditionalFormatting>
  <conditionalFormatting sqref="C887:C888">
    <cfRule type="duplicateValues" dxfId="0" priority="5"/>
  </conditionalFormatting>
  <conditionalFormatting sqref="C900:C901">
    <cfRule type="duplicateValues" dxfId="0" priority="234"/>
  </conditionalFormatting>
  <conditionalFormatting sqref="C350 C346:C347 C352:C353">
    <cfRule type="duplicateValues" dxfId="0" priority="368"/>
  </conditionalFormatting>
  <conditionalFormatting sqref="C354:C355 C363 C360:C361 C358">
    <cfRule type="duplicateValues" dxfId="0" priority="367"/>
  </conditionalFormatting>
  <conditionalFormatting sqref="C365:C385 C429:C478 C410:C413 C690:C713 C716:C719 C484 C684:C688 C489:C521 C634:C637 C752:C772 C775:C776 C836:C857 C739:C750 C736:C737 C797 C786 C810:C811 C827 C779:C784 C886 C889:C892 C883 C878 C873:C876 C880 C903 C803:C808 C723:C726 C657:C667 C732:C734 C729:C730 C647:C651 C568 C552:C558 C639:C640 C682 C626:C632">
    <cfRule type="duplicateValues" dxfId="0" priority="365"/>
  </conditionalFormatting>
  <conditionalFormatting sqref="C525 C527:C528">
    <cfRule type="duplicateValues" dxfId="0" priority="352"/>
  </conditionalFormatting>
  <conditionalFormatting sqref="C532 C541">
    <cfRule type="duplicateValues" dxfId="0" priority="345"/>
  </conditionalFormatting>
  <conditionalFormatting sqref="C572:C575 C577">
    <cfRule type="duplicateValues" dxfId="0" priority="329"/>
  </conditionalFormatting>
  <conditionalFormatting sqref="C605 C607">
    <cfRule type="duplicateValues" dxfId="0" priority="190"/>
  </conditionalFormatting>
  <conditionalFormatting sqref="C641:C643 C645:C646">
    <cfRule type="duplicateValues" dxfId="0" priority="210"/>
  </conditionalFormatting>
  <conditionalFormatting sqref="C668:C672 C679:C681">
    <cfRule type="duplicateValues" dxfId="0" priority="280"/>
  </conditionalFormatting>
  <conditionalFormatting sqref="C893 C897:C899">
    <cfRule type="duplicateValues" dxfId="0" priority="236"/>
  </conditionalFormatting>
  <hyperlinks>
    <hyperlink ref="Q1" location="目录!B3" display="返回目录"/>
  </hyperlinks>
  <pageMargins left="0.75" right="0.75" top="1" bottom="1" header="0.5" footer="0.5"/>
  <pageSetup paperSize="9" scale="58"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B857"/>
  <sheetViews>
    <sheetView view="pageBreakPreview" zoomScale="90" zoomScaleNormal="100" workbookViewId="0">
      <pane xSplit="2" ySplit="3" topLeftCell="C792" activePane="bottomRight" state="frozen"/>
      <selection/>
      <selection pane="topRight"/>
      <selection pane="bottomLeft"/>
      <selection pane="bottomRight" activeCell="C797" sqref="C797"/>
    </sheetView>
  </sheetViews>
  <sheetFormatPr defaultColWidth="9" defaultRowHeight="14.4"/>
  <cols>
    <col min="1" max="1" width="4.87962962962963" style="28" customWidth="1"/>
    <col min="2" max="2" width="21.6296296296296" style="30" customWidth="1"/>
    <col min="3" max="3" width="35.6759259259259" style="30" customWidth="1" collapsed="1"/>
    <col min="4" max="5" width="6.87962962962963" style="28" hidden="1" customWidth="1" outlineLevel="1"/>
    <col min="6" max="6" width="9.12962962962963" style="31" customWidth="1"/>
    <col min="7" max="7" width="10.3796296296296" style="64" customWidth="1" collapsed="1"/>
    <col min="8" max="8" width="11.5" style="32" hidden="1" customWidth="1" outlineLevel="1"/>
    <col min="9" max="9" width="12.5" style="32" hidden="1" customWidth="1" outlineLevel="1"/>
    <col min="10" max="10" width="11.5" style="32" hidden="1" customWidth="1" outlineLevel="1"/>
    <col min="11" max="11" width="12.5" style="32" hidden="1" customWidth="1" outlineLevel="1"/>
    <col min="12" max="13" width="14.0277777777778" style="32" hidden="1" customWidth="1" outlineLevel="1"/>
    <col min="14" max="14" width="12.3796296296296" style="32" hidden="1" customWidth="1" outlineLevel="1"/>
    <col min="15" max="16" width="13.3796296296296" style="32" hidden="1" customWidth="1" outlineLevel="1"/>
    <col min="17" max="17" width="15.5" style="32" hidden="1" customWidth="1" outlineLevel="1"/>
    <col min="18" max="18" width="16.2962962962963" style="28" customWidth="1" collapsed="1"/>
    <col min="19" max="27" width="14.1296296296296" style="28" hidden="1" customWidth="1" outlineLevel="1"/>
    <col min="28" max="28" width="4.87962962962963" style="28" customWidth="1"/>
    <col min="29" max="16384" width="9" style="28"/>
  </cols>
  <sheetData>
    <row r="1" s="28" customFormat="1" ht="28.2" spans="1:27">
      <c r="A1" s="35" t="s">
        <v>1852</v>
      </c>
      <c r="B1" s="36"/>
      <c r="C1" s="36"/>
      <c r="D1" s="35"/>
      <c r="E1" s="35"/>
      <c r="F1" s="35"/>
      <c r="G1" s="37"/>
      <c r="H1" s="66" t="s">
        <v>225</v>
      </c>
      <c r="I1" s="66"/>
      <c r="J1" s="66"/>
      <c r="K1" s="66"/>
      <c r="L1" s="66"/>
      <c r="M1" s="66"/>
      <c r="N1" s="66"/>
      <c r="O1" s="66"/>
      <c r="P1" s="66"/>
      <c r="Q1" s="66"/>
      <c r="R1" s="91" t="s">
        <v>226</v>
      </c>
      <c r="S1" s="91"/>
      <c r="T1" s="91"/>
      <c r="U1" s="91"/>
      <c r="V1" s="91"/>
      <c r="W1" s="91"/>
      <c r="X1" s="91"/>
      <c r="Y1" s="91"/>
      <c r="Z1" s="91"/>
      <c r="AA1" s="91"/>
    </row>
    <row r="2" s="28" customFormat="1" ht="17" customHeight="1" spans="1:28">
      <c r="A2" s="67" t="s">
        <v>2</v>
      </c>
      <c r="B2" s="67" t="s">
        <v>227</v>
      </c>
      <c r="C2" s="68" t="s">
        <v>228</v>
      </c>
      <c r="D2" s="67" t="s">
        <v>229</v>
      </c>
      <c r="E2" s="67"/>
      <c r="F2" s="68" t="s">
        <v>230</v>
      </c>
      <c r="G2" s="68" t="s">
        <v>231</v>
      </c>
      <c r="H2" s="124" t="s">
        <v>232</v>
      </c>
      <c r="I2" s="124"/>
      <c r="J2" s="124"/>
      <c r="K2" s="124"/>
      <c r="L2" s="124"/>
      <c r="M2" s="143" t="s">
        <v>233</v>
      </c>
      <c r="N2" s="143"/>
      <c r="O2" s="143"/>
      <c r="P2" s="144" t="s">
        <v>234</v>
      </c>
      <c r="Q2" s="144"/>
      <c r="R2" s="145" t="s">
        <v>232</v>
      </c>
      <c r="S2" s="145"/>
      <c r="T2" s="145"/>
      <c r="U2" s="145"/>
      <c r="V2" s="145"/>
      <c r="W2" s="146" t="s">
        <v>233</v>
      </c>
      <c r="X2" s="146"/>
      <c r="Y2" s="146"/>
      <c r="Z2" s="151" t="s">
        <v>234</v>
      </c>
      <c r="AA2" s="151"/>
      <c r="AB2" s="95" t="s">
        <v>235</v>
      </c>
    </row>
    <row r="3" s="28" customFormat="1" ht="17" customHeight="1" spans="1:28">
      <c r="A3" s="67"/>
      <c r="B3" s="67"/>
      <c r="C3" s="68"/>
      <c r="D3" s="67"/>
      <c r="E3" s="67"/>
      <c r="F3" s="68"/>
      <c r="G3" s="68"/>
      <c r="H3" s="124" t="s">
        <v>77</v>
      </c>
      <c r="I3" s="124" t="s">
        <v>81</v>
      </c>
      <c r="J3" s="124" t="s">
        <v>82</v>
      </c>
      <c r="K3" s="124" t="s">
        <v>83</v>
      </c>
      <c r="L3" s="143" t="s">
        <v>238</v>
      </c>
      <c r="M3" s="143" t="s">
        <v>84</v>
      </c>
      <c r="N3" s="143" t="s">
        <v>177</v>
      </c>
      <c r="O3" s="144" t="str">
        <f>工程量清单A建筑工程!O3</f>
        <v>配套-装配式</v>
      </c>
      <c r="P3" s="144" t="s">
        <v>86</v>
      </c>
      <c r="Q3" s="144" t="s">
        <v>87</v>
      </c>
      <c r="R3" s="145" t="s">
        <v>77</v>
      </c>
      <c r="S3" s="145" t="s">
        <v>81</v>
      </c>
      <c r="T3" s="145" t="s">
        <v>82</v>
      </c>
      <c r="U3" s="145" t="s">
        <v>83</v>
      </c>
      <c r="V3" s="146" t="s">
        <v>238</v>
      </c>
      <c r="W3" s="146" t="s">
        <v>84</v>
      </c>
      <c r="X3" s="146" t="s">
        <v>177</v>
      </c>
      <c r="Y3" s="151" t="str">
        <f>O3</f>
        <v>配套-装配式</v>
      </c>
      <c r="Z3" s="151" t="s">
        <v>86</v>
      </c>
      <c r="AA3" s="151" t="s">
        <v>87</v>
      </c>
      <c r="AB3" s="95"/>
    </row>
    <row r="4" s="28" customFormat="1" spans="1:28">
      <c r="A4" s="125"/>
      <c r="B4" s="126" t="s">
        <v>221</v>
      </c>
      <c r="C4" s="126"/>
      <c r="D4" s="125"/>
      <c r="E4" s="125"/>
      <c r="F4" s="127"/>
      <c r="G4" s="128"/>
      <c r="H4" s="129"/>
      <c r="I4" s="129"/>
      <c r="J4" s="129"/>
      <c r="K4" s="129"/>
      <c r="L4" s="129"/>
      <c r="M4" s="129"/>
      <c r="N4" s="129"/>
      <c r="O4" s="129"/>
      <c r="P4" s="129"/>
      <c r="Q4" s="129"/>
      <c r="R4" s="147" t="e">
        <f t="shared" ref="R4:AA4" si="0">SUM(R5,R71,R142)</f>
        <v>#REF!</v>
      </c>
      <c r="S4" s="147" t="e">
        <f t="shared" si="0"/>
        <v>#REF!</v>
      </c>
      <c r="T4" s="147" t="e">
        <f t="shared" si="0"/>
        <v>#REF!</v>
      </c>
      <c r="U4" s="147" t="e">
        <f t="shared" si="0"/>
        <v>#REF!</v>
      </c>
      <c r="V4" s="147" t="e">
        <f t="shared" si="0"/>
        <v>#REF!</v>
      </c>
      <c r="W4" s="147" t="e">
        <f t="shared" si="0"/>
        <v>#REF!</v>
      </c>
      <c r="X4" s="147" t="e">
        <f t="shared" si="0"/>
        <v>#REF!</v>
      </c>
      <c r="Y4" s="147" t="e">
        <f t="shared" si="0"/>
        <v>#REF!</v>
      </c>
      <c r="Z4" s="147" t="e">
        <f t="shared" si="0"/>
        <v>#REF!</v>
      </c>
      <c r="AA4" s="147" t="e">
        <f t="shared" si="0"/>
        <v>#REF!</v>
      </c>
      <c r="AB4" s="125"/>
    </row>
    <row r="5" s="122" customFormat="1" outlineLevel="1" spans="1:28">
      <c r="A5" s="130"/>
      <c r="B5" s="131" t="s">
        <v>1853</v>
      </c>
      <c r="C5" s="131"/>
      <c r="D5" s="130"/>
      <c r="E5" s="130"/>
      <c r="F5" s="132"/>
      <c r="G5" s="133"/>
      <c r="H5" s="134"/>
      <c r="I5" s="134"/>
      <c r="J5" s="134"/>
      <c r="K5" s="134"/>
      <c r="L5" s="134"/>
      <c r="M5" s="134"/>
      <c r="N5" s="134"/>
      <c r="O5" s="134"/>
      <c r="P5" s="134"/>
      <c r="Q5" s="134"/>
      <c r="R5" s="148" t="e">
        <f t="shared" ref="R5:AA5" si="1">SUM(R6,R46,R64)</f>
        <v>#REF!</v>
      </c>
      <c r="S5" s="148" t="e">
        <f t="shared" si="1"/>
        <v>#REF!</v>
      </c>
      <c r="T5" s="148" t="e">
        <f t="shared" si="1"/>
        <v>#REF!</v>
      </c>
      <c r="U5" s="148" t="e">
        <f t="shared" si="1"/>
        <v>#REF!</v>
      </c>
      <c r="V5" s="148" t="e">
        <f t="shared" si="1"/>
        <v>#REF!</v>
      </c>
      <c r="W5" s="148" t="e">
        <f t="shared" si="1"/>
        <v>#REF!</v>
      </c>
      <c r="X5" s="148" t="e">
        <f t="shared" si="1"/>
        <v>#REF!</v>
      </c>
      <c r="Y5" s="148" t="e">
        <f t="shared" si="1"/>
        <v>#REF!</v>
      </c>
      <c r="Z5" s="148" t="e">
        <f t="shared" si="1"/>
        <v>#REF!</v>
      </c>
      <c r="AA5" s="148" t="e">
        <f t="shared" si="1"/>
        <v>#REF!</v>
      </c>
      <c r="AB5" s="130"/>
    </row>
    <row r="6" s="28" customFormat="1" outlineLevel="2" spans="1:28">
      <c r="A6" s="40"/>
      <c r="B6" s="41" t="s">
        <v>1854</v>
      </c>
      <c r="C6" s="41"/>
      <c r="D6" s="40"/>
      <c r="E6" s="40"/>
      <c r="F6" s="42"/>
      <c r="G6" s="135"/>
      <c r="H6" s="43"/>
      <c r="I6" s="43"/>
      <c r="J6" s="43"/>
      <c r="K6" s="43"/>
      <c r="L6" s="43"/>
      <c r="M6" s="43"/>
      <c r="N6" s="43"/>
      <c r="O6" s="43"/>
      <c r="P6" s="43"/>
      <c r="Q6" s="43"/>
      <c r="R6" s="149" t="e">
        <f>SUM(R7:R45)</f>
        <v>#REF!</v>
      </c>
      <c r="S6" s="149" t="e">
        <f t="shared" ref="R6:AA6" si="2">SUM(S7:S45)</f>
        <v>#REF!</v>
      </c>
      <c r="T6" s="149" t="e">
        <f t="shared" si="2"/>
        <v>#REF!</v>
      </c>
      <c r="U6" s="149" t="e">
        <f t="shared" si="2"/>
        <v>#REF!</v>
      </c>
      <c r="V6" s="149" t="e">
        <f t="shared" si="2"/>
        <v>#REF!</v>
      </c>
      <c r="W6" s="149" t="e">
        <f t="shared" si="2"/>
        <v>#REF!</v>
      </c>
      <c r="X6" s="149" t="e">
        <f t="shared" si="2"/>
        <v>#REF!</v>
      </c>
      <c r="Y6" s="149" t="e">
        <f t="shared" si="2"/>
        <v>#REF!</v>
      </c>
      <c r="Z6" s="149" t="e">
        <f t="shared" si="2"/>
        <v>#REF!</v>
      </c>
      <c r="AA6" s="149" t="e">
        <f t="shared" si="2"/>
        <v>#REF!</v>
      </c>
      <c r="AB6" s="40"/>
    </row>
    <row r="7" s="28" customFormat="1" ht="28.8" outlineLevel="3" spans="1:28">
      <c r="A7" s="52">
        <f>MAX($A$6:A6)+1</f>
        <v>1</v>
      </c>
      <c r="B7" s="51" t="s">
        <v>1855</v>
      </c>
      <c r="C7" s="51" t="e">
        <f>VLOOKUP($B7,#REF!,MATCH(C$2,#REF!,0),0)</f>
        <v>#REF!</v>
      </c>
      <c r="D7" s="83"/>
      <c r="E7" s="83"/>
      <c r="F7" s="136" t="e">
        <f>VLOOKUP($B7,#REF!,MATCH(F$2,#REF!,0),0)</f>
        <v>#REF!</v>
      </c>
      <c r="G7" s="137" t="e">
        <f>VLOOKUP($B7,#REF!,MATCH(G$2,#REF!,0),0)</f>
        <v>#REF!</v>
      </c>
      <c r="H7" s="48"/>
      <c r="I7" s="48"/>
      <c r="J7" s="48"/>
      <c r="K7" s="48"/>
      <c r="L7" s="48"/>
      <c r="M7" s="48"/>
      <c r="N7" s="48"/>
      <c r="O7" s="48"/>
      <c r="P7" s="48"/>
      <c r="Q7" s="48">
        <v>24</v>
      </c>
      <c r="R7" s="150" t="e">
        <f t="shared" ref="R7:AA7" si="3">$G7*H7</f>
        <v>#REF!</v>
      </c>
      <c r="S7" s="150" t="e">
        <f t="shared" si="3"/>
        <v>#REF!</v>
      </c>
      <c r="T7" s="150" t="e">
        <f t="shared" si="3"/>
        <v>#REF!</v>
      </c>
      <c r="U7" s="150" t="e">
        <f t="shared" si="3"/>
        <v>#REF!</v>
      </c>
      <c r="V7" s="150" t="e">
        <f t="shared" si="3"/>
        <v>#REF!</v>
      </c>
      <c r="W7" s="150" t="e">
        <f t="shared" si="3"/>
        <v>#REF!</v>
      </c>
      <c r="X7" s="150" t="e">
        <f t="shared" si="3"/>
        <v>#REF!</v>
      </c>
      <c r="Y7" s="150" t="e">
        <f t="shared" si="3"/>
        <v>#REF!</v>
      </c>
      <c r="Z7" s="150" t="e">
        <f t="shared" si="3"/>
        <v>#REF!</v>
      </c>
      <c r="AA7" s="150" t="e">
        <f t="shared" si="3"/>
        <v>#REF!</v>
      </c>
      <c r="AB7" s="50"/>
    </row>
    <row r="8" s="28" customFormat="1" outlineLevel="3" spans="1:28">
      <c r="A8" s="52">
        <f>MAX($A$6:A7)+1</f>
        <v>2</v>
      </c>
      <c r="B8" s="51" t="s">
        <v>1856</v>
      </c>
      <c r="C8" s="51" t="e">
        <f>VLOOKUP($B8,#REF!,MATCH(C$2,#REF!,0),0)</f>
        <v>#REF!</v>
      </c>
      <c r="D8" s="83"/>
      <c r="E8" s="83"/>
      <c r="F8" s="136" t="e">
        <f>VLOOKUP($B8,#REF!,MATCH(F$2,#REF!,0),0)</f>
        <v>#REF!</v>
      </c>
      <c r="G8" s="137" t="e">
        <f>VLOOKUP($B8,#REF!,MATCH(G$2,#REF!,0),0)</f>
        <v>#REF!</v>
      </c>
      <c r="H8" s="48"/>
      <c r="I8" s="48"/>
      <c r="J8" s="48"/>
      <c r="K8" s="48"/>
      <c r="L8" s="48"/>
      <c r="M8" s="48"/>
      <c r="N8" s="48"/>
      <c r="O8" s="48"/>
      <c r="P8" s="48"/>
      <c r="Q8" s="48">
        <v>24</v>
      </c>
      <c r="R8" s="150" t="e">
        <f t="shared" ref="R8:AA8" si="4">$G8*H8</f>
        <v>#REF!</v>
      </c>
      <c r="S8" s="150" t="e">
        <f t="shared" si="4"/>
        <v>#REF!</v>
      </c>
      <c r="T8" s="150" t="e">
        <f t="shared" si="4"/>
        <v>#REF!</v>
      </c>
      <c r="U8" s="150" t="e">
        <f t="shared" si="4"/>
        <v>#REF!</v>
      </c>
      <c r="V8" s="150" t="e">
        <f t="shared" si="4"/>
        <v>#REF!</v>
      </c>
      <c r="W8" s="150" t="e">
        <f t="shared" si="4"/>
        <v>#REF!</v>
      </c>
      <c r="X8" s="150" t="e">
        <f t="shared" si="4"/>
        <v>#REF!</v>
      </c>
      <c r="Y8" s="150" t="e">
        <f t="shared" si="4"/>
        <v>#REF!</v>
      </c>
      <c r="Z8" s="150" t="e">
        <f t="shared" si="4"/>
        <v>#REF!</v>
      </c>
      <c r="AA8" s="150" t="e">
        <f t="shared" si="4"/>
        <v>#REF!</v>
      </c>
      <c r="AB8" s="50"/>
    </row>
    <row r="9" s="28" customFormat="1" outlineLevel="3" spans="1:28">
      <c r="A9" s="52">
        <f>MAX($A$6:A8)+1</f>
        <v>3</v>
      </c>
      <c r="B9" s="51" t="s">
        <v>1857</v>
      </c>
      <c r="C9" s="51" t="e">
        <f>VLOOKUP($B9,#REF!,MATCH(C$2,#REF!,0),0)</f>
        <v>#REF!</v>
      </c>
      <c r="D9" s="83"/>
      <c r="E9" s="83"/>
      <c r="F9" s="136" t="e">
        <f>VLOOKUP($B9,#REF!,MATCH(F$2,#REF!,0),0)</f>
        <v>#REF!</v>
      </c>
      <c r="G9" s="137" t="e">
        <f>VLOOKUP($B9,#REF!,MATCH(G$2,#REF!,0),0)</f>
        <v>#REF!</v>
      </c>
      <c r="H9" s="48"/>
      <c r="I9" s="48"/>
      <c r="J9" s="48"/>
      <c r="K9" s="48"/>
      <c r="L9" s="48"/>
      <c r="M9" s="48"/>
      <c r="N9" s="48"/>
      <c r="O9" s="48"/>
      <c r="P9" s="48">
        <v>22</v>
      </c>
      <c r="Q9" s="48"/>
      <c r="R9" s="150" t="e">
        <f t="shared" ref="R9:AA9" si="5">$G9*H9</f>
        <v>#REF!</v>
      </c>
      <c r="S9" s="150" t="e">
        <f t="shared" si="5"/>
        <v>#REF!</v>
      </c>
      <c r="T9" s="150" t="e">
        <f t="shared" si="5"/>
        <v>#REF!</v>
      </c>
      <c r="U9" s="150" t="e">
        <f t="shared" si="5"/>
        <v>#REF!</v>
      </c>
      <c r="V9" s="150" t="e">
        <f t="shared" si="5"/>
        <v>#REF!</v>
      </c>
      <c r="W9" s="150" t="e">
        <f t="shared" si="5"/>
        <v>#REF!</v>
      </c>
      <c r="X9" s="150" t="e">
        <f t="shared" si="5"/>
        <v>#REF!</v>
      </c>
      <c r="Y9" s="150" t="e">
        <f t="shared" si="5"/>
        <v>#REF!</v>
      </c>
      <c r="Z9" s="150" t="e">
        <f t="shared" si="5"/>
        <v>#REF!</v>
      </c>
      <c r="AA9" s="150" t="e">
        <f t="shared" si="5"/>
        <v>#REF!</v>
      </c>
      <c r="AB9" s="50"/>
    </row>
    <row r="10" s="28" customFormat="1" outlineLevel="3" spans="1:28">
      <c r="A10" s="52">
        <f>MAX($A$6:A9)+1</f>
        <v>4</v>
      </c>
      <c r="B10" s="51" t="s">
        <v>1858</v>
      </c>
      <c r="C10" s="51" t="e">
        <f>VLOOKUP($B10,#REF!,MATCH(C$2,#REF!,0),0)</f>
        <v>#REF!</v>
      </c>
      <c r="D10" s="83"/>
      <c r="E10" s="83"/>
      <c r="F10" s="136" t="e">
        <f>VLOOKUP($B10,#REF!,MATCH(F$2,#REF!,0),0)</f>
        <v>#REF!</v>
      </c>
      <c r="G10" s="137" t="e">
        <f>VLOOKUP($B10,#REF!,MATCH(G$2,#REF!,0),0)</f>
        <v>#REF!</v>
      </c>
      <c r="H10" s="48"/>
      <c r="I10" s="48"/>
      <c r="J10" s="48"/>
      <c r="K10" s="48"/>
      <c r="L10" s="48"/>
      <c r="M10" s="48"/>
      <c r="N10" s="48"/>
      <c r="O10" s="48"/>
      <c r="P10" s="48">
        <v>5</v>
      </c>
      <c r="Q10" s="48"/>
      <c r="R10" s="150" t="e">
        <f t="shared" ref="R10:AA10" si="6">$G10*H10</f>
        <v>#REF!</v>
      </c>
      <c r="S10" s="150" t="e">
        <f t="shared" si="6"/>
        <v>#REF!</v>
      </c>
      <c r="T10" s="150" t="e">
        <f t="shared" si="6"/>
        <v>#REF!</v>
      </c>
      <c r="U10" s="150" t="e">
        <f t="shared" si="6"/>
        <v>#REF!</v>
      </c>
      <c r="V10" s="150" t="e">
        <f t="shared" si="6"/>
        <v>#REF!</v>
      </c>
      <c r="W10" s="150" t="e">
        <f t="shared" si="6"/>
        <v>#REF!</v>
      </c>
      <c r="X10" s="150" t="e">
        <f t="shared" si="6"/>
        <v>#REF!</v>
      </c>
      <c r="Y10" s="150" t="e">
        <f t="shared" si="6"/>
        <v>#REF!</v>
      </c>
      <c r="Z10" s="150" t="e">
        <f t="shared" si="6"/>
        <v>#REF!</v>
      </c>
      <c r="AA10" s="150" t="e">
        <f t="shared" si="6"/>
        <v>#REF!</v>
      </c>
      <c r="AB10" s="50"/>
    </row>
    <row r="11" s="28" customFormat="1" outlineLevel="3" spans="1:28">
      <c r="A11" s="52">
        <f>MAX($A$6:A10)+1</f>
        <v>5</v>
      </c>
      <c r="B11" s="51" t="s">
        <v>1859</v>
      </c>
      <c r="C11" s="51" t="e">
        <f>VLOOKUP($B11,#REF!,MATCH(C$2,#REF!,0),0)</f>
        <v>#REF!</v>
      </c>
      <c r="D11" s="83"/>
      <c r="E11" s="83"/>
      <c r="F11" s="136" t="e">
        <f>VLOOKUP($B11,#REF!,MATCH(F$2,#REF!,0),0)</f>
        <v>#REF!</v>
      </c>
      <c r="G11" s="137" t="e">
        <f>VLOOKUP($B11,#REF!,MATCH(G$2,#REF!,0),0)</f>
        <v>#REF!</v>
      </c>
      <c r="H11" s="48">
        <v>1</v>
      </c>
      <c r="I11" s="48">
        <v>1</v>
      </c>
      <c r="J11" s="48">
        <v>1</v>
      </c>
      <c r="K11" s="48">
        <v>1</v>
      </c>
      <c r="L11" s="48">
        <v>1</v>
      </c>
      <c r="M11" s="48"/>
      <c r="N11" s="48"/>
      <c r="O11" s="48"/>
      <c r="P11" s="48"/>
      <c r="Q11" s="48"/>
      <c r="R11" s="150" t="e">
        <f t="shared" ref="R11:AA11" si="7">$G11*H11</f>
        <v>#REF!</v>
      </c>
      <c r="S11" s="150" t="e">
        <f t="shared" si="7"/>
        <v>#REF!</v>
      </c>
      <c r="T11" s="150" t="e">
        <f t="shared" si="7"/>
        <v>#REF!</v>
      </c>
      <c r="U11" s="150" t="e">
        <f t="shared" si="7"/>
        <v>#REF!</v>
      </c>
      <c r="V11" s="150" t="e">
        <f t="shared" si="7"/>
        <v>#REF!</v>
      </c>
      <c r="W11" s="150" t="e">
        <f t="shared" si="7"/>
        <v>#REF!</v>
      </c>
      <c r="X11" s="150" t="e">
        <f t="shared" si="7"/>
        <v>#REF!</v>
      </c>
      <c r="Y11" s="150" t="e">
        <f t="shared" si="7"/>
        <v>#REF!</v>
      </c>
      <c r="Z11" s="150" t="e">
        <f t="shared" si="7"/>
        <v>#REF!</v>
      </c>
      <c r="AA11" s="150" t="e">
        <f t="shared" si="7"/>
        <v>#REF!</v>
      </c>
      <c r="AB11" s="50"/>
    </row>
    <row r="12" s="28" customFormat="1" outlineLevel="3" spans="1:28">
      <c r="A12" s="52">
        <f>MAX($A$6:A11)+1</f>
        <v>6</v>
      </c>
      <c r="B12" s="51" t="s">
        <v>1860</v>
      </c>
      <c r="C12" s="51" t="e">
        <f>VLOOKUP($B12,#REF!,MATCH(C$2,#REF!,0),0)</f>
        <v>#REF!</v>
      </c>
      <c r="D12" s="83"/>
      <c r="E12" s="83"/>
      <c r="F12" s="136" t="e">
        <f>VLOOKUP($B12,#REF!,MATCH(F$2,#REF!,0),0)</f>
        <v>#REF!</v>
      </c>
      <c r="G12" s="137" t="e">
        <f>VLOOKUP($B12,#REF!,MATCH(G$2,#REF!,0),0)</f>
        <v>#REF!</v>
      </c>
      <c r="H12" s="48"/>
      <c r="I12" s="48"/>
      <c r="J12" s="48"/>
      <c r="K12" s="48"/>
      <c r="L12" s="48"/>
      <c r="M12" s="48"/>
      <c r="N12" s="48"/>
      <c r="O12" s="48"/>
      <c r="P12" s="48"/>
      <c r="Q12" s="48">
        <v>5</v>
      </c>
      <c r="R12" s="150" t="e">
        <f t="shared" ref="R12:AA12" si="8">$G12*H12</f>
        <v>#REF!</v>
      </c>
      <c r="S12" s="150" t="e">
        <f t="shared" si="8"/>
        <v>#REF!</v>
      </c>
      <c r="T12" s="150" t="e">
        <f t="shared" si="8"/>
        <v>#REF!</v>
      </c>
      <c r="U12" s="150" t="e">
        <f t="shared" si="8"/>
        <v>#REF!</v>
      </c>
      <c r="V12" s="150" t="e">
        <f t="shared" si="8"/>
        <v>#REF!</v>
      </c>
      <c r="W12" s="150" t="e">
        <f t="shared" si="8"/>
        <v>#REF!</v>
      </c>
      <c r="X12" s="150" t="e">
        <f t="shared" si="8"/>
        <v>#REF!</v>
      </c>
      <c r="Y12" s="150" t="e">
        <f t="shared" si="8"/>
        <v>#REF!</v>
      </c>
      <c r="Z12" s="150" t="e">
        <f t="shared" si="8"/>
        <v>#REF!</v>
      </c>
      <c r="AA12" s="150" t="e">
        <f t="shared" si="8"/>
        <v>#REF!</v>
      </c>
      <c r="AB12" s="50"/>
    </row>
    <row r="13" s="28" customFormat="1" outlineLevel="3" spans="1:28">
      <c r="A13" s="52">
        <f>MAX($A$6:A12)+1</f>
        <v>7</v>
      </c>
      <c r="B13" s="51" t="s">
        <v>1861</v>
      </c>
      <c r="C13" s="51" t="e">
        <f>VLOOKUP($B13,#REF!,MATCH(C$2,#REF!,0),0)</f>
        <v>#REF!</v>
      </c>
      <c r="D13" s="83"/>
      <c r="E13" s="83"/>
      <c r="F13" s="136" t="e">
        <f>VLOOKUP($B13,#REF!,MATCH(F$2,#REF!,0),0)</f>
        <v>#REF!</v>
      </c>
      <c r="G13" s="137" t="e">
        <f>VLOOKUP($B13,#REF!,MATCH(G$2,#REF!,0),0)</f>
        <v>#REF!</v>
      </c>
      <c r="H13" s="48"/>
      <c r="I13" s="48"/>
      <c r="J13" s="48"/>
      <c r="K13" s="48"/>
      <c r="L13" s="48"/>
      <c r="M13" s="48"/>
      <c r="N13" s="48"/>
      <c r="O13" s="48"/>
      <c r="P13" s="48"/>
      <c r="Q13" s="48">
        <v>1</v>
      </c>
      <c r="R13" s="150" t="e">
        <f t="shared" ref="R13:AA13" si="9">$G13*H13</f>
        <v>#REF!</v>
      </c>
      <c r="S13" s="150" t="e">
        <f t="shared" si="9"/>
        <v>#REF!</v>
      </c>
      <c r="T13" s="150" t="e">
        <f t="shared" si="9"/>
        <v>#REF!</v>
      </c>
      <c r="U13" s="150" t="e">
        <f t="shared" si="9"/>
        <v>#REF!</v>
      </c>
      <c r="V13" s="150" t="e">
        <f t="shared" si="9"/>
        <v>#REF!</v>
      </c>
      <c r="W13" s="150" t="e">
        <f t="shared" si="9"/>
        <v>#REF!</v>
      </c>
      <c r="X13" s="150" t="e">
        <f t="shared" si="9"/>
        <v>#REF!</v>
      </c>
      <c r="Y13" s="150" t="e">
        <f t="shared" si="9"/>
        <v>#REF!</v>
      </c>
      <c r="Z13" s="150" t="e">
        <f t="shared" si="9"/>
        <v>#REF!</v>
      </c>
      <c r="AA13" s="150" t="e">
        <f t="shared" si="9"/>
        <v>#REF!</v>
      </c>
      <c r="AB13" s="50"/>
    </row>
    <row r="14" s="28" customFormat="1" outlineLevel="3" spans="1:28">
      <c r="A14" s="52">
        <f>MAX($A$6:A13)+1</f>
        <v>8</v>
      </c>
      <c r="B14" s="51" t="s">
        <v>1862</v>
      </c>
      <c r="C14" s="51" t="e">
        <f>VLOOKUP($B14,#REF!,MATCH(C$2,#REF!,0),0)</f>
        <v>#REF!</v>
      </c>
      <c r="D14" s="83"/>
      <c r="E14" s="83"/>
      <c r="F14" s="136" t="e">
        <f>VLOOKUP($B14,#REF!,MATCH(F$2,#REF!,0),0)</f>
        <v>#REF!</v>
      </c>
      <c r="G14" s="137" t="e">
        <f>VLOOKUP($B14,#REF!,MATCH(G$2,#REF!,0),0)</f>
        <v>#REF!</v>
      </c>
      <c r="H14" s="48"/>
      <c r="I14" s="48"/>
      <c r="J14" s="48"/>
      <c r="K14" s="48"/>
      <c r="L14" s="48"/>
      <c r="M14" s="48"/>
      <c r="N14" s="48"/>
      <c r="O14" s="48"/>
      <c r="P14" s="48"/>
      <c r="Q14" s="48">
        <v>1</v>
      </c>
      <c r="R14" s="150" t="e">
        <f t="shared" ref="R14:AA14" si="10">$G14*H14</f>
        <v>#REF!</v>
      </c>
      <c r="S14" s="150" t="e">
        <f t="shared" si="10"/>
        <v>#REF!</v>
      </c>
      <c r="T14" s="150" t="e">
        <f t="shared" si="10"/>
        <v>#REF!</v>
      </c>
      <c r="U14" s="150" t="e">
        <f t="shared" si="10"/>
        <v>#REF!</v>
      </c>
      <c r="V14" s="150" t="e">
        <f t="shared" si="10"/>
        <v>#REF!</v>
      </c>
      <c r="W14" s="150" t="e">
        <f t="shared" si="10"/>
        <v>#REF!</v>
      </c>
      <c r="X14" s="150" t="e">
        <f t="shared" si="10"/>
        <v>#REF!</v>
      </c>
      <c r="Y14" s="150" t="e">
        <f t="shared" si="10"/>
        <v>#REF!</v>
      </c>
      <c r="Z14" s="150" t="e">
        <f t="shared" si="10"/>
        <v>#REF!</v>
      </c>
      <c r="AA14" s="150" t="e">
        <f t="shared" si="10"/>
        <v>#REF!</v>
      </c>
      <c r="AB14" s="50"/>
    </row>
    <row r="15" s="28" customFormat="1" outlineLevel="3" spans="1:28">
      <c r="A15" s="52">
        <f>MAX($A$6:A14)+1</f>
        <v>9</v>
      </c>
      <c r="B15" s="51" t="s">
        <v>1863</v>
      </c>
      <c r="C15" s="51" t="e">
        <f>VLOOKUP($B15,#REF!,MATCH(C$2,#REF!,0),0)</f>
        <v>#REF!</v>
      </c>
      <c r="D15" s="83"/>
      <c r="E15" s="83"/>
      <c r="F15" s="136" t="e">
        <f>VLOOKUP($B15,#REF!,MATCH(F$2,#REF!,0),0)</f>
        <v>#REF!</v>
      </c>
      <c r="G15" s="137" t="e">
        <f>VLOOKUP($B15,#REF!,MATCH(G$2,#REF!,0),0)</f>
        <v>#REF!</v>
      </c>
      <c r="H15" s="48"/>
      <c r="I15" s="48"/>
      <c r="J15" s="48"/>
      <c r="K15" s="48"/>
      <c r="L15" s="48"/>
      <c r="M15" s="48"/>
      <c r="N15" s="48"/>
      <c r="O15" s="48"/>
      <c r="P15" s="48"/>
      <c r="Q15" s="48"/>
      <c r="R15" s="150" t="e">
        <f t="shared" ref="R15:AA15" si="11">$G15*H15</f>
        <v>#REF!</v>
      </c>
      <c r="S15" s="150" t="e">
        <f t="shared" si="11"/>
        <v>#REF!</v>
      </c>
      <c r="T15" s="150" t="e">
        <f t="shared" si="11"/>
        <v>#REF!</v>
      </c>
      <c r="U15" s="150" t="e">
        <f t="shared" si="11"/>
        <v>#REF!</v>
      </c>
      <c r="V15" s="150" t="e">
        <f t="shared" si="11"/>
        <v>#REF!</v>
      </c>
      <c r="W15" s="150" t="e">
        <f t="shared" si="11"/>
        <v>#REF!</v>
      </c>
      <c r="X15" s="150" t="e">
        <f t="shared" si="11"/>
        <v>#REF!</v>
      </c>
      <c r="Y15" s="150" t="e">
        <f t="shared" si="11"/>
        <v>#REF!</v>
      </c>
      <c r="Z15" s="150" t="e">
        <f t="shared" si="11"/>
        <v>#REF!</v>
      </c>
      <c r="AA15" s="150" t="e">
        <f t="shared" si="11"/>
        <v>#REF!</v>
      </c>
      <c r="AB15" s="50"/>
    </row>
    <row r="16" s="28" customFormat="1" outlineLevel="3" spans="1:28">
      <c r="A16" s="52">
        <f>MAX($A$6:A15)+1</f>
        <v>10</v>
      </c>
      <c r="B16" s="51" t="s">
        <v>1864</v>
      </c>
      <c r="C16" s="51" t="e">
        <f>VLOOKUP($B16,#REF!,MATCH(C$2,#REF!,0),0)</f>
        <v>#REF!</v>
      </c>
      <c r="D16" s="83"/>
      <c r="E16" s="83"/>
      <c r="F16" s="136" t="e">
        <f>VLOOKUP($B16,#REF!,MATCH(F$2,#REF!,0),0)</f>
        <v>#REF!</v>
      </c>
      <c r="G16" s="137" t="e">
        <f>VLOOKUP($B16,#REF!,MATCH(G$2,#REF!,0),0)</f>
        <v>#REF!</v>
      </c>
      <c r="H16" s="48"/>
      <c r="I16" s="48"/>
      <c r="J16" s="48"/>
      <c r="K16" s="48"/>
      <c r="L16" s="48"/>
      <c r="M16" s="48"/>
      <c r="N16" s="48"/>
      <c r="O16" s="48"/>
      <c r="P16" s="48"/>
      <c r="Q16" s="48"/>
      <c r="R16" s="150" t="e">
        <f t="shared" ref="R16:AA16" si="12">$G16*H16</f>
        <v>#REF!</v>
      </c>
      <c r="S16" s="150" t="e">
        <f t="shared" si="12"/>
        <v>#REF!</v>
      </c>
      <c r="T16" s="150" t="e">
        <f t="shared" si="12"/>
        <v>#REF!</v>
      </c>
      <c r="U16" s="150" t="e">
        <f t="shared" si="12"/>
        <v>#REF!</v>
      </c>
      <c r="V16" s="150" t="e">
        <f t="shared" si="12"/>
        <v>#REF!</v>
      </c>
      <c r="W16" s="150" t="e">
        <f t="shared" si="12"/>
        <v>#REF!</v>
      </c>
      <c r="X16" s="150" t="e">
        <f t="shared" si="12"/>
        <v>#REF!</v>
      </c>
      <c r="Y16" s="150" t="e">
        <f t="shared" si="12"/>
        <v>#REF!</v>
      </c>
      <c r="Z16" s="150" t="e">
        <f t="shared" si="12"/>
        <v>#REF!</v>
      </c>
      <c r="AA16" s="150" t="e">
        <f t="shared" si="12"/>
        <v>#REF!</v>
      </c>
      <c r="AB16" s="50"/>
    </row>
    <row r="17" s="28" customFormat="1" outlineLevel="3" spans="1:28">
      <c r="A17" s="52">
        <f>MAX($A$6:A16)+1</f>
        <v>11</v>
      </c>
      <c r="B17" s="51" t="s">
        <v>1865</v>
      </c>
      <c r="C17" s="51" t="e">
        <f>VLOOKUP($B17,#REF!,MATCH(C$2,#REF!,0),0)</f>
        <v>#REF!</v>
      </c>
      <c r="D17" s="83"/>
      <c r="E17" s="83"/>
      <c r="F17" s="136" t="e">
        <f>VLOOKUP($B17,#REF!,MATCH(F$2,#REF!,0),0)</f>
        <v>#REF!</v>
      </c>
      <c r="G17" s="137" t="e">
        <f>VLOOKUP($B17,#REF!,MATCH(G$2,#REF!,0),0)</f>
        <v>#REF!</v>
      </c>
      <c r="H17" s="48"/>
      <c r="I17" s="48"/>
      <c r="J17" s="48"/>
      <c r="K17" s="48"/>
      <c r="L17" s="48"/>
      <c r="M17" s="48"/>
      <c r="N17" s="48"/>
      <c r="O17" s="48"/>
      <c r="P17" s="48">
        <v>12</v>
      </c>
      <c r="Q17" s="48"/>
      <c r="R17" s="150" t="e">
        <f t="shared" ref="R17:AA17" si="13">$G17*H17</f>
        <v>#REF!</v>
      </c>
      <c r="S17" s="150" t="e">
        <f t="shared" si="13"/>
        <v>#REF!</v>
      </c>
      <c r="T17" s="150" t="e">
        <f t="shared" si="13"/>
        <v>#REF!</v>
      </c>
      <c r="U17" s="150" t="e">
        <f t="shared" si="13"/>
        <v>#REF!</v>
      </c>
      <c r="V17" s="150" t="e">
        <f t="shared" si="13"/>
        <v>#REF!</v>
      </c>
      <c r="W17" s="150" t="e">
        <f t="shared" si="13"/>
        <v>#REF!</v>
      </c>
      <c r="X17" s="150" t="e">
        <f t="shared" si="13"/>
        <v>#REF!</v>
      </c>
      <c r="Y17" s="150" t="e">
        <f t="shared" si="13"/>
        <v>#REF!</v>
      </c>
      <c r="Z17" s="150" t="e">
        <f t="shared" si="13"/>
        <v>#REF!</v>
      </c>
      <c r="AA17" s="150" t="e">
        <f t="shared" si="13"/>
        <v>#REF!</v>
      </c>
      <c r="AB17" s="50"/>
    </row>
    <row r="18" s="28" customFormat="1" outlineLevel="3" spans="1:28">
      <c r="A18" s="52">
        <f>MAX($A$6:A17)+1</f>
        <v>12</v>
      </c>
      <c r="B18" s="51" t="s">
        <v>1866</v>
      </c>
      <c r="C18" s="51" t="e">
        <f>VLOOKUP($B18,#REF!,MATCH(C$2,#REF!,0),0)</f>
        <v>#REF!</v>
      </c>
      <c r="D18" s="83"/>
      <c r="E18" s="83"/>
      <c r="F18" s="136" t="e">
        <f>VLOOKUP($B18,#REF!,MATCH(F$2,#REF!,0),0)</f>
        <v>#REF!</v>
      </c>
      <c r="G18" s="137" t="e">
        <f>VLOOKUP($B18,#REF!,MATCH(G$2,#REF!,0),0)</f>
        <v>#REF!</v>
      </c>
      <c r="H18" s="48"/>
      <c r="I18" s="48"/>
      <c r="J18" s="48"/>
      <c r="K18" s="48"/>
      <c r="L18" s="48"/>
      <c r="M18" s="48"/>
      <c r="N18" s="48"/>
      <c r="O18" s="48"/>
      <c r="P18" s="48">
        <v>1</v>
      </c>
      <c r="Q18" s="48"/>
      <c r="R18" s="150" t="e">
        <f t="shared" ref="R18:AA18" si="14">$G18*H18</f>
        <v>#REF!</v>
      </c>
      <c r="S18" s="150" t="e">
        <f t="shared" si="14"/>
        <v>#REF!</v>
      </c>
      <c r="T18" s="150" t="e">
        <f t="shared" si="14"/>
        <v>#REF!</v>
      </c>
      <c r="U18" s="150" t="e">
        <f t="shared" si="14"/>
        <v>#REF!</v>
      </c>
      <c r="V18" s="150" t="e">
        <f t="shared" si="14"/>
        <v>#REF!</v>
      </c>
      <c r="W18" s="150" t="e">
        <f t="shared" si="14"/>
        <v>#REF!</v>
      </c>
      <c r="X18" s="150" t="e">
        <f t="shared" si="14"/>
        <v>#REF!</v>
      </c>
      <c r="Y18" s="150" t="e">
        <f t="shared" si="14"/>
        <v>#REF!</v>
      </c>
      <c r="Z18" s="150" t="e">
        <f t="shared" si="14"/>
        <v>#REF!</v>
      </c>
      <c r="AA18" s="150" t="e">
        <f t="shared" si="14"/>
        <v>#REF!</v>
      </c>
      <c r="AB18" s="50"/>
    </row>
    <row r="19" s="28" customFormat="1" outlineLevel="3" spans="1:28">
      <c r="A19" s="52">
        <f>MAX($A$6:A18)+1</f>
        <v>13</v>
      </c>
      <c r="B19" s="51" t="s">
        <v>1867</v>
      </c>
      <c r="C19" s="51" t="e">
        <f>VLOOKUP($B19,#REF!,MATCH(C$2,#REF!,0),0)</f>
        <v>#REF!</v>
      </c>
      <c r="D19" s="83"/>
      <c r="E19" s="83"/>
      <c r="F19" s="136" t="e">
        <f>VLOOKUP($B19,#REF!,MATCH(F$2,#REF!,0),0)</f>
        <v>#REF!</v>
      </c>
      <c r="G19" s="137" t="e">
        <f>VLOOKUP($B19,#REF!,MATCH(G$2,#REF!,0),0)</f>
        <v>#REF!</v>
      </c>
      <c r="H19" s="48"/>
      <c r="I19" s="48"/>
      <c r="J19" s="48"/>
      <c r="K19" s="48"/>
      <c r="L19" s="48"/>
      <c r="M19" s="48"/>
      <c r="N19" s="48"/>
      <c r="O19" s="48"/>
      <c r="P19" s="48">
        <v>14</v>
      </c>
      <c r="Q19" s="48"/>
      <c r="R19" s="150" t="e">
        <f t="shared" ref="R19:AA19" si="15">$G19*H19</f>
        <v>#REF!</v>
      </c>
      <c r="S19" s="150" t="e">
        <f t="shared" si="15"/>
        <v>#REF!</v>
      </c>
      <c r="T19" s="150" t="e">
        <f t="shared" si="15"/>
        <v>#REF!</v>
      </c>
      <c r="U19" s="150" t="e">
        <f t="shared" si="15"/>
        <v>#REF!</v>
      </c>
      <c r="V19" s="150" t="e">
        <f t="shared" si="15"/>
        <v>#REF!</v>
      </c>
      <c r="W19" s="150" t="e">
        <f t="shared" si="15"/>
        <v>#REF!</v>
      </c>
      <c r="X19" s="150" t="e">
        <f t="shared" si="15"/>
        <v>#REF!</v>
      </c>
      <c r="Y19" s="150" t="e">
        <f t="shared" si="15"/>
        <v>#REF!</v>
      </c>
      <c r="Z19" s="150" t="e">
        <f t="shared" si="15"/>
        <v>#REF!</v>
      </c>
      <c r="AA19" s="150" t="e">
        <f t="shared" si="15"/>
        <v>#REF!</v>
      </c>
      <c r="AB19" s="50"/>
    </row>
    <row r="20" s="28" customFormat="1" outlineLevel="3" spans="1:28">
      <c r="A20" s="52">
        <f>MAX($A$6:A19)+1</f>
        <v>14</v>
      </c>
      <c r="B20" s="51" t="s">
        <v>1868</v>
      </c>
      <c r="C20" s="51" t="e">
        <f>VLOOKUP($B20,#REF!,MATCH(C$2,#REF!,0),0)</f>
        <v>#REF!</v>
      </c>
      <c r="D20" s="83"/>
      <c r="E20" s="83"/>
      <c r="F20" s="136" t="e">
        <f>VLOOKUP($B20,#REF!,MATCH(F$2,#REF!,0),0)</f>
        <v>#REF!</v>
      </c>
      <c r="G20" s="137" t="e">
        <f>VLOOKUP($B20,#REF!,MATCH(G$2,#REF!,0),0)</f>
        <v>#REF!</v>
      </c>
      <c r="H20" s="48"/>
      <c r="I20" s="48"/>
      <c r="J20" s="48"/>
      <c r="K20" s="48"/>
      <c r="L20" s="48"/>
      <c r="M20" s="48"/>
      <c r="N20" s="48"/>
      <c r="O20" s="48"/>
      <c r="P20" s="48">
        <v>36</v>
      </c>
      <c r="Q20" s="48"/>
      <c r="R20" s="150" t="e">
        <f t="shared" ref="R20:AA20" si="16">$G20*H20</f>
        <v>#REF!</v>
      </c>
      <c r="S20" s="150" t="e">
        <f t="shared" si="16"/>
        <v>#REF!</v>
      </c>
      <c r="T20" s="150" t="e">
        <f t="shared" si="16"/>
        <v>#REF!</v>
      </c>
      <c r="U20" s="150" t="e">
        <f t="shared" si="16"/>
        <v>#REF!</v>
      </c>
      <c r="V20" s="150" t="e">
        <f t="shared" si="16"/>
        <v>#REF!</v>
      </c>
      <c r="W20" s="150" t="e">
        <f t="shared" si="16"/>
        <v>#REF!</v>
      </c>
      <c r="X20" s="150" t="e">
        <f t="shared" si="16"/>
        <v>#REF!</v>
      </c>
      <c r="Y20" s="150" t="e">
        <f t="shared" si="16"/>
        <v>#REF!</v>
      </c>
      <c r="Z20" s="150" t="e">
        <f t="shared" si="16"/>
        <v>#REF!</v>
      </c>
      <c r="AA20" s="150" t="e">
        <f t="shared" si="16"/>
        <v>#REF!</v>
      </c>
      <c r="AB20" s="50"/>
    </row>
    <row r="21" s="28" customFormat="1" outlineLevel="3" spans="1:28">
      <c r="A21" s="52">
        <f>MAX($A$6:A20)+1</f>
        <v>15</v>
      </c>
      <c r="B21" s="51" t="s">
        <v>1869</v>
      </c>
      <c r="C21" s="51" t="e">
        <f>VLOOKUP($B21,#REF!,MATCH(C$2,#REF!,0),0)</f>
        <v>#REF!</v>
      </c>
      <c r="D21" s="83"/>
      <c r="E21" s="83"/>
      <c r="F21" s="136" t="e">
        <f>VLOOKUP($B21,#REF!,MATCH(F$2,#REF!,0),0)</f>
        <v>#REF!</v>
      </c>
      <c r="G21" s="137" t="e">
        <f>VLOOKUP($B21,#REF!,MATCH(G$2,#REF!,0),0)</f>
        <v>#REF!</v>
      </c>
      <c r="H21" s="48"/>
      <c r="I21" s="48"/>
      <c r="J21" s="48"/>
      <c r="K21" s="48"/>
      <c r="L21" s="48"/>
      <c r="M21" s="48"/>
      <c r="N21" s="48"/>
      <c r="O21" s="48"/>
      <c r="P21" s="48">
        <v>8</v>
      </c>
      <c r="Q21" s="48"/>
      <c r="R21" s="150" t="e">
        <f t="shared" ref="R21:AA21" si="17">$G21*H21</f>
        <v>#REF!</v>
      </c>
      <c r="S21" s="150" t="e">
        <f t="shared" si="17"/>
        <v>#REF!</v>
      </c>
      <c r="T21" s="150" t="e">
        <f t="shared" si="17"/>
        <v>#REF!</v>
      </c>
      <c r="U21" s="150" t="e">
        <f t="shared" si="17"/>
        <v>#REF!</v>
      </c>
      <c r="V21" s="150" t="e">
        <f t="shared" si="17"/>
        <v>#REF!</v>
      </c>
      <c r="W21" s="150" t="e">
        <f t="shared" si="17"/>
        <v>#REF!</v>
      </c>
      <c r="X21" s="150" t="e">
        <f t="shared" si="17"/>
        <v>#REF!</v>
      </c>
      <c r="Y21" s="150" t="e">
        <f t="shared" si="17"/>
        <v>#REF!</v>
      </c>
      <c r="Z21" s="150" t="e">
        <f t="shared" si="17"/>
        <v>#REF!</v>
      </c>
      <c r="AA21" s="150" t="e">
        <f t="shared" si="17"/>
        <v>#REF!</v>
      </c>
      <c r="AB21" s="50"/>
    </row>
    <row r="22" s="28" customFormat="1" outlineLevel="3" spans="1:28">
      <c r="A22" s="52">
        <f>MAX($A$6:A21)+1</f>
        <v>16</v>
      </c>
      <c r="B22" s="51" t="s">
        <v>1870</v>
      </c>
      <c r="C22" s="51" t="e">
        <f>VLOOKUP($B22,#REF!,MATCH(C$2,#REF!,0),0)</f>
        <v>#REF!</v>
      </c>
      <c r="D22" s="83"/>
      <c r="E22" s="83"/>
      <c r="F22" s="136" t="e">
        <f>VLOOKUP($B22,#REF!,MATCH(F$2,#REF!,0),0)</f>
        <v>#REF!</v>
      </c>
      <c r="G22" s="137" t="e">
        <f>VLOOKUP($B22,#REF!,MATCH(G$2,#REF!,0),0)</f>
        <v>#REF!</v>
      </c>
      <c r="H22" s="48"/>
      <c r="I22" s="48"/>
      <c r="J22" s="48"/>
      <c r="K22" s="48"/>
      <c r="L22" s="48"/>
      <c r="M22" s="48"/>
      <c r="N22" s="48"/>
      <c r="O22" s="48"/>
      <c r="P22" s="48"/>
      <c r="Q22" s="48">
        <v>1</v>
      </c>
      <c r="R22" s="150" t="e">
        <f t="shared" ref="R22:AA22" si="18">$G22*H22</f>
        <v>#REF!</v>
      </c>
      <c r="S22" s="150" t="e">
        <f t="shared" si="18"/>
        <v>#REF!</v>
      </c>
      <c r="T22" s="150" t="e">
        <f t="shared" si="18"/>
        <v>#REF!</v>
      </c>
      <c r="U22" s="150" t="e">
        <f t="shared" si="18"/>
        <v>#REF!</v>
      </c>
      <c r="V22" s="150" t="e">
        <f t="shared" si="18"/>
        <v>#REF!</v>
      </c>
      <c r="W22" s="150" t="e">
        <f t="shared" si="18"/>
        <v>#REF!</v>
      </c>
      <c r="X22" s="150" t="e">
        <f t="shared" si="18"/>
        <v>#REF!</v>
      </c>
      <c r="Y22" s="150" t="e">
        <f t="shared" si="18"/>
        <v>#REF!</v>
      </c>
      <c r="Z22" s="150" t="e">
        <f t="shared" si="18"/>
        <v>#REF!</v>
      </c>
      <c r="AA22" s="150" t="e">
        <f t="shared" si="18"/>
        <v>#REF!</v>
      </c>
      <c r="AB22" s="50"/>
    </row>
    <row r="23" s="28" customFormat="1" outlineLevel="3" spans="1:28">
      <c r="A23" s="52">
        <f>MAX($A$6:A22)+1</f>
        <v>17</v>
      </c>
      <c r="B23" s="51" t="s">
        <v>1871</v>
      </c>
      <c r="C23" s="51" t="e">
        <f>VLOOKUP($B23,#REF!,MATCH(C$2,#REF!,0),0)</f>
        <v>#REF!</v>
      </c>
      <c r="D23" s="83"/>
      <c r="E23" s="83"/>
      <c r="F23" s="136" t="e">
        <f>VLOOKUP($B23,#REF!,MATCH(F$2,#REF!,0),0)</f>
        <v>#REF!</v>
      </c>
      <c r="G23" s="137" t="e">
        <f>VLOOKUP($B23,#REF!,MATCH(G$2,#REF!,0),0)</f>
        <v>#REF!</v>
      </c>
      <c r="H23" s="48"/>
      <c r="I23" s="48"/>
      <c r="J23" s="48"/>
      <c r="K23" s="48"/>
      <c r="L23" s="48"/>
      <c r="M23" s="48"/>
      <c r="N23" s="48"/>
      <c r="O23" s="48"/>
      <c r="P23" s="48"/>
      <c r="Q23" s="48">
        <v>1</v>
      </c>
      <c r="R23" s="150" t="e">
        <f t="shared" ref="R23:AA23" si="19">$G23*H23</f>
        <v>#REF!</v>
      </c>
      <c r="S23" s="150" t="e">
        <f t="shared" si="19"/>
        <v>#REF!</v>
      </c>
      <c r="T23" s="150" t="e">
        <f t="shared" si="19"/>
        <v>#REF!</v>
      </c>
      <c r="U23" s="150" t="e">
        <f t="shared" si="19"/>
        <v>#REF!</v>
      </c>
      <c r="V23" s="150" t="e">
        <f t="shared" si="19"/>
        <v>#REF!</v>
      </c>
      <c r="W23" s="150" t="e">
        <f t="shared" si="19"/>
        <v>#REF!</v>
      </c>
      <c r="X23" s="150" t="e">
        <f t="shared" si="19"/>
        <v>#REF!</v>
      </c>
      <c r="Y23" s="150" t="e">
        <f t="shared" si="19"/>
        <v>#REF!</v>
      </c>
      <c r="Z23" s="150" t="e">
        <f t="shared" si="19"/>
        <v>#REF!</v>
      </c>
      <c r="AA23" s="150" t="e">
        <f t="shared" si="19"/>
        <v>#REF!</v>
      </c>
      <c r="AB23" s="50"/>
    </row>
    <row r="24" s="28" customFormat="1" ht="28.8" outlineLevel="3" spans="1:28">
      <c r="A24" s="52">
        <f>MAX($A$6:A23)+1</f>
        <v>18</v>
      </c>
      <c r="B24" s="51" t="s">
        <v>1872</v>
      </c>
      <c r="C24" s="51" t="e">
        <f>VLOOKUP($B24,#REF!,MATCH(C$2,#REF!,0),0)</f>
        <v>#REF!</v>
      </c>
      <c r="D24" s="83"/>
      <c r="E24" s="83"/>
      <c r="F24" s="136" t="e">
        <f>VLOOKUP($B24,#REF!,MATCH(F$2,#REF!,0),0)</f>
        <v>#REF!</v>
      </c>
      <c r="G24" s="137" t="e">
        <f>VLOOKUP($B24,#REF!,MATCH(G$2,#REF!,0),0)</f>
        <v>#REF!</v>
      </c>
      <c r="H24" s="48"/>
      <c r="I24" s="48"/>
      <c r="J24" s="48"/>
      <c r="K24" s="48"/>
      <c r="L24" s="48"/>
      <c r="M24" s="48"/>
      <c r="N24" s="48"/>
      <c r="O24" s="48"/>
      <c r="P24" s="48"/>
      <c r="Q24" s="48">
        <v>1</v>
      </c>
      <c r="R24" s="150" t="e">
        <f t="shared" ref="R24:AA24" si="20">$G24*H24</f>
        <v>#REF!</v>
      </c>
      <c r="S24" s="150" t="e">
        <f t="shared" si="20"/>
        <v>#REF!</v>
      </c>
      <c r="T24" s="150" t="e">
        <f t="shared" si="20"/>
        <v>#REF!</v>
      </c>
      <c r="U24" s="150" t="e">
        <f t="shared" si="20"/>
        <v>#REF!</v>
      </c>
      <c r="V24" s="150" t="e">
        <f t="shared" si="20"/>
        <v>#REF!</v>
      </c>
      <c r="W24" s="150" t="e">
        <f t="shared" si="20"/>
        <v>#REF!</v>
      </c>
      <c r="X24" s="150" t="e">
        <f t="shared" si="20"/>
        <v>#REF!</v>
      </c>
      <c r="Y24" s="150" t="e">
        <f t="shared" si="20"/>
        <v>#REF!</v>
      </c>
      <c r="Z24" s="150" t="e">
        <f t="shared" si="20"/>
        <v>#REF!</v>
      </c>
      <c r="AA24" s="150" t="e">
        <f t="shared" si="20"/>
        <v>#REF!</v>
      </c>
      <c r="AB24" s="50"/>
    </row>
    <row r="25" s="28" customFormat="1" outlineLevel="3" spans="1:28">
      <c r="A25" s="52">
        <f>MAX($A$6:A24)+1</f>
        <v>19</v>
      </c>
      <c r="B25" s="51" t="s">
        <v>1873</v>
      </c>
      <c r="C25" s="51" t="e">
        <f>VLOOKUP($B25,#REF!,MATCH(C$2,#REF!,0),0)</f>
        <v>#REF!</v>
      </c>
      <c r="D25" s="83"/>
      <c r="E25" s="83"/>
      <c r="F25" s="136" t="e">
        <f>VLOOKUP($B25,#REF!,MATCH(F$2,#REF!,0),0)</f>
        <v>#REF!</v>
      </c>
      <c r="G25" s="137" t="e">
        <f>VLOOKUP($B25,#REF!,MATCH(G$2,#REF!,0),0)</f>
        <v>#REF!</v>
      </c>
      <c r="H25" s="48"/>
      <c r="I25" s="48"/>
      <c r="J25" s="48"/>
      <c r="K25" s="48"/>
      <c r="L25" s="48"/>
      <c r="M25" s="48"/>
      <c r="N25" s="48"/>
      <c r="O25" s="48"/>
      <c r="P25" s="48"/>
      <c r="Q25" s="48">
        <v>2</v>
      </c>
      <c r="R25" s="150" t="e">
        <f t="shared" ref="R25:AA25" si="21">$G25*H25</f>
        <v>#REF!</v>
      </c>
      <c r="S25" s="150" t="e">
        <f t="shared" si="21"/>
        <v>#REF!</v>
      </c>
      <c r="T25" s="150" t="e">
        <f t="shared" si="21"/>
        <v>#REF!</v>
      </c>
      <c r="U25" s="150" t="e">
        <f t="shared" si="21"/>
        <v>#REF!</v>
      </c>
      <c r="V25" s="150" t="e">
        <f t="shared" si="21"/>
        <v>#REF!</v>
      </c>
      <c r="W25" s="150" t="e">
        <f t="shared" si="21"/>
        <v>#REF!</v>
      </c>
      <c r="X25" s="150" t="e">
        <f t="shared" si="21"/>
        <v>#REF!</v>
      </c>
      <c r="Y25" s="150" t="e">
        <f t="shared" si="21"/>
        <v>#REF!</v>
      </c>
      <c r="Z25" s="150" t="e">
        <f t="shared" si="21"/>
        <v>#REF!</v>
      </c>
      <c r="AA25" s="150" t="e">
        <f t="shared" si="21"/>
        <v>#REF!</v>
      </c>
      <c r="AB25" s="50"/>
    </row>
    <row r="26" s="28" customFormat="1" ht="28.8" outlineLevel="3" spans="1:28">
      <c r="A26" s="52">
        <f>MAX($A$6:A25)+1</f>
        <v>20</v>
      </c>
      <c r="B26" s="51" t="s">
        <v>1874</v>
      </c>
      <c r="C26" s="51" t="e">
        <f>VLOOKUP($B26,#REF!,MATCH(C$2,#REF!,0),0)</f>
        <v>#REF!</v>
      </c>
      <c r="D26" s="83"/>
      <c r="E26" s="83"/>
      <c r="F26" s="136" t="e">
        <f>VLOOKUP($B26,#REF!,MATCH(F$2,#REF!,0),0)</f>
        <v>#REF!</v>
      </c>
      <c r="G26" s="137" t="e">
        <f>VLOOKUP($B26,#REF!,MATCH(G$2,#REF!,0),0)</f>
        <v>#REF!</v>
      </c>
      <c r="H26" s="48"/>
      <c r="I26" s="48"/>
      <c r="J26" s="48"/>
      <c r="K26" s="48"/>
      <c r="L26" s="48"/>
      <c r="M26" s="48"/>
      <c r="N26" s="48"/>
      <c r="O26" s="48"/>
      <c r="P26" s="48"/>
      <c r="Q26" s="48">
        <v>2</v>
      </c>
      <c r="R26" s="150" t="e">
        <f t="shared" ref="R26:AA26" si="22">$G26*H26</f>
        <v>#REF!</v>
      </c>
      <c r="S26" s="150" t="e">
        <f t="shared" si="22"/>
        <v>#REF!</v>
      </c>
      <c r="T26" s="150" t="e">
        <f t="shared" si="22"/>
        <v>#REF!</v>
      </c>
      <c r="U26" s="150" t="e">
        <f t="shared" si="22"/>
        <v>#REF!</v>
      </c>
      <c r="V26" s="150" t="e">
        <f t="shared" si="22"/>
        <v>#REF!</v>
      </c>
      <c r="W26" s="150" t="e">
        <f t="shared" si="22"/>
        <v>#REF!</v>
      </c>
      <c r="X26" s="150" t="e">
        <f t="shared" si="22"/>
        <v>#REF!</v>
      </c>
      <c r="Y26" s="150" t="e">
        <f t="shared" si="22"/>
        <v>#REF!</v>
      </c>
      <c r="Z26" s="150" t="e">
        <f t="shared" si="22"/>
        <v>#REF!</v>
      </c>
      <c r="AA26" s="150" t="e">
        <f t="shared" si="22"/>
        <v>#REF!</v>
      </c>
      <c r="AB26" s="50"/>
    </row>
    <row r="27" s="28" customFormat="1" outlineLevel="3" spans="1:28">
      <c r="A27" s="52">
        <f>MAX($A$6:A26)+1</f>
        <v>21</v>
      </c>
      <c r="B27" s="51" t="s">
        <v>1875</v>
      </c>
      <c r="C27" s="51" t="e">
        <f>VLOOKUP($B27,#REF!,MATCH(C$2,#REF!,0),0)</f>
        <v>#REF!</v>
      </c>
      <c r="D27" s="83"/>
      <c r="E27" s="83"/>
      <c r="F27" s="136" t="e">
        <f>VLOOKUP($B27,#REF!,MATCH(F$2,#REF!,0),0)</f>
        <v>#REF!</v>
      </c>
      <c r="G27" s="137" t="e">
        <f>VLOOKUP($B27,#REF!,MATCH(G$2,#REF!,0),0)</f>
        <v>#REF!</v>
      </c>
      <c r="H27" s="48"/>
      <c r="I27" s="48"/>
      <c r="J27" s="48"/>
      <c r="K27" s="48"/>
      <c r="L27" s="48"/>
      <c r="M27" s="48"/>
      <c r="N27" s="48"/>
      <c r="O27" s="48"/>
      <c r="P27" s="48">
        <v>3</v>
      </c>
      <c r="Q27" s="48"/>
      <c r="R27" s="150" t="e">
        <f t="shared" ref="R27:AA27" si="23">$G27*H27</f>
        <v>#REF!</v>
      </c>
      <c r="S27" s="150" t="e">
        <f t="shared" si="23"/>
        <v>#REF!</v>
      </c>
      <c r="T27" s="150" t="e">
        <f t="shared" si="23"/>
        <v>#REF!</v>
      </c>
      <c r="U27" s="150" t="e">
        <f t="shared" si="23"/>
        <v>#REF!</v>
      </c>
      <c r="V27" s="150" t="e">
        <f t="shared" si="23"/>
        <v>#REF!</v>
      </c>
      <c r="W27" s="150" t="e">
        <f t="shared" si="23"/>
        <v>#REF!</v>
      </c>
      <c r="X27" s="150" t="e">
        <f t="shared" si="23"/>
        <v>#REF!</v>
      </c>
      <c r="Y27" s="150" t="e">
        <f t="shared" si="23"/>
        <v>#REF!</v>
      </c>
      <c r="Z27" s="150" t="e">
        <f t="shared" si="23"/>
        <v>#REF!</v>
      </c>
      <c r="AA27" s="150" t="e">
        <f t="shared" si="23"/>
        <v>#REF!</v>
      </c>
      <c r="AB27" s="50"/>
    </row>
    <row r="28" s="28" customFormat="1" outlineLevel="3" spans="1:28">
      <c r="A28" s="52">
        <f>MAX($A$6:A27)+1</f>
        <v>22</v>
      </c>
      <c r="B28" s="51" t="s">
        <v>1876</v>
      </c>
      <c r="C28" s="51" t="e">
        <f>VLOOKUP($B28,#REF!,MATCH(C$2,#REF!,0),0)</f>
        <v>#REF!</v>
      </c>
      <c r="D28" s="83"/>
      <c r="E28" s="83"/>
      <c r="F28" s="136" t="e">
        <f>VLOOKUP($B28,#REF!,MATCH(F$2,#REF!,0),0)</f>
        <v>#REF!</v>
      </c>
      <c r="G28" s="137" t="e">
        <f>VLOOKUP($B28,#REF!,MATCH(G$2,#REF!,0),0)</f>
        <v>#REF!</v>
      </c>
      <c r="H28" s="48"/>
      <c r="I28" s="48"/>
      <c r="J28" s="48"/>
      <c r="K28" s="48"/>
      <c r="L28" s="48"/>
      <c r="M28" s="48"/>
      <c r="N28" s="48"/>
      <c r="O28" s="48"/>
      <c r="P28" s="48"/>
      <c r="Q28" s="48">
        <v>2</v>
      </c>
      <c r="R28" s="150" t="e">
        <f t="shared" ref="R28:AA28" si="24">$G28*H28</f>
        <v>#REF!</v>
      </c>
      <c r="S28" s="150" t="e">
        <f t="shared" si="24"/>
        <v>#REF!</v>
      </c>
      <c r="T28" s="150" t="e">
        <f t="shared" si="24"/>
        <v>#REF!</v>
      </c>
      <c r="U28" s="150" t="e">
        <f t="shared" si="24"/>
        <v>#REF!</v>
      </c>
      <c r="V28" s="150" t="e">
        <f t="shared" si="24"/>
        <v>#REF!</v>
      </c>
      <c r="W28" s="150" t="e">
        <f t="shared" si="24"/>
        <v>#REF!</v>
      </c>
      <c r="X28" s="150" t="e">
        <f t="shared" si="24"/>
        <v>#REF!</v>
      </c>
      <c r="Y28" s="150" t="e">
        <f t="shared" si="24"/>
        <v>#REF!</v>
      </c>
      <c r="Z28" s="150" t="e">
        <f t="shared" si="24"/>
        <v>#REF!</v>
      </c>
      <c r="AA28" s="150" t="e">
        <f t="shared" si="24"/>
        <v>#REF!</v>
      </c>
      <c r="AB28" s="50"/>
    </row>
    <row r="29" s="28" customFormat="1" outlineLevel="3" spans="1:28">
      <c r="A29" s="52">
        <f>MAX($A$6:A28)+1</f>
        <v>23</v>
      </c>
      <c r="B29" s="51" t="s">
        <v>1676</v>
      </c>
      <c r="C29" s="51" t="e">
        <f>VLOOKUP($B29,#REF!,MATCH(C$2,#REF!,0),0)</f>
        <v>#REF!</v>
      </c>
      <c r="D29" s="83"/>
      <c r="E29" s="83"/>
      <c r="F29" s="136" t="e">
        <f>VLOOKUP($B29,#REF!,MATCH(F$2,#REF!,0),0)</f>
        <v>#REF!</v>
      </c>
      <c r="G29" s="137" t="e">
        <f>VLOOKUP($B29,#REF!,MATCH(G$2,#REF!,0),0)</f>
        <v>#REF!</v>
      </c>
      <c r="H29" s="48"/>
      <c r="I29" s="48"/>
      <c r="J29" s="48"/>
      <c r="K29" s="48"/>
      <c r="L29" s="48">
        <v>1</v>
      </c>
      <c r="M29" s="48"/>
      <c r="N29" s="48"/>
      <c r="O29" s="48"/>
      <c r="P29" s="48"/>
      <c r="Q29" s="48">
        <v>7</v>
      </c>
      <c r="R29" s="150" t="e">
        <f t="shared" ref="R29:AA29" si="25">$G29*H29</f>
        <v>#REF!</v>
      </c>
      <c r="S29" s="150" t="e">
        <f t="shared" si="25"/>
        <v>#REF!</v>
      </c>
      <c r="T29" s="150" t="e">
        <f t="shared" si="25"/>
        <v>#REF!</v>
      </c>
      <c r="U29" s="150" t="e">
        <f t="shared" si="25"/>
        <v>#REF!</v>
      </c>
      <c r="V29" s="150" t="e">
        <f t="shared" si="25"/>
        <v>#REF!</v>
      </c>
      <c r="W29" s="150" t="e">
        <f t="shared" si="25"/>
        <v>#REF!</v>
      </c>
      <c r="X29" s="150" t="e">
        <f t="shared" si="25"/>
        <v>#REF!</v>
      </c>
      <c r="Y29" s="150" t="e">
        <f t="shared" si="25"/>
        <v>#REF!</v>
      </c>
      <c r="Z29" s="150" t="e">
        <f t="shared" si="25"/>
        <v>#REF!</v>
      </c>
      <c r="AA29" s="150" t="e">
        <f t="shared" si="25"/>
        <v>#REF!</v>
      </c>
      <c r="AB29" s="50"/>
    </row>
    <row r="30" s="28" customFormat="1" outlineLevel="3" spans="1:28">
      <c r="A30" s="52">
        <f>MAX($A$6:A29)+1</f>
        <v>24</v>
      </c>
      <c r="B30" s="51" t="s">
        <v>1677</v>
      </c>
      <c r="C30" s="51" t="e">
        <f>VLOOKUP($B30,#REF!,MATCH(C$2,#REF!,0),0)</f>
        <v>#REF!</v>
      </c>
      <c r="D30" s="83"/>
      <c r="E30" s="83"/>
      <c r="F30" s="136" t="e">
        <f>VLOOKUP($B30,#REF!,MATCH(F$2,#REF!,0),0)</f>
        <v>#REF!</v>
      </c>
      <c r="G30" s="137" t="e">
        <f>VLOOKUP($B30,#REF!,MATCH(G$2,#REF!,0),0)</f>
        <v>#REF!</v>
      </c>
      <c r="H30" s="48"/>
      <c r="I30" s="48"/>
      <c r="J30" s="48"/>
      <c r="K30" s="48"/>
      <c r="L30" s="48">
        <v>1</v>
      </c>
      <c r="M30" s="48"/>
      <c r="N30" s="48"/>
      <c r="O30" s="48"/>
      <c r="P30" s="48"/>
      <c r="Q30" s="48">
        <v>26</v>
      </c>
      <c r="R30" s="150" t="e">
        <f t="shared" ref="R30:AA30" si="26">$G30*H30</f>
        <v>#REF!</v>
      </c>
      <c r="S30" s="150" t="e">
        <f t="shared" si="26"/>
        <v>#REF!</v>
      </c>
      <c r="T30" s="150" t="e">
        <f t="shared" si="26"/>
        <v>#REF!</v>
      </c>
      <c r="U30" s="150" t="e">
        <f t="shared" si="26"/>
        <v>#REF!</v>
      </c>
      <c r="V30" s="150" t="e">
        <f t="shared" si="26"/>
        <v>#REF!</v>
      </c>
      <c r="W30" s="150" t="e">
        <f t="shared" si="26"/>
        <v>#REF!</v>
      </c>
      <c r="X30" s="150" t="e">
        <f t="shared" si="26"/>
        <v>#REF!</v>
      </c>
      <c r="Y30" s="150" t="e">
        <f t="shared" si="26"/>
        <v>#REF!</v>
      </c>
      <c r="Z30" s="150" t="e">
        <f t="shared" si="26"/>
        <v>#REF!</v>
      </c>
      <c r="AA30" s="150" t="e">
        <f t="shared" si="26"/>
        <v>#REF!</v>
      </c>
      <c r="AB30" s="50"/>
    </row>
    <row r="31" s="28" customFormat="1" outlineLevel="3" spans="1:28">
      <c r="A31" s="52">
        <f>MAX($A$6:A30)+1</f>
        <v>25</v>
      </c>
      <c r="B31" s="51" t="s">
        <v>1678</v>
      </c>
      <c r="C31" s="51" t="e">
        <f>VLOOKUP($B31,#REF!,MATCH(C$2,#REF!,0),0)</f>
        <v>#REF!</v>
      </c>
      <c r="D31" s="83"/>
      <c r="E31" s="83"/>
      <c r="F31" s="136" t="e">
        <f>VLOOKUP($B31,#REF!,MATCH(F$2,#REF!,0),0)</f>
        <v>#REF!</v>
      </c>
      <c r="G31" s="137" t="e">
        <f>VLOOKUP($B31,#REF!,MATCH(G$2,#REF!,0),0)</f>
        <v>#REF!</v>
      </c>
      <c r="H31" s="48"/>
      <c r="I31" s="48"/>
      <c r="J31" s="48"/>
      <c r="K31" s="48"/>
      <c r="L31" s="48"/>
      <c r="M31" s="48"/>
      <c r="N31" s="48"/>
      <c r="O31" s="48"/>
      <c r="P31" s="48"/>
      <c r="Q31" s="48">
        <v>9</v>
      </c>
      <c r="R31" s="150" t="e">
        <f t="shared" ref="R31:AA31" si="27">$G31*H31</f>
        <v>#REF!</v>
      </c>
      <c r="S31" s="150" t="e">
        <f t="shared" si="27"/>
        <v>#REF!</v>
      </c>
      <c r="T31" s="150" t="e">
        <f t="shared" si="27"/>
        <v>#REF!</v>
      </c>
      <c r="U31" s="150" t="e">
        <f t="shared" si="27"/>
        <v>#REF!</v>
      </c>
      <c r="V31" s="150" t="e">
        <f t="shared" si="27"/>
        <v>#REF!</v>
      </c>
      <c r="W31" s="150" t="e">
        <f t="shared" si="27"/>
        <v>#REF!</v>
      </c>
      <c r="X31" s="150" t="e">
        <f t="shared" si="27"/>
        <v>#REF!</v>
      </c>
      <c r="Y31" s="150" t="e">
        <f t="shared" si="27"/>
        <v>#REF!</v>
      </c>
      <c r="Z31" s="150" t="e">
        <f t="shared" si="27"/>
        <v>#REF!</v>
      </c>
      <c r="AA31" s="150" t="e">
        <f t="shared" si="27"/>
        <v>#REF!</v>
      </c>
      <c r="AB31" s="50"/>
    </row>
    <row r="32" s="28" customFormat="1" outlineLevel="3" spans="1:28">
      <c r="A32" s="52">
        <f>MAX($A$6:A31)+1</f>
        <v>26</v>
      </c>
      <c r="B32" s="51" t="s">
        <v>1679</v>
      </c>
      <c r="C32" s="51" t="e">
        <f>VLOOKUP($B32,#REF!,MATCH(C$2,#REF!,0),0)</f>
        <v>#REF!</v>
      </c>
      <c r="D32" s="83"/>
      <c r="E32" s="83"/>
      <c r="F32" s="136" t="e">
        <f>VLOOKUP($B32,#REF!,MATCH(F$2,#REF!,0),0)</f>
        <v>#REF!</v>
      </c>
      <c r="G32" s="137" t="e">
        <f>VLOOKUP($B32,#REF!,MATCH(G$2,#REF!,0),0)</f>
        <v>#REF!</v>
      </c>
      <c r="H32" s="48"/>
      <c r="I32" s="48"/>
      <c r="J32" s="48"/>
      <c r="K32" s="48"/>
      <c r="L32" s="48"/>
      <c r="M32" s="48"/>
      <c r="N32" s="48"/>
      <c r="O32" s="48"/>
      <c r="P32" s="48"/>
      <c r="Q32" s="48">
        <v>14</v>
      </c>
      <c r="R32" s="150" t="e">
        <f t="shared" ref="R32:AA32" si="28">$G32*H32</f>
        <v>#REF!</v>
      </c>
      <c r="S32" s="150" t="e">
        <f t="shared" si="28"/>
        <v>#REF!</v>
      </c>
      <c r="T32" s="150" t="e">
        <f t="shared" si="28"/>
        <v>#REF!</v>
      </c>
      <c r="U32" s="150" t="e">
        <f t="shared" si="28"/>
        <v>#REF!</v>
      </c>
      <c r="V32" s="150" t="e">
        <f t="shared" si="28"/>
        <v>#REF!</v>
      </c>
      <c r="W32" s="150" t="e">
        <f t="shared" si="28"/>
        <v>#REF!</v>
      </c>
      <c r="X32" s="150" t="e">
        <f t="shared" si="28"/>
        <v>#REF!</v>
      </c>
      <c r="Y32" s="150" t="e">
        <f t="shared" si="28"/>
        <v>#REF!</v>
      </c>
      <c r="Z32" s="150" t="e">
        <f t="shared" si="28"/>
        <v>#REF!</v>
      </c>
      <c r="AA32" s="150" t="e">
        <f t="shared" si="28"/>
        <v>#REF!</v>
      </c>
      <c r="AB32" s="50"/>
    </row>
    <row r="33" s="28" customFormat="1" outlineLevel="3" spans="1:28">
      <c r="A33" s="52">
        <f>MAX($A$6:A32)+1</f>
        <v>27</v>
      </c>
      <c r="B33" s="51" t="s">
        <v>1680</v>
      </c>
      <c r="C33" s="51" t="e">
        <f>VLOOKUP($B33,#REF!,MATCH(C$2,#REF!,0),0)</f>
        <v>#REF!</v>
      </c>
      <c r="D33" s="83"/>
      <c r="E33" s="83"/>
      <c r="F33" s="136" t="e">
        <f>VLOOKUP($B33,#REF!,MATCH(F$2,#REF!,0),0)</f>
        <v>#REF!</v>
      </c>
      <c r="G33" s="137" t="e">
        <f>VLOOKUP($B33,#REF!,MATCH(G$2,#REF!,0),0)</f>
        <v>#REF!</v>
      </c>
      <c r="H33" s="48"/>
      <c r="I33" s="48"/>
      <c r="J33" s="48"/>
      <c r="K33" s="48"/>
      <c r="L33" s="48"/>
      <c r="M33" s="48"/>
      <c r="N33" s="48"/>
      <c r="O33" s="48"/>
      <c r="P33" s="48"/>
      <c r="Q33" s="48">
        <v>3</v>
      </c>
      <c r="R33" s="150" t="e">
        <f t="shared" ref="R33:AA33" si="29">$G33*H33</f>
        <v>#REF!</v>
      </c>
      <c r="S33" s="150" t="e">
        <f t="shared" si="29"/>
        <v>#REF!</v>
      </c>
      <c r="T33" s="150" t="e">
        <f t="shared" si="29"/>
        <v>#REF!</v>
      </c>
      <c r="U33" s="150" t="e">
        <f t="shared" si="29"/>
        <v>#REF!</v>
      </c>
      <c r="V33" s="150" t="e">
        <f t="shared" si="29"/>
        <v>#REF!</v>
      </c>
      <c r="W33" s="150" t="e">
        <f t="shared" si="29"/>
        <v>#REF!</v>
      </c>
      <c r="X33" s="150" t="e">
        <f t="shared" si="29"/>
        <v>#REF!</v>
      </c>
      <c r="Y33" s="150" t="e">
        <f t="shared" si="29"/>
        <v>#REF!</v>
      </c>
      <c r="Z33" s="150" t="e">
        <f t="shared" si="29"/>
        <v>#REF!</v>
      </c>
      <c r="AA33" s="150" t="e">
        <f t="shared" si="29"/>
        <v>#REF!</v>
      </c>
      <c r="AB33" s="50"/>
    </row>
    <row r="34" s="28" customFormat="1" outlineLevel="3" spans="1:28">
      <c r="A34" s="52">
        <f>MAX($A$6:A33)+1</f>
        <v>28</v>
      </c>
      <c r="B34" s="51" t="s">
        <v>1681</v>
      </c>
      <c r="C34" s="51" t="e">
        <f>VLOOKUP($B34,#REF!,MATCH(C$2,#REF!,0),0)</f>
        <v>#REF!</v>
      </c>
      <c r="D34" s="83"/>
      <c r="E34" s="83"/>
      <c r="F34" s="136" t="e">
        <f>VLOOKUP($B34,#REF!,MATCH(F$2,#REF!,0),0)</f>
        <v>#REF!</v>
      </c>
      <c r="G34" s="137" t="e">
        <f>VLOOKUP($B34,#REF!,MATCH(G$2,#REF!,0),0)</f>
        <v>#REF!</v>
      </c>
      <c r="H34" s="48"/>
      <c r="I34" s="48"/>
      <c r="J34" s="48"/>
      <c r="K34" s="48"/>
      <c r="L34" s="48"/>
      <c r="M34" s="48"/>
      <c r="N34" s="48"/>
      <c r="O34" s="48"/>
      <c r="P34" s="48"/>
      <c r="Q34" s="48">
        <v>3</v>
      </c>
      <c r="R34" s="150" t="e">
        <f t="shared" ref="R34:AA34" si="30">$G34*H34</f>
        <v>#REF!</v>
      </c>
      <c r="S34" s="150" t="e">
        <f t="shared" si="30"/>
        <v>#REF!</v>
      </c>
      <c r="T34" s="150" t="e">
        <f t="shared" si="30"/>
        <v>#REF!</v>
      </c>
      <c r="U34" s="150" t="e">
        <f t="shared" si="30"/>
        <v>#REF!</v>
      </c>
      <c r="V34" s="150" t="e">
        <f t="shared" si="30"/>
        <v>#REF!</v>
      </c>
      <c r="W34" s="150" t="e">
        <f t="shared" si="30"/>
        <v>#REF!</v>
      </c>
      <c r="X34" s="150" t="e">
        <f t="shared" si="30"/>
        <v>#REF!</v>
      </c>
      <c r="Y34" s="150" t="e">
        <f t="shared" si="30"/>
        <v>#REF!</v>
      </c>
      <c r="Z34" s="150" t="e">
        <f t="shared" si="30"/>
        <v>#REF!</v>
      </c>
      <c r="AA34" s="150" t="e">
        <f t="shared" si="30"/>
        <v>#REF!</v>
      </c>
      <c r="AB34" s="50"/>
    </row>
    <row r="35" s="28" customFormat="1" outlineLevel="3" spans="1:28">
      <c r="A35" s="52">
        <f>MAX($A$6:A34)+1</f>
        <v>29</v>
      </c>
      <c r="B35" s="51" t="s">
        <v>1698</v>
      </c>
      <c r="C35" s="51" t="e">
        <f>VLOOKUP($B35,#REF!,MATCH(C$2,#REF!,0),0)</f>
        <v>#REF!</v>
      </c>
      <c r="D35" s="83"/>
      <c r="E35" s="83"/>
      <c r="F35" s="136" t="e">
        <f>VLOOKUP($B35,#REF!,MATCH(F$2,#REF!,0),0)</f>
        <v>#REF!</v>
      </c>
      <c r="G35" s="137" t="e">
        <f>VLOOKUP($B35,#REF!,MATCH(G$2,#REF!,0),0)</f>
        <v>#REF!</v>
      </c>
      <c r="H35" s="48"/>
      <c r="I35" s="48"/>
      <c r="J35" s="48"/>
      <c r="K35" s="48"/>
      <c r="L35" s="48"/>
      <c r="M35" s="48"/>
      <c r="N35" s="48"/>
      <c r="O35" s="48"/>
      <c r="P35" s="48"/>
      <c r="Q35" s="48">
        <v>1</v>
      </c>
      <c r="R35" s="150" t="e">
        <f t="shared" ref="R35:AA35" si="31">$G35*H35</f>
        <v>#REF!</v>
      </c>
      <c r="S35" s="150" t="e">
        <f t="shared" si="31"/>
        <v>#REF!</v>
      </c>
      <c r="T35" s="150" t="e">
        <f t="shared" si="31"/>
        <v>#REF!</v>
      </c>
      <c r="U35" s="150" t="e">
        <f t="shared" si="31"/>
        <v>#REF!</v>
      </c>
      <c r="V35" s="150" t="e">
        <f t="shared" si="31"/>
        <v>#REF!</v>
      </c>
      <c r="W35" s="150" t="e">
        <f t="shared" si="31"/>
        <v>#REF!</v>
      </c>
      <c r="X35" s="150" t="e">
        <f t="shared" si="31"/>
        <v>#REF!</v>
      </c>
      <c r="Y35" s="150" t="e">
        <f t="shared" si="31"/>
        <v>#REF!</v>
      </c>
      <c r="Z35" s="150" t="e">
        <f t="shared" si="31"/>
        <v>#REF!</v>
      </c>
      <c r="AA35" s="150" t="e">
        <f t="shared" si="31"/>
        <v>#REF!</v>
      </c>
      <c r="AB35" s="50"/>
    </row>
    <row r="36" s="28" customFormat="1" outlineLevel="3" spans="1:28">
      <c r="A36" s="52">
        <f>MAX($A$6:A35)+1</f>
        <v>30</v>
      </c>
      <c r="B36" s="51" t="s">
        <v>1877</v>
      </c>
      <c r="C36" s="51" t="e">
        <f>VLOOKUP($B36,#REF!,MATCH(C$2,#REF!,0),0)</f>
        <v>#REF!</v>
      </c>
      <c r="D36" s="83"/>
      <c r="E36" s="83"/>
      <c r="F36" s="136" t="e">
        <f>VLOOKUP($B36,#REF!,MATCH(F$2,#REF!,0),0)</f>
        <v>#REF!</v>
      </c>
      <c r="G36" s="137" t="e">
        <f>VLOOKUP($B36,#REF!,MATCH(G$2,#REF!,0),0)</f>
        <v>#REF!</v>
      </c>
      <c r="H36" s="48"/>
      <c r="I36" s="48"/>
      <c r="J36" s="48"/>
      <c r="K36" s="48"/>
      <c r="L36" s="48"/>
      <c r="M36" s="48"/>
      <c r="N36" s="48"/>
      <c r="O36" s="48"/>
      <c r="P36" s="48">
        <v>18</v>
      </c>
      <c r="Q36" s="48"/>
      <c r="R36" s="150" t="e">
        <f t="shared" ref="R36:AA36" si="32">$G36*H36</f>
        <v>#REF!</v>
      </c>
      <c r="S36" s="150" t="e">
        <f t="shared" si="32"/>
        <v>#REF!</v>
      </c>
      <c r="T36" s="150" t="e">
        <f t="shared" si="32"/>
        <v>#REF!</v>
      </c>
      <c r="U36" s="150" t="e">
        <f t="shared" si="32"/>
        <v>#REF!</v>
      </c>
      <c r="V36" s="150" t="e">
        <f t="shared" si="32"/>
        <v>#REF!</v>
      </c>
      <c r="W36" s="150" t="e">
        <f t="shared" si="32"/>
        <v>#REF!</v>
      </c>
      <c r="X36" s="150" t="e">
        <f t="shared" si="32"/>
        <v>#REF!</v>
      </c>
      <c r="Y36" s="150" t="e">
        <f t="shared" si="32"/>
        <v>#REF!</v>
      </c>
      <c r="Z36" s="150" t="e">
        <f t="shared" si="32"/>
        <v>#REF!</v>
      </c>
      <c r="AA36" s="150" t="e">
        <f t="shared" si="32"/>
        <v>#REF!</v>
      </c>
      <c r="AB36" s="50"/>
    </row>
    <row r="37" s="28" customFormat="1" ht="28.8" outlineLevel="3" spans="1:28">
      <c r="A37" s="52">
        <f>MAX($A$6:A36)+1</f>
        <v>31</v>
      </c>
      <c r="B37" s="51" t="s">
        <v>1878</v>
      </c>
      <c r="C37" s="51" t="e">
        <f>VLOOKUP($B37,#REF!,MATCH(C$2,#REF!,0),0)</f>
        <v>#REF!</v>
      </c>
      <c r="D37" s="83"/>
      <c r="E37" s="83"/>
      <c r="F37" s="136" t="e">
        <f>VLOOKUP($B37,#REF!,MATCH(F$2,#REF!,0),0)</f>
        <v>#REF!</v>
      </c>
      <c r="G37" s="137" t="e">
        <f>VLOOKUP($B37,#REF!,MATCH(G$2,#REF!,0),0)</f>
        <v>#REF!</v>
      </c>
      <c r="H37" s="48"/>
      <c r="I37" s="48"/>
      <c r="J37" s="48"/>
      <c r="K37" s="48"/>
      <c r="L37" s="48"/>
      <c r="M37" s="48"/>
      <c r="N37" s="48"/>
      <c r="O37" s="48"/>
      <c r="P37" s="48"/>
      <c r="Q37" s="48">
        <v>2</v>
      </c>
      <c r="R37" s="150" t="e">
        <f t="shared" ref="R37:AA37" si="33">$G37*H37</f>
        <v>#REF!</v>
      </c>
      <c r="S37" s="150" t="e">
        <f t="shared" si="33"/>
        <v>#REF!</v>
      </c>
      <c r="T37" s="150" t="e">
        <f t="shared" si="33"/>
        <v>#REF!</v>
      </c>
      <c r="U37" s="150" t="e">
        <f t="shared" si="33"/>
        <v>#REF!</v>
      </c>
      <c r="V37" s="150" t="e">
        <f t="shared" si="33"/>
        <v>#REF!</v>
      </c>
      <c r="W37" s="150" t="e">
        <f t="shared" si="33"/>
        <v>#REF!</v>
      </c>
      <c r="X37" s="150" t="e">
        <f t="shared" si="33"/>
        <v>#REF!</v>
      </c>
      <c r="Y37" s="150" t="e">
        <f t="shared" si="33"/>
        <v>#REF!</v>
      </c>
      <c r="Z37" s="150" t="e">
        <f t="shared" si="33"/>
        <v>#REF!</v>
      </c>
      <c r="AA37" s="150" t="e">
        <f t="shared" si="33"/>
        <v>#REF!</v>
      </c>
      <c r="AB37" s="50"/>
    </row>
    <row r="38" s="28" customFormat="1" outlineLevel="3" spans="1:28">
      <c r="A38" s="52">
        <f>MAX($A$6:A37)+1</f>
        <v>32</v>
      </c>
      <c r="B38" s="51" t="s">
        <v>1879</v>
      </c>
      <c r="C38" s="51" t="e">
        <f>VLOOKUP($B38,#REF!,MATCH(C$2,#REF!,0),0)</f>
        <v>#REF!</v>
      </c>
      <c r="D38" s="83"/>
      <c r="E38" s="83"/>
      <c r="F38" s="136" t="e">
        <f>VLOOKUP($B38,#REF!,MATCH(F$2,#REF!,0),0)</f>
        <v>#REF!</v>
      </c>
      <c r="G38" s="137" t="e">
        <f>VLOOKUP($B38,#REF!,MATCH(G$2,#REF!,0),0)</f>
        <v>#REF!</v>
      </c>
      <c r="H38" s="48"/>
      <c r="I38" s="48"/>
      <c r="J38" s="48"/>
      <c r="K38" s="48"/>
      <c r="L38" s="48"/>
      <c r="M38" s="48"/>
      <c r="N38" s="48"/>
      <c r="O38" s="48"/>
      <c r="P38" s="48"/>
      <c r="Q38" s="48">
        <v>1</v>
      </c>
      <c r="R38" s="150" t="e">
        <f t="shared" ref="R38:AA38" si="34">$G38*H38</f>
        <v>#REF!</v>
      </c>
      <c r="S38" s="150" t="e">
        <f t="shared" si="34"/>
        <v>#REF!</v>
      </c>
      <c r="T38" s="150" t="e">
        <f t="shared" si="34"/>
        <v>#REF!</v>
      </c>
      <c r="U38" s="150" t="e">
        <f t="shared" si="34"/>
        <v>#REF!</v>
      </c>
      <c r="V38" s="150" t="e">
        <f t="shared" si="34"/>
        <v>#REF!</v>
      </c>
      <c r="W38" s="150" t="e">
        <f t="shared" si="34"/>
        <v>#REF!</v>
      </c>
      <c r="X38" s="150" t="e">
        <f t="shared" si="34"/>
        <v>#REF!</v>
      </c>
      <c r="Y38" s="150" t="e">
        <f t="shared" si="34"/>
        <v>#REF!</v>
      </c>
      <c r="Z38" s="150" t="e">
        <f t="shared" si="34"/>
        <v>#REF!</v>
      </c>
      <c r="AA38" s="150" t="e">
        <f t="shared" si="34"/>
        <v>#REF!</v>
      </c>
      <c r="AB38" s="50"/>
    </row>
    <row r="39" s="28" customFormat="1" outlineLevel="3" spans="1:28">
      <c r="A39" s="52">
        <f>MAX($A$6:A38)+1</f>
        <v>33</v>
      </c>
      <c r="B39" s="51" t="s">
        <v>1880</v>
      </c>
      <c r="C39" s="51" t="e">
        <f>VLOOKUP($B39,#REF!,MATCH(C$2,#REF!,0),0)</f>
        <v>#REF!</v>
      </c>
      <c r="D39" s="83"/>
      <c r="E39" s="83"/>
      <c r="F39" s="136" t="e">
        <f>VLOOKUP($B39,#REF!,MATCH(F$2,#REF!,0),0)</f>
        <v>#REF!</v>
      </c>
      <c r="G39" s="137" t="e">
        <f>VLOOKUP($B39,#REF!,MATCH(G$2,#REF!,0),0)</f>
        <v>#REF!</v>
      </c>
      <c r="H39" s="48"/>
      <c r="I39" s="48"/>
      <c r="J39" s="48"/>
      <c r="K39" s="48"/>
      <c r="L39" s="48"/>
      <c r="M39" s="48"/>
      <c r="N39" s="48"/>
      <c r="O39" s="48"/>
      <c r="P39" s="48"/>
      <c r="Q39" s="48">
        <v>1</v>
      </c>
      <c r="R39" s="150" t="e">
        <f t="shared" ref="R39:AA39" si="35">$G39*H39</f>
        <v>#REF!</v>
      </c>
      <c r="S39" s="150" t="e">
        <f t="shared" si="35"/>
        <v>#REF!</v>
      </c>
      <c r="T39" s="150" t="e">
        <f t="shared" si="35"/>
        <v>#REF!</v>
      </c>
      <c r="U39" s="150" t="e">
        <f t="shared" si="35"/>
        <v>#REF!</v>
      </c>
      <c r="V39" s="150" t="e">
        <f t="shared" si="35"/>
        <v>#REF!</v>
      </c>
      <c r="W39" s="150" t="e">
        <f t="shared" si="35"/>
        <v>#REF!</v>
      </c>
      <c r="X39" s="150" t="e">
        <f t="shared" si="35"/>
        <v>#REF!</v>
      </c>
      <c r="Y39" s="150" t="e">
        <f t="shared" si="35"/>
        <v>#REF!</v>
      </c>
      <c r="Z39" s="150" t="e">
        <f t="shared" si="35"/>
        <v>#REF!</v>
      </c>
      <c r="AA39" s="150" t="e">
        <f t="shared" si="35"/>
        <v>#REF!</v>
      </c>
      <c r="AB39" s="50"/>
    </row>
    <row r="40" s="28" customFormat="1" outlineLevel="3" spans="1:28">
      <c r="A40" s="52">
        <f>MAX($A$6:A39)+1</f>
        <v>34</v>
      </c>
      <c r="B40" s="51" t="s">
        <v>1881</v>
      </c>
      <c r="C40" s="51" t="e">
        <f>VLOOKUP($B40,#REF!,MATCH(C$2,#REF!,0),0)</f>
        <v>#REF!</v>
      </c>
      <c r="D40" s="83"/>
      <c r="E40" s="83"/>
      <c r="F40" s="136" t="e">
        <f>VLOOKUP($B40,#REF!,MATCH(F$2,#REF!,0),0)</f>
        <v>#REF!</v>
      </c>
      <c r="G40" s="137" t="e">
        <f>VLOOKUP($B40,#REF!,MATCH(G$2,#REF!,0),0)</f>
        <v>#REF!</v>
      </c>
      <c r="H40" s="48"/>
      <c r="I40" s="48"/>
      <c r="J40" s="48"/>
      <c r="K40" s="48"/>
      <c r="L40" s="48"/>
      <c r="M40" s="48"/>
      <c r="N40" s="48"/>
      <c r="O40" s="48"/>
      <c r="P40" s="48"/>
      <c r="Q40" s="48">
        <v>1</v>
      </c>
      <c r="R40" s="150" t="e">
        <f t="shared" ref="R40:AA40" si="36">$G40*H40</f>
        <v>#REF!</v>
      </c>
      <c r="S40" s="150" t="e">
        <f t="shared" si="36"/>
        <v>#REF!</v>
      </c>
      <c r="T40" s="150" t="e">
        <f t="shared" si="36"/>
        <v>#REF!</v>
      </c>
      <c r="U40" s="150" t="e">
        <f t="shared" si="36"/>
        <v>#REF!</v>
      </c>
      <c r="V40" s="150" t="e">
        <f t="shared" si="36"/>
        <v>#REF!</v>
      </c>
      <c r="W40" s="150" t="e">
        <f t="shared" si="36"/>
        <v>#REF!</v>
      </c>
      <c r="X40" s="150" t="e">
        <f t="shared" si="36"/>
        <v>#REF!</v>
      </c>
      <c r="Y40" s="150" t="e">
        <f t="shared" si="36"/>
        <v>#REF!</v>
      </c>
      <c r="Z40" s="150" t="e">
        <f t="shared" si="36"/>
        <v>#REF!</v>
      </c>
      <c r="AA40" s="150" t="e">
        <f t="shared" si="36"/>
        <v>#REF!</v>
      </c>
      <c r="AB40" s="50"/>
    </row>
    <row r="41" s="28" customFormat="1" outlineLevel="3" spans="1:28">
      <c r="A41" s="52">
        <f>MAX($A$6:A40)+1</f>
        <v>35</v>
      </c>
      <c r="B41" s="51" t="s">
        <v>1882</v>
      </c>
      <c r="C41" s="51" t="e">
        <f>VLOOKUP($B41,#REF!,MATCH(C$2,#REF!,0),0)</f>
        <v>#REF!</v>
      </c>
      <c r="D41" s="83"/>
      <c r="E41" s="83"/>
      <c r="F41" s="136" t="e">
        <f>VLOOKUP($B41,#REF!,MATCH(F$2,#REF!,0),0)</f>
        <v>#REF!</v>
      </c>
      <c r="G41" s="137" t="e">
        <f>VLOOKUP($B41,#REF!,MATCH(G$2,#REF!,0),0)</f>
        <v>#REF!</v>
      </c>
      <c r="H41" s="48"/>
      <c r="I41" s="48"/>
      <c r="J41" s="48"/>
      <c r="K41" s="48"/>
      <c r="L41" s="48"/>
      <c r="M41" s="48"/>
      <c r="N41" s="48"/>
      <c r="O41" s="48"/>
      <c r="P41" s="48">
        <v>1</v>
      </c>
      <c r="Q41" s="48"/>
      <c r="R41" s="150" t="e">
        <f t="shared" ref="R41:AA41" si="37">$G41*H41</f>
        <v>#REF!</v>
      </c>
      <c r="S41" s="150" t="e">
        <f t="shared" si="37"/>
        <v>#REF!</v>
      </c>
      <c r="T41" s="150" t="e">
        <f t="shared" si="37"/>
        <v>#REF!</v>
      </c>
      <c r="U41" s="150" t="e">
        <f t="shared" si="37"/>
        <v>#REF!</v>
      </c>
      <c r="V41" s="150" t="e">
        <f t="shared" si="37"/>
        <v>#REF!</v>
      </c>
      <c r="W41" s="150" t="e">
        <f t="shared" si="37"/>
        <v>#REF!</v>
      </c>
      <c r="X41" s="150" t="e">
        <f t="shared" si="37"/>
        <v>#REF!</v>
      </c>
      <c r="Y41" s="150" t="e">
        <f t="shared" si="37"/>
        <v>#REF!</v>
      </c>
      <c r="Z41" s="150" t="e">
        <f t="shared" si="37"/>
        <v>#REF!</v>
      </c>
      <c r="AA41" s="150" t="e">
        <f t="shared" si="37"/>
        <v>#REF!</v>
      </c>
      <c r="AB41" s="50"/>
    </row>
    <row r="42" s="28" customFormat="1" outlineLevel="3" spans="1:28">
      <c r="A42" s="52">
        <f>MAX($A$6:A41)+1</f>
        <v>36</v>
      </c>
      <c r="B42" s="51" t="s">
        <v>1883</v>
      </c>
      <c r="C42" s="51" t="e">
        <f>VLOOKUP($B42,#REF!,MATCH(C$2,#REF!,0),0)</f>
        <v>#REF!</v>
      </c>
      <c r="D42" s="83"/>
      <c r="E42" s="83"/>
      <c r="F42" s="136" t="e">
        <f>VLOOKUP($B42,#REF!,MATCH(F$2,#REF!,0),0)</f>
        <v>#REF!</v>
      </c>
      <c r="G42" s="137" t="e">
        <f>VLOOKUP($B42,#REF!,MATCH(G$2,#REF!,0),0)</f>
        <v>#REF!</v>
      </c>
      <c r="H42" s="48"/>
      <c r="I42" s="48"/>
      <c r="J42" s="48"/>
      <c r="K42" s="48"/>
      <c r="L42" s="48"/>
      <c r="M42" s="48"/>
      <c r="N42" s="48"/>
      <c r="O42" s="48"/>
      <c r="P42" s="48"/>
      <c r="Q42" s="48">
        <v>1</v>
      </c>
      <c r="R42" s="150" t="e">
        <f t="shared" ref="R42:AA42" si="38">$G42*H42</f>
        <v>#REF!</v>
      </c>
      <c r="S42" s="150" t="e">
        <f t="shared" si="38"/>
        <v>#REF!</v>
      </c>
      <c r="T42" s="150" t="e">
        <f t="shared" si="38"/>
        <v>#REF!</v>
      </c>
      <c r="U42" s="150" t="e">
        <f t="shared" si="38"/>
        <v>#REF!</v>
      </c>
      <c r="V42" s="150" t="e">
        <f t="shared" si="38"/>
        <v>#REF!</v>
      </c>
      <c r="W42" s="150" t="e">
        <f t="shared" si="38"/>
        <v>#REF!</v>
      </c>
      <c r="X42" s="150" t="e">
        <f t="shared" si="38"/>
        <v>#REF!</v>
      </c>
      <c r="Y42" s="150" t="e">
        <f t="shared" si="38"/>
        <v>#REF!</v>
      </c>
      <c r="Z42" s="150" t="e">
        <f t="shared" si="38"/>
        <v>#REF!</v>
      </c>
      <c r="AA42" s="150" t="e">
        <f t="shared" si="38"/>
        <v>#REF!</v>
      </c>
      <c r="AB42" s="50"/>
    </row>
    <row r="43" s="28" customFormat="1" outlineLevel="3" spans="1:28">
      <c r="A43" s="52">
        <f>MAX($A$6:A42)+1</f>
        <v>37</v>
      </c>
      <c r="B43" s="51" t="s">
        <v>1884</v>
      </c>
      <c r="C43" s="51" t="e">
        <f>VLOOKUP($B43,#REF!,MATCH(C$2,#REF!,0),0)</f>
        <v>#REF!</v>
      </c>
      <c r="D43" s="83"/>
      <c r="E43" s="83"/>
      <c r="F43" s="136" t="e">
        <f>VLOOKUP($B43,#REF!,MATCH(F$2,#REF!,0),0)</f>
        <v>#REF!</v>
      </c>
      <c r="G43" s="137" t="e">
        <f>VLOOKUP($B43,#REF!,MATCH(G$2,#REF!,0),0)</f>
        <v>#REF!</v>
      </c>
      <c r="H43" s="48"/>
      <c r="I43" s="48"/>
      <c r="J43" s="48"/>
      <c r="K43" s="48"/>
      <c r="L43" s="48"/>
      <c r="M43" s="48"/>
      <c r="N43" s="48"/>
      <c r="O43" s="48"/>
      <c r="P43" s="48"/>
      <c r="Q43" s="48">
        <v>1</v>
      </c>
      <c r="R43" s="150" t="e">
        <f t="shared" ref="R43:AA43" si="39">$G43*H43</f>
        <v>#REF!</v>
      </c>
      <c r="S43" s="150" t="e">
        <f t="shared" si="39"/>
        <v>#REF!</v>
      </c>
      <c r="T43" s="150" t="e">
        <f t="shared" si="39"/>
        <v>#REF!</v>
      </c>
      <c r="U43" s="150" t="e">
        <f t="shared" si="39"/>
        <v>#REF!</v>
      </c>
      <c r="V43" s="150" t="e">
        <f t="shared" si="39"/>
        <v>#REF!</v>
      </c>
      <c r="W43" s="150" t="e">
        <f t="shared" si="39"/>
        <v>#REF!</v>
      </c>
      <c r="X43" s="150" t="e">
        <f t="shared" si="39"/>
        <v>#REF!</v>
      </c>
      <c r="Y43" s="150" t="e">
        <f t="shared" si="39"/>
        <v>#REF!</v>
      </c>
      <c r="Z43" s="150" t="e">
        <f t="shared" si="39"/>
        <v>#REF!</v>
      </c>
      <c r="AA43" s="150" t="e">
        <f t="shared" si="39"/>
        <v>#REF!</v>
      </c>
      <c r="AB43" s="50"/>
    </row>
    <row r="44" s="28" customFormat="1" outlineLevel="3" spans="1:28">
      <c r="A44" s="52">
        <f>MAX($A$6:A43)+1</f>
        <v>38</v>
      </c>
      <c r="B44" s="51" t="s">
        <v>1885</v>
      </c>
      <c r="C44" s="51" t="e">
        <f>VLOOKUP($B44,#REF!,MATCH(C$2,#REF!,0),0)</f>
        <v>#REF!</v>
      </c>
      <c r="D44" s="83"/>
      <c r="E44" s="83"/>
      <c r="F44" s="136" t="e">
        <f>VLOOKUP($B44,#REF!,MATCH(F$2,#REF!,0),0)</f>
        <v>#REF!</v>
      </c>
      <c r="G44" s="137" t="e">
        <f>VLOOKUP($B44,#REF!,MATCH(G$2,#REF!,0),0)</f>
        <v>#REF!</v>
      </c>
      <c r="H44" s="48">
        <v>1</v>
      </c>
      <c r="I44" s="48">
        <v>1</v>
      </c>
      <c r="J44" s="48">
        <v>1</v>
      </c>
      <c r="K44" s="48">
        <v>1</v>
      </c>
      <c r="L44" s="48">
        <v>1</v>
      </c>
      <c r="M44" s="48"/>
      <c r="N44" s="48"/>
      <c r="O44" s="48"/>
      <c r="P44" s="48"/>
      <c r="Q44" s="48"/>
      <c r="R44" s="150" t="e">
        <f t="shared" ref="R44:AA44" si="40">$G44*H44</f>
        <v>#REF!</v>
      </c>
      <c r="S44" s="150" t="e">
        <f t="shared" si="40"/>
        <v>#REF!</v>
      </c>
      <c r="T44" s="150" t="e">
        <f t="shared" si="40"/>
        <v>#REF!</v>
      </c>
      <c r="U44" s="150" t="e">
        <f t="shared" si="40"/>
        <v>#REF!</v>
      </c>
      <c r="V44" s="150" t="e">
        <f t="shared" si="40"/>
        <v>#REF!</v>
      </c>
      <c r="W44" s="150" t="e">
        <f t="shared" si="40"/>
        <v>#REF!</v>
      </c>
      <c r="X44" s="150" t="e">
        <f t="shared" si="40"/>
        <v>#REF!</v>
      </c>
      <c r="Y44" s="150" t="e">
        <f t="shared" si="40"/>
        <v>#REF!</v>
      </c>
      <c r="Z44" s="150" t="e">
        <f t="shared" si="40"/>
        <v>#REF!</v>
      </c>
      <c r="AA44" s="150" t="e">
        <f t="shared" si="40"/>
        <v>#REF!</v>
      </c>
      <c r="AB44" s="50"/>
    </row>
    <row r="45" s="1" customFormat="1" outlineLevel="3" spans="1:28">
      <c r="A45" s="52">
        <f>MAX($A$6:A44)+1</f>
        <v>39</v>
      </c>
      <c r="B45" s="138" t="s">
        <v>1886</v>
      </c>
      <c r="C45" s="51" t="e">
        <f>VLOOKUP($B45,#REF!,MATCH(C$2,#REF!,0),0)</f>
        <v>#REF!</v>
      </c>
      <c r="D45" s="83"/>
      <c r="E45" s="83"/>
      <c r="F45" s="136" t="e">
        <f>VLOOKUP($B45,#REF!,MATCH(F$2,#REF!,0),0)</f>
        <v>#REF!</v>
      </c>
      <c r="G45" s="137" t="e">
        <f>VLOOKUP($B45,#REF!,MATCH(G$2,#REF!,0),0)</f>
        <v>#REF!</v>
      </c>
      <c r="H45" s="139"/>
      <c r="I45" s="139"/>
      <c r="J45" s="139"/>
      <c r="K45" s="139"/>
      <c r="L45" s="139"/>
      <c r="M45" s="139"/>
      <c r="N45" s="139"/>
      <c r="O45" s="139"/>
      <c r="P45" s="139">
        <v>12</v>
      </c>
      <c r="Q45" s="139"/>
      <c r="R45" s="150" t="e">
        <f t="shared" ref="R45:AA45" si="41">$G45*H45</f>
        <v>#REF!</v>
      </c>
      <c r="S45" s="150" t="e">
        <f t="shared" si="41"/>
        <v>#REF!</v>
      </c>
      <c r="T45" s="150" t="e">
        <f t="shared" si="41"/>
        <v>#REF!</v>
      </c>
      <c r="U45" s="150" t="e">
        <f t="shared" si="41"/>
        <v>#REF!</v>
      </c>
      <c r="V45" s="150" t="e">
        <f t="shared" si="41"/>
        <v>#REF!</v>
      </c>
      <c r="W45" s="150" t="e">
        <f t="shared" si="41"/>
        <v>#REF!</v>
      </c>
      <c r="X45" s="150" t="e">
        <f t="shared" si="41"/>
        <v>#REF!</v>
      </c>
      <c r="Y45" s="150" t="e">
        <f t="shared" si="41"/>
        <v>#REF!</v>
      </c>
      <c r="Z45" s="150" t="e">
        <f t="shared" si="41"/>
        <v>#REF!</v>
      </c>
      <c r="AA45" s="150" t="e">
        <f t="shared" si="41"/>
        <v>#REF!</v>
      </c>
      <c r="AB45" s="26"/>
    </row>
    <row r="46" s="29" customFormat="1" outlineLevel="2" spans="1:28">
      <c r="A46" s="40"/>
      <c r="B46" s="41" t="s">
        <v>1887</v>
      </c>
      <c r="C46" s="41"/>
      <c r="D46" s="140"/>
      <c r="E46" s="140"/>
      <c r="F46" s="42"/>
      <c r="G46" s="135"/>
      <c r="H46" s="43"/>
      <c r="I46" s="43"/>
      <c r="J46" s="43"/>
      <c r="K46" s="43"/>
      <c r="L46" s="43"/>
      <c r="M46" s="43"/>
      <c r="N46" s="43"/>
      <c r="O46" s="43"/>
      <c r="P46" s="43"/>
      <c r="Q46" s="43"/>
      <c r="R46" s="149" t="e">
        <f t="shared" ref="R46:AA46" si="42">SUM(R47:R63)</f>
        <v>#REF!</v>
      </c>
      <c r="S46" s="149" t="e">
        <f t="shared" si="42"/>
        <v>#REF!</v>
      </c>
      <c r="T46" s="149" t="e">
        <f t="shared" si="42"/>
        <v>#REF!</v>
      </c>
      <c r="U46" s="149" t="e">
        <f t="shared" si="42"/>
        <v>#REF!</v>
      </c>
      <c r="V46" s="149" t="e">
        <f t="shared" si="42"/>
        <v>#REF!</v>
      </c>
      <c r="W46" s="149" t="e">
        <f t="shared" si="42"/>
        <v>#REF!</v>
      </c>
      <c r="X46" s="149" t="e">
        <f t="shared" si="42"/>
        <v>#REF!</v>
      </c>
      <c r="Y46" s="149" t="e">
        <f t="shared" si="42"/>
        <v>#REF!</v>
      </c>
      <c r="Z46" s="149" t="e">
        <f t="shared" si="42"/>
        <v>#REF!</v>
      </c>
      <c r="AA46" s="149" t="e">
        <f t="shared" si="42"/>
        <v>#REF!</v>
      </c>
      <c r="AB46" s="40"/>
    </row>
    <row r="47" s="28" customFormat="1" ht="28.8" outlineLevel="3" spans="1:28">
      <c r="A47" s="52">
        <f>MAX($A$6:A46)+1</f>
        <v>40</v>
      </c>
      <c r="B47" s="51" t="s">
        <v>1888</v>
      </c>
      <c r="C47" s="51" t="e">
        <f>VLOOKUP($B47,#REF!,MATCH(C$2,#REF!,0),0)</f>
        <v>#REF!</v>
      </c>
      <c r="D47" s="83"/>
      <c r="E47" s="83"/>
      <c r="F47" s="136" t="e">
        <f>VLOOKUP($B47,#REF!,MATCH(F$2,#REF!,0),0)</f>
        <v>#REF!</v>
      </c>
      <c r="G47" s="137" t="e">
        <f>VLOOKUP($B47,#REF!,MATCH(G$2,#REF!,0),0)</f>
        <v>#REF!</v>
      </c>
      <c r="H47" s="48"/>
      <c r="I47" s="48"/>
      <c r="J47" s="48"/>
      <c r="K47" s="48"/>
      <c r="L47" s="48"/>
      <c r="M47" s="48"/>
      <c r="N47" s="48"/>
      <c r="O47" s="48"/>
      <c r="P47" s="48">
        <v>5.6</v>
      </c>
      <c r="Q47" s="48">
        <v>7.61</v>
      </c>
      <c r="R47" s="150" t="e">
        <f t="shared" ref="R47:AA47" si="43">$G47*H47</f>
        <v>#REF!</v>
      </c>
      <c r="S47" s="150" t="e">
        <f t="shared" si="43"/>
        <v>#REF!</v>
      </c>
      <c r="T47" s="150" t="e">
        <f t="shared" si="43"/>
        <v>#REF!</v>
      </c>
      <c r="U47" s="150" t="e">
        <f t="shared" si="43"/>
        <v>#REF!</v>
      </c>
      <c r="V47" s="150" t="e">
        <f t="shared" si="43"/>
        <v>#REF!</v>
      </c>
      <c r="W47" s="150" t="e">
        <f t="shared" si="43"/>
        <v>#REF!</v>
      </c>
      <c r="X47" s="150" t="e">
        <f t="shared" si="43"/>
        <v>#REF!</v>
      </c>
      <c r="Y47" s="150" t="e">
        <f t="shared" si="43"/>
        <v>#REF!</v>
      </c>
      <c r="Z47" s="150" t="e">
        <f t="shared" si="43"/>
        <v>#REF!</v>
      </c>
      <c r="AA47" s="150" t="e">
        <f t="shared" si="43"/>
        <v>#REF!</v>
      </c>
      <c r="AB47" s="50"/>
    </row>
    <row r="48" s="28" customFormat="1" ht="28.8" outlineLevel="3" spans="1:28">
      <c r="A48" s="52">
        <f>MAX($A$6:A47)+1</f>
        <v>41</v>
      </c>
      <c r="B48" s="51" t="s">
        <v>1889</v>
      </c>
      <c r="C48" s="51" t="e">
        <f>VLOOKUP($B48,#REF!,MATCH(C$2,#REF!,0),0)</f>
        <v>#REF!</v>
      </c>
      <c r="D48" s="83"/>
      <c r="E48" s="83"/>
      <c r="F48" s="136" t="e">
        <f>VLOOKUP($B48,#REF!,MATCH(F$2,#REF!,0),0)</f>
        <v>#REF!</v>
      </c>
      <c r="G48" s="137" t="e">
        <f>VLOOKUP($B48,#REF!,MATCH(G$2,#REF!,0),0)</f>
        <v>#REF!</v>
      </c>
      <c r="H48" s="48"/>
      <c r="I48" s="48"/>
      <c r="J48" s="48"/>
      <c r="K48" s="48"/>
      <c r="L48" s="48"/>
      <c r="M48" s="48"/>
      <c r="N48" s="48"/>
      <c r="O48" s="48"/>
      <c r="P48" s="48">
        <v>7.8</v>
      </c>
      <c r="Q48" s="48"/>
      <c r="R48" s="150" t="e">
        <f t="shared" ref="R48:AA48" si="44">$G48*H48</f>
        <v>#REF!</v>
      </c>
      <c r="S48" s="150" t="e">
        <f t="shared" si="44"/>
        <v>#REF!</v>
      </c>
      <c r="T48" s="150" t="e">
        <f t="shared" si="44"/>
        <v>#REF!</v>
      </c>
      <c r="U48" s="150" t="e">
        <f t="shared" si="44"/>
        <v>#REF!</v>
      </c>
      <c r="V48" s="150" t="e">
        <f t="shared" si="44"/>
        <v>#REF!</v>
      </c>
      <c r="W48" s="150" t="e">
        <f t="shared" si="44"/>
        <v>#REF!</v>
      </c>
      <c r="X48" s="150" t="e">
        <f t="shared" si="44"/>
        <v>#REF!</v>
      </c>
      <c r="Y48" s="150" t="e">
        <f t="shared" si="44"/>
        <v>#REF!</v>
      </c>
      <c r="Z48" s="150" t="e">
        <f t="shared" si="44"/>
        <v>#REF!</v>
      </c>
      <c r="AA48" s="150" t="e">
        <f t="shared" si="44"/>
        <v>#REF!</v>
      </c>
      <c r="AB48" s="50"/>
    </row>
    <row r="49" s="28" customFormat="1" ht="28.8" outlineLevel="3" spans="1:28">
      <c r="A49" s="52">
        <f>MAX($A$6:A48)+1</f>
        <v>42</v>
      </c>
      <c r="B49" s="51" t="s">
        <v>1890</v>
      </c>
      <c r="C49" s="51" t="e">
        <f>VLOOKUP($B49,#REF!,MATCH(C$2,#REF!,0),0)</f>
        <v>#REF!</v>
      </c>
      <c r="D49" s="83"/>
      <c r="E49" s="83"/>
      <c r="F49" s="136" t="e">
        <f>VLOOKUP($B49,#REF!,MATCH(F$2,#REF!,0),0)</f>
        <v>#REF!</v>
      </c>
      <c r="G49" s="137" t="e">
        <f>VLOOKUP($B49,#REF!,MATCH(G$2,#REF!,0),0)</f>
        <v>#REF!</v>
      </c>
      <c r="H49" s="48"/>
      <c r="I49" s="48"/>
      <c r="J49" s="48"/>
      <c r="K49" s="48"/>
      <c r="L49" s="48"/>
      <c r="M49" s="48"/>
      <c r="N49" s="48"/>
      <c r="O49" s="48"/>
      <c r="P49" s="48">
        <v>445.09</v>
      </c>
      <c r="Q49" s="48"/>
      <c r="R49" s="150" t="e">
        <f t="shared" ref="R49:AA49" si="45">$G49*H49</f>
        <v>#REF!</v>
      </c>
      <c r="S49" s="150" t="e">
        <f t="shared" si="45"/>
        <v>#REF!</v>
      </c>
      <c r="T49" s="150" t="e">
        <f t="shared" si="45"/>
        <v>#REF!</v>
      </c>
      <c r="U49" s="150" t="e">
        <f t="shared" si="45"/>
        <v>#REF!</v>
      </c>
      <c r="V49" s="150" t="e">
        <f t="shared" si="45"/>
        <v>#REF!</v>
      </c>
      <c r="W49" s="150" t="e">
        <f t="shared" si="45"/>
        <v>#REF!</v>
      </c>
      <c r="X49" s="150" t="e">
        <f t="shared" si="45"/>
        <v>#REF!</v>
      </c>
      <c r="Y49" s="150" t="e">
        <f t="shared" si="45"/>
        <v>#REF!</v>
      </c>
      <c r="Z49" s="150" t="e">
        <f t="shared" si="45"/>
        <v>#REF!</v>
      </c>
      <c r="AA49" s="150" t="e">
        <f t="shared" si="45"/>
        <v>#REF!</v>
      </c>
      <c r="AB49" s="50"/>
    </row>
    <row r="50" s="28" customFormat="1" ht="28.8" outlineLevel="3" spans="1:28">
      <c r="A50" s="52">
        <f>MAX($A$6:A49)+1</f>
        <v>43</v>
      </c>
      <c r="B50" s="51" t="s">
        <v>1891</v>
      </c>
      <c r="C50" s="51" t="e">
        <f>VLOOKUP($B50,#REF!,MATCH(C$2,#REF!,0),0)</f>
        <v>#REF!</v>
      </c>
      <c r="D50" s="83"/>
      <c r="E50" s="83"/>
      <c r="F50" s="136" t="e">
        <f>VLOOKUP($B50,#REF!,MATCH(F$2,#REF!,0),0)</f>
        <v>#REF!</v>
      </c>
      <c r="G50" s="137" t="e">
        <f>VLOOKUP($B50,#REF!,MATCH(G$2,#REF!,0),0)</f>
        <v>#REF!</v>
      </c>
      <c r="H50" s="48"/>
      <c r="I50" s="48"/>
      <c r="J50" s="48"/>
      <c r="K50" s="48"/>
      <c r="L50" s="48"/>
      <c r="M50" s="48"/>
      <c r="N50" s="48"/>
      <c r="O50" s="48"/>
      <c r="P50" s="48">
        <v>318.76</v>
      </c>
      <c r="Q50" s="48"/>
      <c r="R50" s="150" t="e">
        <f t="shared" ref="R50:AA50" si="46">$G50*H50</f>
        <v>#REF!</v>
      </c>
      <c r="S50" s="150" t="e">
        <f t="shared" si="46"/>
        <v>#REF!</v>
      </c>
      <c r="T50" s="150" t="e">
        <f t="shared" si="46"/>
        <v>#REF!</v>
      </c>
      <c r="U50" s="150" t="e">
        <f t="shared" si="46"/>
        <v>#REF!</v>
      </c>
      <c r="V50" s="150" t="e">
        <f t="shared" si="46"/>
        <v>#REF!</v>
      </c>
      <c r="W50" s="150" t="e">
        <f t="shared" si="46"/>
        <v>#REF!</v>
      </c>
      <c r="X50" s="150" t="e">
        <f t="shared" si="46"/>
        <v>#REF!</v>
      </c>
      <c r="Y50" s="150" t="e">
        <f t="shared" si="46"/>
        <v>#REF!</v>
      </c>
      <c r="Z50" s="150" t="e">
        <f t="shared" si="46"/>
        <v>#REF!</v>
      </c>
      <c r="AA50" s="150" t="e">
        <f t="shared" si="46"/>
        <v>#REF!</v>
      </c>
      <c r="AB50" s="50"/>
    </row>
    <row r="51" s="28" customFormat="1" ht="28.8" outlineLevel="3" spans="1:28">
      <c r="A51" s="52">
        <f>MAX($A$6:A50)+1</f>
        <v>44</v>
      </c>
      <c r="B51" s="51" t="s">
        <v>1892</v>
      </c>
      <c r="C51" s="51" t="e">
        <f>VLOOKUP($B51,#REF!,MATCH(C$2,#REF!,0),0)</f>
        <v>#REF!</v>
      </c>
      <c r="D51" s="83"/>
      <c r="E51" s="83"/>
      <c r="F51" s="136" t="e">
        <f>VLOOKUP($B51,#REF!,MATCH(F$2,#REF!,0),0)</f>
        <v>#REF!</v>
      </c>
      <c r="G51" s="137" t="e">
        <f>VLOOKUP($B51,#REF!,MATCH(G$2,#REF!,0),0)</f>
        <v>#REF!</v>
      </c>
      <c r="H51" s="48"/>
      <c r="I51" s="48"/>
      <c r="J51" s="48"/>
      <c r="K51" s="48"/>
      <c r="L51" s="48"/>
      <c r="M51" s="48"/>
      <c r="N51" s="48"/>
      <c r="O51" s="48"/>
      <c r="P51" s="48">
        <v>40.31</v>
      </c>
      <c r="Q51" s="48">
        <v>36.05</v>
      </c>
      <c r="R51" s="150" t="e">
        <f t="shared" ref="R51:AA51" si="47">$G51*H51</f>
        <v>#REF!</v>
      </c>
      <c r="S51" s="150" t="e">
        <f t="shared" si="47"/>
        <v>#REF!</v>
      </c>
      <c r="T51" s="150" t="e">
        <f t="shared" si="47"/>
        <v>#REF!</v>
      </c>
      <c r="U51" s="150" t="e">
        <f t="shared" si="47"/>
        <v>#REF!</v>
      </c>
      <c r="V51" s="150" t="e">
        <f t="shared" si="47"/>
        <v>#REF!</v>
      </c>
      <c r="W51" s="150" t="e">
        <f t="shared" si="47"/>
        <v>#REF!</v>
      </c>
      <c r="X51" s="150" t="e">
        <f t="shared" si="47"/>
        <v>#REF!</v>
      </c>
      <c r="Y51" s="150" t="e">
        <f t="shared" si="47"/>
        <v>#REF!</v>
      </c>
      <c r="Z51" s="150" t="e">
        <f t="shared" si="47"/>
        <v>#REF!</v>
      </c>
      <c r="AA51" s="150" t="e">
        <f t="shared" si="47"/>
        <v>#REF!</v>
      </c>
      <c r="AB51" s="50"/>
    </row>
    <row r="52" s="28" customFormat="1" ht="28.8" outlineLevel="3" spans="1:28">
      <c r="A52" s="52">
        <f>MAX($A$6:A51)+1</f>
        <v>45</v>
      </c>
      <c r="B52" s="51" t="s">
        <v>1893</v>
      </c>
      <c r="C52" s="51" t="e">
        <f>VLOOKUP($B52,#REF!,MATCH(C$2,#REF!,0),0)</f>
        <v>#REF!</v>
      </c>
      <c r="D52" s="83"/>
      <c r="E52" s="83"/>
      <c r="F52" s="136" t="e">
        <f>VLOOKUP($B52,#REF!,MATCH(F$2,#REF!,0),0)</f>
        <v>#REF!</v>
      </c>
      <c r="G52" s="137" t="e">
        <f>VLOOKUP($B52,#REF!,MATCH(G$2,#REF!,0),0)</f>
        <v>#REF!</v>
      </c>
      <c r="H52" s="48">
        <v>63.71</v>
      </c>
      <c r="I52" s="48">
        <v>83.81</v>
      </c>
      <c r="J52" s="48">
        <v>36.2</v>
      </c>
      <c r="K52" s="48">
        <v>36.2</v>
      </c>
      <c r="L52" s="48"/>
      <c r="M52" s="48"/>
      <c r="N52" s="48"/>
      <c r="O52" s="48"/>
      <c r="P52" s="48">
        <v>220.96</v>
      </c>
      <c r="Q52" s="48">
        <v>675.21</v>
      </c>
      <c r="R52" s="150" t="e">
        <f t="shared" ref="R52:AA52" si="48">$G52*H52</f>
        <v>#REF!</v>
      </c>
      <c r="S52" s="150" t="e">
        <f t="shared" si="48"/>
        <v>#REF!</v>
      </c>
      <c r="T52" s="150" t="e">
        <f t="shared" si="48"/>
        <v>#REF!</v>
      </c>
      <c r="U52" s="150" t="e">
        <f t="shared" si="48"/>
        <v>#REF!</v>
      </c>
      <c r="V52" s="150" t="e">
        <f t="shared" si="48"/>
        <v>#REF!</v>
      </c>
      <c r="W52" s="150" t="e">
        <f t="shared" si="48"/>
        <v>#REF!</v>
      </c>
      <c r="X52" s="150" t="e">
        <f t="shared" si="48"/>
        <v>#REF!</v>
      </c>
      <c r="Y52" s="150" t="e">
        <f t="shared" si="48"/>
        <v>#REF!</v>
      </c>
      <c r="Z52" s="150" t="e">
        <f t="shared" si="48"/>
        <v>#REF!</v>
      </c>
      <c r="AA52" s="150" t="e">
        <f t="shared" si="48"/>
        <v>#REF!</v>
      </c>
      <c r="AB52" s="50"/>
    </row>
    <row r="53" s="28" customFormat="1" ht="28.8" outlineLevel="3" spans="1:28">
      <c r="A53" s="52">
        <f>MAX($A$6:A52)+1</f>
        <v>46</v>
      </c>
      <c r="B53" s="51" t="s">
        <v>1894</v>
      </c>
      <c r="C53" s="51" t="e">
        <f>VLOOKUP($B53,#REF!,MATCH(C$2,#REF!,0),0)</f>
        <v>#REF!</v>
      </c>
      <c r="D53" s="83"/>
      <c r="E53" s="83"/>
      <c r="F53" s="136" t="e">
        <f>VLOOKUP($B53,#REF!,MATCH(F$2,#REF!,0),0)</f>
        <v>#REF!</v>
      </c>
      <c r="G53" s="137" t="e">
        <f>VLOOKUP($B53,#REF!,MATCH(G$2,#REF!,0),0)</f>
        <v>#REF!</v>
      </c>
      <c r="H53" s="48">
        <v>12.15</v>
      </c>
      <c r="I53" s="48">
        <v>12.15</v>
      </c>
      <c r="J53" s="48">
        <v>12.15</v>
      </c>
      <c r="K53" s="48">
        <v>12.15</v>
      </c>
      <c r="L53" s="48">
        <v>6.37</v>
      </c>
      <c r="M53" s="48"/>
      <c r="N53" s="48"/>
      <c r="O53" s="48"/>
      <c r="P53" s="48">
        <v>94.88</v>
      </c>
      <c r="Q53" s="48">
        <v>771.12</v>
      </c>
      <c r="R53" s="150" t="e">
        <f t="shared" ref="R53:AA53" si="49">$G53*H53</f>
        <v>#REF!</v>
      </c>
      <c r="S53" s="150" t="e">
        <f t="shared" si="49"/>
        <v>#REF!</v>
      </c>
      <c r="T53" s="150" t="e">
        <f t="shared" si="49"/>
        <v>#REF!</v>
      </c>
      <c r="U53" s="150" t="e">
        <f t="shared" si="49"/>
        <v>#REF!</v>
      </c>
      <c r="V53" s="150" t="e">
        <f t="shared" si="49"/>
        <v>#REF!</v>
      </c>
      <c r="W53" s="150" t="e">
        <f t="shared" si="49"/>
        <v>#REF!</v>
      </c>
      <c r="X53" s="150" t="e">
        <f t="shared" si="49"/>
        <v>#REF!</v>
      </c>
      <c r="Y53" s="150" t="e">
        <f t="shared" si="49"/>
        <v>#REF!</v>
      </c>
      <c r="Z53" s="150" t="e">
        <f t="shared" si="49"/>
        <v>#REF!</v>
      </c>
      <c r="AA53" s="150" t="e">
        <f t="shared" si="49"/>
        <v>#REF!</v>
      </c>
      <c r="AB53" s="50"/>
    </row>
    <row r="54" s="28" customFormat="1" ht="28.8" outlineLevel="3" spans="1:28">
      <c r="A54" s="52">
        <f>MAX($A$6:A53)+1</f>
        <v>47</v>
      </c>
      <c r="B54" s="51" t="s">
        <v>1895</v>
      </c>
      <c r="C54" s="51" t="e">
        <f>VLOOKUP($B54,#REF!,MATCH(C$2,#REF!,0),0)</f>
        <v>#REF!</v>
      </c>
      <c r="D54" s="83"/>
      <c r="E54" s="83"/>
      <c r="F54" s="136" t="e">
        <f>VLOOKUP($B54,#REF!,MATCH(F$2,#REF!,0),0)</f>
        <v>#REF!</v>
      </c>
      <c r="G54" s="137" t="e">
        <f>VLOOKUP($B54,#REF!,MATCH(G$2,#REF!,0),0)</f>
        <v>#REF!</v>
      </c>
      <c r="H54" s="48"/>
      <c r="I54" s="48"/>
      <c r="J54" s="48"/>
      <c r="K54" s="48"/>
      <c r="L54" s="48"/>
      <c r="M54" s="48"/>
      <c r="N54" s="48"/>
      <c r="O54" s="48"/>
      <c r="P54" s="48"/>
      <c r="Q54" s="48">
        <v>512.02</v>
      </c>
      <c r="R54" s="150" t="e">
        <f t="shared" ref="R54:AA54" si="50">$G54*H54</f>
        <v>#REF!</v>
      </c>
      <c r="S54" s="150" t="e">
        <f t="shared" si="50"/>
        <v>#REF!</v>
      </c>
      <c r="T54" s="150" t="e">
        <f t="shared" si="50"/>
        <v>#REF!</v>
      </c>
      <c r="U54" s="150" t="e">
        <f t="shared" si="50"/>
        <v>#REF!</v>
      </c>
      <c r="V54" s="150" t="e">
        <f t="shared" si="50"/>
        <v>#REF!</v>
      </c>
      <c r="W54" s="150" t="e">
        <f t="shared" si="50"/>
        <v>#REF!</v>
      </c>
      <c r="X54" s="150" t="e">
        <f t="shared" si="50"/>
        <v>#REF!</v>
      </c>
      <c r="Y54" s="150" t="e">
        <f t="shared" si="50"/>
        <v>#REF!</v>
      </c>
      <c r="Z54" s="150" t="e">
        <f t="shared" si="50"/>
        <v>#REF!</v>
      </c>
      <c r="AA54" s="150" t="e">
        <f t="shared" si="50"/>
        <v>#REF!</v>
      </c>
      <c r="AB54" s="50"/>
    </row>
    <row r="55" s="28" customFormat="1" ht="28.8" outlineLevel="3" spans="1:28">
      <c r="A55" s="52">
        <f>MAX($A$6:A54)+1</f>
        <v>48</v>
      </c>
      <c r="B55" s="51" t="s">
        <v>1896</v>
      </c>
      <c r="C55" s="51" t="e">
        <f>VLOOKUP($B55,#REF!,MATCH(C$2,#REF!,0),0)</f>
        <v>#REF!</v>
      </c>
      <c r="D55" s="83"/>
      <c r="E55" s="83"/>
      <c r="F55" s="136" t="e">
        <f>VLOOKUP($B55,#REF!,MATCH(F$2,#REF!,0),0)</f>
        <v>#REF!</v>
      </c>
      <c r="G55" s="137" t="e">
        <f>VLOOKUP($B55,#REF!,MATCH(G$2,#REF!,0),0)</f>
        <v>#REF!</v>
      </c>
      <c r="H55" s="48"/>
      <c r="I55" s="48"/>
      <c r="J55" s="48"/>
      <c r="K55" s="48"/>
      <c r="L55" s="48"/>
      <c r="M55" s="48"/>
      <c r="N55" s="48"/>
      <c r="O55" s="48"/>
      <c r="P55" s="48"/>
      <c r="Q55" s="48">
        <v>1094.89</v>
      </c>
      <c r="R55" s="150" t="e">
        <f t="shared" ref="R55:AA55" si="51">$G55*H55</f>
        <v>#REF!</v>
      </c>
      <c r="S55" s="150" t="e">
        <f t="shared" si="51"/>
        <v>#REF!</v>
      </c>
      <c r="T55" s="150" t="e">
        <f t="shared" si="51"/>
        <v>#REF!</v>
      </c>
      <c r="U55" s="150" t="e">
        <f t="shared" si="51"/>
        <v>#REF!</v>
      </c>
      <c r="V55" s="150" t="e">
        <f t="shared" si="51"/>
        <v>#REF!</v>
      </c>
      <c r="W55" s="150" t="e">
        <f t="shared" si="51"/>
        <v>#REF!</v>
      </c>
      <c r="X55" s="150" t="e">
        <f t="shared" si="51"/>
        <v>#REF!</v>
      </c>
      <c r="Y55" s="150" t="e">
        <f t="shared" si="51"/>
        <v>#REF!</v>
      </c>
      <c r="Z55" s="150" t="e">
        <f t="shared" si="51"/>
        <v>#REF!</v>
      </c>
      <c r="AA55" s="150" t="e">
        <f t="shared" si="51"/>
        <v>#REF!</v>
      </c>
      <c r="AB55" s="50"/>
    </row>
    <row r="56" s="28" customFormat="1" ht="28.8" outlineLevel="3" spans="1:28">
      <c r="A56" s="52">
        <f>MAX($A$6:A55)+1</f>
        <v>49</v>
      </c>
      <c r="B56" s="51" t="s">
        <v>1897</v>
      </c>
      <c r="C56" s="51" t="e">
        <f>VLOOKUP($B56,#REF!,MATCH(C$2,#REF!,0),0)</f>
        <v>#REF!</v>
      </c>
      <c r="D56" s="83"/>
      <c r="E56" s="83"/>
      <c r="F56" s="136" t="e">
        <f>VLOOKUP($B56,#REF!,MATCH(F$2,#REF!,0),0)</f>
        <v>#REF!</v>
      </c>
      <c r="G56" s="137" t="e">
        <f>VLOOKUP($B56,#REF!,MATCH(G$2,#REF!,0),0)</f>
        <v>#REF!</v>
      </c>
      <c r="H56" s="48"/>
      <c r="I56" s="48"/>
      <c r="J56" s="48"/>
      <c r="K56" s="48"/>
      <c r="L56" s="48"/>
      <c r="M56" s="48"/>
      <c r="N56" s="48"/>
      <c r="O56" s="48"/>
      <c r="P56" s="48"/>
      <c r="Q56" s="48">
        <v>78.66</v>
      </c>
      <c r="R56" s="150" t="e">
        <f t="shared" ref="R56:AA56" si="52">$G56*H56</f>
        <v>#REF!</v>
      </c>
      <c r="S56" s="150" t="e">
        <f t="shared" si="52"/>
        <v>#REF!</v>
      </c>
      <c r="T56" s="150" t="e">
        <f t="shared" si="52"/>
        <v>#REF!</v>
      </c>
      <c r="U56" s="150" t="e">
        <f t="shared" si="52"/>
        <v>#REF!</v>
      </c>
      <c r="V56" s="150" t="e">
        <f t="shared" si="52"/>
        <v>#REF!</v>
      </c>
      <c r="W56" s="150" t="e">
        <f t="shared" si="52"/>
        <v>#REF!</v>
      </c>
      <c r="X56" s="150" t="e">
        <f t="shared" si="52"/>
        <v>#REF!</v>
      </c>
      <c r="Y56" s="150" t="e">
        <f t="shared" si="52"/>
        <v>#REF!</v>
      </c>
      <c r="Z56" s="150" t="e">
        <f t="shared" si="52"/>
        <v>#REF!</v>
      </c>
      <c r="AA56" s="150" t="e">
        <f t="shared" si="52"/>
        <v>#REF!</v>
      </c>
      <c r="AB56" s="50"/>
    </row>
    <row r="57" s="28" customFormat="1" ht="28.8" outlineLevel="3" spans="1:28">
      <c r="A57" s="52">
        <f>MAX($A$6:A56)+1</f>
        <v>50</v>
      </c>
      <c r="B57" s="51" t="s">
        <v>1898</v>
      </c>
      <c r="C57" s="51" t="e">
        <f>VLOOKUP($B57,#REF!,MATCH(C$2,#REF!,0),0)</f>
        <v>#REF!</v>
      </c>
      <c r="D57" s="83"/>
      <c r="E57" s="83"/>
      <c r="F57" s="136" t="e">
        <f>VLOOKUP($B57,#REF!,MATCH(F$2,#REF!,0),0)</f>
        <v>#REF!</v>
      </c>
      <c r="G57" s="137" t="e">
        <f>VLOOKUP($B57,#REF!,MATCH(G$2,#REF!,0),0)</f>
        <v>#REF!</v>
      </c>
      <c r="H57" s="48"/>
      <c r="I57" s="48"/>
      <c r="J57" s="48"/>
      <c r="K57" s="48"/>
      <c r="L57" s="48"/>
      <c r="M57" s="48"/>
      <c r="N57" s="48"/>
      <c r="O57" s="48"/>
      <c r="P57" s="48"/>
      <c r="Q57" s="48">
        <v>75.05</v>
      </c>
      <c r="R57" s="150" t="e">
        <f t="shared" ref="R57:AA57" si="53">$G57*H57</f>
        <v>#REF!</v>
      </c>
      <c r="S57" s="150" t="e">
        <f t="shared" si="53"/>
        <v>#REF!</v>
      </c>
      <c r="T57" s="150" t="e">
        <f t="shared" si="53"/>
        <v>#REF!</v>
      </c>
      <c r="U57" s="150" t="e">
        <f t="shared" si="53"/>
        <v>#REF!</v>
      </c>
      <c r="V57" s="150" t="e">
        <f t="shared" si="53"/>
        <v>#REF!</v>
      </c>
      <c r="W57" s="150" t="e">
        <f t="shared" si="53"/>
        <v>#REF!</v>
      </c>
      <c r="X57" s="150" t="e">
        <f t="shared" si="53"/>
        <v>#REF!</v>
      </c>
      <c r="Y57" s="150" t="e">
        <f t="shared" si="53"/>
        <v>#REF!</v>
      </c>
      <c r="Z57" s="150" t="e">
        <f t="shared" si="53"/>
        <v>#REF!</v>
      </c>
      <c r="AA57" s="150" t="e">
        <f t="shared" si="53"/>
        <v>#REF!</v>
      </c>
      <c r="AB57" s="50"/>
    </row>
    <row r="58" s="28" customFormat="1" ht="28.8" outlineLevel="3" spans="1:28">
      <c r="A58" s="52">
        <f>MAX($A$6:A57)+1</f>
        <v>51</v>
      </c>
      <c r="B58" s="51" t="s">
        <v>1899</v>
      </c>
      <c r="C58" s="51" t="e">
        <f>VLOOKUP($B58,#REF!,MATCH(C$2,#REF!,0),0)</f>
        <v>#REF!</v>
      </c>
      <c r="D58" s="83"/>
      <c r="E58" s="83"/>
      <c r="F58" s="136" t="e">
        <f>VLOOKUP($B58,#REF!,MATCH(F$2,#REF!,0),0)</f>
        <v>#REF!</v>
      </c>
      <c r="G58" s="137" t="e">
        <f>VLOOKUP($B58,#REF!,MATCH(G$2,#REF!,0),0)</f>
        <v>#REF!</v>
      </c>
      <c r="H58" s="48">
        <v>18.43</v>
      </c>
      <c r="I58" s="48">
        <v>7.05</v>
      </c>
      <c r="J58" s="48">
        <v>12.06</v>
      </c>
      <c r="K58" s="48">
        <v>12.06</v>
      </c>
      <c r="L58" s="48">
        <v>15.771</v>
      </c>
      <c r="M58" s="48"/>
      <c r="N58" s="48"/>
      <c r="O58" s="48"/>
      <c r="P58" s="48"/>
      <c r="Q58" s="48">
        <v>217.53</v>
      </c>
      <c r="R58" s="150" t="e">
        <f t="shared" ref="R58:AA58" si="54">$G58*H58</f>
        <v>#REF!</v>
      </c>
      <c r="S58" s="150" t="e">
        <f t="shared" si="54"/>
        <v>#REF!</v>
      </c>
      <c r="T58" s="150" t="e">
        <f t="shared" si="54"/>
        <v>#REF!</v>
      </c>
      <c r="U58" s="150" t="e">
        <f t="shared" si="54"/>
        <v>#REF!</v>
      </c>
      <c r="V58" s="150" t="e">
        <f t="shared" si="54"/>
        <v>#REF!</v>
      </c>
      <c r="W58" s="150" t="e">
        <f t="shared" si="54"/>
        <v>#REF!</v>
      </c>
      <c r="X58" s="150" t="e">
        <f t="shared" si="54"/>
        <v>#REF!</v>
      </c>
      <c r="Y58" s="150" t="e">
        <f t="shared" si="54"/>
        <v>#REF!</v>
      </c>
      <c r="Z58" s="150" t="e">
        <f t="shared" si="54"/>
        <v>#REF!</v>
      </c>
      <c r="AA58" s="150" t="e">
        <f t="shared" si="54"/>
        <v>#REF!</v>
      </c>
      <c r="AB58" s="50"/>
    </row>
    <row r="59" s="28" customFormat="1" ht="28.8" outlineLevel="3" spans="1:28">
      <c r="A59" s="52">
        <f>MAX($A$6:A58)+1</f>
        <v>52</v>
      </c>
      <c r="B59" s="51" t="s">
        <v>1900</v>
      </c>
      <c r="C59" s="51" t="e">
        <f>VLOOKUP($B59,#REF!,MATCH(C$2,#REF!,0),0)</f>
        <v>#REF!</v>
      </c>
      <c r="D59" s="83"/>
      <c r="E59" s="83"/>
      <c r="F59" s="136" t="e">
        <f>VLOOKUP($B59,#REF!,MATCH(F$2,#REF!,0),0)</f>
        <v>#REF!</v>
      </c>
      <c r="G59" s="137" t="e">
        <f>VLOOKUP($B59,#REF!,MATCH(G$2,#REF!,0),0)</f>
        <v>#REF!</v>
      </c>
      <c r="H59" s="48"/>
      <c r="I59" s="48"/>
      <c r="J59" s="48"/>
      <c r="K59" s="48"/>
      <c r="L59" s="48"/>
      <c r="M59" s="48"/>
      <c r="N59" s="48"/>
      <c r="O59" s="48"/>
      <c r="P59" s="48"/>
      <c r="Q59" s="48">
        <v>371.77</v>
      </c>
      <c r="R59" s="150" t="e">
        <f t="shared" ref="R59:AA59" si="55">$G59*H59</f>
        <v>#REF!</v>
      </c>
      <c r="S59" s="150" t="e">
        <f t="shared" si="55"/>
        <v>#REF!</v>
      </c>
      <c r="T59" s="150" t="e">
        <f t="shared" si="55"/>
        <v>#REF!</v>
      </c>
      <c r="U59" s="150" t="e">
        <f t="shared" si="55"/>
        <v>#REF!</v>
      </c>
      <c r="V59" s="150" t="e">
        <f t="shared" si="55"/>
        <v>#REF!</v>
      </c>
      <c r="W59" s="150" t="e">
        <f t="shared" si="55"/>
        <v>#REF!</v>
      </c>
      <c r="X59" s="150" t="e">
        <f t="shared" si="55"/>
        <v>#REF!</v>
      </c>
      <c r="Y59" s="150" t="e">
        <f t="shared" si="55"/>
        <v>#REF!</v>
      </c>
      <c r="Z59" s="150" t="e">
        <f t="shared" si="55"/>
        <v>#REF!</v>
      </c>
      <c r="AA59" s="150" t="e">
        <f t="shared" si="55"/>
        <v>#REF!</v>
      </c>
      <c r="AB59" s="50"/>
    </row>
    <row r="60" s="28" customFormat="1" ht="28.8" outlineLevel="3" spans="1:28">
      <c r="A60" s="52">
        <f>MAX($A$6:A59)+1</f>
        <v>53</v>
      </c>
      <c r="B60" s="51" t="s">
        <v>1901</v>
      </c>
      <c r="C60" s="51" t="e">
        <f>VLOOKUP($B60,#REF!,MATCH(C$2,#REF!,0),0)</f>
        <v>#REF!</v>
      </c>
      <c r="D60" s="83"/>
      <c r="E60" s="83"/>
      <c r="F60" s="136" t="e">
        <f>VLOOKUP($B60,#REF!,MATCH(F$2,#REF!,0),0)</f>
        <v>#REF!</v>
      </c>
      <c r="G60" s="137" t="e">
        <f>VLOOKUP($B60,#REF!,MATCH(G$2,#REF!,0),0)</f>
        <v>#REF!</v>
      </c>
      <c r="H60" s="48"/>
      <c r="I60" s="48"/>
      <c r="J60" s="48"/>
      <c r="K60" s="48"/>
      <c r="L60" s="48"/>
      <c r="M60" s="48"/>
      <c r="N60" s="48"/>
      <c r="O60" s="48"/>
      <c r="P60" s="48"/>
      <c r="Q60" s="48">
        <v>264.35</v>
      </c>
      <c r="R60" s="150" t="e">
        <f t="shared" ref="R60:AA60" si="56">$G60*H60</f>
        <v>#REF!</v>
      </c>
      <c r="S60" s="150" t="e">
        <f t="shared" si="56"/>
        <v>#REF!</v>
      </c>
      <c r="T60" s="150" t="e">
        <f t="shared" si="56"/>
        <v>#REF!</v>
      </c>
      <c r="U60" s="150" t="e">
        <f t="shared" si="56"/>
        <v>#REF!</v>
      </c>
      <c r="V60" s="150" t="e">
        <f t="shared" si="56"/>
        <v>#REF!</v>
      </c>
      <c r="W60" s="150" t="e">
        <f t="shared" si="56"/>
        <v>#REF!</v>
      </c>
      <c r="X60" s="150" t="e">
        <f t="shared" si="56"/>
        <v>#REF!</v>
      </c>
      <c r="Y60" s="150" t="e">
        <f t="shared" si="56"/>
        <v>#REF!</v>
      </c>
      <c r="Z60" s="150" t="e">
        <f t="shared" si="56"/>
        <v>#REF!</v>
      </c>
      <c r="AA60" s="150" t="e">
        <f t="shared" si="56"/>
        <v>#REF!</v>
      </c>
      <c r="AB60" s="50"/>
    </row>
    <row r="61" s="28" customFormat="1" ht="28.8" outlineLevel="3" spans="1:28">
      <c r="A61" s="52">
        <f>MAX($A$6:A60)+1</f>
        <v>54</v>
      </c>
      <c r="B61" s="51" t="s">
        <v>1902</v>
      </c>
      <c r="C61" s="51" t="e">
        <f>VLOOKUP($B61,#REF!,MATCH(C$2,#REF!,0),0)</f>
        <v>#REF!</v>
      </c>
      <c r="D61" s="83"/>
      <c r="E61" s="83"/>
      <c r="F61" s="136" t="e">
        <f>VLOOKUP($B61,#REF!,MATCH(F$2,#REF!,0),0)</f>
        <v>#REF!</v>
      </c>
      <c r="G61" s="137" t="e">
        <f>VLOOKUP($B61,#REF!,MATCH(G$2,#REF!,0),0)</f>
        <v>#REF!</v>
      </c>
      <c r="H61" s="48"/>
      <c r="I61" s="48"/>
      <c r="J61" s="48"/>
      <c r="K61" s="48"/>
      <c r="L61" s="48"/>
      <c r="M61" s="48"/>
      <c r="N61" s="48"/>
      <c r="O61" s="48"/>
      <c r="P61" s="48"/>
      <c r="Q61" s="48">
        <v>97.56</v>
      </c>
      <c r="R61" s="150" t="e">
        <f t="shared" ref="R61:AA61" si="57">$G61*H61</f>
        <v>#REF!</v>
      </c>
      <c r="S61" s="150" t="e">
        <f t="shared" si="57"/>
        <v>#REF!</v>
      </c>
      <c r="T61" s="150" t="e">
        <f t="shared" si="57"/>
        <v>#REF!</v>
      </c>
      <c r="U61" s="150" t="e">
        <f t="shared" si="57"/>
        <v>#REF!</v>
      </c>
      <c r="V61" s="150" t="e">
        <f t="shared" si="57"/>
        <v>#REF!</v>
      </c>
      <c r="W61" s="150" t="e">
        <f t="shared" si="57"/>
        <v>#REF!</v>
      </c>
      <c r="X61" s="150" t="e">
        <f t="shared" si="57"/>
        <v>#REF!</v>
      </c>
      <c r="Y61" s="150" t="e">
        <f t="shared" si="57"/>
        <v>#REF!</v>
      </c>
      <c r="Z61" s="150" t="e">
        <f t="shared" si="57"/>
        <v>#REF!</v>
      </c>
      <c r="AA61" s="150" t="e">
        <f t="shared" si="57"/>
        <v>#REF!</v>
      </c>
      <c r="AB61" s="50"/>
    </row>
    <row r="62" s="28" customFormat="1" ht="28.8" outlineLevel="3" spans="1:28">
      <c r="A62" s="52">
        <f>MAX($A$6:A61)+1</f>
        <v>55</v>
      </c>
      <c r="B62" s="51" t="s">
        <v>1903</v>
      </c>
      <c r="C62" s="51" t="e">
        <f>VLOOKUP($B62,#REF!,MATCH(C$2,#REF!,0),0)</f>
        <v>#REF!</v>
      </c>
      <c r="D62" s="83"/>
      <c r="E62" s="83"/>
      <c r="F62" s="136" t="e">
        <f>VLOOKUP($B62,#REF!,MATCH(F$2,#REF!,0),0)</f>
        <v>#REF!</v>
      </c>
      <c r="G62" s="137" t="e">
        <f>VLOOKUP($B62,#REF!,MATCH(G$2,#REF!,0),0)</f>
        <v>#REF!</v>
      </c>
      <c r="H62" s="48"/>
      <c r="I62" s="48"/>
      <c r="J62" s="48"/>
      <c r="K62" s="48"/>
      <c r="L62" s="48"/>
      <c r="M62" s="48"/>
      <c r="N62" s="48"/>
      <c r="O62" s="48"/>
      <c r="P62" s="48"/>
      <c r="Q62" s="48">
        <v>35.98</v>
      </c>
      <c r="R62" s="150" t="e">
        <f t="shared" ref="R62:AA62" si="58">$G62*H62</f>
        <v>#REF!</v>
      </c>
      <c r="S62" s="150" t="e">
        <f t="shared" si="58"/>
        <v>#REF!</v>
      </c>
      <c r="T62" s="150" t="e">
        <f t="shared" si="58"/>
        <v>#REF!</v>
      </c>
      <c r="U62" s="150" t="e">
        <f t="shared" si="58"/>
        <v>#REF!</v>
      </c>
      <c r="V62" s="150" t="e">
        <f t="shared" si="58"/>
        <v>#REF!</v>
      </c>
      <c r="W62" s="150" t="e">
        <f t="shared" si="58"/>
        <v>#REF!</v>
      </c>
      <c r="X62" s="150" t="e">
        <f t="shared" si="58"/>
        <v>#REF!</v>
      </c>
      <c r="Y62" s="150" t="e">
        <f t="shared" si="58"/>
        <v>#REF!</v>
      </c>
      <c r="Z62" s="150" t="e">
        <f t="shared" si="58"/>
        <v>#REF!</v>
      </c>
      <c r="AA62" s="150" t="e">
        <f t="shared" si="58"/>
        <v>#REF!</v>
      </c>
      <c r="AB62" s="50"/>
    </row>
    <row r="63" s="28" customFormat="1" ht="28.8" outlineLevel="3" spans="1:28">
      <c r="A63" s="52">
        <f>MAX($A$6:A62)+1</f>
        <v>56</v>
      </c>
      <c r="B63" s="51" t="s">
        <v>1904</v>
      </c>
      <c r="C63" s="51" t="e">
        <f>VLOOKUP($B63,#REF!,MATCH(C$2,#REF!,0),0)</f>
        <v>#REF!</v>
      </c>
      <c r="D63" s="83"/>
      <c r="E63" s="83"/>
      <c r="F63" s="136" t="e">
        <f>VLOOKUP($B63,#REF!,MATCH(F$2,#REF!,0),0)</f>
        <v>#REF!</v>
      </c>
      <c r="G63" s="137" t="e">
        <f>VLOOKUP($B63,#REF!,MATCH(G$2,#REF!,0),0)</f>
        <v>#REF!</v>
      </c>
      <c r="H63" s="48">
        <v>32.31</v>
      </c>
      <c r="I63" s="48">
        <v>45.01</v>
      </c>
      <c r="J63" s="48">
        <v>33.73</v>
      </c>
      <c r="K63" s="48">
        <v>33.73</v>
      </c>
      <c r="L63" s="48">
        <v>7.286</v>
      </c>
      <c r="M63" s="48"/>
      <c r="N63" s="48"/>
      <c r="O63" s="48"/>
      <c r="P63" s="48"/>
      <c r="Q63" s="48"/>
      <c r="R63" s="150" t="e">
        <f t="shared" ref="R63:AA63" si="59">$G63*H63</f>
        <v>#REF!</v>
      </c>
      <c r="S63" s="150" t="e">
        <f t="shared" si="59"/>
        <v>#REF!</v>
      </c>
      <c r="T63" s="150" t="e">
        <f t="shared" si="59"/>
        <v>#REF!</v>
      </c>
      <c r="U63" s="150" t="e">
        <f t="shared" si="59"/>
        <v>#REF!</v>
      </c>
      <c r="V63" s="150" t="e">
        <f t="shared" si="59"/>
        <v>#REF!</v>
      </c>
      <c r="W63" s="150" t="e">
        <f t="shared" si="59"/>
        <v>#REF!</v>
      </c>
      <c r="X63" s="150" t="e">
        <f t="shared" si="59"/>
        <v>#REF!</v>
      </c>
      <c r="Y63" s="150" t="e">
        <f t="shared" si="59"/>
        <v>#REF!</v>
      </c>
      <c r="Z63" s="150" t="e">
        <f t="shared" si="59"/>
        <v>#REF!</v>
      </c>
      <c r="AA63" s="150" t="e">
        <f t="shared" si="59"/>
        <v>#REF!</v>
      </c>
      <c r="AB63" s="50"/>
    </row>
    <row r="64" s="29" customFormat="1" outlineLevel="2" spans="1:28">
      <c r="A64" s="40"/>
      <c r="B64" s="41" t="s">
        <v>1905</v>
      </c>
      <c r="C64" s="41"/>
      <c r="D64" s="140"/>
      <c r="E64" s="140"/>
      <c r="F64" s="141"/>
      <c r="G64" s="142"/>
      <c r="H64" s="43"/>
      <c r="I64" s="43"/>
      <c r="J64" s="43"/>
      <c r="K64" s="43"/>
      <c r="L64" s="43"/>
      <c r="M64" s="43"/>
      <c r="N64" s="43"/>
      <c r="O64" s="43"/>
      <c r="P64" s="43"/>
      <c r="Q64" s="43"/>
      <c r="R64" s="149" t="e">
        <f t="shared" ref="R64:AA64" si="60">SUM(R65:R70)</f>
        <v>#REF!</v>
      </c>
      <c r="S64" s="149" t="e">
        <f t="shared" si="60"/>
        <v>#REF!</v>
      </c>
      <c r="T64" s="149" t="e">
        <f t="shared" si="60"/>
        <v>#REF!</v>
      </c>
      <c r="U64" s="149" t="e">
        <f t="shared" si="60"/>
        <v>#REF!</v>
      </c>
      <c r="V64" s="149" t="e">
        <f t="shared" si="60"/>
        <v>#REF!</v>
      </c>
      <c r="W64" s="149" t="e">
        <f t="shared" si="60"/>
        <v>#REF!</v>
      </c>
      <c r="X64" s="149" t="e">
        <f t="shared" si="60"/>
        <v>#REF!</v>
      </c>
      <c r="Y64" s="149" t="e">
        <f t="shared" si="60"/>
        <v>#REF!</v>
      </c>
      <c r="Z64" s="149" t="e">
        <f t="shared" si="60"/>
        <v>#REF!</v>
      </c>
      <c r="AA64" s="149" t="e">
        <f t="shared" si="60"/>
        <v>#REF!</v>
      </c>
      <c r="AB64" s="40"/>
    </row>
    <row r="65" s="28" customFormat="1" outlineLevel="3" spans="1:28">
      <c r="A65" s="52">
        <f>MAX($A$6:A64)+1</f>
        <v>57</v>
      </c>
      <c r="B65" s="51" t="s">
        <v>1906</v>
      </c>
      <c r="C65" s="51" t="e">
        <f>VLOOKUP($B65,#REF!,MATCH(C$2,#REF!,0),0)</f>
        <v>#REF!</v>
      </c>
      <c r="D65" s="83"/>
      <c r="E65" s="83"/>
      <c r="F65" s="136" t="e">
        <f>VLOOKUP($B65,#REF!,MATCH(F$2,#REF!,0),0)</f>
        <v>#REF!</v>
      </c>
      <c r="G65" s="137" t="e">
        <f>VLOOKUP($B65,#REF!,MATCH(G$2,#REF!,0),0)</f>
        <v>#REF!</v>
      </c>
      <c r="H65" s="48">
        <v>0.27</v>
      </c>
      <c r="I65" s="48">
        <v>0.35</v>
      </c>
      <c r="J65" s="48">
        <v>0.04</v>
      </c>
      <c r="K65" s="48">
        <v>0.04</v>
      </c>
      <c r="L65" s="48">
        <v>0.054</v>
      </c>
      <c r="M65" s="48"/>
      <c r="N65" s="48"/>
      <c r="O65" s="48"/>
      <c r="P65" s="48">
        <v>0.02</v>
      </c>
      <c r="Q65" s="48">
        <v>3.16</v>
      </c>
      <c r="R65" s="150" t="e">
        <f t="shared" ref="R65:AA65" si="61">$G65*H65</f>
        <v>#REF!</v>
      </c>
      <c r="S65" s="150" t="e">
        <f t="shared" si="61"/>
        <v>#REF!</v>
      </c>
      <c r="T65" s="150" t="e">
        <f t="shared" si="61"/>
        <v>#REF!</v>
      </c>
      <c r="U65" s="150" t="e">
        <f t="shared" si="61"/>
        <v>#REF!</v>
      </c>
      <c r="V65" s="150" t="e">
        <f t="shared" si="61"/>
        <v>#REF!</v>
      </c>
      <c r="W65" s="150" t="e">
        <f t="shared" si="61"/>
        <v>#REF!</v>
      </c>
      <c r="X65" s="150" t="e">
        <f t="shared" si="61"/>
        <v>#REF!</v>
      </c>
      <c r="Y65" s="150" t="e">
        <f t="shared" si="61"/>
        <v>#REF!</v>
      </c>
      <c r="Z65" s="150" t="e">
        <f t="shared" si="61"/>
        <v>#REF!</v>
      </c>
      <c r="AA65" s="150" t="e">
        <f t="shared" si="61"/>
        <v>#REF!</v>
      </c>
      <c r="AB65" s="50"/>
    </row>
    <row r="66" s="28" customFormat="1" outlineLevel="3" spans="1:28">
      <c r="A66" s="52">
        <f>MAX($A$6:A65)+1</f>
        <v>58</v>
      </c>
      <c r="B66" s="152" t="s">
        <v>1760</v>
      </c>
      <c r="C66" s="51" t="e">
        <f>VLOOKUP($B66,#REF!,MATCH(C$2,#REF!,0),0)</f>
        <v>#REF!</v>
      </c>
      <c r="D66" s="83"/>
      <c r="E66" s="83"/>
      <c r="F66" s="136" t="e">
        <f>VLOOKUP($B66,#REF!,MATCH(F$2,#REF!,0),0)</f>
        <v>#REF!</v>
      </c>
      <c r="G66" s="137" t="e">
        <f>VLOOKUP($B66,#REF!,MATCH(G$2,#REF!,0),0)</f>
        <v>#REF!</v>
      </c>
      <c r="H66" s="48"/>
      <c r="I66" s="48"/>
      <c r="J66" s="48"/>
      <c r="K66" s="48"/>
      <c r="L66" s="48"/>
      <c r="M66" s="48"/>
      <c r="N66" s="48"/>
      <c r="O66" s="48"/>
      <c r="P66" s="48"/>
      <c r="Q66" s="48"/>
      <c r="R66" s="150" t="e">
        <f t="shared" ref="R66:R70" si="62">$G66*H66</f>
        <v>#REF!</v>
      </c>
      <c r="S66" s="150" t="e">
        <f t="shared" ref="S66:S70" si="63">$G66*I66</f>
        <v>#REF!</v>
      </c>
      <c r="T66" s="150" t="e">
        <f t="shared" ref="T66:T70" si="64">$G66*J66</f>
        <v>#REF!</v>
      </c>
      <c r="U66" s="150" t="e">
        <f t="shared" ref="U66:U70" si="65">$G66*K66</f>
        <v>#REF!</v>
      </c>
      <c r="V66" s="150" t="e">
        <f>$G66*L66</f>
        <v>#REF!</v>
      </c>
      <c r="W66" s="150" t="e">
        <f t="shared" ref="W66:W70" si="66">$G66*M66</f>
        <v>#REF!</v>
      </c>
      <c r="X66" s="150" t="e">
        <f t="shared" ref="X66:X70" si="67">$G66*N66</f>
        <v>#REF!</v>
      </c>
      <c r="Y66" s="150" t="e">
        <f>$G66*O66</f>
        <v>#REF!</v>
      </c>
      <c r="Z66" s="150" t="e">
        <f t="shared" ref="Z66:Z70" si="68">$G66*P66</f>
        <v>#REF!</v>
      </c>
      <c r="AA66" s="150" t="e">
        <f t="shared" ref="AA66:AA70" si="69">$G66*Q66</f>
        <v>#REF!</v>
      </c>
      <c r="AB66" s="50"/>
    </row>
    <row r="67" s="28" customFormat="1" outlineLevel="3" spans="1:28">
      <c r="A67" s="52">
        <f>MAX($A$6:A66)+1</f>
        <v>59</v>
      </c>
      <c r="B67" s="152" t="s">
        <v>1761</v>
      </c>
      <c r="C67" s="51" t="e">
        <f>VLOOKUP($B67,#REF!,MATCH(C$2,#REF!,0),0)</f>
        <v>#REF!</v>
      </c>
      <c r="D67" s="83"/>
      <c r="E67" s="83"/>
      <c r="F67" s="136" t="e">
        <f>VLOOKUP($B67,#REF!,MATCH(F$2,#REF!,0),0)</f>
        <v>#REF!</v>
      </c>
      <c r="G67" s="137" t="e">
        <f>VLOOKUP($B67,#REF!,MATCH(G$2,#REF!,0),0)</f>
        <v>#REF!</v>
      </c>
      <c r="H67" s="48"/>
      <c r="I67" s="48"/>
      <c r="J67" s="48"/>
      <c r="K67" s="48"/>
      <c r="L67" s="48"/>
      <c r="M67" s="48"/>
      <c r="N67" s="48"/>
      <c r="O67" s="48"/>
      <c r="P67" s="48"/>
      <c r="Q67" s="48"/>
      <c r="R67" s="150" t="e">
        <f t="shared" si="62"/>
        <v>#REF!</v>
      </c>
      <c r="S67" s="150" t="e">
        <f t="shared" si="63"/>
        <v>#REF!</v>
      </c>
      <c r="T67" s="150" t="e">
        <f t="shared" si="64"/>
        <v>#REF!</v>
      </c>
      <c r="U67" s="150" t="e">
        <f t="shared" si="65"/>
        <v>#REF!</v>
      </c>
      <c r="V67" s="150" t="e">
        <f>$G67*L67</f>
        <v>#REF!</v>
      </c>
      <c r="W67" s="150" t="e">
        <f t="shared" si="66"/>
        <v>#REF!</v>
      </c>
      <c r="X67" s="150" t="e">
        <f t="shared" si="67"/>
        <v>#REF!</v>
      </c>
      <c r="Y67" s="150" t="e">
        <f>$G67*O67</f>
        <v>#REF!</v>
      </c>
      <c r="Z67" s="150" t="e">
        <f t="shared" si="68"/>
        <v>#REF!</v>
      </c>
      <c r="AA67" s="150" t="e">
        <f t="shared" si="69"/>
        <v>#REF!</v>
      </c>
      <c r="AB67" s="50"/>
    </row>
    <row r="68" s="28" customFormat="1" outlineLevel="3" spans="1:28">
      <c r="A68" s="52">
        <f>MAX($A$6:A67)+1</f>
        <v>60</v>
      </c>
      <c r="B68" s="152" t="s">
        <v>1762</v>
      </c>
      <c r="C68" s="51" t="e">
        <f>VLOOKUP($B68,#REF!,MATCH(C$2,#REF!,0),0)</f>
        <v>#REF!</v>
      </c>
      <c r="D68" s="83"/>
      <c r="E68" s="83"/>
      <c r="F68" s="136" t="e">
        <f>VLOOKUP($B68,#REF!,MATCH(F$2,#REF!,0),0)</f>
        <v>#REF!</v>
      </c>
      <c r="G68" s="137" t="e">
        <f>VLOOKUP($B68,#REF!,MATCH(G$2,#REF!,0),0)</f>
        <v>#REF!</v>
      </c>
      <c r="H68" s="48"/>
      <c r="I68" s="48"/>
      <c r="J68" s="48"/>
      <c r="K68" s="48"/>
      <c r="L68" s="48"/>
      <c r="M68" s="48"/>
      <c r="N68" s="48"/>
      <c r="O68" s="48"/>
      <c r="P68" s="48"/>
      <c r="Q68" s="48"/>
      <c r="R68" s="150" t="e">
        <f t="shared" si="62"/>
        <v>#REF!</v>
      </c>
      <c r="S68" s="150" t="e">
        <f t="shared" si="63"/>
        <v>#REF!</v>
      </c>
      <c r="T68" s="150" t="e">
        <f t="shared" si="64"/>
        <v>#REF!</v>
      </c>
      <c r="U68" s="150" t="e">
        <f t="shared" si="65"/>
        <v>#REF!</v>
      </c>
      <c r="V68" s="150" t="e">
        <f>$G68*L68</f>
        <v>#REF!</v>
      </c>
      <c r="W68" s="150" t="e">
        <f t="shared" si="66"/>
        <v>#REF!</v>
      </c>
      <c r="X68" s="150" t="e">
        <f t="shared" si="67"/>
        <v>#REF!</v>
      </c>
      <c r="Y68" s="150" t="e">
        <f>$G68*O68</f>
        <v>#REF!</v>
      </c>
      <c r="Z68" s="150" t="e">
        <f t="shared" si="68"/>
        <v>#REF!</v>
      </c>
      <c r="AA68" s="150" t="e">
        <f t="shared" si="69"/>
        <v>#REF!</v>
      </c>
      <c r="AB68" s="50"/>
    </row>
    <row r="69" s="28" customFormat="1" outlineLevel="3" spans="1:28">
      <c r="A69" s="52">
        <f>MAX($A$6:A68)+1</f>
        <v>61</v>
      </c>
      <c r="B69" s="152" t="s">
        <v>1763</v>
      </c>
      <c r="C69" s="51" t="e">
        <f>VLOOKUP($B69,#REF!,MATCH(C$2,#REF!,0),0)</f>
        <v>#REF!</v>
      </c>
      <c r="D69" s="83"/>
      <c r="E69" s="83"/>
      <c r="F69" s="136" t="e">
        <f>VLOOKUP($B69,#REF!,MATCH(F$2,#REF!,0),0)</f>
        <v>#REF!</v>
      </c>
      <c r="G69" s="137" t="e">
        <f>VLOOKUP($B69,#REF!,MATCH(G$2,#REF!,0),0)</f>
        <v>#REF!</v>
      </c>
      <c r="H69" s="48"/>
      <c r="I69" s="48"/>
      <c r="J69" s="48"/>
      <c r="K69" s="48"/>
      <c r="L69" s="48"/>
      <c r="M69" s="48"/>
      <c r="N69" s="48"/>
      <c r="O69" s="48"/>
      <c r="P69" s="48"/>
      <c r="Q69" s="48"/>
      <c r="R69" s="150" t="e">
        <f t="shared" si="62"/>
        <v>#REF!</v>
      </c>
      <c r="S69" s="150" t="e">
        <f t="shared" si="63"/>
        <v>#REF!</v>
      </c>
      <c r="T69" s="150" t="e">
        <f t="shared" si="64"/>
        <v>#REF!</v>
      </c>
      <c r="U69" s="150" t="e">
        <f t="shared" si="65"/>
        <v>#REF!</v>
      </c>
      <c r="V69" s="150" t="e">
        <f>$G69*L69</f>
        <v>#REF!</v>
      </c>
      <c r="W69" s="150" t="e">
        <f t="shared" si="66"/>
        <v>#REF!</v>
      </c>
      <c r="X69" s="150" t="e">
        <f t="shared" si="67"/>
        <v>#REF!</v>
      </c>
      <c r="Y69" s="150" t="e">
        <f>$G69*O69</f>
        <v>#REF!</v>
      </c>
      <c r="Z69" s="150" t="e">
        <f t="shared" si="68"/>
        <v>#REF!</v>
      </c>
      <c r="AA69" s="150" t="e">
        <f t="shared" si="69"/>
        <v>#REF!</v>
      </c>
      <c r="AB69" s="50"/>
    </row>
    <row r="70" s="28" customFormat="1" outlineLevel="3" spans="1:28">
      <c r="A70" s="52">
        <f>MAX($A$6:A69)+1</f>
        <v>62</v>
      </c>
      <c r="B70" s="51" t="s">
        <v>1907</v>
      </c>
      <c r="C70" s="51" t="e">
        <f>VLOOKUP($B70,#REF!,MATCH(C$2,#REF!,0),0)</f>
        <v>#REF!</v>
      </c>
      <c r="D70" s="83"/>
      <c r="E70" s="83"/>
      <c r="F70" s="136" t="e">
        <f>VLOOKUP($B70,#REF!,MATCH(F$2,#REF!,0),0)</f>
        <v>#REF!</v>
      </c>
      <c r="G70" s="137" t="e">
        <f>VLOOKUP($B70,#REF!,MATCH(G$2,#REF!,0),0)</f>
        <v>#REF!</v>
      </c>
      <c r="H70" s="48">
        <v>33.46</v>
      </c>
      <c r="I70" s="48">
        <v>40.26</v>
      </c>
      <c r="J70" s="48">
        <v>33.39</v>
      </c>
      <c r="K70" s="48">
        <v>33.39</v>
      </c>
      <c r="L70" s="48">
        <v>0.371</v>
      </c>
      <c r="M70" s="48"/>
      <c r="N70" s="48"/>
      <c r="O70" s="48"/>
      <c r="P70" s="48">
        <v>1</v>
      </c>
      <c r="Q70" s="48">
        <v>650.26</v>
      </c>
      <c r="R70" s="150" t="e">
        <f t="shared" si="62"/>
        <v>#REF!</v>
      </c>
      <c r="S70" s="150" t="e">
        <f t="shared" si="63"/>
        <v>#REF!</v>
      </c>
      <c r="T70" s="150" t="e">
        <f t="shared" si="64"/>
        <v>#REF!</v>
      </c>
      <c r="U70" s="150" t="e">
        <f t="shared" si="65"/>
        <v>#REF!</v>
      </c>
      <c r="V70" s="150" t="e">
        <f>$G70*L70</f>
        <v>#REF!</v>
      </c>
      <c r="W70" s="150" t="e">
        <f t="shared" si="66"/>
        <v>#REF!</v>
      </c>
      <c r="X70" s="150" t="e">
        <f t="shared" si="67"/>
        <v>#REF!</v>
      </c>
      <c r="Y70" s="150" t="e">
        <f>$G70*O70</f>
        <v>#REF!</v>
      </c>
      <c r="Z70" s="150" t="e">
        <f t="shared" si="68"/>
        <v>#REF!</v>
      </c>
      <c r="AA70" s="150" t="e">
        <f t="shared" si="69"/>
        <v>#REF!</v>
      </c>
      <c r="AB70" s="50"/>
    </row>
    <row r="71" s="122" customFormat="1" outlineLevel="1" spans="1:28">
      <c r="A71" s="130"/>
      <c r="B71" s="131" t="s">
        <v>1908</v>
      </c>
      <c r="C71" s="131"/>
      <c r="D71" s="153"/>
      <c r="E71" s="153"/>
      <c r="F71" s="154"/>
      <c r="G71" s="155"/>
      <c r="H71" s="134"/>
      <c r="I71" s="134"/>
      <c r="J71" s="134"/>
      <c r="K71" s="134"/>
      <c r="L71" s="134"/>
      <c r="M71" s="134"/>
      <c r="N71" s="134"/>
      <c r="O71" s="134"/>
      <c r="P71" s="134"/>
      <c r="Q71" s="134"/>
      <c r="R71" s="148" t="e">
        <f t="shared" ref="R71:AA71" si="70">SUM(R72,R86,R120,R123,R136)</f>
        <v>#REF!</v>
      </c>
      <c r="S71" s="148" t="e">
        <f t="shared" si="70"/>
        <v>#REF!</v>
      </c>
      <c r="T71" s="148" t="e">
        <f t="shared" si="70"/>
        <v>#REF!</v>
      </c>
      <c r="U71" s="148" t="e">
        <f t="shared" si="70"/>
        <v>#REF!</v>
      </c>
      <c r="V71" s="148" t="e">
        <f t="shared" si="70"/>
        <v>#REF!</v>
      </c>
      <c r="W71" s="148" t="e">
        <f t="shared" si="70"/>
        <v>#REF!</v>
      </c>
      <c r="X71" s="148" t="e">
        <f t="shared" si="70"/>
        <v>#REF!</v>
      </c>
      <c r="Y71" s="148" t="e">
        <f t="shared" si="70"/>
        <v>#REF!</v>
      </c>
      <c r="Z71" s="148" t="e">
        <f t="shared" si="70"/>
        <v>#REF!</v>
      </c>
      <c r="AA71" s="148" t="e">
        <f t="shared" si="70"/>
        <v>#REF!</v>
      </c>
      <c r="AB71" s="130"/>
    </row>
    <row r="72" s="29" customFormat="1" outlineLevel="2" spans="1:28">
      <c r="A72" s="40"/>
      <c r="B72" s="41" t="s">
        <v>1909</v>
      </c>
      <c r="C72" s="41"/>
      <c r="D72" s="140"/>
      <c r="E72" s="140"/>
      <c r="F72" s="141"/>
      <c r="G72" s="142"/>
      <c r="H72" s="43"/>
      <c r="I72" s="43"/>
      <c r="J72" s="43"/>
      <c r="K72" s="43"/>
      <c r="L72" s="43"/>
      <c r="M72" s="43"/>
      <c r="N72" s="43"/>
      <c r="O72" s="43"/>
      <c r="P72" s="43"/>
      <c r="Q72" s="43"/>
      <c r="R72" s="149" t="e">
        <f>SUM(R73:R85)</f>
        <v>#REF!</v>
      </c>
      <c r="S72" s="149" t="e">
        <f t="shared" ref="S72:AA72" si="71">SUM(S73:S85)</f>
        <v>#REF!</v>
      </c>
      <c r="T72" s="149" t="e">
        <f t="shared" si="71"/>
        <v>#REF!</v>
      </c>
      <c r="U72" s="149" t="e">
        <f t="shared" si="71"/>
        <v>#REF!</v>
      </c>
      <c r="V72" s="149" t="e">
        <f t="shared" si="71"/>
        <v>#REF!</v>
      </c>
      <c r="W72" s="149" t="e">
        <f t="shared" si="71"/>
        <v>#REF!</v>
      </c>
      <c r="X72" s="149" t="e">
        <f t="shared" si="71"/>
        <v>#REF!</v>
      </c>
      <c r="Y72" s="149" t="e">
        <f t="shared" si="71"/>
        <v>#REF!</v>
      </c>
      <c r="Z72" s="149" t="e">
        <f t="shared" si="71"/>
        <v>#REF!</v>
      </c>
      <c r="AA72" s="149" t="e">
        <f t="shared" si="71"/>
        <v>#REF!</v>
      </c>
      <c r="AB72" s="40"/>
    </row>
    <row r="73" s="28" customFormat="1" outlineLevel="3" spans="1:28">
      <c r="A73" s="52">
        <f>MAX($A$6:A72)+1</f>
        <v>63</v>
      </c>
      <c r="B73" s="51" t="s">
        <v>1910</v>
      </c>
      <c r="C73" s="51" t="e">
        <f>VLOOKUP($B73,#REF!,MATCH(C$2,#REF!,0),0)</f>
        <v>#REF!</v>
      </c>
      <c r="D73" s="83"/>
      <c r="E73" s="83"/>
      <c r="F73" s="136" t="e">
        <f>VLOOKUP($B73,#REF!,MATCH(F$2,#REF!,0),0)</f>
        <v>#REF!</v>
      </c>
      <c r="G73" s="137" t="e">
        <f>VLOOKUP($B73,#REF!,MATCH(G$2,#REF!,0),0)</f>
        <v>#REF!</v>
      </c>
      <c r="H73" s="48"/>
      <c r="I73" s="48"/>
      <c r="J73" s="48">
        <v>4</v>
      </c>
      <c r="K73" s="48">
        <v>4</v>
      </c>
      <c r="L73" s="48"/>
      <c r="M73" s="48"/>
      <c r="N73" s="48"/>
      <c r="O73" s="48"/>
      <c r="P73" s="48"/>
      <c r="Q73" s="48"/>
      <c r="R73" s="150" t="e">
        <f t="shared" ref="R73:AA73" si="72">$G73*H73</f>
        <v>#REF!</v>
      </c>
      <c r="S73" s="150" t="e">
        <f t="shared" si="72"/>
        <v>#REF!</v>
      </c>
      <c r="T73" s="150" t="e">
        <f t="shared" si="72"/>
        <v>#REF!</v>
      </c>
      <c r="U73" s="150" t="e">
        <f t="shared" si="72"/>
        <v>#REF!</v>
      </c>
      <c r="V73" s="150" t="e">
        <f t="shared" si="72"/>
        <v>#REF!</v>
      </c>
      <c r="W73" s="150" t="e">
        <f t="shared" si="72"/>
        <v>#REF!</v>
      </c>
      <c r="X73" s="150" t="e">
        <f t="shared" si="72"/>
        <v>#REF!</v>
      </c>
      <c r="Y73" s="150" t="e">
        <f t="shared" si="72"/>
        <v>#REF!</v>
      </c>
      <c r="Z73" s="150" t="e">
        <f t="shared" si="72"/>
        <v>#REF!</v>
      </c>
      <c r="AA73" s="150" t="e">
        <f t="shared" si="72"/>
        <v>#REF!</v>
      </c>
      <c r="AB73" s="50"/>
    </row>
    <row r="74" s="28" customFormat="1" outlineLevel="3" spans="1:28">
      <c r="A74" s="52">
        <f>MAX($A$6:A73)+1</f>
        <v>64</v>
      </c>
      <c r="B74" s="51" t="s">
        <v>1875</v>
      </c>
      <c r="C74" s="51" t="e">
        <f>VLOOKUP($B74,#REF!,MATCH(C$2,#REF!,0),0)</f>
        <v>#REF!</v>
      </c>
      <c r="D74" s="83"/>
      <c r="E74" s="83"/>
      <c r="F74" s="136" t="e">
        <f>VLOOKUP($B74,#REF!,MATCH(F$2,#REF!,0),0)</f>
        <v>#REF!</v>
      </c>
      <c r="G74" s="137" t="e">
        <f>VLOOKUP($B74,#REF!,MATCH(G$2,#REF!,0),0)</f>
        <v>#REF!</v>
      </c>
      <c r="H74" s="48"/>
      <c r="I74" s="48"/>
      <c r="J74" s="48"/>
      <c r="K74" s="48"/>
      <c r="L74" s="48">
        <v>2</v>
      </c>
      <c r="M74" s="48"/>
      <c r="N74" s="48"/>
      <c r="O74" s="48"/>
      <c r="P74" s="48">
        <v>4</v>
      </c>
      <c r="Q74" s="48">
        <v>72</v>
      </c>
      <c r="R74" s="150" t="e">
        <f t="shared" ref="R74:AA74" si="73">$G74*H74</f>
        <v>#REF!</v>
      </c>
      <c r="S74" s="150" t="e">
        <f t="shared" si="73"/>
        <v>#REF!</v>
      </c>
      <c r="T74" s="150" t="e">
        <f t="shared" si="73"/>
        <v>#REF!</v>
      </c>
      <c r="U74" s="150" t="e">
        <f t="shared" si="73"/>
        <v>#REF!</v>
      </c>
      <c r="V74" s="150" t="e">
        <f t="shared" si="73"/>
        <v>#REF!</v>
      </c>
      <c r="W74" s="150" t="e">
        <f t="shared" si="73"/>
        <v>#REF!</v>
      </c>
      <c r="X74" s="150" t="e">
        <f t="shared" si="73"/>
        <v>#REF!</v>
      </c>
      <c r="Y74" s="150" t="e">
        <f t="shared" si="73"/>
        <v>#REF!</v>
      </c>
      <c r="Z74" s="150" t="e">
        <f t="shared" si="73"/>
        <v>#REF!</v>
      </c>
      <c r="AA74" s="150" t="e">
        <f t="shared" si="73"/>
        <v>#REF!</v>
      </c>
      <c r="AB74" s="50"/>
    </row>
    <row r="75" s="28" customFormat="1" outlineLevel="3" spans="1:28">
      <c r="A75" s="52">
        <f>MAX($A$6:A74)+1</f>
        <v>65</v>
      </c>
      <c r="B75" s="51" t="s">
        <v>1911</v>
      </c>
      <c r="C75" s="51" t="e">
        <f>VLOOKUP($B75,#REF!,MATCH(C$2,#REF!,0),0)</f>
        <v>#REF!</v>
      </c>
      <c r="D75" s="83"/>
      <c r="E75" s="83"/>
      <c r="F75" s="136" t="e">
        <f>VLOOKUP($B75,#REF!,MATCH(F$2,#REF!,0),0)</f>
        <v>#REF!</v>
      </c>
      <c r="G75" s="137" t="e">
        <f>VLOOKUP($B75,#REF!,MATCH(G$2,#REF!,0),0)</f>
        <v>#REF!</v>
      </c>
      <c r="H75" s="48">
        <v>6</v>
      </c>
      <c r="I75" s="48">
        <v>6</v>
      </c>
      <c r="J75" s="48">
        <v>1</v>
      </c>
      <c r="K75" s="48">
        <v>1</v>
      </c>
      <c r="L75" s="48"/>
      <c r="M75" s="48"/>
      <c r="N75" s="48"/>
      <c r="O75" s="48"/>
      <c r="P75" s="48">
        <v>15</v>
      </c>
      <c r="Q75" s="48">
        <v>4</v>
      </c>
      <c r="R75" s="150" t="e">
        <f t="shared" ref="R75:AA75" si="74">$G75*H75</f>
        <v>#REF!</v>
      </c>
      <c r="S75" s="150" t="e">
        <f t="shared" si="74"/>
        <v>#REF!</v>
      </c>
      <c r="T75" s="150" t="e">
        <f t="shared" si="74"/>
        <v>#REF!</v>
      </c>
      <c r="U75" s="150" t="e">
        <f t="shared" si="74"/>
        <v>#REF!</v>
      </c>
      <c r="V75" s="150" t="e">
        <f t="shared" si="74"/>
        <v>#REF!</v>
      </c>
      <c r="W75" s="150" t="e">
        <f t="shared" si="74"/>
        <v>#REF!</v>
      </c>
      <c r="X75" s="150" t="e">
        <f t="shared" si="74"/>
        <v>#REF!</v>
      </c>
      <c r="Y75" s="150" t="e">
        <f t="shared" si="74"/>
        <v>#REF!</v>
      </c>
      <c r="Z75" s="150" t="e">
        <f t="shared" si="74"/>
        <v>#REF!</v>
      </c>
      <c r="AA75" s="150" t="e">
        <f t="shared" si="74"/>
        <v>#REF!</v>
      </c>
      <c r="AB75" s="50"/>
    </row>
    <row r="76" s="28" customFormat="1" outlineLevel="3" spans="1:28">
      <c r="A76" s="52">
        <f>MAX($A$6:A75)+1</f>
        <v>66</v>
      </c>
      <c r="B76" s="51" t="s">
        <v>1912</v>
      </c>
      <c r="C76" s="51" t="e">
        <f>VLOOKUP($B76,#REF!,MATCH(C$2,#REF!,0),0)</f>
        <v>#REF!</v>
      </c>
      <c r="D76" s="83"/>
      <c r="E76" s="83"/>
      <c r="F76" s="136" t="e">
        <f>VLOOKUP($B76,#REF!,MATCH(F$2,#REF!,0),0)</f>
        <v>#REF!</v>
      </c>
      <c r="G76" s="137" t="e">
        <f>VLOOKUP($B76,#REF!,MATCH(G$2,#REF!,0),0)</f>
        <v>#REF!</v>
      </c>
      <c r="H76" s="48"/>
      <c r="I76" s="48"/>
      <c r="J76" s="48"/>
      <c r="K76" s="48"/>
      <c r="L76" s="48"/>
      <c r="M76" s="48"/>
      <c r="N76" s="48"/>
      <c r="O76" s="48"/>
      <c r="P76" s="48">
        <v>7</v>
      </c>
      <c r="Q76" s="48">
        <v>1</v>
      </c>
      <c r="R76" s="150" t="e">
        <f t="shared" ref="R76:AA76" si="75">$G76*H76</f>
        <v>#REF!</v>
      </c>
      <c r="S76" s="150" t="e">
        <f t="shared" si="75"/>
        <v>#REF!</v>
      </c>
      <c r="T76" s="150" t="e">
        <f t="shared" si="75"/>
        <v>#REF!</v>
      </c>
      <c r="U76" s="150" t="e">
        <f t="shared" si="75"/>
        <v>#REF!</v>
      </c>
      <c r="V76" s="150" t="e">
        <f t="shared" si="75"/>
        <v>#REF!</v>
      </c>
      <c r="W76" s="150" t="e">
        <f t="shared" si="75"/>
        <v>#REF!</v>
      </c>
      <c r="X76" s="150" t="e">
        <f t="shared" si="75"/>
        <v>#REF!</v>
      </c>
      <c r="Y76" s="150" t="e">
        <f t="shared" si="75"/>
        <v>#REF!</v>
      </c>
      <c r="Z76" s="150" t="e">
        <f t="shared" si="75"/>
        <v>#REF!</v>
      </c>
      <c r="AA76" s="150" t="e">
        <f t="shared" si="75"/>
        <v>#REF!</v>
      </c>
      <c r="AB76" s="50"/>
    </row>
    <row r="77" s="28" customFormat="1" outlineLevel="3" spans="1:28">
      <c r="A77" s="52">
        <f>MAX($A$6:A76)+1</f>
        <v>67</v>
      </c>
      <c r="B77" s="51" t="s">
        <v>1913</v>
      </c>
      <c r="C77" s="51" t="e">
        <f>VLOOKUP($B77,#REF!,MATCH(C$2,#REF!,0),0)</f>
        <v>#REF!</v>
      </c>
      <c r="D77" s="83"/>
      <c r="E77" s="83"/>
      <c r="F77" s="136" t="e">
        <f>VLOOKUP($B77,#REF!,MATCH(F$2,#REF!,0),0)</f>
        <v>#REF!</v>
      </c>
      <c r="G77" s="137" t="e">
        <f>VLOOKUP($B77,#REF!,MATCH(G$2,#REF!,0),0)</f>
        <v>#REF!</v>
      </c>
      <c r="H77" s="48"/>
      <c r="I77" s="48"/>
      <c r="J77" s="48">
        <v>4</v>
      </c>
      <c r="K77" s="48">
        <v>4</v>
      </c>
      <c r="L77" s="48"/>
      <c r="M77" s="48"/>
      <c r="N77" s="48"/>
      <c r="O77" s="48"/>
      <c r="P77" s="48"/>
      <c r="Q77" s="48"/>
      <c r="R77" s="150" t="e">
        <f t="shared" ref="R77:AA77" si="76">$G77*H77</f>
        <v>#REF!</v>
      </c>
      <c r="S77" s="150" t="e">
        <f t="shared" si="76"/>
        <v>#REF!</v>
      </c>
      <c r="T77" s="150" t="e">
        <f t="shared" si="76"/>
        <v>#REF!</v>
      </c>
      <c r="U77" s="150" t="e">
        <f t="shared" si="76"/>
        <v>#REF!</v>
      </c>
      <c r="V77" s="150" t="e">
        <f t="shared" si="76"/>
        <v>#REF!</v>
      </c>
      <c r="W77" s="150" t="e">
        <f t="shared" si="76"/>
        <v>#REF!</v>
      </c>
      <c r="X77" s="150" t="e">
        <f t="shared" si="76"/>
        <v>#REF!</v>
      </c>
      <c r="Y77" s="150" t="e">
        <f t="shared" si="76"/>
        <v>#REF!</v>
      </c>
      <c r="Z77" s="150" t="e">
        <f t="shared" si="76"/>
        <v>#REF!</v>
      </c>
      <c r="AA77" s="150" t="e">
        <f t="shared" si="76"/>
        <v>#REF!</v>
      </c>
      <c r="AB77" s="50"/>
    </row>
    <row r="78" s="28" customFormat="1" outlineLevel="3" spans="1:28">
      <c r="A78" s="52">
        <f>MAX($A$6:A77)+1</f>
        <v>68</v>
      </c>
      <c r="B78" s="51" t="s">
        <v>1914</v>
      </c>
      <c r="C78" s="51" t="e">
        <f>VLOOKUP($B78,#REF!,MATCH(C$2,#REF!,0),0)</f>
        <v>#REF!</v>
      </c>
      <c r="D78" s="83"/>
      <c r="E78" s="83"/>
      <c r="F78" s="136" t="e">
        <f>VLOOKUP($B78,#REF!,MATCH(F$2,#REF!,0),0)</f>
        <v>#REF!</v>
      </c>
      <c r="G78" s="137" t="e">
        <f>VLOOKUP($B78,#REF!,MATCH(G$2,#REF!,0),0)</f>
        <v>#REF!</v>
      </c>
      <c r="H78" s="48"/>
      <c r="I78" s="48"/>
      <c r="J78" s="48"/>
      <c r="K78" s="48"/>
      <c r="L78" s="48">
        <v>2</v>
      </c>
      <c r="M78" s="48"/>
      <c r="N78" s="48"/>
      <c r="O78" s="48"/>
      <c r="P78" s="48">
        <v>4</v>
      </c>
      <c r="Q78" s="48">
        <v>72</v>
      </c>
      <c r="R78" s="150" t="e">
        <f t="shared" ref="R78:AA78" si="77">$G78*H78</f>
        <v>#REF!</v>
      </c>
      <c r="S78" s="150" t="e">
        <f t="shared" si="77"/>
        <v>#REF!</v>
      </c>
      <c r="T78" s="150" t="e">
        <f t="shared" si="77"/>
        <v>#REF!</v>
      </c>
      <c r="U78" s="150" t="e">
        <f t="shared" si="77"/>
        <v>#REF!</v>
      </c>
      <c r="V78" s="150" t="e">
        <f t="shared" si="77"/>
        <v>#REF!</v>
      </c>
      <c r="W78" s="150" t="e">
        <f t="shared" si="77"/>
        <v>#REF!</v>
      </c>
      <c r="X78" s="150" t="e">
        <f t="shared" si="77"/>
        <v>#REF!</v>
      </c>
      <c r="Y78" s="150" t="e">
        <f t="shared" si="77"/>
        <v>#REF!</v>
      </c>
      <c r="Z78" s="150" t="e">
        <f t="shared" si="77"/>
        <v>#REF!</v>
      </c>
      <c r="AA78" s="150" t="e">
        <f t="shared" si="77"/>
        <v>#REF!</v>
      </c>
      <c r="AB78" s="50"/>
    </row>
    <row r="79" s="28" customFormat="1" outlineLevel="3" spans="1:28">
      <c r="A79" s="52">
        <f>MAX($A$6:A78)+1</f>
        <v>69</v>
      </c>
      <c r="B79" s="51" t="s">
        <v>1915</v>
      </c>
      <c r="C79" s="51" t="e">
        <f>VLOOKUP($B79,#REF!,MATCH(C$2,#REF!,0),0)</f>
        <v>#REF!</v>
      </c>
      <c r="D79" s="83"/>
      <c r="E79" s="83"/>
      <c r="F79" s="136" t="e">
        <f>VLOOKUP($B79,#REF!,MATCH(F$2,#REF!,0),0)</f>
        <v>#REF!</v>
      </c>
      <c r="G79" s="137" t="e">
        <f>VLOOKUP($B79,#REF!,MATCH(G$2,#REF!,0),0)</f>
        <v>#REF!</v>
      </c>
      <c r="H79" s="48">
        <v>6</v>
      </c>
      <c r="I79" s="48">
        <v>6</v>
      </c>
      <c r="J79" s="48">
        <v>1</v>
      </c>
      <c r="K79" s="48">
        <v>1</v>
      </c>
      <c r="L79" s="48"/>
      <c r="M79" s="48"/>
      <c r="N79" s="48"/>
      <c r="O79" s="48"/>
      <c r="P79" s="48">
        <v>14</v>
      </c>
      <c r="Q79" s="48">
        <v>4</v>
      </c>
      <c r="R79" s="150" t="e">
        <f t="shared" ref="R79:AA79" si="78">$G79*H79</f>
        <v>#REF!</v>
      </c>
      <c r="S79" s="150" t="e">
        <f t="shared" si="78"/>
        <v>#REF!</v>
      </c>
      <c r="T79" s="150" t="e">
        <f t="shared" si="78"/>
        <v>#REF!</v>
      </c>
      <c r="U79" s="150" t="e">
        <f t="shared" si="78"/>
        <v>#REF!</v>
      </c>
      <c r="V79" s="150" t="e">
        <f t="shared" si="78"/>
        <v>#REF!</v>
      </c>
      <c r="W79" s="150" t="e">
        <f t="shared" si="78"/>
        <v>#REF!</v>
      </c>
      <c r="X79" s="150" t="e">
        <f t="shared" si="78"/>
        <v>#REF!</v>
      </c>
      <c r="Y79" s="150" t="e">
        <f t="shared" si="78"/>
        <v>#REF!</v>
      </c>
      <c r="Z79" s="150" t="e">
        <f t="shared" si="78"/>
        <v>#REF!</v>
      </c>
      <c r="AA79" s="150" t="e">
        <f t="shared" si="78"/>
        <v>#REF!</v>
      </c>
      <c r="AB79" s="50"/>
    </row>
    <row r="80" s="28" customFormat="1" ht="28.8" outlineLevel="3" spans="1:28">
      <c r="A80" s="52">
        <f>MAX($A$6:A79)+1</f>
        <v>70</v>
      </c>
      <c r="B80" s="51" t="s">
        <v>1916</v>
      </c>
      <c r="C80" s="51" t="e">
        <f>VLOOKUP($B80,#REF!,MATCH(C$2,#REF!,0),0)</f>
        <v>#REF!</v>
      </c>
      <c r="D80" s="83"/>
      <c r="E80" s="83"/>
      <c r="F80" s="136" t="e">
        <f>VLOOKUP($B80,#REF!,MATCH(F$2,#REF!,0),0)</f>
        <v>#REF!</v>
      </c>
      <c r="G80" s="137" t="e">
        <f>VLOOKUP($B80,#REF!,MATCH(G$2,#REF!,0),0)</f>
        <v>#REF!</v>
      </c>
      <c r="H80" s="48"/>
      <c r="I80" s="48"/>
      <c r="J80" s="48"/>
      <c r="K80" s="48"/>
      <c r="L80" s="48"/>
      <c r="M80" s="48"/>
      <c r="N80" s="48"/>
      <c r="O80" s="48"/>
      <c r="P80" s="48"/>
      <c r="Q80" s="48">
        <v>1</v>
      </c>
      <c r="R80" s="150" t="e">
        <f t="shared" ref="R80:AA80" si="79">$G80*H80</f>
        <v>#REF!</v>
      </c>
      <c r="S80" s="150" t="e">
        <f t="shared" si="79"/>
        <v>#REF!</v>
      </c>
      <c r="T80" s="150" t="e">
        <f t="shared" si="79"/>
        <v>#REF!</v>
      </c>
      <c r="U80" s="150" t="e">
        <f t="shared" si="79"/>
        <v>#REF!</v>
      </c>
      <c r="V80" s="150" t="e">
        <f t="shared" si="79"/>
        <v>#REF!</v>
      </c>
      <c r="W80" s="150" t="e">
        <f t="shared" si="79"/>
        <v>#REF!</v>
      </c>
      <c r="X80" s="150" t="e">
        <f t="shared" si="79"/>
        <v>#REF!</v>
      </c>
      <c r="Y80" s="150" t="e">
        <f t="shared" si="79"/>
        <v>#REF!</v>
      </c>
      <c r="Z80" s="150" t="e">
        <f t="shared" si="79"/>
        <v>#REF!</v>
      </c>
      <c r="AA80" s="150" t="e">
        <f t="shared" si="79"/>
        <v>#REF!</v>
      </c>
      <c r="AB80" s="50"/>
    </row>
    <row r="81" s="28" customFormat="1" outlineLevel="3" spans="1:28">
      <c r="A81" s="52">
        <f>MAX($A$6:A80)+1</f>
        <v>71</v>
      </c>
      <c r="B81" s="51" t="s">
        <v>1917</v>
      </c>
      <c r="C81" s="51" t="e">
        <f>VLOOKUP($B81,#REF!,MATCH(C$2,#REF!,0),0)</f>
        <v>#REF!</v>
      </c>
      <c r="D81" s="83"/>
      <c r="E81" s="83"/>
      <c r="F81" s="136" t="e">
        <f>VLOOKUP($B81,#REF!,MATCH(F$2,#REF!,0),0)</f>
        <v>#REF!</v>
      </c>
      <c r="G81" s="137" t="e">
        <f>VLOOKUP($B81,#REF!,MATCH(G$2,#REF!,0),0)</f>
        <v>#REF!</v>
      </c>
      <c r="H81" s="48"/>
      <c r="I81" s="48"/>
      <c r="J81" s="48"/>
      <c r="K81" s="48"/>
      <c r="L81" s="48"/>
      <c r="M81" s="48"/>
      <c r="N81" s="48"/>
      <c r="O81" s="48"/>
      <c r="P81" s="48"/>
      <c r="Q81" s="48"/>
      <c r="R81" s="150" t="e">
        <f t="shared" ref="R81:AA81" si="80">$G81*H81</f>
        <v>#REF!</v>
      </c>
      <c r="S81" s="150" t="e">
        <f t="shared" si="80"/>
        <v>#REF!</v>
      </c>
      <c r="T81" s="150" t="e">
        <f t="shared" si="80"/>
        <v>#REF!</v>
      </c>
      <c r="U81" s="150" t="e">
        <f t="shared" si="80"/>
        <v>#REF!</v>
      </c>
      <c r="V81" s="150" t="e">
        <f t="shared" si="80"/>
        <v>#REF!</v>
      </c>
      <c r="W81" s="150" t="e">
        <f t="shared" si="80"/>
        <v>#REF!</v>
      </c>
      <c r="X81" s="150" t="e">
        <f t="shared" si="80"/>
        <v>#REF!</v>
      </c>
      <c r="Y81" s="150" t="e">
        <f t="shared" si="80"/>
        <v>#REF!</v>
      </c>
      <c r="Z81" s="150" t="e">
        <f t="shared" si="80"/>
        <v>#REF!</v>
      </c>
      <c r="AA81" s="150" t="e">
        <f t="shared" si="80"/>
        <v>#REF!</v>
      </c>
      <c r="AB81" s="50"/>
    </row>
    <row r="82" s="28" customFormat="1" outlineLevel="3" spans="1:28">
      <c r="A82" s="52">
        <f>MAX($A$6:A81)+1</f>
        <v>72</v>
      </c>
      <c r="B82" s="51" t="s">
        <v>1918</v>
      </c>
      <c r="C82" s="51" t="e">
        <f>VLOOKUP($B82,#REF!,MATCH(C$2,#REF!,0),0)</f>
        <v>#REF!</v>
      </c>
      <c r="D82" s="83"/>
      <c r="E82" s="83"/>
      <c r="F82" s="136" t="e">
        <f>VLOOKUP($B82,#REF!,MATCH(F$2,#REF!,0),0)</f>
        <v>#REF!</v>
      </c>
      <c r="G82" s="137" t="e">
        <f>VLOOKUP($B82,#REF!,MATCH(G$2,#REF!,0),0)</f>
        <v>#REF!</v>
      </c>
      <c r="H82" s="48"/>
      <c r="I82" s="48"/>
      <c r="J82" s="48"/>
      <c r="K82" s="48"/>
      <c r="L82" s="48">
        <v>4</v>
      </c>
      <c r="M82" s="48"/>
      <c r="N82" s="48"/>
      <c r="O82" s="48"/>
      <c r="P82" s="48"/>
      <c r="Q82" s="48">
        <v>1</v>
      </c>
      <c r="R82" s="150" t="e">
        <f t="shared" ref="R82:AA82" si="81">$G82*H82</f>
        <v>#REF!</v>
      </c>
      <c r="S82" s="150" t="e">
        <f t="shared" si="81"/>
        <v>#REF!</v>
      </c>
      <c r="T82" s="150" t="e">
        <f t="shared" si="81"/>
        <v>#REF!</v>
      </c>
      <c r="U82" s="150" t="e">
        <f t="shared" si="81"/>
        <v>#REF!</v>
      </c>
      <c r="V82" s="150" t="e">
        <f t="shared" si="81"/>
        <v>#REF!</v>
      </c>
      <c r="W82" s="150" t="e">
        <f t="shared" si="81"/>
        <v>#REF!</v>
      </c>
      <c r="X82" s="150" t="e">
        <f t="shared" si="81"/>
        <v>#REF!</v>
      </c>
      <c r="Y82" s="150" t="e">
        <f t="shared" si="81"/>
        <v>#REF!</v>
      </c>
      <c r="Z82" s="150" t="e">
        <f t="shared" si="81"/>
        <v>#REF!</v>
      </c>
      <c r="AA82" s="150" t="e">
        <f t="shared" si="81"/>
        <v>#REF!</v>
      </c>
      <c r="AB82" s="50"/>
    </row>
    <row r="83" s="28" customFormat="1" outlineLevel="3" spans="1:28">
      <c r="A83" s="52">
        <f>MAX($A$6:A82)+1</f>
        <v>73</v>
      </c>
      <c r="B83" s="51" t="s">
        <v>1919</v>
      </c>
      <c r="C83" s="51" t="e">
        <f>VLOOKUP($B83,#REF!,MATCH(C$2,#REF!,0),0)</f>
        <v>#REF!</v>
      </c>
      <c r="D83" s="83"/>
      <c r="E83" s="83"/>
      <c r="F83" s="136" t="e">
        <f>VLOOKUP($B83,#REF!,MATCH(F$2,#REF!,0),0)</f>
        <v>#REF!</v>
      </c>
      <c r="G83" s="137" t="e">
        <f>VLOOKUP($B83,#REF!,MATCH(G$2,#REF!,0),0)</f>
        <v>#REF!</v>
      </c>
      <c r="H83" s="48">
        <v>6</v>
      </c>
      <c r="I83" s="48">
        <v>6</v>
      </c>
      <c r="J83" s="48"/>
      <c r="K83" s="48"/>
      <c r="L83" s="48"/>
      <c r="M83" s="48"/>
      <c r="N83" s="48"/>
      <c r="O83" s="48"/>
      <c r="P83" s="48"/>
      <c r="Q83" s="48"/>
      <c r="R83" s="150" t="e">
        <f t="shared" ref="R83:AA83" si="82">$G83*H83</f>
        <v>#REF!</v>
      </c>
      <c r="S83" s="150" t="e">
        <f t="shared" si="82"/>
        <v>#REF!</v>
      </c>
      <c r="T83" s="150" t="e">
        <f t="shared" si="82"/>
        <v>#REF!</v>
      </c>
      <c r="U83" s="150" t="e">
        <f t="shared" si="82"/>
        <v>#REF!</v>
      </c>
      <c r="V83" s="150" t="e">
        <f t="shared" si="82"/>
        <v>#REF!</v>
      </c>
      <c r="W83" s="150" t="e">
        <f t="shared" si="82"/>
        <v>#REF!</v>
      </c>
      <c r="X83" s="150" t="e">
        <f t="shared" si="82"/>
        <v>#REF!</v>
      </c>
      <c r="Y83" s="150" t="e">
        <f t="shared" si="82"/>
        <v>#REF!</v>
      </c>
      <c r="Z83" s="150" t="e">
        <f t="shared" si="82"/>
        <v>#REF!</v>
      </c>
      <c r="AA83" s="150" t="e">
        <f t="shared" si="82"/>
        <v>#REF!</v>
      </c>
      <c r="AB83" s="50"/>
    </row>
    <row r="84" s="28" customFormat="1" outlineLevel="3" spans="1:28">
      <c r="A84" s="52">
        <f>MAX($A$6:A83)+1</f>
        <v>74</v>
      </c>
      <c r="B84" s="51" t="s">
        <v>1689</v>
      </c>
      <c r="C84" s="51" t="e">
        <f>VLOOKUP($B84,#REF!,MATCH(C$2,#REF!,0),0)</f>
        <v>#REF!</v>
      </c>
      <c r="D84" s="83"/>
      <c r="E84" s="83"/>
      <c r="F84" s="136" t="e">
        <f>VLOOKUP($B84,#REF!,MATCH(F$2,#REF!,0),0)</f>
        <v>#REF!</v>
      </c>
      <c r="G84" s="137" t="e">
        <f>VLOOKUP($B84,#REF!,MATCH(G$2,#REF!,0),0)</f>
        <v>#REF!</v>
      </c>
      <c r="H84" s="48"/>
      <c r="I84" s="48"/>
      <c r="J84" s="48"/>
      <c r="K84" s="48"/>
      <c r="L84" s="48"/>
      <c r="M84" s="48"/>
      <c r="N84" s="48"/>
      <c r="O84" s="48"/>
      <c r="P84" s="48"/>
      <c r="Q84" s="48">
        <v>1</v>
      </c>
      <c r="R84" s="150" t="e">
        <f t="shared" ref="R84:AA84" si="83">$G84*H84</f>
        <v>#REF!</v>
      </c>
      <c r="S84" s="150" t="e">
        <f t="shared" si="83"/>
        <v>#REF!</v>
      </c>
      <c r="T84" s="150" t="e">
        <f t="shared" si="83"/>
        <v>#REF!</v>
      </c>
      <c r="U84" s="150" t="e">
        <f t="shared" si="83"/>
        <v>#REF!</v>
      </c>
      <c r="V84" s="150" t="e">
        <f t="shared" si="83"/>
        <v>#REF!</v>
      </c>
      <c r="W84" s="150" t="e">
        <f t="shared" si="83"/>
        <v>#REF!</v>
      </c>
      <c r="X84" s="150" t="e">
        <f t="shared" si="83"/>
        <v>#REF!</v>
      </c>
      <c r="Y84" s="150" t="e">
        <f t="shared" si="83"/>
        <v>#REF!</v>
      </c>
      <c r="Z84" s="150" t="e">
        <f t="shared" si="83"/>
        <v>#REF!</v>
      </c>
      <c r="AA84" s="150" t="e">
        <f t="shared" si="83"/>
        <v>#REF!</v>
      </c>
      <c r="AB84" s="50"/>
    </row>
    <row r="85" s="1" customFormat="1" outlineLevel="3" spans="1:28">
      <c r="A85" s="52">
        <f>MAX($A$6:A84)+1</f>
        <v>75</v>
      </c>
      <c r="B85" s="138" t="s">
        <v>1886</v>
      </c>
      <c r="C85" s="51" t="e">
        <f>VLOOKUP($B85,#REF!,MATCH(C$2,#REF!,0),0)</f>
        <v>#REF!</v>
      </c>
      <c r="D85" s="83"/>
      <c r="E85" s="83"/>
      <c r="F85" s="136" t="e">
        <f>VLOOKUP($B85,#REF!,MATCH(F$2,#REF!,0),0)</f>
        <v>#REF!</v>
      </c>
      <c r="G85" s="137" t="e">
        <f>VLOOKUP($B85,#REF!,MATCH(G$2,#REF!,0),0)</f>
        <v>#REF!</v>
      </c>
      <c r="H85" s="139"/>
      <c r="I85" s="139"/>
      <c r="J85" s="139"/>
      <c r="K85" s="139"/>
      <c r="L85" s="139"/>
      <c r="M85" s="139"/>
      <c r="N85" s="139"/>
      <c r="O85" s="139"/>
      <c r="P85" s="139">
        <v>12</v>
      </c>
      <c r="Q85" s="139"/>
      <c r="R85" s="150" t="e">
        <f t="shared" ref="R85:AA85" si="84">$G85*H85</f>
        <v>#REF!</v>
      </c>
      <c r="S85" s="150" t="e">
        <f t="shared" si="84"/>
        <v>#REF!</v>
      </c>
      <c r="T85" s="150" t="e">
        <f t="shared" si="84"/>
        <v>#REF!</v>
      </c>
      <c r="U85" s="150" t="e">
        <f t="shared" si="84"/>
        <v>#REF!</v>
      </c>
      <c r="V85" s="150" t="e">
        <f t="shared" si="84"/>
        <v>#REF!</v>
      </c>
      <c r="W85" s="150" t="e">
        <f t="shared" si="84"/>
        <v>#REF!</v>
      </c>
      <c r="X85" s="150" t="e">
        <f t="shared" si="84"/>
        <v>#REF!</v>
      </c>
      <c r="Y85" s="150" t="e">
        <f t="shared" si="84"/>
        <v>#REF!</v>
      </c>
      <c r="Z85" s="150" t="e">
        <f t="shared" si="84"/>
        <v>#REF!</v>
      </c>
      <c r="AA85" s="150" t="e">
        <f t="shared" si="84"/>
        <v>#REF!</v>
      </c>
      <c r="AB85" s="26"/>
    </row>
    <row r="86" s="29" customFormat="1" outlineLevel="2" spans="1:28">
      <c r="A86" s="40"/>
      <c r="B86" s="41" t="s">
        <v>1920</v>
      </c>
      <c r="C86" s="41"/>
      <c r="D86" s="140"/>
      <c r="E86" s="140"/>
      <c r="F86" s="141"/>
      <c r="G86" s="142"/>
      <c r="H86" s="43"/>
      <c r="I86" s="43"/>
      <c r="J86" s="43"/>
      <c r="K86" s="43"/>
      <c r="L86" s="43"/>
      <c r="M86" s="43"/>
      <c r="N86" s="43"/>
      <c r="O86" s="43"/>
      <c r="P86" s="43"/>
      <c r="Q86" s="43"/>
      <c r="R86" s="149" t="e">
        <f t="shared" ref="R86:AA86" si="85">SUM(R87:R119)</f>
        <v>#REF!</v>
      </c>
      <c r="S86" s="149" t="e">
        <f t="shared" si="85"/>
        <v>#REF!</v>
      </c>
      <c r="T86" s="149" t="e">
        <f t="shared" si="85"/>
        <v>#REF!</v>
      </c>
      <c r="U86" s="149" t="e">
        <f t="shared" si="85"/>
        <v>#REF!</v>
      </c>
      <c r="V86" s="149" t="e">
        <f t="shared" si="85"/>
        <v>#REF!</v>
      </c>
      <c r="W86" s="149" t="e">
        <f t="shared" si="85"/>
        <v>#REF!</v>
      </c>
      <c r="X86" s="149" t="e">
        <f t="shared" si="85"/>
        <v>#REF!</v>
      </c>
      <c r="Y86" s="149" t="e">
        <f t="shared" si="85"/>
        <v>#REF!</v>
      </c>
      <c r="Z86" s="149" t="e">
        <f t="shared" si="85"/>
        <v>#REF!</v>
      </c>
      <c r="AA86" s="149" t="e">
        <f t="shared" si="85"/>
        <v>#REF!</v>
      </c>
      <c r="AB86" s="40"/>
    </row>
    <row r="87" s="28" customFormat="1" ht="28.8" outlineLevel="3" spans="1:28">
      <c r="A87" s="52">
        <f>MAX($A$6:A86)+1</f>
        <v>76</v>
      </c>
      <c r="B87" s="51" t="s">
        <v>1921</v>
      </c>
      <c r="C87" s="51" t="e">
        <f>VLOOKUP($B87,#REF!,MATCH(C$2,#REF!,0),0)</f>
        <v>#REF!</v>
      </c>
      <c r="D87" s="83"/>
      <c r="E87" s="83"/>
      <c r="F87" s="136" t="e">
        <f>VLOOKUP($B87,#REF!,MATCH(F$2,#REF!,0),0)</f>
        <v>#REF!</v>
      </c>
      <c r="G87" s="137" t="e">
        <f>VLOOKUP($B87,#REF!,MATCH(G$2,#REF!,0),0)</f>
        <v>#REF!</v>
      </c>
      <c r="H87" s="48">
        <v>35</v>
      </c>
      <c r="I87" s="48">
        <v>35</v>
      </c>
      <c r="J87" s="48">
        <v>28</v>
      </c>
      <c r="K87" s="48">
        <v>28</v>
      </c>
      <c r="L87" s="48"/>
      <c r="M87" s="48"/>
      <c r="N87" s="48"/>
      <c r="O87" s="48"/>
      <c r="P87" s="48"/>
      <c r="Q87" s="48"/>
      <c r="R87" s="150" t="e">
        <f t="shared" ref="R87:AA87" si="86">$G87*H87</f>
        <v>#REF!</v>
      </c>
      <c r="S87" s="150" t="e">
        <f t="shared" si="86"/>
        <v>#REF!</v>
      </c>
      <c r="T87" s="150" t="e">
        <f t="shared" si="86"/>
        <v>#REF!</v>
      </c>
      <c r="U87" s="150" t="e">
        <f t="shared" si="86"/>
        <v>#REF!</v>
      </c>
      <c r="V87" s="150" t="e">
        <f t="shared" si="86"/>
        <v>#REF!</v>
      </c>
      <c r="W87" s="150" t="e">
        <f t="shared" si="86"/>
        <v>#REF!</v>
      </c>
      <c r="X87" s="150" t="e">
        <f t="shared" si="86"/>
        <v>#REF!</v>
      </c>
      <c r="Y87" s="150" t="e">
        <f t="shared" si="86"/>
        <v>#REF!</v>
      </c>
      <c r="Z87" s="150" t="e">
        <f t="shared" si="86"/>
        <v>#REF!</v>
      </c>
      <c r="AA87" s="150" t="e">
        <f t="shared" si="86"/>
        <v>#REF!</v>
      </c>
      <c r="AB87" s="50"/>
    </row>
    <row r="88" s="28" customFormat="1" ht="28.8" outlineLevel="3" spans="1:28">
      <c r="A88" s="52">
        <f>MAX($A$6:A87)+1</f>
        <v>77</v>
      </c>
      <c r="B88" s="51" t="s">
        <v>1922</v>
      </c>
      <c r="C88" s="51" t="e">
        <f>VLOOKUP($B88,#REF!,MATCH(C$2,#REF!,0),0)</f>
        <v>#REF!</v>
      </c>
      <c r="D88" s="83"/>
      <c r="E88" s="83"/>
      <c r="F88" s="136" t="e">
        <f>VLOOKUP($B88,#REF!,MATCH(F$2,#REF!,0),0)</f>
        <v>#REF!</v>
      </c>
      <c r="G88" s="137" t="e">
        <f>VLOOKUP($B88,#REF!,MATCH(G$2,#REF!,0),0)</f>
        <v>#REF!</v>
      </c>
      <c r="H88" s="48">
        <v>90</v>
      </c>
      <c r="I88" s="48">
        <v>90</v>
      </c>
      <c r="J88" s="48">
        <v>73</v>
      </c>
      <c r="K88" s="48">
        <v>73</v>
      </c>
      <c r="L88" s="48"/>
      <c r="M88" s="48"/>
      <c r="N88" s="48"/>
      <c r="O88" s="48"/>
      <c r="P88" s="48"/>
      <c r="Q88" s="48"/>
      <c r="R88" s="150" t="e">
        <f t="shared" ref="R88:AA88" si="87">$G88*H88</f>
        <v>#REF!</v>
      </c>
      <c r="S88" s="150" t="e">
        <f t="shared" si="87"/>
        <v>#REF!</v>
      </c>
      <c r="T88" s="150" t="e">
        <f t="shared" si="87"/>
        <v>#REF!</v>
      </c>
      <c r="U88" s="150" t="e">
        <f t="shared" si="87"/>
        <v>#REF!</v>
      </c>
      <c r="V88" s="150" t="e">
        <f t="shared" si="87"/>
        <v>#REF!</v>
      </c>
      <c r="W88" s="150" t="e">
        <f t="shared" si="87"/>
        <v>#REF!</v>
      </c>
      <c r="X88" s="150" t="e">
        <f t="shared" si="87"/>
        <v>#REF!</v>
      </c>
      <c r="Y88" s="150" t="e">
        <f t="shared" si="87"/>
        <v>#REF!</v>
      </c>
      <c r="Z88" s="150" t="e">
        <f t="shared" si="87"/>
        <v>#REF!</v>
      </c>
      <c r="AA88" s="150" t="e">
        <f t="shared" si="87"/>
        <v>#REF!</v>
      </c>
      <c r="AB88" s="50"/>
    </row>
    <row r="89" s="28" customFormat="1" ht="28.8" outlineLevel="3" spans="1:28">
      <c r="A89" s="52">
        <f>MAX($A$6:A88)+1</f>
        <v>78</v>
      </c>
      <c r="B89" s="51" t="s">
        <v>1923</v>
      </c>
      <c r="C89" s="51" t="e">
        <f>VLOOKUP($B89,#REF!,MATCH(C$2,#REF!,0),0)</f>
        <v>#REF!</v>
      </c>
      <c r="D89" s="83"/>
      <c r="E89" s="83"/>
      <c r="F89" s="136" t="e">
        <f>VLOOKUP($B89,#REF!,MATCH(F$2,#REF!,0),0)</f>
        <v>#REF!</v>
      </c>
      <c r="G89" s="137" t="e">
        <f>VLOOKUP($B89,#REF!,MATCH(G$2,#REF!,0),0)</f>
        <v>#REF!</v>
      </c>
      <c r="H89" s="48">
        <v>18</v>
      </c>
      <c r="I89" s="48">
        <v>18</v>
      </c>
      <c r="J89" s="48">
        <v>11</v>
      </c>
      <c r="K89" s="48">
        <v>11</v>
      </c>
      <c r="L89" s="48"/>
      <c r="M89" s="48"/>
      <c r="N89" s="48"/>
      <c r="O89" s="48"/>
      <c r="P89" s="48"/>
      <c r="Q89" s="48"/>
      <c r="R89" s="150" t="e">
        <f t="shared" ref="R89:AA89" si="88">$G89*H89</f>
        <v>#REF!</v>
      </c>
      <c r="S89" s="150" t="e">
        <f t="shared" si="88"/>
        <v>#REF!</v>
      </c>
      <c r="T89" s="150" t="e">
        <f t="shared" si="88"/>
        <v>#REF!</v>
      </c>
      <c r="U89" s="150" t="e">
        <f t="shared" si="88"/>
        <v>#REF!</v>
      </c>
      <c r="V89" s="150" t="e">
        <f t="shared" si="88"/>
        <v>#REF!</v>
      </c>
      <c r="W89" s="150" t="e">
        <f t="shared" si="88"/>
        <v>#REF!</v>
      </c>
      <c r="X89" s="150" t="e">
        <f t="shared" si="88"/>
        <v>#REF!</v>
      </c>
      <c r="Y89" s="150" t="e">
        <f t="shared" si="88"/>
        <v>#REF!</v>
      </c>
      <c r="Z89" s="150" t="e">
        <f t="shared" si="88"/>
        <v>#REF!</v>
      </c>
      <c r="AA89" s="150" t="e">
        <f t="shared" si="88"/>
        <v>#REF!</v>
      </c>
      <c r="AB89" s="50"/>
    </row>
    <row r="90" s="28" customFormat="1" outlineLevel="3" spans="1:28">
      <c r="A90" s="52">
        <f>MAX($A$6:A89)+1</f>
        <v>79</v>
      </c>
      <c r="B90" s="51" t="s">
        <v>1924</v>
      </c>
      <c r="C90" s="51" t="e">
        <f>VLOOKUP($B90,#REF!,MATCH(C$2,#REF!,0),0)</f>
        <v>#REF!</v>
      </c>
      <c r="D90" s="83"/>
      <c r="E90" s="83"/>
      <c r="F90" s="136" t="e">
        <f>VLOOKUP($B90,#REF!,MATCH(F$2,#REF!,0),0)</f>
        <v>#REF!</v>
      </c>
      <c r="G90" s="137" t="e">
        <f>VLOOKUP($B90,#REF!,MATCH(G$2,#REF!,0),0)</f>
        <v>#REF!</v>
      </c>
      <c r="H90" s="48">
        <v>45</v>
      </c>
      <c r="I90" s="48">
        <v>45</v>
      </c>
      <c r="J90" s="48">
        <v>31</v>
      </c>
      <c r="K90" s="48">
        <v>31</v>
      </c>
      <c r="L90" s="48"/>
      <c r="M90" s="48"/>
      <c r="N90" s="48"/>
      <c r="O90" s="48"/>
      <c r="P90" s="48"/>
      <c r="Q90" s="48"/>
      <c r="R90" s="150" t="e">
        <f t="shared" ref="R90:AA90" si="89">$G90*H90</f>
        <v>#REF!</v>
      </c>
      <c r="S90" s="150" t="e">
        <f t="shared" si="89"/>
        <v>#REF!</v>
      </c>
      <c r="T90" s="150" t="e">
        <f t="shared" si="89"/>
        <v>#REF!</v>
      </c>
      <c r="U90" s="150" t="e">
        <f t="shared" si="89"/>
        <v>#REF!</v>
      </c>
      <c r="V90" s="150" t="e">
        <f t="shared" si="89"/>
        <v>#REF!</v>
      </c>
      <c r="W90" s="150" t="e">
        <f t="shared" si="89"/>
        <v>#REF!</v>
      </c>
      <c r="X90" s="150" t="e">
        <f t="shared" si="89"/>
        <v>#REF!</v>
      </c>
      <c r="Y90" s="150" t="e">
        <f t="shared" si="89"/>
        <v>#REF!</v>
      </c>
      <c r="Z90" s="150" t="e">
        <f t="shared" si="89"/>
        <v>#REF!</v>
      </c>
      <c r="AA90" s="150" t="e">
        <f t="shared" si="89"/>
        <v>#REF!</v>
      </c>
      <c r="AB90" s="50"/>
    </row>
    <row r="91" s="28" customFormat="1" ht="28.8" outlineLevel="3" spans="1:28">
      <c r="A91" s="52">
        <f>MAX($A$6:A90)+1</f>
        <v>80</v>
      </c>
      <c r="B91" s="51" t="s">
        <v>1925</v>
      </c>
      <c r="C91" s="51" t="e">
        <f>VLOOKUP($B91,#REF!,MATCH(C$2,#REF!,0),0)</f>
        <v>#REF!</v>
      </c>
      <c r="D91" s="83"/>
      <c r="E91" s="83"/>
      <c r="F91" s="136" t="e">
        <f>VLOOKUP($B91,#REF!,MATCH(F$2,#REF!,0),0)</f>
        <v>#REF!</v>
      </c>
      <c r="G91" s="137" t="e">
        <f>VLOOKUP($B91,#REF!,MATCH(G$2,#REF!,0),0)</f>
        <v>#REF!</v>
      </c>
      <c r="H91" s="48"/>
      <c r="I91" s="48"/>
      <c r="J91" s="48"/>
      <c r="K91" s="48"/>
      <c r="L91" s="48"/>
      <c r="M91" s="48"/>
      <c r="N91" s="48"/>
      <c r="O91" s="48"/>
      <c r="P91" s="48"/>
      <c r="Q91" s="48"/>
      <c r="R91" s="150" t="e">
        <f t="shared" ref="R91:AA91" si="90">$G91*H91</f>
        <v>#REF!</v>
      </c>
      <c r="S91" s="150" t="e">
        <f t="shared" si="90"/>
        <v>#REF!</v>
      </c>
      <c r="T91" s="150" t="e">
        <f t="shared" si="90"/>
        <v>#REF!</v>
      </c>
      <c r="U91" s="150" t="e">
        <f t="shared" si="90"/>
        <v>#REF!</v>
      </c>
      <c r="V91" s="150" t="e">
        <f t="shared" si="90"/>
        <v>#REF!</v>
      </c>
      <c r="W91" s="150" t="e">
        <f t="shared" si="90"/>
        <v>#REF!</v>
      </c>
      <c r="X91" s="150" t="e">
        <f t="shared" si="90"/>
        <v>#REF!</v>
      </c>
      <c r="Y91" s="150" t="e">
        <f t="shared" si="90"/>
        <v>#REF!</v>
      </c>
      <c r="Z91" s="150" t="e">
        <f t="shared" si="90"/>
        <v>#REF!</v>
      </c>
      <c r="AA91" s="150" t="e">
        <f t="shared" si="90"/>
        <v>#REF!</v>
      </c>
      <c r="AB91" s="50"/>
    </row>
    <row r="92" s="28" customFormat="1" ht="28.8" outlineLevel="3" spans="1:28">
      <c r="A92" s="52">
        <f>MAX($A$6:A91)+1</f>
        <v>81</v>
      </c>
      <c r="B92" s="51" t="s">
        <v>1926</v>
      </c>
      <c r="C92" s="51" t="e">
        <f>VLOOKUP($B92,#REF!,MATCH(C$2,#REF!,0),0)</f>
        <v>#REF!</v>
      </c>
      <c r="D92" s="83"/>
      <c r="E92" s="83"/>
      <c r="F92" s="136" t="e">
        <f>VLOOKUP($B92,#REF!,MATCH(F$2,#REF!,0),0)</f>
        <v>#REF!</v>
      </c>
      <c r="G92" s="137" t="e">
        <f>VLOOKUP($B92,#REF!,MATCH(G$2,#REF!,0),0)</f>
        <v>#REF!</v>
      </c>
      <c r="H92" s="48"/>
      <c r="I92" s="48"/>
      <c r="J92" s="48"/>
      <c r="K92" s="48"/>
      <c r="L92" s="48"/>
      <c r="M92" s="48"/>
      <c r="N92" s="48"/>
      <c r="O92" s="48"/>
      <c r="P92" s="48"/>
      <c r="Q92" s="48"/>
      <c r="R92" s="150" t="e">
        <f t="shared" ref="R92:AA92" si="91">$G92*H92</f>
        <v>#REF!</v>
      </c>
      <c r="S92" s="150" t="e">
        <f t="shared" si="91"/>
        <v>#REF!</v>
      </c>
      <c r="T92" s="150" t="e">
        <f t="shared" si="91"/>
        <v>#REF!</v>
      </c>
      <c r="U92" s="150" t="e">
        <f t="shared" si="91"/>
        <v>#REF!</v>
      </c>
      <c r="V92" s="150" t="e">
        <f t="shared" si="91"/>
        <v>#REF!</v>
      </c>
      <c r="W92" s="150" t="e">
        <f t="shared" si="91"/>
        <v>#REF!</v>
      </c>
      <c r="X92" s="150" t="e">
        <f t="shared" si="91"/>
        <v>#REF!</v>
      </c>
      <c r="Y92" s="150" t="e">
        <f t="shared" si="91"/>
        <v>#REF!</v>
      </c>
      <c r="Z92" s="150" t="e">
        <f t="shared" si="91"/>
        <v>#REF!</v>
      </c>
      <c r="AA92" s="150" t="e">
        <f t="shared" si="91"/>
        <v>#REF!</v>
      </c>
      <c r="AB92" s="50"/>
    </row>
    <row r="93" s="28" customFormat="1" ht="28.8" outlineLevel="3" spans="1:28">
      <c r="A93" s="52">
        <f>MAX($A$6:A92)+1</f>
        <v>82</v>
      </c>
      <c r="B93" s="51" t="s">
        <v>1927</v>
      </c>
      <c r="C93" s="51" t="e">
        <f>VLOOKUP($B93,#REF!,MATCH(C$2,#REF!,0),0)</f>
        <v>#REF!</v>
      </c>
      <c r="D93" s="83"/>
      <c r="E93" s="83"/>
      <c r="F93" s="136" t="e">
        <f>VLOOKUP($B93,#REF!,MATCH(F$2,#REF!,0),0)</f>
        <v>#REF!</v>
      </c>
      <c r="G93" s="137" t="e">
        <f>VLOOKUP($B93,#REF!,MATCH(G$2,#REF!,0),0)</f>
        <v>#REF!</v>
      </c>
      <c r="H93" s="48">
        <v>10</v>
      </c>
      <c r="I93" s="48">
        <v>10</v>
      </c>
      <c r="J93" s="48">
        <v>8</v>
      </c>
      <c r="K93" s="48">
        <v>8</v>
      </c>
      <c r="L93" s="48"/>
      <c r="M93" s="48"/>
      <c r="N93" s="48"/>
      <c r="O93" s="48"/>
      <c r="P93" s="48"/>
      <c r="Q93" s="48"/>
      <c r="R93" s="150" t="e">
        <f t="shared" ref="R93:AA93" si="92">$G93*H93</f>
        <v>#REF!</v>
      </c>
      <c r="S93" s="150" t="e">
        <f t="shared" si="92"/>
        <v>#REF!</v>
      </c>
      <c r="T93" s="150" t="e">
        <f t="shared" si="92"/>
        <v>#REF!</v>
      </c>
      <c r="U93" s="150" t="e">
        <f t="shared" si="92"/>
        <v>#REF!</v>
      </c>
      <c r="V93" s="150" t="e">
        <f t="shared" si="92"/>
        <v>#REF!</v>
      </c>
      <c r="W93" s="150" t="e">
        <f t="shared" si="92"/>
        <v>#REF!</v>
      </c>
      <c r="X93" s="150" t="e">
        <f t="shared" si="92"/>
        <v>#REF!</v>
      </c>
      <c r="Y93" s="150" t="e">
        <f t="shared" si="92"/>
        <v>#REF!</v>
      </c>
      <c r="Z93" s="150" t="e">
        <f t="shared" si="92"/>
        <v>#REF!</v>
      </c>
      <c r="AA93" s="150" t="e">
        <f t="shared" si="92"/>
        <v>#REF!</v>
      </c>
      <c r="AB93" s="50"/>
    </row>
    <row r="94" s="28" customFormat="1" ht="28.8" outlineLevel="3" spans="1:28">
      <c r="A94" s="52">
        <f>MAX($A$6:A93)+1</f>
        <v>83</v>
      </c>
      <c r="B94" s="51" t="s">
        <v>1928</v>
      </c>
      <c r="C94" s="51" t="e">
        <f>VLOOKUP($B94,#REF!,MATCH(C$2,#REF!,0),0)</f>
        <v>#REF!</v>
      </c>
      <c r="D94" s="83"/>
      <c r="E94" s="83"/>
      <c r="F94" s="136" t="e">
        <f>VLOOKUP($B94,#REF!,MATCH(F$2,#REF!,0),0)</f>
        <v>#REF!</v>
      </c>
      <c r="G94" s="137" t="e">
        <f>VLOOKUP($B94,#REF!,MATCH(G$2,#REF!,0),0)</f>
        <v>#REF!</v>
      </c>
      <c r="H94" s="48"/>
      <c r="I94" s="48"/>
      <c r="J94" s="48"/>
      <c r="K94" s="48"/>
      <c r="L94" s="48"/>
      <c r="M94" s="48"/>
      <c r="N94" s="48"/>
      <c r="O94" s="48"/>
      <c r="P94" s="48"/>
      <c r="Q94" s="48"/>
      <c r="R94" s="150" t="e">
        <f t="shared" ref="R94:R101" si="93">$G94*H94</f>
        <v>#REF!</v>
      </c>
      <c r="S94" s="150" t="e">
        <f t="shared" ref="S94:S101" si="94">$G94*I94</f>
        <v>#REF!</v>
      </c>
      <c r="T94" s="150" t="e">
        <f t="shared" ref="T94:T101" si="95">$G94*J94</f>
        <v>#REF!</v>
      </c>
      <c r="U94" s="150" t="e">
        <f t="shared" ref="U94:U101" si="96">$G94*K94</f>
        <v>#REF!</v>
      </c>
      <c r="V94" s="150" t="e">
        <f t="shared" ref="V94:V101" si="97">$G94*L94</f>
        <v>#REF!</v>
      </c>
      <c r="W94" s="150" t="e">
        <f t="shared" ref="W94:W101" si="98">$G94*M94</f>
        <v>#REF!</v>
      </c>
      <c r="X94" s="150" t="e">
        <f t="shared" ref="X94:X101" si="99">$G94*N94</f>
        <v>#REF!</v>
      </c>
      <c r="Y94" s="150" t="e">
        <f t="shared" ref="Y94:Y119" si="100">$G94*O94</f>
        <v>#REF!</v>
      </c>
      <c r="Z94" s="150" t="e">
        <f t="shared" ref="Z94:Z113" si="101">$G94*P94</f>
        <v>#REF!</v>
      </c>
      <c r="AA94" s="150" t="e">
        <f t="shared" ref="AA94:AA113" si="102">$G94*Q94</f>
        <v>#REF!</v>
      </c>
      <c r="AB94" s="50"/>
    </row>
    <row r="95" s="28" customFormat="1" ht="28.8" outlineLevel="3" spans="1:28">
      <c r="A95" s="52">
        <f>MAX($A$6:A94)+1</f>
        <v>84</v>
      </c>
      <c r="B95" s="51" t="s">
        <v>1929</v>
      </c>
      <c r="C95" s="51" t="e">
        <f>VLOOKUP($B95,#REF!,MATCH(C$2,#REF!,0),0)</f>
        <v>#REF!</v>
      </c>
      <c r="D95" s="83"/>
      <c r="E95" s="83"/>
      <c r="F95" s="136" t="e">
        <f>VLOOKUP($B95,#REF!,MATCH(F$2,#REF!,0),0)</f>
        <v>#REF!</v>
      </c>
      <c r="G95" s="137" t="e">
        <f>VLOOKUP($B95,#REF!,MATCH(G$2,#REF!,0),0)</f>
        <v>#REF!</v>
      </c>
      <c r="H95" s="48"/>
      <c r="I95" s="48"/>
      <c r="J95" s="48"/>
      <c r="K95" s="48"/>
      <c r="L95" s="48"/>
      <c r="M95" s="48"/>
      <c r="N95" s="48"/>
      <c r="O95" s="48"/>
      <c r="P95" s="48"/>
      <c r="Q95" s="48"/>
      <c r="R95" s="150" t="e">
        <f t="shared" si="93"/>
        <v>#REF!</v>
      </c>
      <c r="S95" s="150" t="e">
        <f t="shared" si="94"/>
        <v>#REF!</v>
      </c>
      <c r="T95" s="150" t="e">
        <f t="shared" si="95"/>
        <v>#REF!</v>
      </c>
      <c r="U95" s="150" t="e">
        <f t="shared" si="96"/>
        <v>#REF!</v>
      </c>
      <c r="V95" s="150" t="e">
        <f t="shared" si="97"/>
        <v>#REF!</v>
      </c>
      <c r="W95" s="150" t="e">
        <f t="shared" si="98"/>
        <v>#REF!</v>
      </c>
      <c r="X95" s="150" t="e">
        <f t="shared" si="99"/>
        <v>#REF!</v>
      </c>
      <c r="Y95" s="150" t="e">
        <f t="shared" si="100"/>
        <v>#REF!</v>
      </c>
      <c r="Z95" s="150" t="e">
        <f t="shared" si="101"/>
        <v>#REF!</v>
      </c>
      <c r="AA95" s="150" t="e">
        <f t="shared" si="102"/>
        <v>#REF!</v>
      </c>
      <c r="AB95" s="50"/>
    </row>
    <row r="96" s="28" customFormat="1" ht="28.8" outlineLevel="3" spans="1:28">
      <c r="A96" s="52">
        <f>MAX($A$6:A95)+1</f>
        <v>85</v>
      </c>
      <c r="B96" s="51" t="s">
        <v>1930</v>
      </c>
      <c r="C96" s="51" t="e">
        <f>VLOOKUP($B96,#REF!,MATCH(C$2,#REF!,0),0)</f>
        <v>#REF!</v>
      </c>
      <c r="D96" s="83"/>
      <c r="E96" s="83"/>
      <c r="F96" s="136" t="e">
        <f>VLOOKUP($B96,#REF!,MATCH(F$2,#REF!,0),0)</f>
        <v>#REF!</v>
      </c>
      <c r="G96" s="137" t="e">
        <f>VLOOKUP($B96,#REF!,MATCH(G$2,#REF!,0),0)</f>
        <v>#REF!</v>
      </c>
      <c r="H96" s="48"/>
      <c r="I96" s="48"/>
      <c r="J96" s="48"/>
      <c r="K96" s="48"/>
      <c r="L96" s="48"/>
      <c r="M96" s="48"/>
      <c r="N96" s="48"/>
      <c r="O96" s="48"/>
      <c r="P96" s="48"/>
      <c r="Q96" s="48"/>
      <c r="R96" s="150" t="e">
        <f t="shared" si="93"/>
        <v>#REF!</v>
      </c>
      <c r="S96" s="150" t="e">
        <f t="shared" si="94"/>
        <v>#REF!</v>
      </c>
      <c r="T96" s="150" t="e">
        <f t="shared" si="95"/>
        <v>#REF!</v>
      </c>
      <c r="U96" s="150" t="e">
        <f t="shared" si="96"/>
        <v>#REF!</v>
      </c>
      <c r="V96" s="150" t="e">
        <f t="shared" si="97"/>
        <v>#REF!</v>
      </c>
      <c r="W96" s="150" t="e">
        <f t="shared" si="98"/>
        <v>#REF!</v>
      </c>
      <c r="X96" s="150" t="e">
        <f t="shared" si="99"/>
        <v>#REF!</v>
      </c>
      <c r="Y96" s="150" t="e">
        <f t="shared" si="100"/>
        <v>#REF!</v>
      </c>
      <c r="Z96" s="150" t="e">
        <f t="shared" si="101"/>
        <v>#REF!</v>
      </c>
      <c r="AA96" s="150" t="e">
        <f t="shared" si="102"/>
        <v>#REF!</v>
      </c>
      <c r="AB96" s="50"/>
    </row>
    <row r="97" s="28" customFormat="1" ht="28.8" outlineLevel="3" spans="1:28">
      <c r="A97" s="52">
        <f>MAX($A$6:A96)+1</f>
        <v>86</v>
      </c>
      <c r="B97" s="51" t="s">
        <v>1931</v>
      </c>
      <c r="C97" s="51" t="e">
        <f>VLOOKUP($B97,#REF!,MATCH(C$2,#REF!,0),0)</f>
        <v>#REF!</v>
      </c>
      <c r="D97" s="83"/>
      <c r="E97" s="83"/>
      <c r="F97" s="136" t="e">
        <f>VLOOKUP($B97,#REF!,MATCH(F$2,#REF!,0),0)</f>
        <v>#REF!</v>
      </c>
      <c r="G97" s="137" t="e">
        <f>VLOOKUP($B97,#REF!,MATCH(G$2,#REF!,0),0)</f>
        <v>#REF!</v>
      </c>
      <c r="H97" s="48"/>
      <c r="I97" s="48"/>
      <c r="J97" s="48"/>
      <c r="K97" s="48"/>
      <c r="L97" s="48"/>
      <c r="M97" s="48"/>
      <c r="N97" s="48"/>
      <c r="O97" s="48"/>
      <c r="P97" s="48"/>
      <c r="Q97" s="48"/>
      <c r="R97" s="150" t="e">
        <f t="shared" si="93"/>
        <v>#REF!</v>
      </c>
      <c r="S97" s="150" t="e">
        <f t="shared" si="94"/>
        <v>#REF!</v>
      </c>
      <c r="T97" s="150" t="e">
        <f t="shared" si="95"/>
        <v>#REF!</v>
      </c>
      <c r="U97" s="150" t="e">
        <f t="shared" si="96"/>
        <v>#REF!</v>
      </c>
      <c r="V97" s="150" t="e">
        <f t="shared" si="97"/>
        <v>#REF!</v>
      </c>
      <c r="W97" s="150" t="e">
        <f t="shared" si="98"/>
        <v>#REF!</v>
      </c>
      <c r="X97" s="150" t="e">
        <f t="shared" si="99"/>
        <v>#REF!</v>
      </c>
      <c r="Y97" s="150" t="e">
        <f t="shared" si="100"/>
        <v>#REF!</v>
      </c>
      <c r="Z97" s="150" t="e">
        <f t="shared" si="101"/>
        <v>#REF!</v>
      </c>
      <c r="AA97" s="150" t="e">
        <f t="shared" si="102"/>
        <v>#REF!</v>
      </c>
      <c r="AB97" s="50"/>
    </row>
    <row r="98" s="28" customFormat="1" ht="28.8" outlineLevel="3" spans="1:28">
      <c r="A98" s="52">
        <f>MAX($A$6:A97)+1</f>
        <v>87</v>
      </c>
      <c r="B98" s="51" t="s">
        <v>1932</v>
      </c>
      <c r="C98" s="51" t="e">
        <f>VLOOKUP($B98,#REF!,MATCH(C$2,#REF!,0),0)</f>
        <v>#REF!</v>
      </c>
      <c r="D98" s="83"/>
      <c r="E98" s="83"/>
      <c r="F98" s="136" t="e">
        <f>VLOOKUP($B98,#REF!,MATCH(F$2,#REF!,0),0)</f>
        <v>#REF!</v>
      </c>
      <c r="G98" s="137" t="e">
        <f>VLOOKUP($B98,#REF!,MATCH(G$2,#REF!,0),0)</f>
        <v>#REF!</v>
      </c>
      <c r="H98" s="48"/>
      <c r="I98" s="48"/>
      <c r="J98" s="48"/>
      <c r="K98" s="48"/>
      <c r="L98" s="48"/>
      <c r="M98" s="48"/>
      <c r="N98" s="48"/>
      <c r="O98" s="48"/>
      <c r="P98" s="48"/>
      <c r="Q98" s="48"/>
      <c r="R98" s="150" t="e">
        <f t="shared" si="93"/>
        <v>#REF!</v>
      </c>
      <c r="S98" s="150" t="e">
        <f t="shared" si="94"/>
        <v>#REF!</v>
      </c>
      <c r="T98" s="150" t="e">
        <f t="shared" si="95"/>
        <v>#REF!</v>
      </c>
      <c r="U98" s="150" t="e">
        <f t="shared" si="96"/>
        <v>#REF!</v>
      </c>
      <c r="V98" s="150" t="e">
        <f t="shared" si="97"/>
        <v>#REF!</v>
      </c>
      <c r="W98" s="150" t="e">
        <f t="shared" si="98"/>
        <v>#REF!</v>
      </c>
      <c r="X98" s="150" t="e">
        <f t="shared" si="99"/>
        <v>#REF!</v>
      </c>
      <c r="Y98" s="150" t="e">
        <f t="shared" si="100"/>
        <v>#REF!</v>
      </c>
      <c r="Z98" s="150" t="e">
        <f t="shared" si="101"/>
        <v>#REF!</v>
      </c>
      <c r="AA98" s="150" t="e">
        <f t="shared" si="102"/>
        <v>#REF!</v>
      </c>
      <c r="AB98" s="50"/>
    </row>
    <row r="99" s="28" customFormat="1" ht="28.8" outlineLevel="3" spans="1:28">
      <c r="A99" s="52">
        <f>MAX($A$6:A98)+1</f>
        <v>88</v>
      </c>
      <c r="B99" s="51" t="s">
        <v>1933</v>
      </c>
      <c r="C99" s="51" t="e">
        <f>VLOOKUP($B99,#REF!,MATCH(C$2,#REF!,0),0)</f>
        <v>#REF!</v>
      </c>
      <c r="D99" s="83"/>
      <c r="E99" s="83"/>
      <c r="F99" s="136" t="e">
        <f>VLOOKUP($B99,#REF!,MATCH(F$2,#REF!,0),0)</f>
        <v>#REF!</v>
      </c>
      <c r="G99" s="137" t="e">
        <f>VLOOKUP($B99,#REF!,MATCH(G$2,#REF!,0),0)</f>
        <v>#REF!</v>
      </c>
      <c r="H99" s="48"/>
      <c r="I99" s="48"/>
      <c r="J99" s="48"/>
      <c r="K99" s="48"/>
      <c r="L99" s="48"/>
      <c r="M99" s="48"/>
      <c r="N99" s="48"/>
      <c r="O99" s="48"/>
      <c r="P99" s="48"/>
      <c r="Q99" s="48"/>
      <c r="R99" s="150" t="e">
        <f t="shared" si="93"/>
        <v>#REF!</v>
      </c>
      <c r="S99" s="150" t="e">
        <f t="shared" si="94"/>
        <v>#REF!</v>
      </c>
      <c r="T99" s="150" t="e">
        <f t="shared" si="95"/>
        <v>#REF!</v>
      </c>
      <c r="U99" s="150" t="e">
        <f t="shared" si="96"/>
        <v>#REF!</v>
      </c>
      <c r="V99" s="150" t="e">
        <f t="shared" si="97"/>
        <v>#REF!</v>
      </c>
      <c r="W99" s="150" t="e">
        <f t="shared" si="98"/>
        <v>#REF!</v>
      </c>
      <c r="X99" s="150" t="e">
        <f t="shared" si="99"/>
        <v>#REF!</v>
      </c>
      <c r="Y99" s="150" t="e">
        <f t="shared" si="100"/>
        <v>#REF!</v>
      </c>
      <c r="Z99" s="150" t="e">
        <f t="shared" si="101"/>
        <v>#REF!</v>
      </c>
      <c r="AA99" s="150" t="e">
        <f t="shared" si="102"/>
        <v>#REF!</v>
      </c>
      <c r="AB99" s="50"/>
    </row>
    <row r="100" s="28" customFormat="1" ht="28.8" outlineLevel="3" spans="1:28">
      <c r="A100" s="52">
        <f>MAX($A$6:A99)+1</f>
        <v>89</v>
      </c>
      <c r="B100" s="51" t="s">
        <v>1934</v>
      </c>
      <c r="C100" s="51" t="e">
        <f>VLOOKUP($B100,#REF!,MATCH(C$2,#REF!,0),0)</f>
        <v>#REF!</v>
      </c>
      <c r="D100" s="83"/>
      <c r="E100" s="83"/>
      <c r="F100" s="136" t="e">
        <f>VLOOKUP($B100,#REF!,MATCH(F$2,#REF!,0),0)</f>
        <v>#REF!</v>
      </c>
      <c r="G100" s="137" t="e">
        <f>VLOOKUP($B100,#REF!,MATCH(G$2,#REF!,0),0)</f>
        <v>#REF!</v>
      </c>
      <c r="H100" s="48"/>
      <c r="I100" s="48"/>
      <c r="J100" s="48"/>
      <c r="K100" s="48"/>
      <c r="L100" s="48"/>
      <c r="M100" s="48"/>
      <c r="N100" s="48"/>
      <c r="O100" s="48"/>
      <c r="P100" s="48"/>
      <c r="Q100" s="48"/>
      <c r="R100" s="150" t="e">
        <f t="shared" si="93"/>
        <v>#REF!</v>
      </c>
      <c r="S100" s="150" t="e">
        <f t="shared" si="94"/>
        <v>#REF!</v>
      </c>
      <c r="T100" s="150" t="e">
        <f t="shared" si="95"/>
        <v>#REF!</v>
      </c>
      <c r="U100" s="150" t="e">
        <f t="shared" si="96"/>
        <v>#REF!</v>
      </c>
      <c r="V100" s="150" t="e">
        <f t="shared" si="97"/>
        <v>#REF!</v>
      </c>
      <c r="W100" s="150" t="e">
        <f t="shared" si="98"/>
        <v>#REF!</v>
      </c>
      <c r="X100" s="150" t="e">
        <f t="shared" si="99"/>
        <v>#REF!</v>
      </c>
      <c r="Y100" s="150" t="e">
        <f t="shared" si="100"/>
        <v>#REF!</v>
      </c>
      <c r="Z100" s="150" t="e">
        <f t="shared" si="101"/>
        <v>#REF!</v>
      </c>
      <c r="AA100" s="150" t="e">
        <f t="shared" si="102"/>
        <v>#REF!</v>
      </c>
      <c r="AB100" s="50"/>
    </row>
    <row r="101" s="28" customFormat="1" ht="28.8" outlineLevel="3" spans="1:28">
      <c r="A101" s="52">
        <f>MAX($A$6:A100)+1</f>
        <v>90</v>
      </c>
      <c r="B101" s="51" t="s">
        <v>1935</v>
      </c>
      <c r="C101" s="51" t="e">
        <f>VLOOKUP($B101,#REF!,MATCH(C$2,#REF!,0),0)</f>
        <v>#REF!</v>
      </c>
      <c r="D101" s="83"/>
      <c r="E101" s="83"/>
      <c r="F101" s="136" t="e">
        <f>VLOOKUP($B101,#REF!,MATCH(F$2,#REF!,0),0)</f>
        <v>#REF!</v>
      </c>
      <c r="G101" s="137" t="e">
        <f>VLOOKUP($B101,#REF!,MATCH(G$2,#REF!,0),0)</f>
        <v>#REF!</v>
      </c>
      <c r="H101" s="48">
        <v>150.62</v>
      </c>
      <c r="I101" s="48">
        <v>150.08</v>
      </c>
      <c r="J101" s="48">
        <v>168.01</v>
      </c>
      <c r="K101" s="48">
        <v>168.01</v>
      </c>
      <c r="L101" s="48"/>
      <c r="M101" s="48"/>
      <c r="N101" s="48"/>
      <c r="O101" s="48"/>
      <c r="P101" s="48"/>
      <c r="Q101" s="48"/>
      <c r="R101" s="150" t="e">
        <f t="shared" ref="R101:Z101" si="103">$G101*H101</f>
        <v>#REF!</v>
      </c>
      <c r="S101" s="150" t="e">
        <f t="shared" si="103"/>
        <v>#REF!</v>
      </c>
      <c r="T101" s="150" t="e">
        <f t="shared" si="103"/>
        <v>#REF!</v>
      </c>
      <c r="U101" s="150" t="e">
        <f t="shared" si="103"/>
        <v>#REF!</v>
      </c>
      <c r="V101" s="150" t="e">
        <f t="shared" si="103"/>
        <v>#REF!</v>
      </c>
      <c r="W101" s="150" t="e">
        <f t="shared" si="103"/>
        <v>#REF!</v>
      </c>
      <c r="X101" s="150" t="e">
        <f t="shared" si="103"/>
        <v>#REF!</v>
      </c>
      <c r="Y101" s="150" t="e">
        <f t="shared" si="100"/>
        <v>#REF!</v>
      </c>
      <c r="Z101" s="150" t="e">
        <f t="shared" si="101"/>
        <v>#REF!</v>
      </c>
      <c r="AA101" s="150" t="e">
        <f t="shared" si="102"/>
        <v>#REF!</v>
      </c>
      <c r="AB101" s="50"/>
    </row>
    <row r="102" s="28" customFormat="1" ht="28.8" outlineLevel="3" spans="1:28">
      <c r="A102" s="52">
        <f>MAX($A$6:A101)+1</f>
        <v>91</v>
      </c>
      <c r="B102" s="51" t="s">
        <v>1936</v>
      </c>
      <c r="C102" s="51" t="e">
        <f>VLOOKUP($B102,#REF!,MATCH(C$2,#REF!,0),0)</f>
        <v>#REF!</v>
      </c>
      <c r="D102" s="83"/>
      <c r="E102" s="83"/>
      <c r="F102" s="136" t="e">
        <f>VLOOKUP($B102,#REF!,MATCH(F$2,#REF!,0),0)</f>
        <v>#REF!</v>
      </c>
      <c r="G102" s="137" t="e">
        <f>VLOOKUP($B102,#REF!,MATCH(G$2,#REF!,0),0)</f>
        <v>#REF!</v>
      </c>
      <c r="H102" s="48">
        <v>35.08</v>
      </c>
      <c r="I102" s="48">
        <v>24.43</v>
      </c>
      <c r="J102" s="48">
        <v>34.95</v>
      </c>
      <c r="K102" s="48">
        <v>34.95</v>
      </c>
      <c r="L102" s="48"/>
      <c r="M102" s="48"/>
      <c r="N102" s="48"/>
      <c r="O102" s="48"/>
      <c r="P102" s="48"/>
      <c r="Q102" s="48"/>
      <c r="R102" s="150" t="e">
        <f t="shared" ref="R102:Z102" si="104">$G102*H102</f>
        <v>#REF!</v>
      </c>
      <c r="S102" s="150" t="e">
        <f t="shared" si="104"/>
        <v>#REF!</v>
      </c>
      <c r="T102" s="150" t="e">
        <f t="shared" si="104"/>
        <v>#REF!</v>
      </c>
      <c r="U102" s="150" t="e">
        <f t="shared" si="104"/>
        <v>#REF!</v>
      </c>
      <c r="V102" s="150" t="e">
        <f t="shared" si="104"/>
        <v>#REF!</v>
      </c>
      <c r="W102" s="150" t="e">
        <f t="shared" si="104"/>
        <v>#REF!</v>
      </c>
      <c r="X102" s="150" t="e">
        <f t="shared" si="104"/>
        <v>#REF!</v>
      </c>
      <c r="Y102" s="150" t="e">
        <f t="shared" si="100"/>
        <v>#REF!</v>
      </c>
      <c r="Z102" s="150" t="e">
        <f t="shared" si="101"/>
        <v>#REF!</v>
      </c>
      <c r="AA102" s="150" t="e">
        <f t="shared" si="102"/>
        <v>#REF!</v>
      </c>
      <c r="AB102" s="50"/>
    </row>
    <row r="103" s="28" customFormat="1" ht="28.8" outlineLevel="3" spans="1:28">
      <c r="A103" s="52">
        <f>MAX($A$6:A102)+1</f>
        <v>92</v>
      </c>
      <c r="B103" s="51" t="s">
        <v>1937</v>
      </c>
      <c r="C103" s="51" t="e">
        <f>VLOOKUP($B103,#REF!,MATCH(C$2,#REF!,0),0)</f>
        <v>#REF!</v>
      </c>
      <c r="D103" s="83"/>
      <c r="E103" s="83"/>
      <c r="F103" s="136" t="e">
        <f>VLOOKUP($B103,#REF!,MATCH(F$2,#REF!,0),0)</f>
        <v>#REF!</v>
      </c>
      <c r="G103" s="137" t="e">
        <f>VLOOKUP($B103,#REF!,MATCH(G$2,#REF!,0),0)</f>
        <v>#REF!</v>
      </c>
      <c r="H103" s="48">
        <v>1</v>
      </c>
      <c r="I103" s="48">
        <v>1</v>
      </c>
      <c r="J103" s="48">
        <v>1</v>
      </c>
      <c r="K103" s="48">
        <v>1</v>
      </c>
      <c r="L103" s="48"/>
      <c r="M103" s="48"/>
      <c r="N103" s="48"/>
      <c r="O103" s="48"/>
      <c r="P103" s="48"/>
      <c r="Q103" s="48"/>
      <c r="R103" s="150" t="e">
        <f t="shared" ref="R103:Z103" si="105">$G103*H103</f>
        <v>#REF!</v>
      </c>
      <c r="S103" s="150" t="e">
        <f t="shared" si="105"/>
        <v>#REF!</v>
      </c>
      <c r="T103" s="150" t="e">
        <f t="shared" si="105"/>
        <v>#REF!</v>
      </c>
      <c r="U103" s="150" t="e">
        <f t="shared" si="105"/>
        <v>#REF!</v>
      </c>
      <c r="V103" s="150" t="e">
        <f t="shared" si="105"/>
        <v>#REF!</v>
      </c>
      <c r="W103" s="150" t="e">
        <f t="shared" si="105"/>
        <v>#REF!</v>
      </c>
      <c r="X103" s="150" t="e">
        <f t="shared" si="105"/>
        <v>#REF!</v>
      </c>
      <c r="Y103" s="150" t="e">
        <f t="shared" si="100"/>
        <v>#REF!</v>
      </c>
      <c r="Z103" s="150" t="e">
        <f t="shared" si="101"/>
        <v>#REF!</v>
      </c>
      <c r="AA103" s="150" t="e">
        <f t="shared" si="102"/>
        <v>#REF!</v>
      </c>
      <c r="AB103" s="50"/>
    </row>
    <row r="104" s="28" customFormat="1" ht="28.8" outlineLevel="3" spans="1:28">
      <c r="A104" s="52">
        <f>MAX($A$6:A103)+1</f>
        <v>93</v>
      </c>
      <c r="B104" s="51" t="s">
        <v>1938</v>
      </c>
      <c r="C104" s="51" t="e">
        <f>VLOOKUP($B104,#REF!,MATCH(C$2,#REF!,0),0)</f>
        <v>#REF!</v>
      </c>
      <c r="D104" s="83"/>
      <c r="E104" s="83"/>
      <c r="F104" s="136" t="e">
        <f>VLOOKUP($B104,#REF!,MATCH(F$2,#REF!,0),0)</f>
        <v>#REF!</v>
      </c>
      <c r="G104" s="137" t="e">
        <f>VLOOKUP($B104,#REF!,MATCH(G$2,#REF!,0),0)</f>
        <v>#REF!</v>
      </c>
      <c r="H104" s="48">
        <v>20.85</v>
      </c>
      <c r="I104" s="48">
        <v>18.2</v>
      </c>
      <c r="J104" s="48">
        <v>1</v>
      </c>
      <c r="K104" s="48">
        <v>1</v>
      </c>
      <c r="L104" s="48">
        <v>7.6</v>
      </c>
      <c r="M104" s="48"/>
      <c r="N104" s="48"/>
      <c r="O104" s="48"/>
      <c r="P104" s="48"/>
      <c r="Q104" s="48"/>
      <c r="R104" s="150" t="e">
        <f t="shared" ref="R104:Z104" si="106">$G104*H104</f>
        <v>#REF!</v>
      </c>
      <c r="S104" s="150" t="e">
        <f t="shared" si="106"/>
        <v>#REF!</v>
      </c>
      <c r="T104" s="150" t="e">
        <f t="shared" si="106"/>
        <v>#REF!</v>
      </c>
      <c r="U104" s="150" t="e">
        <f t="shared" si="106"/>
        <v>#REF!</v>
      </c>
      <c r="V104" s="150" t="e">
        <f t="shared" si="106"/>
        <v>#REF!</v>
      </c>
      <c r="W104" s="150" t="e">
        <f t="shared" si="106"/>
        <v>#REF!</v>
      </c>
      <c r="X104" s="150" t="e">
        <f t="shared" si="106"/>
        <v>#REF!</v>
      </c>
      <c r="Y104" s="150" t="e">
        <f t="shared" si="100"/>
        <v>#REF!</v>
      </c>
      <c r="Z104" s="150" t="e">
        <f t="shared" si="101"/>
        <v>#REF!</v>
      </c>
      <c r="AA104" s="150" t="e">
        <f t="shared" si="102"/>
        <v>#REF!</v>
      </c>
      <c r="AB104" s="50"/>
    </row>
    <row r="105" s="28" customFormat="1" ht="28.8" outlineLevel="3" spans="1:28">
      <c r="A105" s="52">
        <f>MAX($A$6:A104)+1</f>
        <v>94</v>
      </c>
      <c r="B105" s="51" t="s">
        <v>1939</v>
      </c>
      <c r="C105" s="51" t="e">
        <f>VLOOKUP($B105,#REF!,MATCH(C$2,#REF!,0),0)</f>
        <v>#REF!</v>
      </c>
      <c r="D105" s="83"/>
      <c r="E105" s="83"/>
      <c r="F105" s="136" t="e">
        <f>VLOOKUP($B105,#REF!,MATCH(F$2,#REF!,0),0)</f>
        <v>#REF!</v>
      </c>
      <c r="G105" s="137" t="e">
        <f>VLOOKUP($B105,#REF!,MATCH(G$2,#REF!,0),0)</f>
        <v>#REF!</v>
      </c>
      <c r="H105" s="48">
        <v>1</v>
      </c>
      <c r="I105" s="48">
        <v>1</v>
      </c>
      <c r="J105" s="48">
        <v>12.6</v>
      </c>
      <c r="K105" s="48">
        <v>12.6</v>
      </c>
      <c r="L105" s="48"/>
      <c r="M105" s="48"/>
      <c r="N105" s="48"/>
      <c r="O105" s="48"/>
      <c r="P105" s="48"/>
      <c r="Q105" s="48"/>
      <c r="R105" s="150" t="e">
        <f t="shared" ref="R105:Z105" si="107">$G105*H105</f>
        <v>#REF!</v>
      </c>
      <c r="S105" s="150" t="e">
        <f t="shared" si="107"/>
        <v>#REF!</v>
      </c>
      <c r="T105" s="150" t="e">
        <f t="shared" si="107"/>
        <v>#REF!</v>
      </c>
      <c r="U105" s="150" t="e">
        <f t="shared" si="107"/>
        <v>#REF!</v>
      </c>
      <c r="V105" s="150" t="e">
        <f t="shared" si="107"/>
        <v>#REF!</v>
      </c>
      <c r="W105" s="150" t="e">
        <f t="shared" si="107"/>
        <v>#REF!</v>
      </c>
      <c r="X105" s="150" t="e">
        <f t="shared" si="107"/>
        <v>#REF!</v>
      </c>
      <c r="Y105" s="150" t="e">
        <f t="shared" si="100"/>
        <v>#REF!</v>
      </c>
      <c r="Z105" s="150" t="e">
        <f t="shared" si="101"/>
        <v>#REF!</v>
      </c>
      <c r="AA105" s="150" t="e">
        <f t="shared" si="102"/>
        <v>#REF!</v>
      </c>
      <c r="AB105" s="50"/>
    </row>
    <row r="106" s="28" customFormat="1" ht="28.8" outlineLevel="3" spans="1:28">
      <c r="A106" s="52">
        <f>MAX($A$6:A105)+1</f>
        <v>95</v>
      </c>
      <c r="B106" s="51" t="s">
        <v>1940</v>
      </c>
      <c r="C106" s="51" t="e">
        <f>VLOOKUP($B106,#REF!,MATCH(C$2,#REF!,0),0)</f>
        <v>#REF!</v>
      </c>
      <c r="D106" s="83"/>
      <c r="E106" s="83"/>
      <c r="F106" s="136" t="e">
        <f>VLOOKUP($B106,#REF!,MATCH(F$2,#REF!,0),0)</f>
        <v>#REF!</v>
      </c>
      <c r="G106" s="137" t="e">
        <f>VLOOKUP($B106,#REF!,MATCH(G$2,#REF!,0),0)</f>
        <v>#REF!</v>
      </c>
      <c r="H106" s="48">
        <v>103.29</v>
      </c>
      <c r="I106" s="48">
        <v>102.95</v>
      </c>
      <c r="J106" s="48">
        <v>52.59</v>
      </c>
      <c r="K106" s="48">
        <v>52.59</v>
      </c>
      <c r="L106" s="48">
        <v>59.062</v>
      </c>
      <c r="M106" s="48"/>
      <c r="N106" s="48"/>
      <c r="O106" s="48"/>
      <c r="P106" s="48"/>
      <c r="Q106" s="48">
        <v>7.6</v>
      </c>
      <c r="R106" s="150" t="e">
        <f t="shared" ref="R106:Z106" si="108">$G106*H106</f>
        <v>#REF!</v>
      </c>
      <c r="S106" s="150" t="e">
        <f t="shared" si="108"/>
        <v>#REF!</v>
      </c>
      <c r="T106" s="150" t="e">
        <f t="shared" si="108"/>
        <v>#REF!</v>
      </c>
      <c r="U106" s="150" t="e">
        <f t="shared" si="108"/>
        <v>#REF!</v>
      </c>
      <c r="V106" s="150" t="e">
        <f t="shared" si="108"/>
        <v>#REF!</v>
      </c>
      <c r="W106" s="150" t="e">
        <f t="shared" si="108"/>
        <v>#REF!</v>
      </c>
      <c r="X106" s="150" t="e">
        <f t="shared" si="108"/>
        <v>#REF!</v>
      </c>
      <c r="Y106" s="150" t="e">
        <f t="shared" si="100"/>
        <v>#REF!</v>
      </c>
      <c r="Z106" s="150" t="e">
        <f t="shared" si="101"/>
        <v>#REF!</v>
      </c>
      <c r="AA106" s="150" t="e">
        <f t="shared" si="102"/>
        <v>#REF!</v>
      </c>
      <c r="AB106" s="50"/>
    </row>
    <row r="107" s="28" customFormat="1" ht="28.8" outlineLevel="3" spans="1:28">
      <c r="A107" s="52">
        <f>MAX($A$6:A106)+1</f>
        <v>96</v>
      </c>
      <c r="B107" s="51" t="s">
        <v>1941</v>
      </c>
      <c r="C107" s="51" t="e">
        <f>VLOOKUP($B107,#REF!,MATCH(C$2,#REF!,0),0)</f>
        <v>#REF!</v>
      </c>
      <c r="D107" s="83"/>
      <c r="E107" s="83"/>
      <c r="F107" s="136" t="e">
        <f>VLOOKUP($B107,#REF!,MATCH(F$2,#REF!,0),0)</f>
        <v>#REF!</v>
      </c>
      <c r="G107" s="137" t="e">
        <f>VLOOKUP($B107,#REF!,MATCH(G$2,#REF!,0),0)</f>
        <v>#REF!</v>
      </c>
      <c r="H107" s="48">
        <v>30.27</v>
      </c>
      <c r="I107" s="48">
        <v>30.26</v>
      </c>
      <c r="J107" s="48">
        <v>11.54</v>
      </c>
      <c r="K107" s="48">
        <v>11.54</v>
      </c>
      <c r="L107" s="48">
        <v>18.953</v>
      </c>
      <c r="M107" s="48"/>
      <c r="N107" s="48"/>
      <c r="O107" s="48"/>
      <c r="P107" s="48"/>
      <c r="Q107" s="48"/>
      <c r="R107" s="150" t="e">
        <f t="shared" ref="R107:Z107" si="109">$G107*H107</f>
        <v>#REF!</v>
      </c>
      <c r="S107" s="150" t="e">
        <f t="shared" si="109"/>
        <v>#REF!</v>
      </c>
      <c r="T107" s="150" t="e">
        <f t="shared" si="109"/>
        <v>#REF!</v>
      </c>
      <c r="U107" s="150" t="e">
        <f t="shared" si="109"/>
        <v>#REF!</v>
      </c>
      <c r="V107" s="150" t="e">
        <f t="shared" si="109"/>
        <v>#REF!</v>
      </c>
      <c r="W107" s="150" t="e">
        <f t="shared" si="109"/>
        <v>#REF!</v>
      </c>
      <c r="X107" s="150" t="e">
        <f t="shared" si="109"/>
        <v>#REF!</v>
      </c>
      <c r="Y107" s="150" t="e">
        <f t="shared" si="100"/>
        <v>#REF!</v>
      </c>
      <c r="Z107" s="150" t="e">
        <f t="shared" si="101"/>
        <v>#REF!</v>
      </c>
      <c r="AA107" s="150" t="e">
        <f t="shared" si="102"/>
        <v>#REF!</v>
      </c>
      <c r="AB107" s="50"/>
    </row>
    <row r="108" s="28" customFormat="1" ht="28.8" outlineLevel="3" spans="1:28">
      <c r="A108" s="52">
        <f>MAX($A$6:A107)+1</f>
        <v>97</v>
      </c>
      <c r="B108" s="51" t="s">
        <v>1942</v>
      </c>
      <c r="C108" s="51" t="e">
        <f>VLOOKUP($B108,#REF!,MATCH(C$2,#REF!,0),0)</f>
        <v>#REF!</v>
      </c>
      <c r="D108" s="83"/>
      <c r="E108" s="83"/>
      <c r="F108" s="136" t="e">
        <f>VLOOKUP($B108,#REF!,MATCH(F$2,#REF!,0),0)</f>
        <v>#REF!</v>
      </c>
      <c r="G108" s="137" t="e">
        <f>VLOOKUP($B108,#REF!,MATCH(G$2,#REF!,0),0)</f>
        <v>#REF!</v>
      </c>
      <c r="H108" s="48">
        <v>33.7</v>
      </c>
      <c r="I108" s="48">
        <v>36.81</v>
      </c>
      <c r="J108" s="48">
        <v>25.46</v>
      </c>
      <c r="K108" s="48">
        <v>25.46</v>
      </c>
      <c r="L108" s="48">
        <v>58.445</v>
      </c>
      <c r="M108" s="48"/>
      <c r="N108" s="48"/>
      <c r="O108" s="48"/>
      <c r="P108" s="48"/>
      <c r="Q108" s="48"/>
      <c r="R108" s="150" t="e">
        <f t="shared" ref="R108:Z108" si="110">$G108*H108</f>
        <v>#REF!</v>
      </c>
      <c r="S108" s="150" t="e">
        <f t="shared" si="110"/>
        <v>#REF!</v>
      </c>
      <c r="T108" s="150" t="e">
        <f t="shared" si="110"/>
        <v>#REF!</v>
      </c>
      <c r="U108" s="150" t="e">
        <f t="shared" si="110"/>
        <v>#REF!</v>
      </c>
      <c r="V108" s="150" t="e">
        <f t="shared" si="110"/>
        <v>#REF!</v>
      </c>
      <c r="W108" s="150" t="e">
        <f t="shared" si="110"/>
        <v>#REF!</v>
      </c>
      <c r="X108" s="150" t="e">
        <f t="shared" si="110"/>
        <v>#REF!</v>
      </c>
      <c r="Y108" s="150" t="e">
        <f t="shared" si="100"/>
        <v>#REF!</v>
      </c>
      <c r="Z108" s="150" t="e">
        <f t="shared" si="101"/>
        <v>#REF!</v>
      </c>
      <c r="AA108" s="150" t="e">
        <f t="shared" si="102"/>
        <v>#REF!</v>
      </c>
      <c r="AB108" s="50"/>
    </row>
    <row r="109" s="28" customFormat="1" ht="28.8" outlineLevel="3" spans="1:28">
      <c r="A109" s="52">
        <f>MAX($A$6:A108)+1</f>
        <v>98</v>
      </c>
      <c r="B109" s="51" t="s">
        <v>1943</v>
      </c>
      <c r="C109" s="51" t="e">
        <f>VLOOKUP($B109,#REF!,MATCH(C$2,#REF!,0),0)</f>
        <v>#REF!</v>
      </c>
      <c r="D109" s="83"/>
      <c r="E109" s="83"/>
      <c r="F109" s="136" t="e">
        <f>VLOOKUP($B109,#REF!,MATCH(F$2,#REF!,0),0)</f>
        <v>#REF!</v>
      </c>
      <c r="G109" s="137" t="e">
        <f>VLOOKUP($B109,#REF!,MATCH(G$2,#REF!,0),0)</f>
        <v>#REF!</v>
      </c>
      <c r="H109" s="48"/>
      <c r="I109" s="48"/>
      <c r="J109" s="48">
        <v>1</v>
      </c>
      <c r="K109" s="48">
        <v>1</v>
      </c>
      <c r="L109" s="48"/>
      <c r="M109" s="48"/>
      <c r="N109" s="48"/>
      <c r="O109" s="48"/>
      <c r="P109" s="48">
        <v>29.4</v>
      </c>
      <c r="Q109" s="48"/>
      <c r="R109" s="150" t="e">
        <f t="shared" ref="R109:Z109" si="111">$G109*H109</f>
        <v>#REF!</v>
      </c>
      <c r="S109" s="150" t="e">
        <f t="shared" si="111"/>
        <v>#REF!</v>
      </c>
      <c r="T109" s="150" t="e">
        <f t="shared" si="111"/>
        <v>#REF!</v>
      </c>
      <c r="U109" s="150" t="e">
        <f t="shared" si="111"/>
        <v>#REF!</v>
      </c>
      <c r="V109" s="150" t="e">
        <f t="shared" si="111"/>
        <v>#REF!</v>
      </c>
      <c r="W109" s="150" t="e">
        <f t="shared" si="111"/>
        <v>#REF!</v>
      </c>
      <c r="X109" s="150" t="e">
        <f t="shared" si="111"/>
        <v>#REF!</v>
      </c>
      <c r="Y109" s="150" t="e">
        <f t="shared" si="100"/>
        <v>#REF!</v>
      </c>
      <c r="Z109" s="150" t="e">
        <f t="shared" si="101"/>
        <v>#REF!</v>
      </c>
      <c r="AA109" s="150" t="e">
        <f t="shared" si="102"/>
        <v>#REF!</v>
      </c>
      <c r="AB109" s="50"/>
    </row>
    <row r="110" s="28" customFormat="1" ht="28.8" outlineLevel="3" spans="1:28">
      <c r="A110" s="52">
        <f>MAX($A$6:A109)+1</f>
        <v>99</v>
      </c>
      <c r="B110" s="51" t="s">
        <v>1944</v>
      </c>
      <c r="C110" s="51" t="e">
        <f>VLOOKUP($B110,#REF!,MATCH(C$2,#REF!,0),0)</f>
        <v>#REF!</v>
      </c>
      <c r="D110" s="83"/>
      <c r="E110" s="83"/>
      <c r="F110" s="136" t="e">
        <f>VLOOKUP($B110,#REF!,MATCH(F$2,#REF!,0),0)</f>
        <v>#REF!</v>
      </c>
      <c r="G110" s="137" t="e">
        <f>VLOOKUP($B110,#REF!,MATCH(G$2,#REF!,0),0)</f>
        <v>#REF!</v>
      </c>
      <c r="H110" s="48">
        <v>81.51</v>
      </c>
      <c r="I110" s="48">
        <v>79.71</v>
      </c>
      <c r="J110" s="48">
        <v>1.2</v>
      </c>
      <c r="K110" s="48">
        <v>1.2</v>
      </c>
      <c r="L110" s="48">
        <v>12.09</v>
      </c>
      <c r="M110" s="48"/>
      <c r="N110" s="48"/>
      <c r="O110" s="48"/>
      <c r="P110" s="48">
        <f>70.8+144.2</f>
        <v>215</v>
      </c>
      <c r="Q110" s="48">
        <v>32.2</v>
      </c>
      <c r="R110" s="150" t="e">
        <f t="shared" ref="R110:Z110" si="112">$G110*H110</f>
        <v>#REF!</v>
      </c>
      <c r="S110" s="150" t="e">
        <f t="shared" si="112"/>
        <v>#REF!</v>
      </c>
      <c r="T110" s="150" t="e">
        <f t="shared" si="112"/>
        <v>#REF!</v>
      </c>
      <c r="U110" s="150" t="e">
        <f t="shared" si="112"/>
        <v>#REF!</v>
      </c>
      <c r="V110" s="150" t="e">
        <f t="shared" si="112"/>
        <v>#REF!</v>
      </c>
      <c r="W110" s="150" t="e">
        <f t="shared" si="112"/>
        <v>#REF!</v>
      </c>
      <c r="X110" s="150" t="e">
        <f t="shared" si="112"/>
        <v>#REF!</v>
      </c>
      <c r="Y110" s="150" t="e">
        <f t="shared" si="100"/>
        <v>#REF!</v>
      </c>
      <c r="Z110" s="150" t="e">
        <f t="shared" si="101"/>
        <v>#REF!</v>
      </c>
      <c r="AA110" s="150" t="e">
        <f t="shared" si="102"/>
        <v>#REF!</v>
      </c>
      <c r="AB110" s="50"/>
    </row>
    <row r="111" s="28" customFormat="1" ht="28.8" outlineLevel="3" spans="1:28">
      <c r="A111" s="52">
        <f>MAX($A$6:A110)+1</f>
        <v>100</v>
      </c>
      <c r="B111" s="51" t="s">
        <v>1945</v>
      </c>
      <c r="C111" s="51" t="e">
        <f>VLOOKUP($B111,#REF!,MATCH(C$2,#REF!,0),0)</f>
        <v>#REF!</v>
      </c>
      <c r="D111" s="83"/>
      <c r="E111" s="83"/>
      <c r="F111" s="136" t="e">
        <f>VLOOKUP($B111,#REF!,MATCH(F$2,#REF!,0),0)</f>
        <v>#REF!</v>
      </c>
      <c r="G111" s="137" t="e">
        <f>VLOOKUP($B111,#REF!,MATCH(G$2,#REF!,0),0)</f>
        <v>#REF!</v>
      </c>
      <c r="H111" s="48">
        <v>1</v>
      </c>
      <c r="I111" s="48">
        <v>1</v>
      </c>
      <c r="J111" s="48">
        <v>1</v>
      </c>
      <c r="K111" s="48">
        <v>1</v>
      </c>
      <c r="L111" s="48">
        <v>11.25</v>
      </c>
      <c r="M111" s="48"/>
      <c r="N111" s="48"/>
      <c r="O111" s="48"/>
      <c r="P111" s="48">
        <v>21.85</v>
      </c>
      <c r="Q111" s="48">
        <f>68+697.1</f>
        <v>765.1</v>
      </c>
      <c r="R111" s="150" t="e">
        <f t="shared" ref="R111:Z111" si="113">$G111*H111</f>
        <v>#REF!</v>
      </c>
      <c r="S111" s="150" t="e">
        <f t="shared" si="113"/>
        <v>#REF!</v>
      </c>
      <c r="T111" s="150" t="e">
        <f t="shared" si="113"/>
        <v>#REF!</v>
      </c>
      <c r="U111" s="150" t="e">
        <f t="shared" si="113"/>
        <v>#REF!</v>
      </c>
      <c r="V111" s="150" t="e">
        <f t="shared" si="113"/>
        <v>#REF!</v>
      </c>
      <c r="W111" s="150" t="e">
        <f t="shared" si="113"/>
        <v>#REF!</v>
      </c>
      <c r="X111" s="150" t="e">
        <f t="shared" si="113"/>
        <v>#REF!</v>
      </c>
      <c r="Y111" s="150" t="e">
        <f t="shared" si="100"/>
        <v>#REF!</v>
      </c>
      <c r="Z111" s="150" t="e">
        <f t="shared" si="101"/>
        <v>#REF!</v>
      </c>
      <c r="AA111" s="150" t="e">
        <f t="shared" si="102"/>
        <v>#REF!</v>
      </c>
      <c r="AB111" s="50"/>
    </row>
    <row r="112" s="28" customFormat="1" ht="28.8" outlineLevel="3" spans="1:28">
      <c r="A112" s="52">
        <f>MAX($A$6:A111)+1</f>
        <v>101</v>
      </c>
      <c r="B112" s="51" t="s">
        <v>1946</v>
      </c>
      <c r="C112" s="51" t="e">
        <f>VLOOKUP($B112,#REF!,MATCH(C$2,#REF!,0),0)</f>
        <v>#REF!</v>
      </c>
      <c r="D112" s="83"/>
      <c r="E112" s="83"/>
      <c r="F112" s="136" t="e">
        <f>VLOOKUP($B112,#REF!,MATCH(F$2,#REF!,0),0)</f>
        <v>#REF!</v>
      </c>
      <c r="G112" s="137" t="e">
        <f>VLOOKUP($B112,#REF!,MATCH(G$2,#REF!,0),0)</f>
        <v>#REF!</v>
      </c>
      <c r="H112" s="48"/>
      <c r="I112" s="48"/>
      <c r="J112" s="48">
        <v>48.77</v>
      </c>
      <c r="K112" s="48">
        <v>48.77</v>
      </c>
      <c r="L112" s="48">
        <v>2.585</v>
      </c>
      <c r="M112" s="48"/>
      <c r="N112" s="48"/>
      <c r="O112" s="48"/>
      <c r="P112" s="48"/>
      <c r="Q112" s="48">
        <v>15.6</v>
      </c>
      <c r="R112" s="150" t="e">
        <f t="shared" ref="R112:Z112" si="114">$G112*H112</f>
        <v>#REF!</v>
      </c>
      <c r="S112" s="150" t="e">
        <f t="shared" si="114"/>
        <v>#REF!</v>
      </c>
      <c r="T112" s="150" t="e">
        <f t="shared" si="114"/>
        <v>#REF!</v>
      </c>
      <c r="U112" s="150" t="e">
        <f t="shared" si="114"/>
        <v>#REF!</v>
      </c>
      <c r="V112" s="150" t="e">
        <f t="shared" si="114"/>
        <v>#REF!</v>
      </c>
      <c r="W112" s="150" t="e">
        <f t="shared" si="114"/>
        <v>#REF!</v>
      </c>
      <c r="X112" s="150" t="e">
        <f t="shared" si="114"/>
        <v>#REF!</v>
      </c>
      <c r="Y112" s="150" t="e">
        <f t="shared" si="100"/>
        <v>#REF!</v>
      </c>
      <c r="Z112" s="150" t="e">
        <f t="shared" si="101"/>
        <v>#REF!</v>
      </c>
      <c r="AA112" s="150" t="e">
        <f t="shared" si="102"/>
        <v>#REF!</v>
      </c>
      <c r="AB112" s="50"/>
    </row>
    <row r="113" s="28" customFormat="1" ht="28.8" outlineLevel="3" spans="1:28">
      <c r="A113" s="52">
        <f>MAX($A$6:A112)+1</f>
        <v>102</v>
      </c>
      <c r="B113" s="51" t="s">
        <v>1947</v>
      </c>
      <c r="C113" s="51" t="e">
        <f>VLOOKUP($B113,#REF!,MATCH(C$2,#REF!,0),0)</f>
        <v>#REF!</v>
      </c>
      <c r="D113" s="83"/>
      <c r="E113" s="83"/>
      <c r="F113" s="136" t="e">
        <f>VLOOKUP($B113,#REF!,MATCH(F$2,#REF!,0),0)</f>
        <v>#REF!</v>
      </c>
      <c r="G113" s="137" t="e">
        <f>VLOOKUP($B113,#REF!,MATCH(G$2,#REF!,0),0)</f>
        <v>#REF!</v>
      </c>
      <c r="H113" s="48"/>
      <c r="I113" s="48"/>
      <c r="J113" s="48"/>
      <c r="K113" s="48"/>
      <c r="L113" s="48"/>
      <c r="M113" s="48"/>
      <c r="N113" s="48"/>
      <c r="O113" s="48"/>
      <c r="P113" s="48">
        <v>9.42</v>
      </c>
      <c r="Q113" s="48"/>
      <c r="R113" s="150" t="e">
        <f t="shared" ref="R113:Z113" si="115">$G113*H113</f>
        <v>#REF!</v>
      </c>
      <c r="S113" s="150" t="e">
        <f t="shared" si="115"/>
        <v>#REF!</v>
      </c>
      <c r="T113" s="150" t="e">
        <f t="shared" si="115"/>
        <v>#REF!</v>
      </c>
      <c r="U113" s="150" t="e">
        <f t="shared" si="115"/>
        <v>#REF!</v>
      </c>
      <c r="V113" s="150" t="e">
        <f t="shared" si="115"/>
        <v>#REF!</v>
      </c>
      <c r="W113" s="150" t="e">
        <f t="shared" si="115"/>
        <v>#REF!</v>
      </c>
      <c r="X113" s="150" t="e">
        <f t="shared" si="115"/>
        <v>#REF!</v>
      </c>
      <c r="Y113" s="150" t="e">
        <f t="shared" si="100"/>
        <v>#REF!</v>
      </c>
      <c r="Z113" s="150" t="e">
        <f t="shared" si="101"/>
        <v>#REF!</v>
      </c>
      <c r="AA113" s="150" t="e">
        <f t="shared" si="102"/>
        <v>#REF!</v>
      </c>
      <c r="AB113" s="50"/>
    </row>
    <row r="114" s="28" customFormat="1" ht="28.8" outlineLevel="3" spans="1:28">
      <c r="A114" s="52">
        <f>MAX($A$6:A113)+1</f>
        <v>103</v>
      </c>
      <c r="B114" s="51" t="s">
        <v>1948</v>
      </c>
      <c r="C114" s="51" t="e">
        <f>VLOOKUP($B114,#REF!,MATCH(C$2,#REF!,0),0)</f>
        <v>#REF!</v>
      </c>
      <c r="D114" s="83"/>
      <c r="E114" s="83"/>
      <c r="F114" s="136" t="e">
        <f>VLOOKUP($B114,#REF!,MATCH(F$2,#REF!,0),0)</f>
        <v>#REF!</v>
      </c>
      <c r="G114" s="137" t="e">
        <f>VLOOKUP($B114,#REF!,MATCH(G$2,#REF!,0),0)</f>
        <v>#REF!</v>
      </c>
      <c r="H114" s="48"/>
      <c r="I114" s="48"/>
      <c r="J114" s="48"/>
      <c r="K114" s="48"/>
      <c r="L114" s="48"/>
      <c r="M114" s="48"/>
      <c r="N114" s="48"/>
      <c r="O114" s="48"/>
      <c r="P114" s="48"/>
      <c r="Q114" s="48"/>
      <c r="R114" s="150" t="e">
        <f t="shared" ref="R114:R117" si="116">$G114*H114</f>
        <v>#REF!</v>
      </c>
      <c r="S114" s="150" t="e">
        <f t="shared" ref="S114:S117" si="117">$G114*I114</f>
        <v>#REF!</v>
      </c>
      <c r="T114" s="150" t="e">
        <f t="shared" ref="T114:T117" si="118">$G114*J114</f>
        <v>#REF!</v>
      </c>
      <c r="U114" s="150" t="e">
        <f t="shared" ref="U114:U117" si="119">$G114*K114</f>
        <v>#REF!</v>
      </c>
      <c r="V114" s="150" t="e">
        <f t="shared" ref="V114:V117" si="120">$G114*L114</f>
        <v>#REF!</v>
      </c>
      <c r="W114" s="150" t="e">
        <f t="shared" ref="W114:W117" si="121">$G114*M114</f>
        <v>#REF!</v>
      </c>
      <c r="X114" s="150" t="e">
        <f t="shared" ref="X114:X117" si="122">$G114*N114</f>
        <v>#REF!</v>
      </c>
      <c r="Y114" s="150" t="e">
        <f t="shared" si="100"/>
        <v>#REF!</v>
      </c>
      <c r="Z114" s="150" t="e">
        <f t="shared" ref="Z114:Z119" si="123">$G114*P114</f>
        <v>#REF!</v>
      </c>
      <c r="AA114" s="150" t="e">
        <f t="shared" ref="AA114:AA119" si="124">$G114*Q114</f>
        <v>#REF!</v>
      </c>
      <c r="AB114" s="50"/>
    </row>
    <row r="115" s="28" customFormat="1" ht="28.8" outlineLevel="3" spans="1:28">
      <c r="A115" s="52">
        <f>MAX($A$6:A114)+1</f>
        <v>104</v>
      </c>
      <c r="B115" s="51" t="s">
        <v>1949</v>
      </c>
      <c r="C115" s="51" t="e">
        <f>VLOOKUP($B115,#REF!,MATCH(C$2,#REF!,0),0)</f>
        <v>#REF!</v>
      </c>
      <c r="D115" s="83"/>
      <c r="E115" s="83"/>
      <c r="F115" s="136" t="e">
        <f>VLOOKUP($B115,#REF!,MATCH(F$2,#REF!,0),0)</f>
        <v>#REF!</v>
      </c>
      <c r="G115" s="137" t="e">
        <f>VLOOKUP($B115,#REF!,MATCH(G$2,#REF!,0),0)</f>
        <v>#REF!</v>
      </c>
      <c r="H115" s="48"/>
      <c r="I115" s="48"/>
      <c r="J115" s="48"/>
      <c r="K115" s="48"/>
      <c r="L115" s="48"/>
      <c r="M115" s="48"/>
      <c r="N115" s="48"/>
      <c r="O115" s="48"/>
      <c r="P115" s="48"/>
      <c r="Q115" s="48"/>
      <c r="R115" s="150" t="e">
        <f t="shared" si="116"/>
        <v>#REF!</v>
      </c>
      <c r="S115" s="150" t="e">
        <f t="shared" si="117"/>
        <v>#REF!</v>
      </c>
      <c r="T115" s="150" t="e">
        <f t="shared" si="118"/>
        <v>#REF!</v>
      </c>
      <c r="U115" s="150" t="e">
        <f t="shared" si="119"/>
        <v>#REF!</v>
      </c>
      <c r="V115" s="150" t="e">
        <f t="shared" si="120"/>
        <v>#REF!</v>
      </c>
      <c r="W115" s="150" t="e">
        <f t="shared" si="121"/>
        <v>#REF!</v>
      </c>
      <c r="X115" s="150" t="e">
        <f t="shared" si="122"/>
        <v>#REF!</v>
      </c>
      <c r="Y115" s="150" t="e">
        <f t="shared" si="100"/>
        <v>#REF!</v>
      </c>
      <c r="Z115" s="150" t="e">
        <f t="shared" si="123"/>
        <v>#REF!</v>
      </c>
      <c r="AA115" s="150" t="e">
        <f t="shared" si="124"/>
        <v>#REF!</v>
      </c>
      <c r="AB115" s="50"/>
    </row>
    <row r="116" s="28" customFormat="1" ht="28.8" outlineLevel="3" spans="1:28">
      <c r="A116" s="52">
        <f>MAX($A$6:A115)+1</f>
        <v>105</v>
      </c>
      <c r="B116" s="51" t="s">
        <v>1950</v>
      </c>
      <c r="C116" s="51" t="e">
        <f>VLOOKUP($B116,#REF!,MATCH(C$2,#REF!,0),0)</f>
        <v>#REF!</v>
      </c>
      <c r="D116" s="83"/>
      <c r="E116" s="83"/>
      <c r="F116" s="136" t="e">
        <f>VLOOKUP($B116,#REF!,MATCH(F$2,#REF!,0),0)</f>
        <v>#REF!</v>
      </c>
      <c r="G116" s="137" t="e">
        <f>VLOOKUP($B116,#REF!,MATCH(G$2,#REF!,0),0)</f>
        <v>#REF!</v>
      </c>
      <c r="H116" s="48"/>
      <c r="I116" s="48"/>
      <c r="J116" s="48"/>
      <c r="K116" s="48"/>
      <c r="L116" s="48"/>
      <c r="M116" s="48"/>
      <c r="N116" s="48"/>
      <c r="O116" s="48"/>
      <c r="P116" s="48"/>
      <c r="Q116" s="48"/>
      <c r="R116" s="150" t="e">
        <f t="shared" si="116"/>
        <v>#REF!</v>
      </c>
      <c r="S116" s="150" t="e">
        <f t="shared" si="117"/>
        <v>#REF!</v>
      </c>
      <c r="T116" s="150" t="e">
        <f t="shared" si="118"/>
        <v>#REF!</v>
      </c>
      <c r="U116" s="150" t="e">
        <f t="shared" si="119"/>
        <v>#REF!</v>
      </c>
      <c r="V116" s="150" t="e">
        <f t="shared" si="120"/>
        <v>#REF!</v>
      </c>
      <c r="W116" s="150" t="e">
        <f t="shared" si="121"/>
        <v>#REF!</v>
      </c>
      <c r="X116" s="150" t="e">
        <f t="shared" si="122"/>
        <v>#REF!</v>
      </c>
      <c r="Y116" s="150" t="e">
        <f t="shared" si="100"/>
        <v>#REF!</v>
      </c>
      <c r="Z116" s="150" t="e">
        <f t="shared" si="123"/>
        <v>#REF!</v>
      </c>
      <c r="AA116" s="150" t="e">
        <f t="shared" si="124"/>
        <v>#REF!</v>
      </c>
      <c r="AB116" s="50"/>
    </row>
    <row r="117" s="28" customFormat="1" ht="28.8" outlineLevel="3" spans="1:28">
      <c r="A117" s="52">
        <f>MAX($A$6:A116)+1</f>
        <v>106</v>
      </c>
      <c r="B117" s="51" t="s">
        <v>1951</v>
      </c>
      <c r="C117" s="51" t="e">
        <f>VLOOKUP($B117,#REF!,MATCH(C$2,#REF!,0),0)</f>
        <v>#REF!</v>
      </c>
      <c r="D117" s="83"/>
      <c r="E117" s="83"/>
      <c r="F117" s="136" t="e">
        <f>VLOOKUP($B117,#REF!,MATCH(F$2,#REF!,0),0)</f>
        <v>#REF!</v>
      </c>
      <c r="G117" s="137" t="e">
        <f>VLOOKUP($B117,#REF!,MATCH(G$2,#REF!,0),0)</f>
        <v>#REF!</v>
      </c>
      <c r="H117" s="48"/>
      <c r="I117" s="48"/>
      <c r="J117" s="48"/>
      <c r="K117" s="48"/>
      <c r="L117" s="48"/>
      <c r="M117" s="48"/>
      <c r="N117" s="48"/>
      <c r="O117" s="48"/>
      <c r="P117" s="48"/>
      <c r="Q117" s="48"/>
      <c r="R117" s="150" t="e">
        <f t="shared" si="116"/>
        <v>#REF!</v>
      </c>
      <c r="S117" s="150" t="e">
        <f t="shared" si="117"/>
        <v>#REF!</v>
      </c>
      <c r="T117" s="150" t="e">
        <f t="shared" si="118"/>
        <v>#REF!</v>
      </c>
      <c r="U117" s="150" t="e">
        <f t="shared" si="119"/>
        <v>#REF!</v>
      </c>
      <c r="V117" s="150" t="e">
        <f t="shared" si="120"/>
        <v>#REF!</v>
      </c>
      <c r="W117" s="150" t="e">
        <f t="shared" si="121"/>
        <v>#REF!</v>
      </c>
      <c r="X117" s="150" t="e">
        <f t="shared" si="122"/>
        <v>#REF!</v>
      </c>
      <c r="Y117" s="150" t="e">
        <f t="shared" si="100"/>
        <v>#REF!</v>
      </c>
      <c r="Z117" s="150" t="e">
        <f t="shared" si="123"/>
        <v>#REF!</v>
      </c>
      <c r="AA117" s="150" t="e">
        <f t="shared" si="124"/>
        <v>#REF!</v>
      </c>
      <c r="AB117" s="50"/>
    </row>
    <row r="118" s="28" customFormat="1" ht="28.8" outlineLevel="3" spans="1:28">
      <c r="A118" s="52">
        <f>MAX($A$6:A117)+1</f>
        <v>107</v>
      </c>
      <c r="B118" s="51" t="s">
        <v>1952</v>
      </c>
      <c r="C118" s="51" t="e">
        <f>VLOOKUP($B118,#REF!,MATCH(C$2,#REF!,0),0)</f>
        <v>#REF!</v>
      </c>
      <c r="D118" s="83"/>
      <c r="E118" s="83"/>
      <c r="F118" s="136" t="e">
        <f>VLOOKUP($B118,#REF!,MATCH(F$2,#REF!,0),0)</f>
        <v>#REF!</v>
      </c>
      <c r="G118" s="137" t="e">
        <f>VLOOKUP($B118,#REF!,MATCH(G$2,#REF!,0),0)</f>
        <v>#REF!</v>
      </c>
      <c r="H118" s="48"/>
      <c r="I118" s="48"/>
      <c r="J118" s="48"/>
      <c r="K118" s="48"/>
      <c r="L118" s="48"/>
      <c r="M118" s="48"/>
      <c r="N118" s="48"/>
      <c r="O118" s="48"/>
      <c r="P118" s="48"/>
      <c r="Q118" s="48">
        <v>490.7</v>
      </c>
      <c r="R118" s="150" t="e">
        <f t="shared" ref="R118:Z118" si="125">$G118*H118</f>
        <v>#REF!</v>
      </c>
      <c r="S118" s="150" t="e">
        <f t="shared" si="125"/>
        <v>#REF!</v>
      </c>
      <c r="T118" s="150" t="e">
        <f t="shared" si="125"/>
        <v>#REF!</v>
      </c>
      <c r="U118" s="150" t="e">
        <f t="shared" si="125"/>
        <v>#REF!</v>
      </c>
      <c r="V118" s="150" t="e">
        <f t="shared" si="125"/>
        <v>#REF!</v>
      </c>
      <c r="W118" s="150" t="e">
        <f t="shared" si="125"/>
        <v>#REF!</v>
      </c>
      <c r="X118" s="150" t="e">
        <f t="shared" si="125"/>
        <v>#REF!</v>
      </c>
      <c r="Y118" s="150" t="e">
        <f t="shared" si="100"/>
        <v>#REF!</v>
      </c>
      <c r="Z118" s="150" t="e">
        <f t="shared" si="123"/>
        <v>#REF!</v>
      </c>
      <c r="AA118" s="150" t="e">
        <f t="shared" si="124"/>
        <v>#REF!</v>
      </c>
      <c r="AB118" s="50"/>
    </row>
    <row r="119" s="28" customFormat="1" outlineLevel="3" spans="1:28">
      <c r="A119" s="52">
        <f>MAX($A$6:A118)+1</f>
        <v>108</v>
      </c>
      <c r="B119" s="51" t="s">
        <v>1848</v>
      </c>
      <c r="C119" s="51" t="e">
        <f>VLOOKUP($B119,#REF!,MATCH(C$2,#REF!,0),0)</f>
        <v>#REF!</v>
      </c>
      <c r="D119" s="83"/>
      <c r="E119" s="83"/>
      <c r="F119" s="136" t="e">
        <f>VLOOKUP($B119,#REF!,MATCH(F$2,#REF!,0),0)</f>
        <v>#REF!</v>
      </c>
      <c r="G119" s="137" t="e">
        <f>VLOOKUP($B119,#REF!,MATCH(G$2,#REF!,0),0)</f>
        <v>#REF!</v>
      </c>
      <c r="H119" s="48">
        <v>47</v>
      </c>
      <c r="I119" s="48">
        <v>47</v>
      </c>
      <c r="J119" s="48">
        <v>47</v>
      </c>
      <c r="K119" s="48">
        <v>47</v>
      </c>
      <c r="L119" s="48"/>
      <c r="M119" s="48"/>
      <c r="N119" s="48"/>
      <c r="O119" s="48"/>
      <c r="P119" s="48"/>
      <c r="Q119" s="48"/>
      <c r="R119" s="150" t="e">
        <f t="shared" ref="R119:Z119" si="126">$G119*H119</f>
        <v>#REF!</v>
      </c>
      <c r="S119" s="150" t="e">
        <f t="shared" si="126"/>
        <v>#REF!</v>
      </c>
      <c r="T119" s="150" t="e">
        <f t="shared" si="126"/>
        <v>#REF!</v>
      </c>
      <c r="U119" s="150" t="e">
        <f t="shared" si="126"/>
        <v>#REF!</v>
      </c>
      <c r="V119" s="150" t="e">
        <f t="shared" si="126"/>
        <v>#REF!</v>
      </c>
      <c r="W119" s="150" t="e">
        <f t="shared" si="126"/>
        <v>#REF!</v>
      </c>
      <c r="X119" s="150" t="e">
        <f t="shared" si="126"/>
        <v>#REF!</v>
      </c>
      <c r="Y119" s="150" t="e">
        <f t="shared" si="100"/>
        <v>#REF!</v>
      </c>
      <c r="Z119" s="150" t="e">
        <f t="shared" si="123"/>
        <v>#REF!</v>
      </c>
      <c r="AA119" s="150" t="e">
        <f t="shared" si="124"/>
        <v>#REF!</v>
      </c>
      <c r="AB119" s="50"/>
    </row>
    <row r="120" s="29" customFormat="1" outlineLevel="2" spans="1:28">
      <c r="A120" s="40"/>
      <c r="B120" s="41" t="s">
        <v>1953</v>
      </c>
      <c r="C120" s="41"/>
      <c r="D120" s="140"/>
      <c r="E120" s="140"/>
      <c r="F120" s="141"/>
      <c r="G120" s="142"/>
      <c r="H120" s="43"/>
      <c r="I120" s="43"/>
      <c r="J120" s="43"/>
      <c r="K120" s="43"/>
      <c r="L120" s="43"/>
      <c r="M120" s="43"/>
      <c r="N120" s="43"/>
      <c r="O120" s="43"/>
      <c r="P120" s="43"/>
      <c r="Q120" s="43"/>
      <c r="R120" s="149" t="e">
        <f t="shared" ref="R120:AA120" si="127">SUM(R121:R122)</f>
        <v>#REF!</v>
      </c>
      <c r="S120" s="149" t="e">
        <f t="shared" si="127"/>
        <v>#REF!</v>
      </c>
      <c r="T120" s="149" t="e">
        <f t="shared" si="127"/>
        <v>#REF!</v>
      </c>
      <c r="U120" s="149" t="e">
        <f t="shared" si="127"/>
        <v>#REF!</v>
      </c>
      <c r="V120" s="149" t="e">
        <f t="shared" si="127"/>
        <v>#REF!</v>
      </c>
      <c r="W120" s="149" t="e">
        <f t="shared" si="127"/>
        <v>#REF!</v>
      </c>
      <c r="X120" s="149" t="e">
        <f t="shared" si="127"/>
        <v>#REF!</v>
      </c>
      <c r="Y120" s="149" t="e">
        <f t="shared" si="127"/>
        <v>#REF!</v>
      </c>
      <c r="Z120" s="149" t="e">
        <f t="shared" si="127"/>
        <v>#REF!</v>
      </c>
      <c r="AA120" s="149" t="e">
        <f t="shared" si="127"/>
        <v>#REF!</v>
      </c>
      <c r="AB120" s="40"/>
    </row>
    <row r="121" s="28" customFormat="1" outlineLevel="3" spans="1:28">
      <c r="A121" s="52">
        <f>MAX($A$6:A120)+1</f>
        <v>109</v>
      </c>
      <c r="B121" s="51" t="s">
        <v>1907</v>
      </c>
      <c r="C121" s="51" t="e">
        <f>VLOOKUP($B121,#REF!,MATCH(C$2,#REF!,0),0)</f>
        <v>#REF!</v>
      </c>
      <c r="D121" s="83"/>
      <c r="E121" s="83"/>
      <c r="F121" s="136" t="e">
        <f>VLOOKUP($B121,#REF!,MATCH(F$2,#REF!,0),0)</f>
        <v>#REF!</v>
      </c>
      <c r="G121" s="137" t="e">
        <f>VLOOKUP($B121,#REF!,MATCH(G$2,#REF!,0),0)</f>
        <v>#REF!</v>
      </c>
      <c r="H121" s="48">
        <v>169.27</v>
      </c>
      <c r="I121" s="48">
        <v>165.75</v>
      </c>
      <c r="J121" s="48">
        <v>149.67</v>
      </c>
      <c r="K121" s="48">
        <v>149.67</v>
      </c>
      <c r="L121" s="48"/>
      <c r="M121" s="48"/>
      <c r="N121" s="48"/>
      <c r="O121" s="48"/>
      <c r="P121" s="48"/>
      <c r="Q121" s="48"/>
      <c r="R121" s="150" t="e">
        <f t="shared" ref="R121:AA121" si="128">$G121*H121</f>
        <v>#REF!</v>
      </c>
      <c r="S121" s="150" t="e">
        <f t="shared" si="128"/>
        <v>#REF!</v>
      </c>
      <c r="T121" s="150" t="e">
        <f t="shared" si="128"/>
        <v>#REF!</v>
      </c>
      <c r="U121" s="150" t="e">
        <f t="shared" si="128"/>
        <v>#REF!</v>
      </c>
      <c r="V121" s="150" t="e">
        <f t="shared" si="128"/>
        <v>#REF!</v>
      </c>
      <c r="W121" s="150" t="e">
        <f t="shared" si="128"/>
        <v>#REF!</v>
      </c>
      <c r="X121" s="150" t="e">
        <f t="shared" si="128"/>
        <v>#REF!</v>
      </c>
      <c r="Y121" s="150" t="e">
        <f t="shared" si="128"/>
        <v>#REF!</v>
      </c>
      <c r="Z121" s="150" t="e">
        <f t="shared" si="128"/>
        <v>#REF!</v>
      </c>
      <c r="AA121" s="150" t="e">
        <f t="shared" si="128"/>
        <v>#REF!</v>
      </c>
      <c r="AB121" s="50"/>
    </row>
    <row r="122" s="28" customFormat="1" outlineLevel="3" spans="1:28">
      <c r="A122" s="52">
        <f>MAX($A$6:A121)+1</f>
        <v>110</v>
      </c>
      <c r="B122" s="51" t="s">
        <v>1906</v>
      </c>
      <c r="C122" s="51" t="e">
        <f>VLOOKUP($B122,#REF!,MATCH(C$2,#REF!,0),0)</f>
        <v>#REF!</v>
      </c>
      <c r="D122" s="83"/>
      <c r="E122" s="83"/>
      <c r="F122" s="136" t="e">
        <f>VLOOKUP($B122,#REF!,MATCH(F$2,#REF!,0),0)</f>
        <v>#REF!</v>
      </c>
      <c r="G122" s="137" t="e">
        <f>VLOOKUP($B122,#REF!,MATCH(G$2,#REF!,0),0)</f>
        <v>#REF!</v>
      </c>
      <c r="H122" s="48">
        <v>1.52</v>
      </c>
      <c r="I122" s="48">
        <v>1.52</v>
      </c>
      <c r="J122" s="48">
        <v>1.4</v>
      </c>
      <c r="K122" s="48">
        <v>1.4</v>
      </c>
      <c r="L122" s="48">
        <v>0.354</v>
      </c>
      <c r="M122" s="48"/>
      <c r="N122" s="48"/>
      <c r="O122" s="48"/>
      <c r="P122" s="48"/>
      <c r="Q122" s="48"/>
      <c r="R122" s="150" t="e">
        <f t="shared" ref="R122:AA122" si="129">$G122*H122</f>
        <v>#REF!</v>
      </c>
      <c r="S122" s="150" t="e">
        <f t="shared" si="129"/>
        <v>#REF!</v>
      </c>
      <c r="T122" s="150" t="e">
        <f t="shared" si="129"/>
        <v>#REF!</v>
      </c>
      <c r="U122" s="150" t="e">
        <f t="shared" si="129"/>
        <v>#REF!</v>
      </c>
      <c r="V122" s="150" t="e">
        <f t="shared" si="129"/>
        <v>#REF!</v>
      </c>
      <c r="W122" s="150" t="e">
        <f t="shared" si="129"/>
        <v>#REF!</v>
      </c>
      <c r="X122" s="150" t="e">
        <f t="shared" si="129"/>
        <v>#REF!</v>
      </c>
      <c r="Y122" s="150" t="e">
        <f t="shared" si="129"/>
        <v>#REF!</v>
      </c>
      <c r="Z122" s="150" t="e">
        <f t="shared" si="129"/>
        <v>#REF!</v>
      </c>
      <c r="AA122" s="150" t="e">
        <f t="shared" si="129"/>
        <v>#REF!</v>
      </c>
      <c r="AB122" s="50"/>
    </row>
    <row r="123" s="29" customFormat="1" outlineLevel="2" spans="1:28">
      <c r="A123" s="40"/>
      <c r="B123" s="41" t="s">
        <v>1954</v>
      </c>
      <c r="C123" s="41"/>
      <c r="D123" s="140"/>
      <c r="E123" s="140"/>
      <c r="F123" s="141"/>
      <c r="G123" s="142"/>
      <c r="H123" s="43"/>
      <c r="I123" s="43"/>
      <c r="J123" s="43"/>
      <c r="K123" s="43"/>
      <c r="L123" s="43"/>
      <c r="M123" s="43"/>
      <c r="N123" s="43"/>
      <c r="O123" s="43"/>
      <c r="P123" s="43"/>
      <c r="Q123" s="43"/>
      <c r="R123" s="149" t="e">
        <f>SUM(R124:R135)</f>
        <v>#REF!</v>
      </c>
      <c r="S123" s="149" t="e">
        <f t="shared" ref="S123:AA123" si="130">SUM(S124:S135)</f>
        <v>#REF!</v>
      </c>
      <c r="T123" s="149" t="e">
        <f t="shared" si="130"/>
        <v>#REF!</v>
      </c>
      <c r="U123" s="149" t="e">
        <f t="shared" si="130"/>
        <v>#REF!</v>
      </c>
      <c r="V123" s="149" t="e">
        <f t="shared" si="130"/>
        <v>#REF!</v>
      </c>
      <c r="W123" s="149" t="e">
        <f t="shared" si="130"/>
        <v>#REF!</v>
      </c>
      <c r="X123" s="149" t="e">
        <f t="shared" si="130"/>
        <v>#REF!</v>
      </c>
      <c r="Y123" s="149" t="e">
        <f t="shared" si="130"/>
        <v>#REF!</v>
      </c>
      <c r="Z123" s="149" t="e">
        <f t="shared" si="130"/>
        <v>#REF!</v>
      </c>
      <c r="AA123" s="149" t="e">
        <f t="shared" si="130"/>
        <v>#REF!</v>
      </c>
      <c r="AB123" s="40"/>
    </row>
    <row r="124" s="28" customFormat="1" outlineLevel="3" spans="1:28">
      <c r="A124" s="52">
        <f>MAX($A$6:A123)+1</f>
        <v>111</v>
      </c>
      <c r="B124" s="51" t="s">
        <v>1955</v>
      </c>
      <c r="C124" s="51" t="e">
        <f>VLOOKUP($B124,#REF!,MATCH(C$2,#REF!,0),0)</f>
        <v>#REF!</v>
      </c>
      <c r="D124" s="83"/>
      <c r="E124" s="83"/>
      <c r="F124" s="136" t="e">
        <f>VLOOKUP($B124,#REF!,MATCH(F$2,#REF!,0),0)</f>
        <v>#REF!</v>
      </c>
      <c r="G124" s="137" t="e">
        <f>VLOOKUP($B124,#REF!,MATCH(G$2,#REF!,0),0)</f>
        <v>#REF!</v>
      </c>
      <c r="H124" s="48"/>
      <c r="I124" s="48"/>
      <c r="J124" s="48"/>
      <c r="K124" s="48"/>
      <c r="L124" s="48"/>
      <c r="M124" s="48"/>
      <c r="N124" s="48"/>
      <c r="O124" s="48"/>
      <c r="P124" s="48"/>
      <c r="Q124" s="48"/>
      <c r="R124" s="150" t="e">
        <f t="shared" ref="R124:AA124" si="131">$G124*H124</f>
        <v>#REF!</v>
      </c>
      <c r="S124" s="150" t="e">
        <f t="shared" si="131"/>
        <v>#REF!</v>
      </c>
      <c r="T124" s="150" t="e">
        <f t="shared" si="131"/>
        <v>#REF!</v>
      </c>
      <c r="U124" s="150" t="e">
        <f t="shared" si="131"/>
        <v>#REF!</v>
      </c>
      <c r="V124" s="150" t="e">
        <f t="shared" si="131"/>
        <v>#REF!</v>
      </c>
      <c r="W124" s="150" t="e">
        <f t="shared" si="131"/>
        <v>#REF!</v>
      </c>
      <c r="X124" s="150" t="e">
        <f t="shared" si="131"/>
        <v>#REF!</v>
      </c>
      <c r="Y124" s="150" t="e">
        <f t="shared" si="131"/>
        <v>#REF!</v>
      </c>
      <c r="Z124" s="150" t="e">
        <f t="shared" si="131"/>
        <v>#REF!</v>
      </c>
      <c r="AA124" s="150" t="e">
        <f t="shared" si="131"/>
        <v>#REF!</v>
      </c>
      <c r="AB124" s="50"/>
    </row>
    <row r="125" s="28" customFormat="1" ht="124" customHeight="1" outlineLevel="3" spans="1:28">
      <c r="A125" s="52">
        <f>MAX($A$6:A124)+1</f>
        <v>112</v>
      </c>
      <c r="B125" s="51" t="s">
        <v>1956</v>
      </c>
      <c r="C125" s="51" t="e">
        <f>VLOOKUP($B125,#REF!,MATCH(C$2,#REF!,0),0)</f>
        <v>#REF!</v>
      </c>
      <c r="D125" s="83"/>
      <c r="E125" s="83"/>
      <c r="F125" s="136" t="e">
        <f>VLOOKUP($B125,#REF!,MATCH(F$2,#REF!,0),0)</f>
        <v>#REF!</v>
      </c>
      <c r="G125" s="137" t="e">
        <f>VLOOKUP($B125,#REF!,MATCH(G$2,#REF!,0),0)</f>
        <v>#REF!</v>
      </c>
      <c r="H125" s="48">
        <v>6</v>
      </c>
      <c r="I125" s="48">
        <v>6</v>
      </c>
      <c r="J125" s="48">
        <v>4</v>
      </c>
      <c r="K125" s="48">
        <v>4</v>
      </c>
      <c r="L125" s="48">
        <v>2</v>
      </c>
      <c r="M125" s="48"/>
      <c r="N125" s="48"/>
      <c r="O125" s="48"/>
      <c r="P125" s="48">
        <v>84</v>
      </c>
      <c r="Q125" s="48">
        <v>74</v>
      </c>
      <c r="R125" s="150" t="e">
        <f t="shared" ref="R125:AA125" si="132">$G125*H125</f>
        <v>#REF!</v>
      </c>
      <c r="S125" s="150" t="e">
        <f t="shared" si="132"/>
        <v>#REF!</v>
      </c>
      <c r="T125" s="150" t="e">
        <f t="shared" si="132"/>
        <v>#REF!</v>
      </c>
      <c r="U125" s="150" t="e">
        <f t="shared" si="132"/>
        <v>#REF!</v>
      </c>
      <c r="V125" s="150" t="e">
        <f t="shared" si="132"/>
        <v>#REF!</v>
      </c>
      <c r="W125" s="150" t="e">
        <f t="shared" si="132"/>
        <v>#REF!</v>
      </c>
      <c r="X125" s="150" t="e">
        <f t="shared" si="132"/>
        <v>#REF!</v>
      </c>
      <c r="Y125" s="150" t="e">
        <f t="shared" si="132"/>
        <v>#REF!</v>
      </c>
      <c r="Z125" s="150" t="e">
        <f t="shared" si="132"/>
        <v>#REF!</v>
      </c>
      <c r="AA125" s="150" t="e">
        <f t="shared" si="132"/>
        <v>#REF!</v>
      </c>
      <c r="AB125" s="50"/>
    </row>
    <row r="126" s="28" customFormat="1" outlineLevel="3" spans="1:28">
      <c r="A126" s="52">
        <f>MAX($A$6:A125)+1</f>
        <v>113</v>
      </c>
      <c r="B126" s="51" t="s">
        <v>1957</v>
      </c>
      <c r="C126" s="51" t="e">
        <f>VLOOKUP($B126,#REF!,MATCH(C$2,#REF!,0),0)</f>
        <v>#REF!</v>
      </c>
      <c r="D126" s="83"/>
      <c r="E126" s="83"/>
      <c r="F126" s="136" t="e">
        <f>VLOOKUP($B126,#REF!,MATCH(F$2,#REF!,0),0)</f>
        <v>#REF!</v>
      </c>
      <c r="G126" s="137" t="e">
        <f>VLOOKUP($B126,#REF!,MATCH(G$2,#REF!,0),0)</f>
        <v>#REF!</v>
      </c>
      <c r="H126" s="48"/>
      <c r="I126" s="48"/>
      <c r="J126" s="48"/>
      <c r="K126" s="48"/>
      <c r="L126" s="48"/>
      <c r="M126" s="48"/>
      <c r="N126" s="48"/>
      <c r="O126" s="48"/>
      <c r="P126" s="48"/>
      <c r="Q126" s="48"/>
      <c r="R126" s="150" t="e">
        <f t="shared" ref="R126:R135" si="133">$G126*H126</f>
        <v>#REF!</v>
      </c>
      <c r="S126" s="150" t="e">
        <f t="shared" ref="S126:S135" si="134">$G126*I126</f>
        <v>#REF!</v>
      </c>
      <c r="T126" s="150" t="e">
        <f t="shared" ref="T126:T135" si="135">$G126*J126</f>
        <v>#REF!</v>
      </c>
      <c r="U126" s="150" t="e">
        <f t="shared" ref="U126:U135" si="136">$G126*K126</f>
        <v>#REF!</v>
      </c>
      <c r="V126" s="150" t="e">
        <f t="shared" ref="V126:V135" si="137">$G126*L126</f>
        <v>#REF!</v>
      </c>
      <c r="W126" s="150" t="e">
        <f t="shared" ref="W126:W135" si="138">$G126*M126</f>
        <v>#REF!</v>
      </c>
      <c r="X126" s="150" t="e">
        <f t="shared" ref="X126:X135" si="139">$G126*N126</f>
        <v>#REF!</v>
      </c>
      <c r="Y126" s="150" t="e">
        <f t="shared" ref="Y126:Y135" si="140">$G126*O126</f>
        <v>#REF!</v>
      </c>
      <c r="Z126" s="150" t="e">
        <f t="shared" ref="Z126:Z135" si="141">$G126*P126</f>
        <v>#REF!</v>
      </c>
      <c r="AA126" s="150" t="e">
        <f t="shared" ref="AA126:AA135" si="142">$G126*Q126</f>
        <v>#REF!</v>
      </c>
      <c r="AB126" s="50"/>
    </row>
    <row r="127" s="28" customFormat="1" outlineLevel="3" spans="1:28">
      <c r="A127" s="52">
        <f>MAX($A$6:A126)+1</f>
        <v>114</v>
      </c>
      <c r="B127" s="51" t="s">
        <v>1958</v>
      </c>
      <c r="C127" s="51" t="e">
        <f>VLOOKUP($B127,#REF!,MATCH(C$2,#REF!,0),0)</f>
        <v>#REF!</v>
      </c>
      <c r="D127" s="83"/>
      <c r="E127" s="83"/>
      <c r="F127" s="136" t="e">
        <f>VLOOKUP($B127,#REF!,MATCH(F$2,#REF!,0),0)</f>
        <v>#REF!</v>
      </c>
      <c r="G127" s="137" t="e">
        <f>VLOOKUP($B127,#REF!,MATCH(G$2,#REF!,0),0)</f>
        <v>#REF!</v>
      </c>
      <c r="H127" s="48"/>
      <c r="I127" s="48"/>
      <c r="J127" s="48"/>
      <c r="K127" s="48"/>
      <c r="L127" s="48"/>
      <c r="M127" s="48"/>
      <c r="N127" s="48"/>
      <c r="O127" s="48"/>
      <c r="P127" s="48"/>
      <c r="Q127" s="48"/>
      <c r="R127" s="150" t="e">
        <f t="shared" si="133"/>
        <v>#REF!</v>
      </c>
      <c r="S127" s="150" t="e">
        <f t="shared" si="134"/>
        <v>#REF!</v>
      </c>
      <c r="T127" s="150" t="e">
        <f t="shared" si="135"/>
        <v>#REF!</v>
      </c>
      <c r="U127" s="150" t="e">
        <f t="shared" si="136"/>
        <v>#REF!</v>
      </c>
      <c r="V127" s="150" t="e">
        <f t="shared" si="137"/>
        <v>#REF!</v>
      </c>
      <c r="W127" s="150" t="e">
        <f t="shared" si="138"/>
        <v>#REF!</v>
      </c>
      <c r="X127" s="150" t="e">
        <f t="shared" si="139"/>
        <v>#REF!</v>
      </c>
      <c r="Y127" s="150" t="e">
        <f t="shared" si="140"/>
        <v>#REF!</v>
      </c>
      <c r="Z127" s="150" t="e">
        <f t="shared" si="141"/>
        <v>#REF!</v>
      </c>
      <c r="AA127" s="150" t="e">
        <f t="shared" si="142"/>
        <v>#REF!</v>
      </c>
      <c r="AB127" s="50"/>
    </row>
    <row r="128" s="28" customFormat="1" outlineLevel="3" spans="1:28">
      <c r="A128" s="52">
        <f>MAX($A$6:A127)+1</f>
        <v>115</v>
      </c>
      <c r="B128" s="51" t="s">
        <v>1959</v>
      </c>
      <c r="C128" s="51" t="e">
        <f>VLOOKUP($B128,#REF!,MATCH(C$2,#REF!,0),0)</f>
        <v>#REF!</v>
      </c>
      <c r="D128" s="83"/>
      <c r="E128" s="83"/>
      <c r="F128" s="136" t="e">
        <f>VLOOKUP($B128,#REF!,MATCH(F$2,#REF!,0),0)</f>
        <v>#REF!</v>
      </c>
      <c r="G128" s="137" t="e">
        <f>VLOOKUP($B128,#REF!,MATCH(G$2,#REF!,0),0)</f>
        <v>#REF!</v>
      </c>
      <c r="H128" s="48"/>
      <c r="I128" s="48"/>
      <c r="J128" s="48"/>
      <c r="K128" s="48"/>
      <c r="L128" s="48"/>
      <c r="M128" s="48"/>
      <c r="N128" s="48"/>
      <c r="O128" s="48"/>
      <c r="P128" s="48"/>
      <c r="Q128" s="48"/>
      <c r="R128" s="150" t="e">
        <f t="shared" si="133"/>
        <v>#REF!</v>
      </c>
      <c r="S128" s="150" t="e">
        <f t="shared" si="134"/>
        <v>#REF!</v>
      </c>
      <c r="T128" s="150" t="e">
        <f t="shared" si="135"/>
        <v>#REF!</v>
      </c>
      <c r="U128" s="150" t="e">
        <f t="shared" si="136"/>
        <v>#REF!</v>
      </c>
      <c r="V128" s="150" t="e">
        <f t="shared" si="137"/>
        <v>#REF!</v>
      </c>
      <c r="W128" s="150" t="e">
        <f t="shared" si="138"/>
        <v>#REF!</v>
      </c>
      <c r="X128" s="150" t="e">
        <f t="shared" si="139"/>
        <v>#REF!</v>
      </c>
      <c r="Y128" s="150" t="e">
        <f t="shared" si="140"/>
        <v>#REF!</v>
      </c>
      <c r="Z128" s="150" t="e">
        <f t="shared" si="141"/>
        <v>#REF!</v>
      </c>
      <c r="AA128" s="150" t="e">
        <f t="shared" si="142"/>
        <v>#REF!</v>
      </c>
      <c r="AB128" s="50"/>
    </row>
    <row r="129" s="28" customFormat="1" outlineLevel="3" spans="1:28">
      <c r="A129" s="52">
        <f>MAX($A$6:A128)+1</f>
        <v>116</v>
      </c>
      <c r="B129" s="51" t="s">
        <v>1960</v>
      </c>
      <c r="C129" s="51" t="e">
        <f>VLOOKUP($B129,#REF!,MATCH(C$2,#REF!,0),0)</f>
        <v>#REF!</v>
      </c>
      <c r="D129" s="83"/>
      <c r="E129" s="83"/>
      <c r="F129" s="136" t="e">
        <f>VLOOKUP($B129,#REF!,MATCH(F$2,#REF!,0),0)</f>
        <v>#REF!</v>
      </c>
      <c r="G129" s="137" t="e">
        <f>VLOOKUP($B129,#REF!,MATCH(G$2,#REF!,0),0)</f>
        <v>#REF!</v>
      </c>
      <c r="H129" s="48"/>
      <c r="I129" s="48"/>
      <c r="J129" s="48"/>
      <c r="K129" s="48"/>
      <c r="L129" s="48"/>
      <c r="M129" s="48"/>
      <c r="N129" s="48"/>
      <c r="O129" s="48"/>
      <c r="P129" s="48"/>
      <c r="Q129" s="48"/>
      <c r="R129" s="150" t="e">
        <f t="shared" si="133"/>
        <v>#REF!</v>
      </c>
      <c r="S129" s="150" t="e">
        <f t="shared" si="134"/>
        <v>#REF!</v>
      </c>
      <c r="T129" s="150" t="e">
        <f t="shared" si="135"/>
        <v>#REF!</v>
      </c>
      <c r="U129" s="150" t="e">
        <f t="shared" si="136"/>
        <v>#REF!</v>
      </c>
      <c r="V129" s="150" t="e">
        <f t="shared" si="137"/>
        <v>#REF!</v>
      </c>
      <c r="W129" s="150" t="e">
        <f t="shared" si="138"/>
        <v>#REF!</v>
      </c>
      <c r="X129" s="150" t="e">
        <f t="shared" si="139"/>
        <v>#REF!</v>
      </c>
      <c r="Y129" s="150" t="e">
        <f t="shared" si="140"/>
        <v>#REF!</v>
      </c>
      <c r="Z129" s="150" t="e">
        <f t="shared" si="141"/>
        <v>#REF!</v>
      </c>
      <c r="AA129" s="150" t="e">
        <f t="shared" si="142"/>
        <v>#REF!</v>
      </c>
      <c r="AB129" s="50"/>
    </row>
    <row r="130" s="28" customFormat="1" outlineLevel="3" spans="1:28">
      <c r="A130" s="52">
        <f>MAX($A$6:A129)+1</f>
        <v>117</v>
      </c>
      <c r="B130" s="51" t="s">
        <v>1961</v>
      </c>
      <c r="C130" s="51" t="e">
        <f>VLOOKUP($B130,#REF!,MATCH(C$2,#REF!,0),0)</f>
        <v>#REF!</v>
      </c>
      <c r="D130" s="83"/>
      <c r="E130" s="83"/>
      <c r="F130" s="136" t="e">
        <f>VLOOKUP($B130,#REF!,MATCH(F$2,#REF!,0),0)</f>
        <v>#REF!</v>
      </c>
      <c r="G130" s="137" t="e">
        <f>VLOOKUP($B130,#REF!,MATCH(G$2,#REF!,0),0)</f>
        <v>#REF!</v>
      </c>
      <c r="H130" s="48"/>
      <c r="I130" s="48"/>
      <c r="J130" s="48"/>
      <c r="K130" s="48"/>
      <c r="L130" s="48"/>
      <c r="M130" s="48"/>
      <c r="N130" s="48"/>
      <c r="O130" s="48"/>
      <c r="P130" s="48"/>
      <c r="Q130" s="48"/>
      <c r="R130" s="150" t="e">
        <f t="shared" si="133"/>
        <v>#REF!</v>
      </c>
      <c r="S130" s="150" t="e">
        <f t="shared" si="134"/>
        <v>#REF!</v>
      </c>
      <c r="T130" s="150" t="e">
        <f t="shared" si="135"/>
        <v>#REF!</v>
      </c>
      <c r="U130" s="150" t="e">
        <f t="shared" si="136"/>
        <v>#REF!</v>
      </c>
      <c r="V130" s="150" t="e">
        <f t="shared" si="137"/>
        <v>#REF!</v>
      </c>
      <c r="W130" s="150" t="e">
        <f t="shared" si="138"/>
        <v>#REF!</v>
      </c>
      <c r="X130" s="150" t="e">
        <f t="shared" si="139"/>
        <v>#REF!</v>
      </c>
      <c r="Y130" s="150" t="e">
        <f t="shared" si="140"/>
        <v>#REF!</v>
      </c>
      <c r="Z130" s="150" t="e">
        <f t="shared" si="141"/>
        <v>#REF!</v>
      </c>
      <c r="AA130" s="150" t="e">
        <f t="shared" si="142"/>
        <v>#REF!</v>
      </c>
      <c r="AB130" s="50"/>
    </row>
    <row r="131" s="28" customFormat="1" outlineLevel="3" spans="1:28">
      <c r="A131" s="52">
        <f>MAX($A$6:A130)+1</f>
        <v>118</v>
      </c>
      <c r="B131" s="51" t="s">
        <v>1962</v>
      </c>
      <c r="C131" s="51" t="e">
        <f>VLOOKUP($B131,#REF!,MATCH(C$2,#REF!,0),0)</f>
        <v>#REF!</v>
      </c>
      <c r="D131" s="83"/>
      <c r="E131" s="83"/>
      <c r="F131" s="136" t="e">
        <f>VLOOKUP($B131,#REF!,MATCH(F$2,#REF!,0),0)</f>
        <v>#REF!</v>
      </c>
      <c r="G131" s="137" t="e">
        <f>VLOOKUP($B131,#REF!,MATCH(G$2,#REF!,0),0)</f>
        <v>#REF!</v>
      </c>
      <c r="H131" s="48"/>
      <c r="I131" s="48"/>
      <c r="J131" s="48"/>
      <c r="K131" s="48"/>
      <c r="L131" s="48"/>
      <c r="M131" s="48"/>
      <c r="N131" s="48"/>
      <c r="O131" s="48"/>
      <c r="P131" s="48"/>
      <c r="Q131" s="48"/>
      <c r="R131" s="150" t="e">
        <f t="shared" si="133"/>
        <v>#REF!</v>
      </c>
      <c r="S131" s="150" t="e">
        <f t="shared" si="134"/>
        <v>#REF!</v>
      </c>
      <c r="T131" s="150" t="e">
        <f t="shared" si="135"/>
        <v>#REF!</v>
      </c>
      <c r="U131" s="150" t="e">
        <f t="shared" si="136"/>
        <v>#REF!</v>
      </c>
      <c r="V131" s="150" t="e">
        <f t="shared" si="137"/>
        <v>#REF!</v>
      </c>
      <c r="W131" s="150" t="e">
        <f t="shared" si="138"/>
        <v>#REF!</v>
      </c>
      <c r="X131" s="150" t="e">
        <f t="shared" si="139"/>
        <v>#REF!</v>
      </c>
      <c r="Y131" s="150" t="e">
        <f t="shared" si="140"/>
        <v>#REF!</v>
      </c>
      <c r="Z131" s="150" t="e">
        <f t="shared" si="141"/>
        <v>#REF!</v>
      </c>
      <c r="AA131" s="150" t="e">
        <f t="shared" si="142"/>
        <v>#REF!</v>
      </c>
      <c r="AB131" s="50"/>
    </row>
    <row r="132" s="28" customFormat="1" outlineLevel="3" spans="1:28">
      <c r="A132" s="52">
        <f>MAX($A$6:A131)+1</f>
        <v>119</v>
      </c>
      <c r="B132" s="51" t="s">
        <v>1963</v>
      </c>
      <c r="C132" s="51" t="e">
        <f>VLOOKUP($B132,#REF!,MATCH(C$2,#REF!,0),0)</f>
        <v>#REF!</v>
      </c>
      <c r="D132" s="83"/>
      <c r="E132" s="83"/>
      <c r="F132" s="136" t="e">
        <f>VLOOKUP($B132,#REF!,MATCH(F$2,#REF!,0),0)</f>
        <v>#REF!</v>
      </c>
      <c r="G132" s="137" t="e">
        <f>VLOOKUP($B132,#REF!,MATCH(G$2,#REF!,0),0)</f>
        <v>#REF!</v>
      </c>
      <c r="H132" s="48"/>
      <c r="I132" s="48"/>
      <c r="J132" s="48"/>
      <c r="K132" s="48"/>
      <c r="L132" s="48"/>
      <c r="M132" s="48"/>
      <c r="N132" s="48"/>
      <c r="O132" s="48"/>
      <c r="P132" s="48"/>
      <c r="Q132" s="48"/>
      <c r="R132" s="150" t="e">
        <f t="shared" si="133"/>
        <v>#REF!</v>
      </c>
      <c r="S132" s="150" t="e">
        <f t="shared" si="134"/>
        <v>#REF!</v>
      </c>
      <c r="T132" s="150" t="e">
        <f t="shared" si="135"/>
        <v>#REF!</v>
      </c>
      <c r="U132" s="150" t="e">
        <f t="shared" si="136"/>
        <v>#REF!</v>
      </c>
      <c r="V132" s="150" t="e">
        <f t="shared" si="137"/>
        <v>#REF!</v>
      </c>
      <c r="W132" s="150" t="e">
        <f t="shared" si="138"/>
        <v>#REF!</v>
      </c>
      <c r="X132" s="150" t="e">
        <f t="shared" si="139"/>
        <v>#REF!</v>
      </c>
      <c r="Y132" s="150" t="e">
        <f t="shared" si="140"/>
        <v>#REF!</v>
      </c>
      <c r="Z132" s="150" t="e">
        <f t="shared" si="141"/>
        <v>#REF!</v>
      </c>
      <c r="AA132" s="150" t="e">
        <f t="shared" si="142"/>
        <v>#REF!</v>
      </c>
      <c r="AB132" s="50"/>
    </row>
    <row r="133" s="28" customFormat="1" outlineLevel="3" spans="1:28">
      <c r="A133" s="52">
        <f>MAX($A$6:A132)+1</f>
        <v>120</v>
      </c>
      <c r="B133" s="51" t="s">
        <v>1964</v>
      </c>
      <c r="C133" s="51" t="e">
        <f>VLOOKUP($B133,#REF!,MATCH(C$2,#REF!,0),0)</f>
        <v>#REF!</v>
      </c>
      <c r="D133" s="83"/>
      <c r="E133" s="83"/>
      <c r="F133" s="136" t="e">
        <f>VLOOKUP($B133,#REF!,MATCH(F$2,#REF!,0),0)</f>
        <v>#REF!</v>
      </c>
      <c r="G133" s="137" t="e">
        <f>VLOOKUP($B133,#REF!,MATCH(G$2,#REF!,0),0)</f>
        <v>#REF!</v>
      </c>
      <c r="H133" s="48"/>
      <c r="I133" s="48"/>
      <c r="J133" s="48"/>
      <c r="K133" s="48"/>
      <c r="L133" s="48"/>
      <c r="M133" s="48"/>
      <c r="N133" s="48"/>
      <c r="O133" s="48"/>
      <c r="P133" s="48"/>
      <c r="Q133" s="48"/>
      <c r="R133" s="150" t="e">
        <f t="shared" si="133"/>
        <v>#REF!</v>
      </c>
      <c r="S133" s="150" t="e">
        <f t="shared" si="134"/>
        <v>#REF!</v>
      </c>
      <c r="T133" s="150" t="e">
        <f t="shared" si="135"/>
        <v>#REF!</v>
      </c>
      <c r="U133" s="150" t="e">
        <f t="shared" si="136"/>
        <v>#REF!</v>
      </c>
      <c r="V133" s="150" t="e">
        <f t="shared" si="137"/>
        <v>#REF!</v>
      </c>
      <c r="W133" s="150" t="e">
        <f t="shared" si="138"/>
        <v>#REF!</v>
      </c>
      <c r="X133" s="150" t="e">
        <f t="shared" si="139"/>
        <v>#REF!</v>
      </c>
      <c r="Y133" s="150" t="e">
        <f t="shared" si="140"/>
        <v>#REF!</v>
      </c>
      <c r="Z133" s="150" t="e">
        <f t="shared" si="141"/>
        <v>#REF!</v>
      </c>
      <c r="AA133" s="150" t="e">
        <f t="shared" si="142"/>
        <v>#REF!</v>
      </c>
      <c r="AB133" s="50"/>
    </row>
    <row r="134" s="28" customFormat="1" outlineLevel="3" spans="1:28">
      <c r="A134" s="52">
        <f>MAX($A$6:A133)+1</f>
        <v>121</v>
      </c>
      <c r="B134" s="51" t="s">
        <v>1965</v>
      </c>
      <c r="C134" s="51" t="e">
        <f>VLOOKUP($B134,#REF!,MATCH(C$2,#REF!,0),0)</f>
        <v>#REF!</v>
      </c>
      <c r="D134" s="83"/>
      <c r="E134" s="83"/>
      <c r="F134" s="136" t="e">
        <f>VLOOKUP($B134,#REF!,MATCH(F$2,#REF!,0),0)</f>
        <v>#REF!</v>
      </c>
      <c r="G134" s="137" t="e">
        <f>VLOOKUP($B134,#REF!,MATCH(G$2,#REF!,0),0)</f>
        <v>#REF!</v>
      </c>
      <c r="H134" s="48"/>
      <c r="I134" s="48"/>
      <c r="J134" s="48"/>
      <c r="K134" s="48"/>
      <c r="L134" s="48"/>
      <c r="M134" s="48"/>
      <c r="N134" s="48"/>
      <c r="O134" s="48"/>
      <c r="P134" s="48"/>
      <c r="Q134" s="48"/>
      <c r="R134" s="150" t="e">
        <f t="shared" si="133"/>
        <v>#REF!</v>
      </c>
      <c r="S134" s="150" t="e">
        <f t="shared" si="134"/>
        <v>#REF!</v>
      </c>
      <c r="T134" s="150" t="e">
        <f t="shared" si="135"/>
        <v>#REF!</v>
      </c>
      <c r="U134" s="150" t="e">
        <f t="shared" si="136"/>
        <v>#REF!</v>
      </c>
      <c r="V134" s="150" t="e">
        <f t="shared" si="137"/>
        <v>#REF!</v>
      </c>
      <c r="W134" s="150" t="e">
        <f t="shared" si="138"/>
        <v>#REF!</v>
      </c>
      <c r="X134" s="150" t="e">
        <f t="shared" si="139"/>
        <v>#REF!</v>
      </c>
      <c r="Y134" s="150" t="e">
        <f t="shared" si="140"/>
        <v>#REF!</v>
      </c>
      <c r="Z134" s="150" t="e">
        <f t="shared" si="141"/>
        <v>#REF!</v>
      </c>
      <c r="AA134" s="150" t="e">
        <f t="shared" si="142"/>
        <v>#REF!</v>
      </c>
      <c r="AB134" s="50"/>
    </row>
    <row r="135" s="28" customFormat="1" outlineLevel="3" spans="1:28">
      <c r="A135" s="52">
        <f>MAX($A$6:A134)+1</f>
        <v>122</v>
      </c>
      <c r="B135" s="51" t="s">
        <v>1966</v>
      </c>
      <c r="C135" s="51" t="e">
        <f>VLOOKUP($B135,#REF!,MATCH(C$2,#REF!,0),0)</f>
        <v>#REF!</v>
      </c>
      <c r="D135" s="83"/>
      <c r="E135" s="83"/>
      <c r="F135" s="136" t="e">
        <f>VLOOKUP($B135,#REF!,MATCH(F$2,#REF!,0),0)</f>
        <v>#REF!</v>
      </c>
      <c r="G135" s="137" t="e">
        <f>VLOOKUP($B135,#REF!,MATCH(G$2,#REF!,0),0)</f>
        <v>#REF!</v>
      </c>
      <c r="H135" s="48"/>
      <c r="I135" s="48"/>
      <c r="J135" s="48"/>
      <c r="K135" s="48"/>
      <c r="L135" s="48"/>
      <c r="M135" s="48"/>
      <c r="N135" s="48"/>
      <c r="O135" s="48"/>
      <c r="P135" s="48"/>
      <c r="Q135" s="48"/>
      <c r="R135" s="150" t="e">
        <f t="shared" si="133"/>
        <v>#REF!</v>
      </c>
      <c r="S135" s="150" t="e">
        <f t="shared" si="134"/>
        <v>#REF!</v>
      </c>
      <c r="T135" s="150" t="e">
        <f t="shared" si="135"/>
        <v>#REF!</v>
      </c>
      <c r="U135" s="150" t="e">
        <f t="shared" si="136"/>
        <v>#REF!</v>
      </c>
      <c r="V135" s="150" t="e">
        <f t="shared" si="137"/>
        <v>#REF!</v>
      </c>
      <c r="W135" s="150" t="e">
        <f t="shared" si="138"/>
        <v>#REF!</v>
      </c>
      <c r="X135" s="150" t="e">
        <f t="shared" si="139"/>
        <v>#REF!</v>
      </c>
      <c r="Y135" s="150" t="e">
        <f t="shared" si="140"/>
        <v>#REF!</v>
      </c>
      <c r="Z135" s="150" t="e">
        <f t="shared" si="141"/>
        <v>#REF!</v>
      </c>
      <c r="AA135" s="150" t="e">
        <f t="shared" si="142"/>
        <v>#REF!</v>
      </c>
      <c r="AB135" s="50"/>
    </row>
    <row r="136" s="29" customFormat="1" outlineLevel="2" spans="1:28">
      <c r="A136" s="40"/>
      <c r="B136" s="41" t="s">
        <v>1967</v>
      </c>
      <c r="C136" s="41"/>
      <c r="D136" s="140"/>
      <c r="E136" s="140"/>
      <c r="F136" s="141"/>
      <c r="G136" s="142"/>
      <c r="H136" s="43"/>
      <c r="I136" s="43"/>
      <c r="J136" s="43"/>
      <c r="K136" s="43"/>
      <c r="L136" s="43"/>
      <c r="M136" s="43"/>
      <c r="N136" s="43"/>
      <c r="O136" s="43"/>
      <c r="P136" s="43"/>
      <c r="Q136" s="43"/>
      <c r="R136" s="149" t="e">
        <f t="shared" ref="R136:AA136" si="143">SUM(R137:R141)</f>
        <v>#REF!</v>
      </c>
      <c r="S136" s="149" t="e">
        <f t="shared" si="143"/>
        <v>#REF!</v>
      </c>
      <c r="T136" s="149" t="e">
        <f t="shared" si="143"/>
        <v>#REF!</v>
      </c>
      <c r="U136" s="149" t="e">
        <f t="shared" si="143"/>
        <v>#REF!</v>
      </c>
      <c r="V136" s="149" t="e">
        <f t="shared" si="143"/>
        <v>#REF!</v>
      </c>
      <c r="W136" s="149" t="e">
        <f t="shared" si="143"/>
        <v>#REF!</v>
      </c>
      <c r="X136" s="149" t="e">
        <f t="shared" si="143"/>
        <v>#REF!</v>
      </c>
      <c r="Y136" s="149" t="e">
        <f t="shared" si="143"/>
        <v>#REF!</v>
      </c>
      <c r="Z136" s="149" t="e">
        <f t="shared" si="143"/>
        <v>#REF!</v>
      </c>
      <c r="AA136" s="149" t="e">
        <f t="shared" si="143"/>
        <v>#REF!</v>
      </c>
      <c r="AB136" s="40"/>
    </row>
    <row r="137" s="28" customFormat="1" outlineLevel="3" spans="1:28">
      <c r="A137" s="52">
        <f>MAX($A$6:A136)+1</f>
        <v>123</v>
      </c>
      <c r="B137" s="51" t="s">
        <v>1723</v>
      </c>
      <c r="C137" s="51" t="e">
        <f>VLOOKUP($B137,#REF!,MATCH(C$2,#REF!,0),0)</f>
        <v>#REF!</v>
      </c>
      <c r="D137" s="83"/>
      <c r="E137" s="83"/>
      <c r="F137" s="136" t="e">
        <f>VLOOKUP($B137,#REF!,MATCH(F$2,#REF!,0),0)</f>
        <v>#REF!</v>
      </c>
      <c r="G137" s="137" t="e">
        <f>VLOOKUP($B137,#REF!,MATCH(G$2,#REF!,0),0)</f>
        <v>#REF!</v>
      </c>
      <c r="H137" s="48"/>
      <c r="I137" s="48"/>
      <c r="J137" s="48"/>
      <c r="K137" s="48"/>
      <c r="L137" s="48"/>
      <c r="M137" s="48"/>
      <c r="N137" s="48"/>
      <c r="O137" s="48"/>
      <c r="P137" s="48"/>
      <c r="Q137" s="48">
        <v>2</v>
      </c>
      <c r="R137" s="150" t="e">
        <f t="shared" ref="R137:AA137" si="144">$G137*H137</f>
        <v>#REF!</v>
      </c>
      <c r="S137" s="150" t="e">
        <f t="shared" si="144"/>
        <v>#REF!</v>
      </c>
      <c r="T137" s="150" t="e">
        <f t="shared" si="144"/>
        <v>#REF!</v>
      </c>
      <c r="U137" s="150" t="e">
        <f t="shared" si="144"/>
        <v>#REF!</v>
      </c>
      <c r="V137" s="150" t="e">
        <f t="shared" si="144"/>
        <v>#REF!</v>
      </c>
      <c r="W137" s="150" t="e">
        <f t="shared" si="144"/>
        <v>#REF!</v>
      </c>
      <c r="X137" s="150" t="e">
        <f t="shared" si="144"/>
        <v>#REF!</v>
      </c>
      <c r="Y137" s="150" t="e">
        <f t="shared" si="144"/>
        <v>#REF!</v>
      </c>
      <c r="Z137" s="150" t="e">
        <f t="shared" si="144"/>
        <v>#REF!</v>
      </c>
      <c r="AA137" s="150" t="e">
        <f t="shared" si="144"/>
        <v>#REF!</v>
      </c>
      <c r="AB137" s="50"/>
    </row>
    <row r="138" s="28" customFormat="1" outlineLevel="3" spans="1:28">
      <c r="A138" s="52">
        <f>MAX($A$6:A137)+1</f>
        <v>124</v>
      </c>
      <c r="B138" s="51" t="s">
        <v>1722</v>
      </c>
      <c r="C138" s="51" t="e">
        <f>VLOOKUP($B138,#REF!,MATCH(C$2,#REF!,0),0)</f>
        <v>#REF!</v>
      </c>
      <c r="D138" s="83"/>
      <c r="E138" s="83"/>
      <c r="F138" s="136" t="e">
        <f>VLOOKUP($B138,#REF!,MATCH(F$2,#REF!,0),0)</f>
        <v>#REF!</v>
      </c>
      <c r="G138" s="137" t="e">
        <f>VLOOKUP($B138,#REF!,MATCH(G$2,#REF!,0),0)</f>
        <v>#REF!</v>
      </c>
      <c r="H138" s="48">
        <v>6</v>
      </c>
      <c r="I138" s="48">
        <v>6</v>
      </c>
      <c r="J138" s="48">
        <v>2</v>
      </c>
      <c r="K138" s="48">
        <v>2</v>
      </c>
      <c r="L138" s="48">
        <v>1</v>
      </c>
      <c r="M138" s="48"/>
      <c r="N138" s="48"/>
      <c r="O138" s="48"/>
      <c r="P138" s="48"/>
      <c r="Q138" s="48"/>
      <c r="R138" s="150" t="e">
        <f t="shared" ref="R138:AA138" si="145">$G138*H138</f>
        <v>#REF!</v>
      </c>
      <c r="S138" s="150" t="e">
        <f t="shared" si="145"/>
        <v>#REF!</v>
      </c>
      <c r="T138" s="150" t="e">
        <f t="shared" si="145"/>
        <v>#REF!</v>
      </c>
      <c r="U138" s="150" t="e">
        <f t="shared" si="145"/>
        <v>#REF!</v>
      </c>
      <c r="V138" s="150" t="e">
        <f t="shared" si="145"/>
        <v>#REF!</v>
      </c>
      <c r="W138" s="150" t="e">
        <f t="shared" si="145"/>
        <v>#REF!</v>
      </c>
      <c r="X138" s="150" t="e">
        <f t="shared" si="145"/>
        <v>#REF!</v>
      </c>
      <c r="Y138" s="150" t="e">
        <f t="shared" si="145"/>
        <v>#REF!</v>
      </c>
      <c r="Z138" s="150" t="e">
        <f t="shared" si="145"/>
        <v>#REF!</v>
      </c>
      <c r="AA138" s="150" t="e">
        <f t="shared" si="145"/>
        <v>#REF!</v>
      </c>
      <c r="AB138" s="50"/>
    </row>
    <row r="139" s="28" customFormat="1" outlineLevel="3" spans="1:28">
      <c r="A139" s="52">
        <f>MAX($A$6:A138)+1</f>
        <v>125</v>
      </c>
      <c r="B139" s="51" t="s">
        <v>1721</v>
      </c>
      <c r="C139" s="51" t="e">
        <f>VLOOKUP($B139,#REF!,MATCH(C$2,#REF!,0),0)</f>
        <v>#REF!</v>
      </c>
      <c r="D139" s="83"/>
      <c r="E139" s="83"/>
      <c r="F139" s="136" t="e">
        <f>VLOOKUP($B139,#REF!,MATCH(F$2,#REF!,0),0)</f>
        <v>#REF!</v>
      </c>
      <c r="G139" s="137" t="e">
        <f>VLOOKUP($B139,#REF!,MATCH(G$2,#REF!,0),0)</f>
        <v>#REF!</v>
      </c>
      <c r="H139" s="48"/>
      <c r="I139" s="48"/>
      <c r="J139" s="48"/>
      <c r="K139" s="48"/>
      <c r="L139" s="48"/>
      <c r="M139" s="48"/>
      <c r="N139" s="48"/>
      <c r="O139" s="48"/>
      <c r="P139" s="48"/>
      <c r="Q139" s="48"/>
      <c r="R139" s="150" t="e">
        <f t="shared" ref="R139:AA139" si="146">$G139*H139</f>
        <v>#REF!</v>
      </c>
      <c r="S139" s="150" t="e">
        <f t="shared" si="146"/>
        <v>#REF!</v>
      </c>
      <c r="T139" s="150" t="e">
        <f t="shared" si="146"/>
        <v>#REF!</v>
      </c>
      <c r="U139" s="150" t="e">
        <f t="shared" si="146"/>
        <v>#REF!</v>
      </c>
      <c r="V139" s="150" t="e">
        <f t="shared" si="146"/>
        <v>#REF!</v>
      </c>
      <c r="W139" s="150" t="e">
        <f t="shared" si="146"/>
        <v>#REF!</v>
      </c>
      <c r="X139" s="150" t="e">
        <f t="shared" si="146"/>
        <v>#REF!</v>
      </c>
      <c r="Y139" s="150" t="e">
        <f t="shared" si="146"/>
        <v>#REF!</v>
      </c>
      <c r="Z139" s="150" t="e">
        <f t="shared" si="146"/>
        <v>#REF!</v>
      </c>
      <c r="AA139" s="150" t="e">
        <f t="shared" si="146"/>
        <v>#REF!</v>
      </c>
      <c r="AB139" s="50"/>
    </row>
    <row r="140" s="28" customFormat="1" outlineLevel="3" spans="1:28">
      <c r="A140" s="52">
        <f>MAX($A$6:A139)+1</f>
        <v>126</v>
      </c>
      <c r="B140" s="51" t="s">
        <v>1724</v>
      </c>
      <c r="C140" s="51" t="e">
        <f>VLOOKUP($B140,#REF!,MATCH(C$2,#REF!,0),0)</f>
        <v>#REF!</v>
      </c>
      <c r="D140" s="83"/>
      <c r="E140" s="83"/>
      <c r="F140" s="136" t="e">
        <f>VLOOKUP($B140,#REF!,MATCH(F$2,#REF!,0),0)</f>
        <v>#REF!</v>
      </c>
      <c r="G140" s="137" t="e">
        <f>VLOOKUP($B140,#REF!,MATCH(G$2,#REF!,0),0)</f>
        <v>#REF!</v>
      </c>
      <c r="H140" s="48"/>
      <c r="I140" s="48"/>
      <c r="J140" s="48"/>
      <c r="K140" s="48"/>
      <c r="L140" s="48"/>
      <c r="M140" s="48"/>
      <c r="N140" s="48"/>
      <c r="O140" s="48"/>
      <c r="P140" s="48">
        <v>31</v>
      </c>
      <c r="Q140" s="48"/>
      <c r="R140" s="150" t="e">
        <f t="shared" ref="R140:AA140" si="147">$G140*H140</f>
        <v>#REF!</v>
      </c>
      <c r="S140" s="150" t="e">
        <f t="shared" si="147"/>
        <v>#REF!</v>
      </c>
      <c r="T140" s="150" t="e">
        <f t="shared" si="147"/>
        <v>#REF!</v>
      </c>
      <c r="U140" s="150" t="e">
        <f t="shared" si="147"/>
        <v>#REF!</v>
      </c>
      <c r="V140" s="150" t="e">
        <f t="shared" si="147"/>
        <v>#REF!</v>
      </c>
      <c r="W140" s="150" t="e">
        <f t="shared" si="147"/>
        <v>#REF!</v>
      </c>
      <c r="X140" s="150" t="e">
        <f t="shared" si="147"/>
        <v>#REF!</v>
      </c>
      <c r="Y140" s="150" t="e">
        <f t="shared" si="147"/>
        <v>#REF!</v>
      </c>
      <c r="Z140" s="150" t="e">
        <f t="shared" si="147"/>
        <v>#REF!</v>
      </c>
      <c r="AA140" s="150" t="e">
        <f t="shared" si="147"/>
        <v>#REF!</v>
      </c>
      <c r="AB140" s="50"/>
    </row>
    <row r="141" s="28" customFormat="1" outlineLevel="3" spans="1:28">
      <c r="A141" s="52">
        <f>MAX($A$6:A140)+1</f>
        <v>127</v>
      </c>
      <c r="B141" s="51" t="s">
        <v>1968</v>
      </c>
      <c r="C141" s="51" t="e">
        <f>VLOOKUP($B141,#REF!,MATCH(C$2,#REF!,0),0)</f>
        <v>#REF!</v>
      </c>
      <c r="D141" s="83"/>
      <c r="E141" s="83"/>
      <c r="F141" s="136" t="e">
        <f>VLOOKUP($B141,#REF!,MATCH(F$2,#REF!,0),0)</f>
        <v>#REF!</v>
      </c>
      <c r="G141" s="137" t="e">
        <f>VLOOKUP($B141,#REF!,MATCH(G$2,#REF!,0),0)</f>
        <v>#REF!</v>
      </c>
      <c r="H141" s="48"/>
      <c r="I141" s="48"/>
      <c r="J141" s="48"/>
      <c r="K141" s="48"/>
      <c r="L141" s="48"/>
      <c r="M141" s="48"/>
      <c r="N141" s="48"/>
      <c r="O141" s="48"/>
      <c r="P141" s="48">
        <v>1</v>
      </c>
      <c r="Q141" s="48"/>
      <c r="R141" s="150" t="e">
        <f t="shared" ref="R141:AA141" si="148">$G141*H141</f>
        <v>#REF!</v>
      </c>
      <c r="S141" s="150" t="e">
        <f t="shared" si="148"/>
        <v>#REF!</v>
      </c>
      <c r="T141" s="150" t="e">
        <f t="shared" si="148"/>
        <v>#REF!</v>
      </c>
      <c r="U141" s="150" t="e">
        <f t="shared" si="148"/>
        <v>#REF!</v>
      </c>
      <c r="V141" s="150" t="e">
        <f t="shared" si="148"/>
        <v>#REF!</v>
      </c>
      <c r="W141" s="150" t="e">
        <f t="shared" si="148"/>
        <v>#REF!</v>
      </c>
      <c r="X141" s="150" t="e">
        <f t="shared" si="148"/>
        <v>#REF!</v>
      </c>
      <c r="Y141" s="150" t="e">
        <f t="shared" si="148"/>
        <v>#REF!</v>
      </c>
      <c r="Z141" s="150" t="e">
        <f t="shared" si="148"/>
        <v>#REF!</v>
      </c>
      <c r="AA141" s="150" t="e">
        <f t="shared" si="148"/>
        <v>#REF!</v>
      </c>
      <c r="AB141" s="50"/>
    </row>
    <row r="142" s="122" customFormat="1" outlineLevel="1" spans="1:28">
      <c r="A142" s="130"/>
      <c r="B142" s="131" t="s">
        <v>1969</v>
      </c>
      <c r="C142" s="131"/>
      <c r="D142" s="153"/>
      <c r="E142" s="153"/>
      <c r="F142" s="154"/>
      <c r="G142" s="155"/>
      <c r="H142" s="134"/>
      <c r="I142" s="134"/>
      <c r="J142" s="134"/>
      <c r="K142" s="134"/>
      <c r="L142" s="134"/>
      <c r="M142" s="134"/>
      <c r="N142" s="134"/>
      <c r="O142" s="134"/>
      <c r="P142" s="134"/>
      <c r="Q142" s="134"/>
      <c r="R142" s="148" t="e">
        <f t="shared" ref="R142:AA142" si="149">SUM(R143,R157)</f>
        <v>#REF!</v>
      </c>
      <c r="S142" s="148" t="e">
        <f t="shared" si="149"/>
        <v>#REF!</v>
      </c>
      <c r="T142" s="148" t="e">
        <f t="shared" si="149"/>
        <v>#REF!</v>
      </c>
      <c r="U142" s="148" t="e">
        <f t="shared" si="149"/>
        <v>#REF!</v>
      </c>
      <c r="V142" s="148" t="e">
        <f t="shared" si="149"/>
        <v>#REF!</v>
      </c>
      <c r="W142" s="148" t="e">
        <f t="shared" si="149"/>
        <v>#REF!</v>
      </c>
      <c r="X142" s="148" t="e">
        <f t="shared" si="149"/>
        <v>#REF!</v>
      </c>
      <c r="Y142" s="148" t="e">
        <f t="shared" si="149"/>
        <v>#REF!</v>
      </c>
      <c r="Z142" s="148" t="e">
        <f t="shared" si="149"/>
        <v>#REF!</v>
      </c>
      <c r="AA142" s="148" t="e">
        <f t="shared" si="149"/>
        <v>#REF!</v>
      </c>
      <c r="AB142" s="130"/>
    </row>
    <row r="143" s="29" customFormat="1" outlineLevel="2" spans="1:28">
      <c r="A143" s="40"/>
      <c r="B143" s="41" t="s">
        <v>1970</v>
      </c>
      <c r="C143" s="41"/>
      <c r="D143" s="140"/>
      <c r="E143" s="140"/>
      <c r="F143" s="141"/>
      <c r="G143" s="142"/>
      <c r="H143" s="43"/>
      <c r="I143" s="43"/>
      <c r="J143" s="43"/>
      <c r="K143" s="43"/>
      <c r="L143" s="43"/>
      <c r="M143" s="43"/>
      <c r="N143" s="43"/>
      <c r="O143" s="43"/>
      <c r="P143" s="43"/>
      <c r="Q143" s="43"/>
      <c r="R143" s="149" t="e">
        <f t="shared" ref="R143:AA143" si="150">SUM(R144:R156)</f>
        <v>#REF!</v>
      </c>
      <c r="S143" s="149" t="e">
        <f t="shared" si="150"/>
        <v>#REF!</v>
      </c>
      <c r="T143" s="149" t="e">
        <f t="shared" si="150"/>
        <v>#REF!</v>
      </c>
      <c r="U143" s="149" t="e">
        <f t="shared" si="150"/>
        <v>#REF!</v>
      </c>
      <c r="V143" s="149" t="e">
        <f t="shared" si="150"/>
        <v>#REF!</v>
      </c>
      <c r="W143" s="149" t="e">
        <f t="shared" si="150"/>
        <v>#REF!</v>
      </c>
      <c r="X143" s="149" t="e">
        <f t="shared" si="150"/>
        <v>#REF!</v>
      </c>
      <c r="Y143" s="149" t="e">
        <f t="shared" si="150"/>
        <v>#REF!</v>
      </c>
      <c r="Z143" s="149" t="e">
        <f t="shared" si="150"/>
        <v>#REF!</v>
      </c>
      <c r="AA143" s="149" t="e">
        <f t="shared" si="150"/>
        <v>#REF!</v>
      </c>
      <c r="AB143" s="40"/>
    </row>
    <row r="144" s="28" customFormat="1" outlineLevel="3" spans="1:28">
      <c r="A144" s="52">
        <f>MAX($A$6:A143)+1</f>
        <v>128</v>
      </c>
      <c r="B144" s="51" t="s">
        <v>1971</v>
      </c>
      <c r="C144" s="51" t="e">
        <f>VLOOKUP($B144,#REF!,MATCH(C$2,#REF!,0),0)</f>
        <v>#REF!</v>
      </c>
      <c r="D144" s="83"/>
      <c r="E144" s="83"/>
      <c r="F144" s="136" t="e">
        <f>VLOOKUP($B144,#REF!,MATCH(F$2,#REF!,0),0)</f>
        <v>#REF!</v>
      </c>
      <c r="G144" s="137" t="e">
        <f>VLOOKUP($B144,#REF!,MATCH(G$2,#REF!,0),0)</f>
        <v>#REF!</v>
      </c>
      <c r="H144" s="48">
        <v>1</v>
      </c>
      <c r="I144" s="48">
        <v>1</v>
      </c>
      <c r="J144" s="48">
        <v>1</v>
      </c>
      <c r="K144" s="48">
        <v>1</v>
      </c>
      <c r="L144" s="48"/>
      <c r="M144" s="48"/>
      <c r="N144" s="48"/>
      <c r="O144" s="48"/>
      <c r="P144" s="48">
        <v>1</v>
      </c>
      <c r="Q144" s="48">
        <v>1</v>
      </c>
      <c r="R144" s="150" t="e">
        <f t="shared" ref="R144:AA144" si="151">$G144*H144</f>
        <v>#REF!</v>
      </c>
      <c r="S144" s="150" t="e">
        <f t="shared" si="151"/>
        <v>#REF!</v>
      </c>
      <c r="T144" s="150" t="e">
        <f t="shared" si="151"/>
        <v>#REF!</v>
      </c>
      <c r="U144" s="150" t="e">
        <f t="shared" si="151"/>
        <v>#REF!</v>
      </c>
      <c r="V144" s="150" t="e">
        <f t="shared" si="151"/>
        <v>#REF!</v>
      </c>
      <c r="W144" s="150" t="e">
        <f t="shared" si="151"/>
        <v>#REF!</v>
      </c>
      <c r="X144" s="150" t="e">
        <f t="shared" si="151"/>
        <v>#REF!</v>
      </c>
      <c r="Y144" s="150" t="e">
        <f t="shared" si="151"/>
        <v>#REF!</v>
      </c>
      <c r="Z144" s="150" t="e">
        <f t="shared" si="151"/>
        <v>#REF!</v>
      </c>
      <c r="AA144" s="150" t="e">
        <f t="shared" si="151"/>
        <v>#REF!</v>
      </c>
      <c r="AB144" s="50"/>
    </row>
    <row r="145" s="28" customFormat="1" outlineLevel="3" spans="1:28">
      <c r="A145" s="52">
        <f>MAX($A$6:A144)+1</f>
        <v>129</v>
      </c>
      <c r="B145" s="51" t="s">
        <v>1972</v>
      </c>
      <c r="C145" s="51" t="e">
        <f>VLOOKUP($B145,#REF!,MATCH(C$2,#REF!,0),0)</f>
        <v>#REF!</v>
      </c>
      <c r="D145" s="83"/>
      <c r="E145" s="83"/>
      <c r="F145" s="136" t="e">
        <f>VLOOKUP($B145,#REF!,MATCH(F$2,#REF!,0),0)</f>
        <v>#REF!</v>
      </c>
      <c r="G145" s="137" t="e">
        <f>VLOOKUP($B145,#REF!,MATCH(G$2,#REF!,0),0)</f>
        <v>#REF!</v>
      </c>
      <c r="H145" s="48">
        <v>6</v>
      </c>
      <c r="I145" s="48">
        <v>2</v>
      </c>
      <c r="J145" s="48">
        <v>1</v>
      </c>
      <c r="K145" s="48">
        <v>1</v>
      </c>
      <c r="L145" s="48"/>
      <c r="M145" s="48"/>
      <c r="N145" s="48"/>
      <c r="O145" s="48"/>
      <c r="P145" s="48">
        <v>7</v>
      </c>
      <c r="Q145" s="48">
        <v>36</v>
      </c>
      <c r="R145" s="150" t="e">
        <f t="shared" ref="R145:AA145" si="152">$G145*H145</f>
        <v>#REF!</v>
      </c>
      <c r="S145" s="150" t="e">
        <f t="shared" si="152"/>
        <v>#REF!</v>
      </c>
      <c r="T145" s="150" t="e">
        <f t="shared" si="152"/>
        <v>#REF!</v>
      </c>
      <c r="U145" s="150" t="e">
        <f t="shared" si="152"/>
        <v>#REF!</v>
      </c>
      <c r="V145" s="150" t="e">
        <f t="shared" si="152"/>
        <v>#REF!</v>
      </c>
      <c r="W145" s="150" t="e">
        <f t="shared" si="152"/>
        <v>#REF!</v>
      </c>
      <c r="X145" s="150" t="e">
        <f t="shared" si="152"/>
        <v>#REF!</v>
      </c>
      <c r="Y145" s="150" t="e">
        <f t="shared" si="152"/>
        <v>#REF!</v>
      </c>
      <c r="Z145" s="150" t="e">
        <f t="shared" si="152"/>
        <v>#REF!</v>
      </c>
      <c r="AA145" s="150" t="e">
        <f t="shared" si="152"/>
        <v>#REF!</v>
      </c>
      <c r="AB145" s="50"/>
    </row>
    <row r="146" s="28" customFormat="1" outlineLevel="3" spans="1:28">
      <c r="A146" s="52">
        <f>MAX($A$6:A145)+1</f>
        <v>130</v>
      </c>
      <c r="B146" s="51" t="s">
        <v>1973</v>
      </c>
      <c r="C146" s="51" t="e">
        <f>VLOOKUP($B146,#REF!,MATCH(C$2,#REF!,0),0)</f>
        <v>#REF!</v>
      </c>
      <c r="D146" s="83"/>
      <c r="E146" s="83"/>
      <c r="F146" s="136" t="e">
        <f>VLOOKUP($B146,#REF!,MATCH(F$2,#REF!,0),0)</f>
        <v>#REF!</v>
      </c>
      <c r="G146" s="137" t="e">
        <f>VLOOKUP($B146,#REF!,MATCH(G$2,#REF!,0),0)</f>
        <v>#REF!</v>
      </c>
      <c r="H146" s="48">
        <v>3</v>
      </c>
      <c r="I146" s="48">
        <v>2</v>
      </c>
      <c r="J146" s="48">
        <v>1</v>
      </c>
      <c r="K146" s="48">
        <v>1</v>
      </c>
      <c r="L146" s="48"/>
      <c r="M146" s="48"/>
      <c r="N146" s="48"/>
      <c r="O146" s="48"/>
      <c r="P146" s="48">
        <v>22</v>
      </c>
      <c r="Q146" s="48">
        <v>4</v>
      </c>
      <c r="R146" s="150" t="e">
        <f t="shared" ref="R146:AA146" si="153">$G146*H146</f>
        <v>#REF!</v>
      </c>
      <c r="S146" s="150" t="e">
        <f t="shared" si="153"/>
        <v>#REF!</v>
      </c>
      <c r="T146" s="150" t="e">
        <f t="shared" si="153"/>
        <v>#REF!</v>
      </c>
      <c r="U146" s="150" t="e">
        <f t="shared" si="153"/>
        <v>#REF!</v>
      </c>
      <c r="V146" s="150" t="e">
        <f t="shared" si="153"/>
        <v>#REF!</v>
      </c>
      <c r="W146" s="150" t="e">
        <f t="shared" si="153"/>
        <v>#REF!</v>
      </c>
      <c r="X146" s="150" t="e">
        <f t="shared" si="153"/>
        <v>#REF!</v>
      </c>
      <c r="Y146" s="150" t="e">
        <f t="shared" si="153"/>
        <v>#REF!</v>
      </c>
      <c r="Z146" s="150" t="e">
        <f t="shared" si="153"/>
        <v>#REF!</v>
      </c>
      <c r="AA146" s="150" t="e">
        <f t="shared" si="153"/>
        <v>#REF!</v>
      </c>
      <c r="AB146" s="50"/>
    </row>
    <row r="147" s="28" customFormat="1" outlineLevel="3" spans="1:28">
      <c r="A147" s="52">
        <f>MAX($A$6:A146)+1</f>
        <v>131</v>
      </c>
      <c r="B147" s="51" t="s">
        <v>1974</v>
      </c>
      <c r="C147" s="51" t="e">
        <f>VLOOKUP($B147,#REF!,MATCH(C$2,#REF!,0),0)</f>
        <v>#REF!</v>
      </c>
      <c r="D147" s="83"/>
      <c r="E147" s="83"/>
      <c r="F147" s="136" t="e">
        <f>VLOOKUP($B147,#REF!,MATCH(F$2,#REF!,0),0)</f>
        <v>#REF!</v>
      </c>
      <c r="G147" s="137" t="e">
        <f>VLOOKUP($B147,#REF!,MATCH(G$2,#REF!,0),0)</f>
        <v>#REF!</v>
      </c>
      <c r="H147" s="48">
        <v>6</v>
      </c>
      <c r="I147" s="48">
        <v>14</v>
      </c>
      <c r="J147" s="48">
        <v>4</v>
      </c>
      <c r="K147" s="48">
        <v>4</v>
      </c>
      <c r="L147" s="48">
        <v>5</v>
      </c>
      <c r="M147" s="48"/>
      <c r="N147" s="48"/>
      <c r="O147" s="48"/>
      <c r="P147" s="48">
        <v>8</v>
      </c>
      <c r="Q147" s="48">
        <v>1</v>
      </c>
      <c r="R147" s="150" t="e">
        <f t="shared" ref="R147:AA147" si="154">$G147*H147</f>
        <v>#REF!</v>
      </c>
      <c r="S147" s="150" t="e">
        <f t="shared" si="154"/>
        <v>#REF!</v>
      </c>
      <c r="T147" s="150" t="e">
        <f t="shared" si="154"/>
        <v>#REF!</v>
      </c>
      <c r="U147" s="150" t="e">
        <f t="shared" si="154"/>
        <v>#REF!</v>
      </c>
      <c r="V147" s="150" t="e">
        <f t="shared" si="154"/>
        <v>#REF!</v>
      </c>
      <c r="W147" s="150" t="e">
        <f t="shared" si="154"/>
        <v>#REF!</v>
      </c>
      <c r="X147" s="150" t="e">
        <f t="shared" si="154"/>
        <v>#REF!</v>
      </c>
      <c r="Y147" s="150" t="e">
        <f t="shared" si="154"/>
        <v>#REF!</v>
      </c>
      <c r="Z147" s="150" t="e">
        <f t="shared" si="154"/>
        <v>#REF!</v>
      </c>
      <c r="AA147" s="150" t="e">
        <f t="shared" si="154"/>
        <v>#REF!</v>
      </c>
      <c r="AB147" s="50"/>
    </row>
    <row r="148" s="28" customFormat="1" outlineLevel="3" spans="1:28">
      <c r="A148" s="52">
        <f>MAX($A$6:A147)+1</f>
        <v>132</v>
      </c>
      <c r="B148" s="51" t="s">
        <v>1975</v>
      </c>
      <c r="C148" s="51" t="e">
        <f>VLOOKUP($B148,#REF!,MATCH(C$2,#REF!,0),0)</f>
        <v>#REF!</v>
      </c>
      <c r="D148" s="83"/>
      <c r="E148" s="83"/>
      <c r="F148" s="136" t="e">
        <f>VLOOKUP($B148,#REF!,MATCH(F$2,#REF!,0),0)</f>
        <v>#REF!</v>
      </c>
      <c r="G148" s="137" t="e">
        <f>VLOOKUP($B148,#REF!,MATCH(G$2,#REF!,0),0)</f>
        <v>#REF!</v>
      </c>
      <c r="H148" s="48">
        <v>3</v>
      </c>
      <c r="I148" s="48">
        <v>3</v>
      </c>
      <c r="J148" s="48">
        <v>1</v>
      </c>
      <c r="K148" s="48">
        <v>1</v>
      </c>
      <c r="L148" s="48">
        <v>1</v>
      </c>
      <c r="M148" s="48"/>
      <c r="N148" s="48"/>
      <c r="O148" s="48"/>
      <c r="P148" s="48"/>
      <c r="Q148" s="48">
        <v>2</v>
      </c>
      <c r="R148" s="150" t="e">
        <f t="shared" ref="R148:AA148" si="155">$G148*H148</f>
        <v>#REF!</v>
      </c>
      <c r="S148" s="150" t="e">
        <f t="shared" si="155"/>
        <v>#REF!</v>
      </c>
      <c r="T148" s="150" t="e">
        <f t="shared" si="155"/>
        <v>#REF!</v>
      </c>
      <c r="U148" s="150" t="e">
        <f t="shared" si="155"/>
        <v>#REF!</v>
      </c>
      <c r="V148" s="150" t="e">
        <f t="shared" si="155"/>
        <v>#REF!</v>
      </c>
      <c r="W148" s="150" t="e">
        <f t="shared" si="155"/>
        <v>#REF!</v>
      </c>
      <c r="X148" s="150" t="e">
        <f t="shared" si="155"/>
        <v>#REF!</v>
      </c>
      <c r="Y148" s="150" t="e">
        <f t="shared" si="155"/>
        <v>#REF!</v>
      </c>
      <c r="Z148" s="150" t="e">
        <f t="shared" si="155"/>
        <v>#REF!</v>
      </c>
      <c r="AA148" s="150" t="e">
        <f t="shared" si="155"/>
        <v>#REF!</v>
      </c>
      <c r="AB148" s="50"/>
    </row>
    <row r="149" s="28" customFormat="1" outlineLevel="3" spans="1:28">
      <c r="A149" s="52">
        <f>MAX($A$6:A148)+1</f>
        <v>133</v>
      </c>
      <c r="B149" s="51" t="s">
        <v>1976</v>
      </c>
      <c r="C149" s="51" t="e">
        <f>VLOOKUP($B149,#REF!,MATCH(C$2,#REF!,0),0)</f>
        <v>#REF!</v>
      </c>
      <c r="D149" s="83"/>
      <c r="E149" s="83"/>
      <c r="F149" s="136" t="e">
        <f>VLOOKUP($B149,#REF!,MATCH(F$2,#REF!,0),0)</f>
        <v>#REF!</v>
      </c>
      <c r="G149" s="137" t="e">
        <f>VLOOKUP($B149,#REF!,MATCH(G$2,#REF!,0),0)</f>
        <v>#REF!</v>
      </c>
      <c r="H149" s="48">
        <v>19</v>
      </c>
      <c r="I149" s="48">
        <v>15</v>
      </c>
      <c r="J149" s="48">
        <v>6</v>
      </c>
      <c r="K149" s="48">
        <v>6</v>
      </c>
      <c r="L149" s="48">
        <v>10</v>
      </c>
      <c r="M149" s="48"/>
      <c r="N149" s="48"/>
      <c r="O149" s="48"/>
      <c r="P149" s="48">
        <v>2</v>
      </c>
      <c r="Q149" s="48">
        <v>2</v>
      </c>
      <c r="R149" s="150" t="e">
        <f t="shared" ref="R149:AA149" si="156">$G149*H149</f>
        <v>#REF!</v>
      </c>
      <c r="S149" s="150" t="e">
        <f t="shared" si="156"/>
        <v>#REF!</v>
      </c>
      <c r="T149" s="150" t="e">
        <f t="shared" si="156"/>
        <v>#REF!</v>
      </c>
      <c r="U149" s="150" t="e">
        <f t="shared" si="156"/>
        <v>#REF!</v>
      </c>
      <c r="V149" s="150" t="e">
        <f t="shared" si="156"/>
        <v>#REF!</v>
      </c>
      <c r="W149" s="150" t="e">
        <f t="shared" si="156"/>
        <v>#REF!</v>
      </c>
      <c r="X149" s="150" t="e">
        <f t="shared" si="156"/>
        <v>#REF!</v>
      </c>
      <c r="Y149" s="150" t="e">
        <f t="shared" si="156"/>
        <v>#REF!</v>
      </c>
      <c r="Z149" s="150" t="e">
        <f t="shared" si="156"/>
        <v>#REF!</v>
      </c>
      <c r="AA149" s="150" t="e">
        <f t="shared" si="156"/>
        <v>#REF!</v>
      </c>
      <c r="AB149" s="50"/>
    </row>
    <row r="150" s="28" customFormat="1" outlineLevel="3" spans="1:28">
      <c r="A150" s="52">
        <f>MAX($A$6:A149)+1</f>
        <v>134</v>
      </c>
      <c r="B150" s="51" t="s">
        <v>1977</v>
      </c>
      <c r="C150" s="51" t="e">
        <f>VLOOKUP($B150,#REF!,MATCH(C$2,#REF!,0),0)</f>
        <v>#REF!</v>
      </c>
      <c r="D150" s="83"/>
      <c r="E150" s="83"/>
      <c r="F150" s="136" t="e">
        <f>VLOOKUP($B150,#REF!,MATCH(F$2,#REF!,0),0)</f>
        <v>#REF!</v>
      </c>
      <c r="G150" s="137" t="e">
        <f>VLOOKUP($B150,#REF!,MATCH(G$2,#REF!,0),0)</f>
        <v>#REF!</v>
      </c>
      <c r="H150" s="48"/>
      <c r="I150" s="48"/>
      <c r="J150" s="48"/>
      <c r="K150" s="48"/>
      <c r="L150" s="48"/>
      <c r="M150" s="48"/>
      <c r="N150" s="48"/>
      <c r="O150" s="48"/>
      <c r="P150" s="48"/>
      <c r="Q150" s="48"/>
      <c r="R150" s="150" t="e">
        <f t="shared" ref="R150:AA150" si="157">$G150*H150</f>
        <v>#REF!</v>
      </c>
      <c r="S150" s="150" t="e">
        <f t="shared" si="157"/>
        <v>#REF!</v>
      </c>
      <c r="T150" s="150" t="e">
        <f t="shared" si="157"/>
        <v>#REF!</v>
      </c>
      <c r="U150" s="150" t="e">
        <f t="shared" si="157"/>
        <v>#REF!</v>
      </c>
      <c r="V150" s="150" t="e">
        <f t="shared" si="157"/>
        <v>#REF!</v>
      </c>
      <c r="W150" s="150" t="e">
        <f t="shared" si="157"/>
        <v>#REF!</v>
      </c>
      <c r="X150" s="150" t="e">
        <f t="shared" si="157"/>
        <v>#REF!</v>
      </c>
      <c r="Y150" s="150" t="e">
        <f t="shared" si="157"/>
        <v>#REF!</v>
      </c>
      <c r="Z150" s="150" t="e">
        <f t="shared" si="157"/>
        <v>#REF!</v>
      </c>
      <c r="AA150" s="150" t="e">
        <f t="shared" si="157"/>
        <v>#REF!</v>
      </c>
      <c r="AB150" s="50"/>
    </row>
    <row r="151" s="28" customFormat="1" outlineLevel="3" spans="1:28">
      <c r="A151" s="52">
        <f>MAX($A$6:A150)+1</f>
        <v>135</v>
      </c>
      <c r="B151" s="51" t="s">
        <v>1978</v>
      </c>
      <c r="C151" s="51" t="e">
        <f>VLOOKUP($B151,#REF!,MATCH(C$2,#REF!,0),0)</f>
        <v>#REF!</v>
      </c>
      <c r="D151" s="83"/>
      <c r="E151" s="83"/>
      <c r="F151" s="136" t="e">
        <f>VLOOKUP($B151,#REF!,MATCH(F$2,#REF!,0),0)</f>
        <v>#REF!</v>
      </c>
      <c r="G151" s="137" t="e">
        <f>VLOOKUP($B151,#REF!,MATCH(G$2,#REF!,0),0)</f>
        <v>#REF!</v>
      </c>
      <c r="H151" s="48">
        <v>19</v>
      </c>
      <c r="I151" s="48">
        <v>24</v>
      </c>
      <c r="J151" s="48">
        <v>16</v>
      </c>
      <c r="K151" s="48">
        <v>16</v>
      </c>
      <c r="L151" s="48"/>
      <c r="M151" s="48"/>
      <c r="N151" s="48"/>
      <c r="O151" s="48"/>
      <c r="P151" s="48">
        <v>4</v>
      </c>
      <c r="Q151" s="48">
        <v>5</v>
      </c>
      <c r="R151" s="150" t="e">
        <f t="shared" ref="R151:AA151" si="158">$G151*H151</f>
        <v>#REF!</v>
      </c>
      <c r="S151" s="150" t="e">
        <f t="shared" si="158"/>
        <v>#REF!</v>
      </c>
      <c r="T151" s="150" t="e">
        <f t="shared" si="158"/>
        <v>#REF!</v>
      </c>
      <c r="U151" s="150" t="e">
        <f t="shared" si="158"/>
        <v>#REF!</v>
      </c>
      <c r="V151" s="150" t="e">
        <f t="shared" si="158"/>
        <v>#REF!</v>
      </c>
      <c r="W151" s="150" t="e">
        <f t="shared" si="158"/>
        <v>#REF!</v>
      </c>
      <c r="X151" s="150" t="e">
        <f t="shared" si="158"/>
        <v>#REF!</v>
      </c>
      <c r="Y151" s="150" t="e">
        <f t="shared" si="158"/>
        <v>#REF!</v>
      </c>
      <c r="Z151" s="150" t="e">
        <f t="shared" si="158"/>
        <v>#REF!</v>
      </c>
      <c r="AA151" s="150" t="e">
        <f t="shared" si="158"/>
        <v>#REF!</v>
      </c>
      <c r="AB151" s="50"/>
    </row>
    <row r="152" s="28" customFormat="1" outlineLevel="3" spans="1:28">
      <c r="A152" s="52">
        <f>MAX($A$6:A151)+1</f>
        <v>136</v>
      </c>
      <c r="B152" s="51" t="s">
        <v>1979</v>
      </c>
      <c r="C152" s="51" t="e">
        <f>VLOOKUP($B152,#REF!,MATCH(C$2,#REF!,0),0)</f>
        <v>#REF!</v>
      </c>
      <c r="D152" s="83"/>
      <c r="E152" s="83"/>
      <c r="F152" s="136" t="e">
        <f>VLOOKUP($B152,#REF!,MATCH(F$2,#REF!,0),0)</f>
        <v>#REF!</v>
      </c>
      <c r="G152" s="137" t="e">
        <f>VLOOKUP($B152,#REF!,MATCH(G$2,#REF!,0),0)</f>
        <v>#REF!</v>
      </c>
      <c r="H152" s="48"/>
      <c r="I152" s="48"/>
      <c r="J152" s="48"/>
      <c r="K152" s="48"/>
      <c r="L152" s="48"/>
      <c r="M152" s="48"/>
      <c r="N152" s="48"/>
      <c r="O152" s="48"/>
      <c r="P152" s="48"/>
      <c r="Q152" s="48"/>
      <c r="R152" s="150" t="e">
        <f t="shared" ref="R152:R156" si="159">$G152*H152</f>
        <v>#REF!</v>
      </c>
      <c r="S152" s="150" t="e">
        <f t="shared" ref="S152:S156" si="160">$G152*I152</f>
        <v>#REF!</v>
      </c>
      <c r="T152" s="150" t="e">
        <f t="shared" ref="T152:T156" si="161">$G152*J152</f>
        <v>#REF!</v>
      </c>
      <c r="U152" s="150" t="e">
        <f t="shared" ref="U152:U156" si="162">$G152*K152</f>
        <v>#REF!</v>
      </c>
      <c r="V152" s="150" t="e">
        <f t="shared" ref="V152:V156" si="163">$G152*L152</f>
        <v>#REF!</v>
      </c>
      <c r="W152" s="150" t="e">
        <f t="shared" ref="W152:W156" si="164">$G152*M152</f>
        <v>#REF!</v>
      </c>
      <c r="X152" s="150" t="e">
        <f t="shared" ref="X152:X156" si="165">$G152*N152</f>
        <v>#REF!</v>
      </c>
      <c r="Y152" s="150" t="e">
        <f>$G152*O152</f>
        <v>#REF!</v>
      </c>
      <c r="Z152" s="150" t="e">
        <f t="shared" ref="Z152:Z156" si="166">$G152*P152</f>
        <v>#REF!</v>
      </c>
      <c r="AA152" s="150" t="e">
        <f t="shared" ref="AA152:AA156" si="167">$G152*Q152</f>
        <v>#REF!</v>
      </c>
      <c r="AB152" s="50"/>
    </row>
    <row r="153" s="28" customFormat="1" outlineLevel="3" spans="1:28">
      <c r="A153" s="52">
        <f>MAX($A$6:A152)+1</f>
        <v>137</v>
      </c>
      <c r="B153" s="51" t="s">
        <v>1980</v>
      </c>
      <c r="C153" s="51" t="e">
        <f>VLOOKUP($B153,#REF!,MATCH(C$2,#REF!,0),0)</f>
        <v>#REF!</v>
      </c>
      <c r="D153" s="83"/>
      <c r="E153" s="83"/>
      <c r="F153" s="136" t="e">
        <f>VLOOKUP($B153,#REF!,MATCH(F$2,#REF!,0),0)</f>
        <v>#REF!</v>
      </c>
      <c r="G153" s="137" t="e">
        <f>VLOOKUP($B153,#REF!,MATCH(G$2,#REF!,0),0)</f>
        <v>#REF!</v>
      </c>
      <c r="H153" s="48"/>
      <c r="I153" s="48"/>
      <c r="J153" s="48"/>
      <c r="K153" s="48"/>
      <c r="L153" s="48"/>
      <c r="M153" s="48"/>
      <c r="N153" s="48"/>
      <c r="O153" s="48"/>
      <c r="P153" s="48"/>
      <c r="Q153" s="48"/>
      <c r="R153" s="150" t="e">
        <f t="shared" si="159"/>
        <v>#REF!</v>
      </c>
      <c r="S153" s="150" t="e">
        <f t="shared" si="160"/>
        <v>#REF!</v>
      </c>
      <c r="T153" s="150" t="e">
        <f t="shared" si="161"/>
        <v>#REF!</v>
      </c>
      <c r="U153" s="150" t="e">
        <f t="shared" si="162"/>
        <v>#REF!</v>
      </c>
      <c r="V153" s="150" t="e">
        <f t="shared" si="163"/>
        <v>#REF!</v>
      </c>
      <c r="W153" s="150" t="e">
        <f t="shared" si="164"/>
        <v>#REF!</v>
      </c>
      <c r="X153" s="150" t="e">
        <f t="shared" si="165"/>
        <v>#REF!</v>
      </c>
      <c r="Y153" s="150" t="e">
        <f>$G153*O153</f>
        <v>#REF!</v>
      </c>
      <c r="Z153" s="150" t="e">
        <f t="shared" si="166"/>
        <v>#REF!</v>
      </c>
      <c r="AA153" s="150" t="e">
        <f t="shared" si="167"/>
        <v>#REF!</v>
      </c>
      <c r="AB153" s="50"/>
    </row>
    <row r="154" s="28" customFormat="1" outlineLevel="3" spans="1:28">
      <c r="A154" s="52">
        <f>MAX($A$6:A153)+1</f>
        <v>138</v>
      </c>
      <c r="B154" s="51" t="s">
        <v>1981</v>
      </c>
      <c r="C154" s="51" t="e">
        <f>VLOOKUP($B154,#REF!,MATCH(C$2,#REF!,0),0)</f>
        <v>#REF!</v>
      </c>
      <c r="D154" s="83"/>
      <c r="E154" s="83"/>
      <c r="F154" s="136" t="e">
        <f>VLOOKUP($B154,#REF!,MATCH(F$2,#REF!,0),0)</f>
        <v>#REF!</v>
      </c>
      <c r="G154" s="137" t="e">
        <f>VLOOKUP($B154,#REF!,MATCH(G$2,#REF!,0),0)</f>
        <v>#REF!</v>
      </c>
      <c r="H154" s="48"/>
      <c r="I154" s="48"/>
      <c r="J154" s="48"/>
      <c r="K154" s="48"/>
      <c r="L154" s="48"/>
      <c r="M154" s="48"/>
      <c r="N154" s="48"/>
      <c r="O154" s="48"/>
      <c r="P154" s="48"/>
      <c r="Q154" s="48"/>
      <c r="R154" s="150" t="e">
        <f t="shared" si="159"/>
        <v>#REF!</v>
      </c>
      <c r="S154" s="150" t="e">
        <f t="shared" si="160"/>
        <v>#REF!</v>
      </c>
      <c r="T154" s="150" t="e">
        <f t="shared" si="161"/>
        <v>#REF!</v>
      </c>
      <c r="U154" s="150" t="e">
        <f t="shared" si="162"/>
        <v>#REF!</v>
      </c>
      <c r="V154" s="150" t="e">
        <f t="shared" si="163"/>
        <v>#REF!</v>
      </c>
      <c r="W154" s="150" t="e">
        <f t="shared" si="164"/>
        <v>#REF!</v>
      </c>
      <c r="X154" s="150" t="e">
        <f t="shared" si="165"/>
        <v>#REF!</v>
      </c>
      <c r="Y154" s="150" t="e">
        <f>$G154*O154</f>
        <v>#REF!</v>
      </c>
      <c r="Z154" s="150" t="e">
        <f t="shared" si="166"/>
        <v>#REF!</v>
      </c>
      <c r="AA154" s="150" t="e">
        <f t="shared" si="167"/>
        <v>#REF!</v>
      </c>
      <c r="AB154" s="50"/>
    </row>
    <row r="155" s="28" customFormat="1" outlineLevel="3" spans="1:28">
      <c r="A155" s="52">
        <f>MAX($A$6:A154)+1</f>
        <v>139</v>
      </c>
      <c r="B155" s="51" t="s">
        <v>1982</v>
      </c>
      <c r="C155" s="51" t="e">
        <f>VLOOKUP($B155,#REF!,MATCH(C$2,#REF!,0),0)</f>
        <v>#REF!</v>
      </c>
      <c r="D155" s="83"/>
      <c r="E155" s="83"/>
      <c r="F155" s="136" t="e">
        <f>VLOOKUP($B155,#REF!,MATCH(F$2,#REF!,0),0)</f>
        <v>#REF!</v>
      </c>
      <c r="G155" s="137" t="e">
        <f>VLOOKUP($B155,#REF!,MATCH(G$2,#REF!,0),0)</f>
        <v>#REF!</v>
      </c>
      <c r="H155" s="48"/>
      <c r="I155" s="48"/>
      <c r="J155" s="48"/>
      <c r="K155" s="48"/>
      <c r="L155" s="48"/>
      <c r="M155" s="48"/>
      <c r="N155" s="48"/>
      <c r="O155" s="48"/>
      <c r="P155" s="48"/>
      <c r="Q155" s="48"/>
      <c r="R155" s="150" t="e">
        <f t="shared" si="159"/>
        <v>#REF!</v>
      </c>
      <c r="S155" s="150" t="e">
        <f t="shared" si="160"/>
        <v>#REF!</v>
      </c>
      <c r="T155" s="150" t="e">
        <f t="shared" si="161"/>
        <v>#REF!</v>
      </c>
      <c r="U155" s="150" t="e">
        <f t="shared" si="162"/>
        <v>#REF!</v>
      </c>
      <c r="V155" s="150" t="e">
        <f t="shared" si="163"/>
        <v>#REF!</v>
      </c>
      <c r="W155" s="150" t="e">
        <f t="shared" si="164"/>
        <v>#REF!</v>
      </c>
      <c r="X155" s="150" t="e">
        <f t="shared" si="165"/>
        <v>#REF!</v>
      </c>
      <c r="Y155" s="150" t="e">
        <f>$G155*O155</f>
        <v>#REF!</v>
      </c>
      <c r="Z155" s="150" t="e">
        <f t="shared" si="166"/>
        <v>#REF!</v>
      </c>
      <c r="AA155" s="150" t="e">
        <f t="shared" si="167"/>
        <v>#REF!</v>
      </c>
      <c r="AB155" s="50"/>
    </row>
    <row r="156" s="28" customFormat="1" outlineLevel="3" spans="1:28">
      <c r="A156" s="52">
        <f>MAX($A$6:A155)+1</f>
        <v>140</v>
      </c>
      <c r="B156" s="51" t="s">
        <v>1983</v>
      </c>
      <c r="C156" s="51" t="e">
        <f>VLOOKUP($B156,#REF!,MATCH(C$2,#REF!,0),0)</f>
        <v>#REF!</v>
      </c>
      <c r="D156" s="83"/>
      <c r="E156" s="83"/>
      <c r="F156" s="136" t="e">
        <f>VLOOKUP($B156,#REF!,MATCH(F$2,#REF!,0),0)</f>
        <v>#REF!</v>
      </c>
      <c r="G156" s="137" t="e">
        <f>VLOOKUP($B156,#REF!,MATCH(G$2,#REF!,0),0)</f>
        <v>#REF!</v>
      </c>
      <c r="H156" s="48"/>
      <c r="I156" s="48"/>
      <c r="J156" s="48"/>
      <c r="K156" s="48"/>
      <c r="L156" s="48"/>
      <c r="M156" s="48"/>
      <c r="N156" s="48"/>
      <c r="O156" s="48"/>
      <c r="P156" s="48"/>
      <c r="Q156" s="48"/>
      <c r="R156" s="150" t="e">
        <f t="shared" si="159"/>
        <v>#REF!</v>
      </c>
      <c r="S156" s="150" t="e">
        <f t="shared" si="160"/>
        <v>#REF!</v>
      </c>
      <c r="T156" s="150" t="e">
        <f t="shared" si="161"/>
        <v>#REF!</v>
      </c>
      <c r="U156" s="150" t="e">
        <f t="shared" si="162"/>
        <v>#REF!</v>
      </c>
      <c r="V156" s="150" t="e">
        <f t="shared" si="163"/>
        <v>#REF!</v>
      </c>
      <c r="W156" s="150" t="e">
        <f t="shared" si="164"/>
        <v>#REF!</v>
      </c>
      <c r="X156" s="150" t="e">
        <f t="shared" si="165"/>
        <v>#REF!</v>
      </c>
      <c r="Y156" s="150" t="e">
        <f>$G156*O156</f>
        <v>#REF!</v>
      </c>
      <c r="Z156" s="150" t="e">
        <f t="shared" si="166"/>
        <v>#REF!</v>
      </c>
      <c r="AA156" s="150" t="e">
        <f t="shared" si="167"/>
        <v>#REF!</v>
      </c>
      <c r="AB156" s="50"/>
    </row>
    <row r="157" s="29" customFormat="1" outlineLevel="2" spans="1:28">
      <c r="A157" s="40"/>
      <c r="B157" s="41" t="s">
        <v>1984</v>
      </c>
      <c r="C157" s="41"/>
      <c r="D157" s="140"/>
      <c r="E157" s="140"/>
      <c r="F157" s="141"/>
      <c r="G157" s="142"/>
      <c r="H157" s="43"/>
      <c r="I157" s="43"/>
      <c r="J157" s="43"/>
      <c r="K157" s="43"/>
      <c r="L157" s="43"/>
      <c r="M157" s="43"/>
      <c r="N157" s="43"/>
      <c r="O157" s="43"/>
      <c r="P157" s="43"/>
      <c r="Q157" s="43"/>
      <c r="R157" s="149" t="e">
        <f t="shared" ref="R157:AA157" si="168">SUM(R158:R173)</f>
        <v>#REF!</v>
      </c>
      <c r="S157" s="149" t="e">
        <f t="shared" si="168"/>
        <v>#REF!</v>
      </c>
      <c r="T157" s="149" t="e">
        <f t="shared" si="168"/>
        <v>#REF!</v>
      </c>
      <c r="U157" s="149" t="e">
        <f t="shared" si="168"/>
        <v>#REF!</v>
      </c>
      <c r="V157" s="149" t="e">
        <f t="shared" si="168"/>
        <v>#REF!</v>
      </c>
      <c r="W157" s="149" t="e">
        <f t="shared" si="168"/>
        <v>#REF!</v>
      </c>
      <c r="X157" s="149" t="e">
        <f t="shared" si="168"/>
        <v>#REF!</v>
      </c>
      <c r="Y157" s="149" t="e">
        <f t="shared" si="168"/>
        <v>#REF!</v>
      </c>
      <c r="Z157" s="149" t="e">
        <f t="shared" si="168"/>
        <v>#REF!</v>
      </c>
      <c r="AA157" s="149" t="e">
        <f t="shared" si="168"/>
        <v>#REF!</v>
      </c>
      <c r="AB157" s="40"/>
    </row>
    <row r="158" s="28" customFormat="1" outlineLevel="3" spans="1:28">
      <c r="A158" s="52">
        <f>MAX($A$6:A157)+1</f>
        <v>141</v>
      </c>
      <c r="B158" s="51" t="s">
        <v>1977</v>
      </c>
      <c r="C158" s="51" t="e">
        <f>VLOOKUP($B158,#REF!,MATCH(C$2,#REF!,0),0)</f>
        <v>#REF!</v>
      </c>
      <c r="D158" s="83"/>
      <c r="E158" s="83"/>
      <c r="F158" s="136" t="e">
        <f>VLOOKUP($B158,#REF!,MATCH(F$2,#REF!,0),0)</f>
        <v>#REF!</v>
      </c>
      <c r="G158" s="137" t="e">
        <f>VLOOKUP($B158,#REF!,MATCH(G$2,#REF!,0),0)</f>
        <v>#REF!</v>
      </c>
      <c r="H158" s="48">
        <v>4</v>
      </c>
      <c r="I158" s="48">
        <v>4</v>
      </c>
      <c r="J158" s="48">
        <v>1</v>
      </c>
      <c r="K158" s="48">
        <v>1</v>
      </c>
      <c r="L158" s="48"/>
      <c r="M158" s="48"/>
      <c r="N158" s="48"/>
      <c r="O158" s="48"/>
      <c r="P158" s="48">
        <v>8</v>
      </c>
      <c r="Q158" s="48"/>
      <c r="R158" s="150" t="e">
        <f t="shared" ref="R158:AA158" si="169">$G158*H158</f>
        <v>#REF!</v>
      </c>
      <c r="S158" s="150" t="e">
        <f t="shared" si="169"/>
        <v>#REF!</v>
      </c>
      <c r="T158" s="150" t="e">
        <f t="shared" si="169"/>
        <v>#REF!</v>
      </c>
      <c r="U158" s="150" t="e">
        <f t="shared" si="169"/>
        <v>#REF!</v>
      </c>
      <c r="V158" s="150" t="e">
        <f t="shared" si="169"/>
        <v>#REF!</v>
      </c>
      <c r="W158" s="150" t="e">
        <f t="shared" si="169"/>
        <v>#REF!</v>
      </c>
      <c r="X158" s="150" t="e">
        <f t="shared" si="169"/>
        <v>#REF!</v>
      </c>
      <c r="Y158" s="150" t="e">
        <f t="shared" si="169"/>
        <v>#REF!</v>
      </c>
      <c r="Z158" s="150" t="e">
        <f t="shared" si="169"/>
        <v>#REF!</v>
      </c>
      <c r="AA158" s="150" t="e">
        <f t="shared" si="169"/>
        <v>#REF!</v>
      </c>
      <c r="AB158" s="50"/>
    </row>
    <row r="159" s="28" customFormat="1" outlineLevel="3" spans="1:28">
      <c r="A159" s="52">
        <f>MAX($A$6:A158)+1</f>
        <v>142</v>
      </c>
      <c r="B159" s="51" t="s">
        <v>1980</v>
      </c>
      <c r="C159" s="51" t="e">
        <f>VLOOKUP($B159,#REF!,MATCH(C$2,#REF!,0),0)</f>
        <v>#REF!</v>
      </c>
      <c r="D159" s="83"/>
      <c r="E159" s="83"/>
      <c r="F159" s="136" t="e">
        <f>VLOOKUP($B159,#REF!,MATCH(F$2,#REF!,0),0)</f>
        <v>#REF!</v>
      </c>
      <c r="G159" s="137" t="e">
        <f>VLOOKUP($B159,#REF!,MATCH(G$2,#REF!,0),0)</f>
        <v>#REF!</v>
      </c>
      <c r="H159" s="48"/>
      <c r="I159" s="48"/>
      <c r="J159" s="48"/>
      <c r="K159" s="48"/>
      <c r="L159" s="48"/>
      <c r="M159" s="48"/>
      <c r="N159" s="48"/>
      <c r="O159" s="48"/>
      <c r="P159" s="48">
        <v>23</v>
      </c>
      <c r="Q159" s="48"/>
      <c r="R159" s="150" t="e">
        <f t="shared" ref="R159:AA159" si="170">$G159*H159</f>
        <v>#REF!</v>
      </c>
      <c r="S159" s="150" t="e">
        <f t="shared" si="170"/>
        <v>#REF!</v>
      </c>
      <c r="T159" s="150" t="e">
        <f t="shared" si="170"/>
        <v>#REF!</v>
      </c>
      <c r="U159" s="150" t="e">
        <f t="shared" si="170"/>
        <v>#REF!</v>
      </c>
      <c r="V159" s="150" t="e">
        <f t="shared" si="170"/>
        <v>#REF!</v>
      </c>
      <c r="W159" s="150" t="e">
        <f t="shared" si="170"/>
        <v>#REF!</v>
      </c>
      <c r="X159" s="150" t="e">
        <f t="shared" si="170"/>
        <v>#REF!</v>
      </c>
      <c r="Y159" s="150" t="e">
        <f t="shared" si="170"/>
        <v>#REF!</v>
      </c>
      <c r="Z159" s="150" t="e">
        <f t="shared" si="170"/>
        <v>#REF!</v>
      </c>
      <c r="AA159" s="150" t="e">
        <f t="shared" si="170"/>
        <v>#REF!</v>
      </c>
      <c r="AB159" s="50"/>
    </row>
    <row r="160" s="28" customFormat="1" outlineLevel="3" spans="1:28">
      <c r="A160" s="52">
        <f>MAX($A$6:A159)+1</f>
        <v>143</v>
      </c>
      <c r="B160" s="51" t="s">
        <v>1985</v>
      </c>
      <c r="C160" s="51" t="e">
        <f>VLOOKUP($B160,#REF!,MATCH(C$2,#REF!,0),0)</f>
        <v>#REF!</v>
      </c>
      <c r="D160" s="83"/>
      <c r="E160" s="83"/>
      <c r="F160" s="136" t="e">
        <f>VLOOKUP($B160,#REF!,MATCH(F$2,#REF!,0),0)</f>
        <v>#REF!</v>
      </c>
      <c r="G160" s="137" t="e">
        <f>VLOOKUP($B160,#REF!,MATCH(G$2,#REF!,0),0)</f>
        <v>#REF!</v>
      </c>
      <c r="H160" s="48"/>
      <c r="I160" s="48"/>
      <c r="J160" s="48"/>
      <c r="K160" s="48"/>
      <c r="L160" s="48"/>
      <c r="M160" s="48"/>
      <c r="N160" s="48"/>
      <c r="O160" s="48"/>
      <c r="P160" s="48"/>
      <c r="Q160" s="48"/>
      <c r="R160" s="150" t="e">
        <f t="shared" ref="R160:R164" si="171">$G160*H160</f>
        <v>#REF!</v>
      </c>
      <c r="S160" s="150" t="e">
        <f t="shared" ref="S160:S164" si="172">$G160*I160</f>
        <v>#REF!</v>
      </c>
      <c r="T160" s="150" t="e">
        <f t="shared" ref="T160:T164" si="173">$G160*J160</f>
        <v>#REF!</v>
      </c>
      <c r="U160" s="150" t="e">
        <f t="shared" ref="U160:U164" si="174">$G160*K160</f>
        <v>#REF!</v>
      </c>
      <c r="V160" s="150" t="e">
        <f t="shared" ref="V160:V164" si="175">$G160*L160</f>
        <v>#REF!</v>
      </c>
      <c r="W160" s="150" t="e">
        <f t="shared" ref="W160:W164" si="176">$G160*M160</f>
        <v>#REF!</v>
      </c>
      <c r="X160" s="150" t="e">
        <f t="shared" ref="X160:X164" si="177">$G160*N160</f>
        <v>#REF!</v>
      </c>
      <c r="Y160" s="150" t="e">
        <f>$G160*O160</f>
        <v>#REF!</v>
      </c>
      <c r="Z160" s="150" t="e">
        <f t="shared" ref="Z160:Z166" si="178">$G160*P160</f>
        <v>#REF!</v>
      </c>
      <c r="AA160" s="150" t="e">
        <f t="shared" ref="AA160:AA166" si="179">$G160*Q160</f>
        <v>#REF!</v>
      </c>
      <c r="AB160" s="50"/>
    </row>
    <row r="161" s="28" customFormat="1" outlineLevel="3" spans="1:28">
      <c r="A161" s="52">
        <f>MAX($A$6:A160)+1</f>
        <v>144</v>
      </c>
      <c r="B161" s="51" t="s">
        <v>1986</v>
      </c>
      <c r="C161" s="51" t="e">
        <f>VLOOKUP($B161,#REF!,MATCH(C$2,#REF!,0),0)</f>
        <v>#REF!</v>
      </c>
      <c r="D161" s="83"/>
      <c r="E161" s="83"/>
      <c r="F161" s="136" t="e">
        <f>VLOOKUP($B161,#REF!,MATCH(F$2,#REF!,0),0)</f>
        <v>#REF!</v>
      </c>
      <c r="G161" s="137" t="e">
        <f>VLOOKUP($B161,#REF!,MATCH(G$2,#REF!,0),0)</f>
        <v>#REF!</v>
      </c>
      <c r="H161" s="48"/>
      <c r="I161" s="48"/>
      <c r="J161" s="48"/>
      <c r="K161" s="48"/>
      <c r="L161" s="48"/>
      <c r="M161" s="48"/>
      <c r="N161" s="48"/>
      <c r="O161" s="48"/>
      <c r="P161" s="48"/>
      <c r="Q161" s="48"/>
      <c r="R161" s="150" t="e">
        <f t="shared" si="171"/>
        <v>#REF!</v>
      </c>
      <c r="S161" s="150" t="e">
        <f t="shared" si="172"/>
        <v>#REF!</v>
      </c>
      <c r="T161" s="150" t="e">
        <f t="shared" si="173"/>
        <v>#REF!</v>
      </c>
      <c r="U161" s="150" t="e">
        <f t="shared" si="174"/>
        <v>#REF!</v>
      </c>
      <c r="V161" s="150" t="e">
        <f t="shared" si="175"/>
        <v>#REF!</v>
      </c>
      <c r="W161" s="150" t="e">
        <f t="shared" si="176"/>
        <v>#REF!</v>
      </c>
      <c r="X161" s="150" t="e">
        <f t="shared" si="177"/>
        <v>#REF!</v>
      </c>
      <c r="Y161" s="150" t="e">
        <f>$G161*O161</f>
        <v>#REF!</v>
      </c>
      <c r="Z161" s="150" t="e">
        <f t="shared" si="178"/>
        <v>#REF!</v>
      </c>
      <c r="AA161" s="150" t="e">
        <f t="shared" si="179"/>
        <v>#REF!</v>
      </c>
      <c r="AB161" s="50"/>
    </row>
    <row r="162" s="28" customFormat="1" outlineLevel="3" spans="1:28">
      <c r="A162" s="52">
        <f>MAX($A$6:A161)+1</f>
        <v>145</v>
      </c>
      <c r="B162" s="51" t="s">
        <v>1987</v>
      </c>
      <c r="C162" s="51" t="e">
        <f>VLOOKUP($B162,#REF!,MATCH(C$2,#REF!,0),0)</f>
        <v>#REF!</v>
      </c>
      <c r="D162" s="83"/>
      <c r="E162" s="83"/>
      <c r="F162" s="136" t="e">
        <f>VLOOKUP($B162,#REF!,MATCH(F$2,#REF!,0),0)</f>
        <v>#REF!</v>
      </c>
      <c r="G162" s="137" t="e">
        <f>VLOOKUP($B162,#REF!,MATCH(G$2,#REF!,0),0)</f>
        <v>#REF!</v>
      </c>
      <c r="H162" s="48"/>
      <c r="I162" s="48"/>
      <c r="J162" s="48"/>
      <c r="K162" s="48"/>
      <c r="L162" s="48"/>
      <c r="M162" s="48"/>
      <c r="N162" s="48"/>
      <c r="O162" s="48"/>
      <c r="P162" s="48"/>
      <c r="Q162" s="48"/>
      <c r="R162" s="150" t="e">
        <f t="shared" si="171"/>
        <v>#REF!</v>
      </c>
      <c r="S162" s="150" t="e">
        <f t="shared" si="172"/>
        <v>#REF!</v>
      </c>
      <c r="T162" s="150" t="e">
        <f t="shared" si="173"/>
        <v>#REF!</v>
      </c>
      <c r="U162" s="150" t="e">
        <f t="shared" si="174"/>
        <v>#REF!</v>
      </c>
      <c r="V162" s="150" t="e">
        <f t="shared" si="175"/>
        <v>#REF!</v>
      </c>
      <c r="W162" s="150" t="e">
        <f t="shared" si="176"/>
        <v>#REF!</v>
      </c>
      <c r="X162" s="150" t="e">
        <f t="shared" si="177"/>
        <v>#REF!</v>
      </c>
      <c r="Y162" s="150" t="e">
        <f>$G162*O162</f>
        <v>#REF!</v>
      </c>
      <c r="Z162" s="150" t="e">
        <f t="shared" si="178"/>
        <v>#REF!</v>
      </c>
      <c r="AA162" s="150" t="e">
        <f t="shared" si="179"/>
        <v>#REF!</v>
      </c>
      <c r="AB162" s="50"/>
    </row>
    <row r="163" s="28" customFormat="1" outlineLevel="3" spans="1:28">
      <c r="A163" s="52">
        <f>MAX($A$6:A162)+1</f>
        <v>146</v>
      </c>
      <c r="B163" s="51" t="s">
        <v>1988</v>
      </c>
      <c r="C163" s="51" t="e">
        <f>VLOOKUP($B163,#REF!,MATCH(C$2,#REF!,0),0)</f>
        <v>#REF!</v>
      </c>
      <c r="D163" s="83"/>
      <c r="E163" s="83"/>
      <c r="F163" s="136" t="e">
        <f>VLOOKUP($B163,#REF!,MATCH(F$2,#REF!,0),0)</f>
        <v>#REF!</v>
      </c>
      <c r="G163" s="137" t="e">
        <f>VLOOKUP($B163,#REF!,MATCH(G$2,#REF!,0),0)</f>
        <v>#REF!</v>
      </c>
      <c r="H163" s="48"/>
      <c r="I163" s="48"/>
      <c r="J163" s="48"/>
      <c r="K163" s="48"/>
      <c r="L163" s="48"/>
      <c r="M163" s="48"/>
      <c r="N163" s="48"/>
      <c r="O163" s="48"/>
      <c r="P163" s="48"/>
      <c r="Q163" s="48"/>
      <c r="R163" s="150" t="e">
        <f t="shared" si="171"/>
        <v>#REF!</v>
      </c>
      <c r="S163" s="150" t="e">
        <f t="shared" si="172"/>
        <v>#REF!</v>
      </c>
      <c r="T163" s="150" t="e">
        <f t="shared" si="173"/>
        <v>#REF!</v>
      </c>
      <c r="U163" s="150" t="e">
        <f t="shared" si="174"/>
        <v>#REF!</v>
      </c>
      <c r="V163" s="150" t="e">
        <f t="shared" si="175"/>
        <v>#REF!</v>
      </c>
      <c r="W163" s="150" t="e">
        <f t="shared" si="176"/>
        <v>#REF!</v>
      </c>
      <c r="X163" s="150" t="e">
        <f t="shared" si="177"/>
        <v>#REF!</v>
      </c>
      <c r="Y163" s="150" t="e">
        <f>$G163*O163</f>
        <v>#REF!</v>
      </c>
      <c r="Z163" s="150" t="e">
        <f t="shared" si="178"/>
        <v>#REF!</v>
      </c>
      <c r="AA163" s="150" t="e">
        <f t="shared" si="179"/>
        <v>#REF!</v>
      </c>
      <c r="AB163" s="50"/>
    </row>
    <row r="164" s="28" customFormat="1" outlineLevel="3" spans="1:28">
      <c r="A164" s="52">
        <f>MAX($A$6:A163)+1</f>
        <v>147</v>
      </c>
      <c r="B164" s="51" t="s">
        <v>1989</v>
      </c>
      <c r="C164" s="51" t="e">
        <f>VLOOKUP($B164,#REF!,MATCH(C$2,#REF!,0),0)</f>
        <v>#REF!</v>
      </c>
      <c r="D164" s="83"/>
      <c r="E164" s="83"/>
      <c r="F164" s="136" t="e">
        <f>VLOOKUP($B164,#REF!,MATCH(F$2,#REF!,0),0)</f>
        <v>#REF!</v>
      </c>
      <c r="G164" s="137" t="e">
        <f>VLOOKUP($B164,#REF!,MATCH(G$2,#REF!,0),0)</f>
        <v>#REF!</v>
      </c>
      <c r="H164" s="48"/>
      <c r="I164" s="48"/>
      <c r="J164" s="48"/>
      <c r="K164" s="48"/>
      <c r="L164" s="48"/>
      <c r="M164" s="48"/>
      <c r="N164" s="48"/>
      <c r="O164" s="48"/>
      <c r="P164" s="48"/>
      <c r="Q164" s="48"/>
      <c r="R164" s="150" t="e">
        <f t="shared" si="171"/>
        <v>#REF!</v>
      </c>
      <c r="S164" s="150" t="e">
        <f t="shared" si="172"/>
        <v>#REF!</v>
      </c>
      <c r="T164" s="150" t="e">
        <f t="shared" si="173"/>
        <v>#REF!</v>
      </c>
      <c r="U164" s="150" t="e">
        <f t="shared" si="174"/>
        <v>#REF!</v>
      </c>
      <c r="V164" s="150" t="e">
        <f t="shared" si="175"/>
        <v>#REF!</v>
      </c>
      <c r="W164" s="150" t="e">
        <f t="shared" si="176"/>
        <v>#REF!</v>
      </c>
      <c r="X164" s="150" t="e">
        <f t="shared" si="177"/>
        <v>#REF!</v>
      </c>
      <c r="Y164" s="150" t="e">
        <f>$G164*O164</f>
        <v>#REF!</v>
      </c>
      <c r="Z164" s="150" t="e">
        <f t="shared" si="178"/>
        <v>#REF!</v>
      </c>
      <c r="AA164" s="150" t="e">
        <f t="shared" si="179"/>
        <v>#REF!</v>
      </c>
      <c r="AB164" s="50"/>
    </row>
    <row r="165" s="28" customFormat="1" outlineLevel="3" spans="1:28">
      <c r="A165" s="52">
        <f>MAX($A$6:A164)+1</f>
        <v>148</v>
      </c>
      <c r="B165" s="51" t="s">
        <v>1990</v>
      </c>
      <c r="C165" s="51" t="e">
        <f>VLOOKUP($B165,#REF!,MATCH(C$2,#REF!,0),0)</f>
        <v>#REF!</v>
      </c>
      <c r="D165" s="83"/>
      <c r="E165" s="83"/>
      <c r="F165" s="136" t="e">
        <f>VLOOKUP($B165,#REF!,MATCH(F$2,#REF!,0),0)</f>
        <v>#REF!</v>
      </c>
      <c r="G165" s="137" t="e">
        <f>VLOOKUP($B165,#REF!,MATCH(G$2,#REF!,0),0)</f>
        <v>#REF!</v>
      </c>
      <c r="H165" s="48"/>
      <c r="I165" s="48"/>
      <c r="J165" s="48"/>
      <c r="K165" s="48"/>
      <c r="L165" s="48"/>
      <c r="M165" s="48"/>
      <c r="N165" s="48"/>
      <c r="O165" s="48"/>
      <c r="P165" s="48"/>
      <c r="Q165" s="48">
        <v>8</v>
      </c>
      <c r="R165" s="150" t="e">
        <f t="shared" ref="R165:Z165" si="180">$G165*H165</f>
        <v>#REF!</v>
      </c>
      <c r="S165" s="150" t="e">
        <f t="shared" si="180"/>
        <v>#REF!</v>
      </c>
      <c r="T165" s="150" t="e">
        <f t="shared" si="180"/>
        <v>#REF!</v>
      </c>
      <c r="U165" s="150" t="e">
        <f t="shared" si="180"/>
        <v>#REF!</v>
      </c>
      <c r="V165" s="150" t="e">
        <f t="shared" si="180"/>
        <v>#REF!</v>
      </c>
      <c r="W165" s="150" t="e">
        <f t="shared" si="180"/>
        <v>#REF!</v>
      </c>
      <c r="X165" s="150" t="e">
        <f t="shared" si="180"/>
        <v>#REF!</v>
      </c>
      <c r="Y165" s="150" t="e">
        <f t="shared" si="180"/>
        <v>#REF!</v>
      </c>
      <c r="Z165" s="150" t="e">
        <f t="shared" si="178"/>
        <v>#REF!</v>
      </c>
      <c r="AA165" s="150" t="e">
        <f t="shared" si="179"/>
        <v>#REF!</v>
      </c>
      <c r="AB165" s="50"/>
    </row>
    <row r="166" s="28" customFormat="1" outlineLevel="3" spans="1:28">
      <c r="A166" s="52">
        <f>MAX($A$6:A165)+1</f>
        <v>149</v>
      </c>
      <c r="B166" s="51" t="s">
        <v>1991</v>
      </c>
      <c r="C166" s="51" t="e">
        <f>VLOOKUP($B166,#REF!,MATCH(C$2,#REF!,0),0)</f>
        <v>#REF!</v>
      </c>
      <c r="D166" s="83"/>
      <c r="E166" s="83"/>
      <c r="F166" s="136" t="e">
        <f>VLOOKUP($B166,#REF!,MATCH(F$2,#REF!,0),0)</f>
        <v>#REF!</v>
      </c>
      <c r="G166" s="137" t="e">
        <f>VLOOKUP($B166,#REF!,MATCH(G$2,#REF!,0),0)</f>
        <v>#REF!</v>
      </c>
      <c r="H166" s="48"/>
      <c r="I166" s="48"/>
      <c r="J166" s="48"/>
      <c r="K166" s="48"/>
      <c r="L166" s="48"/>
      <c r="M166" s="48"/>
      <c r="N166" s="48"/>
      <c r="O166" s="48"/>
      <c r="P166" s="48"/>
      <c r="Q166" s="48">
        <v>2</v>
      </c>
      <c r="R166" s="150" t="e">
        <f t="shared" ref="R166:Z166" si="181">$G166*H166</f>
        <v>#REF!</v>
      </c>
      <c r="S166" s="150" t="e">
        <f t="shared" si="181"/>
        <v>#REF!</v>
      </c>
      <c r="T166" s="150" t="e">
        <f t="shared" si="181"/>
        <v>#REF!</v>
      </c>
      <c r="U166" s="150" t="e">
        <f t="shared" si="181"/>
        <v>#REF!</v>
      </c>
      <c r="V166" s="150" t="e">
        <f t="shared" si="181"/>
        <v>#REF!</v>
      </c>
      <c r="W166" s="150" t="e">
        <f t="shared" si="181"/>
        <v>#REF!</v>
      </c>
      <c r="X166" s="150" t="e">
        <f t="shared" si="181"/>
        <v>#REF!</v>
      </c>
      <c r="Y166" s="150" t="e">
        <f t="shared" si="181"/>
        <v>#REF!</v>
      </c>
      <c r="Z166" s="150" t="e">
        <f t="shared" si="178"/>
        <v>#REF!</v>
      </c>
      <c r="AA166" s="150" t="e">
        <f t="shared" si="179"/>
        <v>#REF!</v>
      </c>
      <c r="AB166" s="50"/>
    </row>
    <row r="167" s="28" customFormat="1" outlineLevel="3" spans="1:28">
      <c r="A167" s="52">
        <f>MAX($A$6:A166)+1</f>
        <v>150</v>
      </c>
      <c r="B167" s="51" t="s">
        <v>1992</v>
      </c>
      <c r="C167" s="51" t="e">
        <f>VLOOKUP($B167,#REF!,MATCH(C$2,#REF!,0),0)</f>
        <v>#REF!</v>
      </c>
      <c r="D167" s="83"/>
      <c r="E167" s="83"/>
      <c r="F167" s="136" t="e">
        <f>VLOOKUP($B167,#REF!,MATCH(F$2,#REF!,0),0)</f>
        <v>#REF!</v>
      </c>
      <c r="G167" s="137" t="e">
        <f>VLOOKUP($B167,#REF!,MATCH(G$2,#REF!,0),0)</f>
        <v>#REF!</v>
      </c>
      <c r="H167" s="48"/>
      <c r="I167" s="48"/>
      <c r="J167" s="48"/>
      <c r="K167" s="48"/>
      <c r="L167" s="48"/>
      <c r="M167" s="48"/>
      <c r="N167" s="48"/>
      <c r="O167" s="48"/>
      <c r="P167" s="48"/>
      <c r="Q167" s="48"/>
      <c r="R167" s="150" t="e">
        <f t="shared" ref="R167:R170" si="182">$G167*H167</f>
        <v>#REF!</v>
      </c>
      <c r="S167" s="150" t="e">
        <f t="shared" ref="S167:S170" si="183">$G167*I167</f>
        <v>#REF!</v>
      </c>
      <c r="T167" s="150" t="e">
        <f t="shared" ref="T167:T170" si="184">$G167*J167</f>
        <v>#REF!</v>
      </c>
      <c r="U167" s="150" t="e">
        <f t="shared" ref="U167:U170" si="185">$G167*K167</f>
        <v>#REF!</v>
      </c>
      <c r="V167" s="150" t="e">
        <f t="shared" ref="V167:V170" si="186">$G167*L167</f>
        <v>#REF!</v>
      </c>
      <c r="W167" s="150" t="e">
        <f t="shared" ref="W167:W170" si="187">$G167*M167</f>
        <v>#REF!</v>
      </c>
      <c r="X167" s="150" t="e">
        <f t="shared" ref="X167:X170" si="188">$G167*N167</f>
        <v>#REF!</v>
      </c>
      <c r="Y167" s="150" t="e">
        <f>$G167*O167</f>
        <v>#REF!</v>
      </c>
      <c r="Z167" s="150" t="e">
        <f t="shared" ref="Z167:Z173" si="189">$G167*P167</f>
        <v>#REF!</v>
      </c>
      <c r="AA167" s="150" t="e">
        <f t="shared" ref="AA167:AA173" si="190">$G167*Q167</f>
        <v>#REF!</v>
      </c>
      <c r="AB167" s="50"/>
    </row>
    <row r="168" s="28" customFormat="1" outlineLevel="3" spans="1:28">
      <c r="A168" s="52">
        <f>MAX($A$6:A167)+1</f>
        <v>151</v>
      </c>
      <c r="B168" s="51" t="s">
        <v>1993</v>
      </c>
      <c r="C168" s="51" t="e">
        <f>VLOOKUP($B168,#REF!,MATCH(C$2,#REF!,0),0)</f>
        <v>#REF!</v>
      </c>
      <c r="D168" s="83"/>
      <c r="E168" s="83"/>
      <c r="F168" s="136" t="e">
        <f>VLOOKUP($B168,#REF!,MATCH(F$2,#REF!,0),0)</f>
        <v>#REF!</v>
      </c>
      <c r="G168" s="137" t="e">
        <f>VLOOKUP($B168,#REF!,MATCH(G$2,#REF!,0),0)</f>
        <v>#REF!</v>
      </c>
      <c r="H168" s="48"/>
      <c r="I168" s="48"/>
      <c r="J168" s="48"/>
      <c r="K168" s="48"/>
      <c r="L168" s="48"/>
      <c r="M168" s="48"/>
      <c r="N168" s="48"/>
      <c r="O168" s="48"/>
      <c r="P168" s="48"/>
      <c r="Q168" s="48"/>
      <c r="R168" s="150" t="e">
        <f t="shared" si="182"/>
        <v>#REF!</v>
      </c>
      <c r="S168" s="150" t="e">
        <f t="shared" si="183"/>
        <v>#REF!</v>
      </c>
      <c r="T168" s="150" t="e">
        <f t="shared" si="184"/>
        <v>#REF!</v>
      </c>
      <c r="U168" s="150" t="e">
        <f t="shared" si="185"/>
        <v>#REF!</v>
      </c>
      <c r="V168" s="150" t="e">
        <f t="shared" si="186"/>
        <v>#REF!</v>
      </c>
      <c r="W168" s="150" t="e">
        <f t="shared" si="187"/>
        <v>#REF!</v>
      </c>
      <c r="X168" s="150" t="e">
        <f t="shared" si="188"/>
        <v>#REF!</v>
      </c>
      <c r="Y168" s="150" t="e">
        <f>$G168*O168</f>
        <v>#REF!</v>
      </c>
      <c r="Z168" s="150" t="e">
        <f t="shared" si="189"/>
        <v>#REF!</v>
      </c>
      <c r="AA168" s="150" t="e">
        <f t="shared" si="190"/>
        <v>#REF!</v>
      </c>
      <c r="AB168" s="50"/>
    </row>
    <row r="169" s="28" customFormat="1" outlineLevel="3" spans="1:28">
      <c r="A169" s="52">
        <f>MAX($A$6:A168)+1</f>
        <v>152</v>
      </c>
      <c r="B169" s="51" t="s">
        <v>1994</v>
      </c>
      <c r="C169" s="51" t="e">
        <f>VLOOKUP($B169,#REF!,MATCH(C$2,#REF!,0),0)</f>
        <v>#REF!</v>
      </c>
      <c r="D169" s="83"/>
      <c r="E169" s="83"/>
      <c r="F169" s="136" t="e">
        <f>VLOOKUP($B169,#REF!,MATCH(F$2,#REF!,0),0)</f>
        <v>#REF!</v>
      </c>
      <c r="G169" s="137" t="e">
        <f>VLOOKUP($B169,#REF!,MATCH(G$2,#REF!,0),0)</f>
        <v>#REF!</v>
      </c>
      <c r="H169" s="48"/>
      <c r="I169" s="48"/>
      <c r="J169" s="48"/>
      <c r="K169" s="48"/>
      <c r="L169" s="48"/>
      <c r="M169" s="48"/>
      <c r="N169" s="48"/>
      <c r="O169" s="48"/>
      <c r="P169" s="48"/>
      <c r="Q169" s="48"/>
      <c r="R169" s="150" t="e">
        <f t="shared" si="182"/>
        <v>#REF!</v>
      </c>
      <c r="S169" s="150" t="e">
        <f t="shared" si="183"/>
        <v>#REF!</v>
      </c>
      <c r="T169" s="150" t="e">
        <f t="shared" si="184"/>
        <v>#REF!</v>
      </c>
      <c r="U169" s="150" t="e">
        <f t="shared" si="185"/>
        <v>#REF!</v>
      </c>
      <c r="V169" s="150" t="e">
        <f t="shared" si="186"/>
        <v>#REF!</v>
      </c>
      <c r="W169" s="150" t="e">
        <f t="shared" si="187"/>
        <v>#REF!</v>
      </c>
      <c r="X169" s="150" t="e">
        <f t="shared" si="188"/>
        <v>#REF!</v>
      </c>
      <c r="Y169" s="150" t="e">
        <f>$G169*O169</f>
        <v>#REF!</v>
      </c>
      <c r="Z169" s="150" t="e">
        <f t="shared" si="189"/>
        <v>#REF!</v>
      </c>
      <c r="AA169" s="150" t="e">
        <f t="shared" si="190"/>
        <v>#REF!</v>
      </c>
      <c r="AB169" s="50"/>
    </row>
    <row r="170" s="28" customFormat="1" outlineLevel="3" spans="1:28">
      <c r="A170" s="52">
        <f>MAX($A$6:A169)+1</f>
        <v>153</v>
      </c>
      <c r="B170" s="51" t="s">
        <v>1995</v>
      </c>
      <c r="C170" s="51" t="e">
        <f>VLOOKUP($B170,#REF!,MATCH(C$2,#REF!,0),0)</f>
        <v>#REF!</v>
      </c>
      <c r="D170" s="83"/>
      <c r="E170" s="83"/>
      <c r="F170" s="136" t="e">
        <f>VLOOKUP($B170,#REF!,MATCH(F$2,#REF!,0),0)</f>
        <v>#REF!</v>
      </c>
      <c r="G170" s="137" t="e">
        <f>VLOOKUP($B170,#REF!,MATCH(G$2,#REF!,0),0)</f>
        <v>#REF!</v>
      </c>
      <c r="H170" s="48"/>
      <c r="I170" s="48"/>
      <c r="J170" s="48"/>
      <c r="K170" s="48"/>
      <c r="L170" s="48"/>
      <c r="M170" s="48"/>
      <c r="N170" s="48"/>
      <c r="O170" s="48"/>
      <c r="P170" s="48"/>
      <c r="Q170" s="48"/>
      <c r="R170" s="150" t="e">
        <f t="shared" si="182"/>
        <v>#REF!</v>
      </c>
      <c r="S170" s="150" t="e">
        <f t="shared" si="183"/>
        <v>#REF!</v>
      </c>
      <c r="T170" s="150" t="e">
        <f t="shared" si="184"/>
        <v>#REF!</v>
      </c>
      <c r="U170" s="150" t="e">
        <f t="shared" si="185"/>
        <v>#REF!</v>
      </c>
      <c r="V170" s="150" t="e">
        <f t="shared" si="186"/>
        <v>#REF!</v>
      </c>
      <c r="W170" s="150" t="e">
        <f t="shared" si="187"/>
        <v>#REF!</v>
      </c>
      <c r="X170" s="150" t="e">
        <f t="shared" si="188"/>
        <v>#REF!</v>
      </c>
      <c r="Y170" s="150" t="e">
        <f>$G170*O170</f>
        <v>#REF!</v>
      </c>
      <c r="Z170" s="150" t="e">
        <f t="shared" si="189"/>
        <v>#REF!</v>
      </c>
      <c r="AA170" s="150" t="e">
        <f t="shared" si="190"/>
        <v>#REF!</v>
      </c>
      <c r="AB170" s="50"/>
    </row>
    <row r="171" s="28" customFormat="1" outlineLevel="3" spans="1:28">
      <c r="A171" s="52">
        <f>MAX($A$6:A170)+1</f>
        <v>154</v>
      </c>
      <c r="B171" s="51" t="s">
        <v>1753</v>
      </c>
      <c r="C171" s="51" t="e">
        <f>VLOOKUP($B171,#REF!,MATCH(C$2,#REF!,0),0)</f>
        <v>#REF!</v>
      </c>
      <c r="D171" s="83"/>
      <c r="E171" s="83"/>
      <c r="F171" s="136" t="e">
        <f>VLOOKUP($B171,#REF!,MATCH(F$2,#REF!,0),0)</f>
        <v>#REF!</v>
      </c>
      <c r="G171" s="137" t="e">
        <f>VLOOKUP($B171,#REF!,MATCH(G$2,#REF!,0),0)</f>
        <v>#REF!</v>
      </c>
      <c r="H171" s="48"/>
      <c r="I171" s="48"/>
      <c r="J171" s="48"/>
      <c r="K171" s="48"/>
      <c r="L171" s="48"/>
      <c r="M171" s="48"/>
      <c r="N171" s="48"/>
      <c r="O171" s="48"/>
      <c r="P171" s="48"/>
      <c r="Q171" s="48">
        <v>1</v>
      </c>
      <c r="R171" s="150" t="e">
        <f t="shared" ref="R171:Z171" si="191">$G171*H171</f>
        <v>#REF!</v>
      </c>
      <c r="S171" s="150" t="e">
        <f t="shared" si="191"/>
        <v>#REF!</v>
      </c>
      <c r="T171" s="150" t="e">
        <f t="shared" si="191"/>
        <v>#REF!</v>
      </c>
      <c r="U171" s="150" t="e">
        <f t="shared" si="191"/>
        <v>#REF!</v>
      </c>
      <c r="V171" s="150" t="e">
        <f t="shared" si="191"/>
        <v>#REF!</v>
      </c>
      <c r="W171" s="150" t="e">
        <f t="shared" si="191"/>
        <v>#REF!</v>
      </c>
      <c r="X171" s="150" t="e">
        <f t="shared" si="191"/>
        <v>#REF!</v>
      </c>
      <c r="Y171" s="150" t="e">
        <f t="shared" si="191"/>
        <v>#REF!</v>
      </c>
      <c r="Z171" s="150" t="e">
        <f t="shared" si="189"/>
        <v>#REF!</v>
      </c>
      <c r="AA171" s="150" t="e">
        <f t="shared" si="190"/>
        <v>#REF!</v>
      </c>
      <c r="AB171" s="50"/>
    </row>
    <row r="172" s="28" customFormat="1" outlineLevel="3" spans="1:28">
      <c r="A172" s="52">
        <f>MAX($A$6:A171)+1</f>
        <v>155</v>
      </c>
      <c r="B172" s="51" t="s">
        <v>1755</v>
      </c>
      <c r="C172" s="51" t="e">
        <f>VLOOKUP($B172,#REF!,MATCH(C$2,#REF!,0),0)</f>
        <v>#REF!</v>
      </c>
      <c r="D172" s="83"/>
      <c r="E172" s="83"/>
      <c r="F172" s="136" t="e">
        <f>VLOOKUP($B172,#REF!,MATCH(F$2,#REF!,0),0)</f>
        <v>#REF!</v>
      </c>
      <c r="G172" s="137" t="e">
        <f>VLOOKUP($B172,#REF!,MATCH(G$2,#REF!,0),0)</f>
        <v>#REF!</v>
      </c>
      <c r="H172" s="48"/>
      <c r="I172" s="48"/>
      <c r="J172" s="48"/>
      <c r="K172" s="48"/>
      <c r="L172" s="48">
        <v>4</v>
      </c>
      <c r="M172" s="48"/>
      <c r="N172" s="48"/>
      <c r="O172" s="48"/>
      <c r="P172" s="48"/>
      <c r="Q172" s="48">
        <v>7</v>
      </c>
      <c r="R172" s="150" t="e">
        <f t="shared" ref="R172:Z172" si="192">$G172*H172</f>
        <v>#REF!</v>
      </c>
      <c r="S172" s="150" t="e">
        <f t="shared" si="192"/>
        <v>#REF!</v>
      </c>
      <c r="T172" s="150" t="e">
        <f t="shared" si="192"/>
        <v>#REF!</v>
      </c>
      <c r="U172" s="150" t="e">
        <f t="shared" si="192"/>
        <v>#REF!</v>
      </c>
      <c r="V172" s="150" t="e">
        <f t="shared" si="192"/>
        <v>#REF!</v>
      </c>
      <c r="W172" s="150" t="e">
        <f t="shared" si="192"/>
        <v>#REF!</v>
      </c>
      <c r="X172" s="150" t="e">
        <f t="shared" si="192"/>
        <v>#REF!</v>
      </c>
      <c r="Y172" s="150" t="e">
        <f t="shared" si="192"/>
        <v>#REF!</v>
      </c>
      <c r="Z172" s="150" t="e">
        <f t="shared" si="189"/>
        <v>#REF!</v>
      </c>
      <c r="AA172" s="150" t="e">
        <f t="shared" si="190"/>
        <v>#REF!</v>
      </c>
      <c r="AB172" s="50"/>
    </row>
    <row r="173" s="28" customFormat="1" outlineLevel="3" spans="1:28">
      <c r="A173" s="52">
        <f>MAX($A$6:A172)+1</f>
        <v>156</v>
      </c>
      <c r="B173" s="51" t="s">
        <v>1756</v>
      </c>
      <c r="C173" s="51" t="e">
        <f>VLOOKUP($B173,#REF!,MATCH(C$2,#REF!,0),0)</f>
        <v>#REF!</v>
      </c>
      <c r="D173" s="83"/>
      <c r="E173" s="83"/>
      <c r="F173" s="136" t="e">
        <f>VLOOKUP($B173,#REF!,MATCH(F$2,#REF!,0),0)</f>
        <v>#REF!</v>
      </c>
      <c r="G173" s="137" t="e">
        <f>VLOOKUP($B173,#REF!,MATCH(G$2,#REF!,0),0)</f>
        <v>#REF!</v>
      </c>
      <c r="H173" s="48"/>
      <c r="I173" s="48"/>
      <c r="J173" s="48"/>
      <c r="K173" s="48"/>
      <c r="L173" s="48"/>
      <c r="M173" s="48"/>
      <c r="N173" s="48"/>
      <c r="O173" s="48"/>
      <c r="P173" s="48"/>
      <c r="Q173" s="48">
        <v>2</v>
      </c>
      <c r="R173" s="150" t="e">
        <f t="shared" ref="R173:Z173" si="193">$G173*H173</f>
        <v>#REF!</v>
      </c>
      <c r="S173" s="150" t="e">
        <f t="shared" si="193"/>
        <v>#REF!</v>
      </c>
      <c r="T173" s="150" t="e">
        <f t="shared" si="193"/>
        <v>#REF!</v>
      </c>
      <c r="U173" s="150" t="e">
        <f t="shared" si="193"/>
        <v>#REF!</v>
      </c>
      <c r="V173" s="150" t="e">
        <f t="shared" si="193"/>
        <v>#REF!</v>
      </c>
      <c r="W173" s="150" t="e">
        <f t="shared" si="193"/>
        <v>#REF!</v>
      </c>
      <c r="X173" s="150" t="e">
        <f t="shared" si="193"/>
        <v>#REF!</v>
      </c>
      <c r="Y173" s="150" t="e">
        <f t="shared" si="193"/>
        <v>#REF!</v>
      </c>
      <c r="Z173" s="150" t="e">
        <f t="shared" si="189"/>
        <v>#REF!</v>
      </c>
      <c r="AA173" s="150" t="e">
        <f t="shared" si="190"/>
        <v>#REF!</v>
      </c>
      <c r="AB173" s="50"/>
    </row>
    <row r="174" s="123" customFormat="1" spans="1:28">
      <c r="A174" s="125"/>
      <c r="B174" s="126" t="s">
        <v>220</v>
      </c>
      <c r="C174" s="126"/>
      <c r="D174" s="105"/>
      <c r="E174" s="105"/>
      <c r="F174" s="156"/>
      <c r="G174" s="157"/>
      <c r="H174" s="129"/>
      <c r="I174" s="129"/>
      <c r="J174" s="129"/>
      <c r="K174" s="129"/>
      <c r="L174" s="129"/>
      <c r="M174" s="129"/>
      <c r="N174" s="129"/>
      <c r="O174" s="129"/>
      <c r="P174" s="129"/>
      <c r="Q174" s="129"/>
      <c r="R174" s="147" t="e">
        <f t="shared" ref="R174:AA174" si="194">SUM(R175,R192,R209,R267,R283)</f>
        <v>#REF!</v>
      </c>
      <c r="S174" s="147" t="e">
        <f t="shared" si="194"/>
        <v>#REF!</v>
      </c>
      <c r="T174" s="147" t="e">
        <f t="shared" si="194"/>
        <v>#REF!</v>
      </c>
      <c r="U174" s="147" t="e">
        <f t="shared" si="194"/>
        <v>#REF!</v>
      </c>
      <c r="V174" s="147" t="e">
        <f t="shared" si="194"/>
        <v>#REF!</v>
      </c>
      <c r="W174" s="147" t="e">
        <f t="shared" si="194"/>
        <v>#REF!</v>
      </c>
      <c r="X174" s="147" t="e">
        <f t="shared" si="194"/>
        <v>#REF!</v>
      </c>
      <c r="Y174" s="147" t="e">
        <f t="shared" si="194"/>
        <v>#REF!</v>
      </c>
      <c r="Z174" s="147" t="e">
        <f t="shared" si="194"/>
        <v>#REF!</v>
      </c>
      <c r="AA174" s="147" t="e">
        <f t="shared" si="194"/>
        <v>#REF!</v>
      </c>
      <c r="AB174" s="125"/>
    </row>
    <row r="175" s="122" customFormat="1" outlineLevel="1" spans="1:28">
      <c r="A175" s="130"/>
      <c r="B175" s="131" t="s">
        <v>1996</v>
      </c>
      <c r="C175" s="131"/>
      <c r="D175" s="153"/>
      <c r="E175" s="153"/>
      <c r="F175" s="154"/>
      <c r="G175" s="155"/>
      <c r="H175" s="134"/>
      <c r="I175" s="134"/>
      <c r="J175" s="134"/>
      <c r="K175" s="134"/>
      <c r="L175" s="134"/>
      <c r="M175" s="134"/>
      <c r="N175" s="134"/>
      <c r="O175" s="134"/>
      <c r="P175" s="134"/>
      <c r="Q175" s="134"/>
      <c r="R175" s="148" t="e">
        <f t="shared" ref="R175:AA175" si="195">SUM(R176,R182)</f>
        <v>#REF!</v>
      </c>
      <c r="S175" s="148" t="e">
        <f t="shared" si="195"/>
        <v>#REF!</v>
      </c>
      <c r="T175" s="148" t="e">
        <f t="shared" si="195"/>
        <v>#REF!</v>
      </c>
      <c r="U175" s="148" t="e">
        <f t="shared" si="195"/>
        <v>#REF!</v>
      </c>
      <c r="V175" s="148" t="e">
        <f t="shared" si="195"/>
        <v>#REF!</v>
      </c>
      <c r="W175" s="148" t="e">
        <f t="shared" si="195"/>
        <v>#REF!</v>
      </c>
      <c r="X175" s="148" t="e">
        <f t="shared" si="195"/>
        <v>#REF!</v>
      </c>
      <c r="Y175" s="148" t="e">
        <f t="shared" si="195"/>
        <v>#REF!</v>
      </c>
      <c r="Z175" s="148" t="e">
        <f t="shared" si="195"/>
        <v>#REF!</v>
      </c>
      <c r="AA175" s="148" t="e">
        <f t="shared" si="195"/>
        <v>#REF!</v>
      </c>
      <c r="AB175" s="130"/>
    </row>
    <row r="176" s="29" customFormat="1" outlineLevel="2" spans="1:28">
      <c r="A176" s="40"/>
      <c r="B176" s="41" t="s">
        <v>1997</v>
      </c>
      <c r="C176" s="41"/>
      <c r="D176" s="140"/>
      <c r="E176" s="140"/>
      <c r="F176" s="141"/>
      <c r="G176" s="142"/>
      <c r="H176" s="43"/>
      <c r="I176" s="43"/>
      <c r="J176" s="43"/>
      <c r="K176" s="43"/>
      <c r="L176" s="43"/>
      <c r="M176" s="43"/>
      <c r="N176" s="43"/>
      <c r="O176" s="43"/>
      <c r="P176" s="43"/>
      <c r="Q176" s="43"/>
      <c r="R176" s="149" t="e">
        <f t="shared" ref="R176:AA176" si="196">SUM(R177:R181)</f>
        <v>#REF!</v>
      </c>
      <c r="S176" s="149" t="e">
        <f t="shared" si="196"/>
        <v>#REF!</v>
      </c>
      <c r="T176" s="149" t="e">
        <f t="shared" si="196"/>
        <v>#REF!</v>
      </c>
      <c r="U176" s="149" t="e">
        <f t="shared" si="196"/>
        <v>#REF!</v>
      </c>
      <c r="V176" s="149" t="e">
        <f t="shared" si="196"/>
        <v>#REF!</v>
      </c>
      <c r="W176" s="149" t="e">
        <f t="shared" si="196"/>
        <v>#REF!</v>
      </c>
      <c r="X176" s="149" t="e">
        <f t="shared" si="196"/>
        <v>#REF!</v>
      </c>
      <c r="Y176" s="149" t="e">
        <f t="shared" si="196"/>
        <v>#REF!</v>
      </c>
      <c r="Z176" s="149" t="e">
        <f t="shared" si="196"/>
        <v>#REF!</v>
      </c>
      <c r="AA176" s="149" t="e">
        <f t="shared" si="196"/>
        <v>#REF!</v>
      </c>
      <c r="AB176" s="40"/>
    </row>
    <row r="177" s="28" customFormat="1" outlineLevel="3" spans="1:28">
      <c r="A177" s="52">
        <f>MAX($A$6:A176)+1</f>
        <v>157</v>
      </c>
      <c r="B177" s="51" t="s">
        <v>1861</v>
      </c>
      <c r="C177" s="51" t="e">
        <f>VLOOKUP($B177,#REF!,MATCH(C$2,#REF!,0),0)</f>
        <v>#REF!</v>
      </c>
      <c r="D177" s="83"/>
      <c r="E177" s="83"/>
      <c r="F177" s="136" t="e">
        <f>VLOOKUP($B177,#REF!,MATCH(F$2,#REF!,0),0)</f>
        <v>#REF!</v>
      </c>
      <c r="G177" s="137" t="e">
        <f>VLOOKUP($B177,#REF!,MATCH(G$2,#REF!,0),0)</f>
        <v>#REF!</v>
      </c>
      <c r="H177" s="48"/>
      <c r="I177" s="48"/>
      <c r="J177" s="48"/>
      <c r="K177" s="48"/>
      <c r="L177" s="48">
        <v>18</v>
      </c>
      <c r="M177" s="48"/>
      <c r="N177" s="48"/>
      <c r="O177" s="48"/>
      <c r="P177" s="48"/>
      <c r="Q177" s="48"/>
      <c r="R177" s="150" t="e">
        <f t="shared" ref="R177:AA177" si="197">$G177*H177</f>
        <v>#REF!</v>
      </c>
      <c r="S177" s="150" t="e">
        <f t="shared" si="197"/>
        <v>#REF!</v>
      </c>
      <c r="T177" s="150" t="e">
        <f t="shared" si="197"/>
        <v>#REF!</v>
      </c>
      <c r="U177" s="150" t="e">
        <f t="shared" si="197"/>
        <v>#REF!</v>
      </c>
      <c r="V177" s="150" t="e">
        <f t="shared" si="197"/>
        <v>#REF!</v>
      </c>
      <c r="W177" s="150" t="e">
        <f t="shared" si="197"/>
        <v>#REF!</v>
      </c>
      <c r="X177" s="150" t="e">
        <f t="shared" si="197"/>
        <v>#REF!</v>
      </c>
      <c r="Y177" s="150" t="e">
        <f t="shared" si="197"/>
        <v>#REF!</v>
      </c>
      <c r="Z177" s="150" t="e">
        <f t="shared" si="197"/>
        <v>#REF!</v>
      </c>
      <c r="AA177" s="150" t="e">
        <f t="shared" si="197"/>
        <v>#REF!</v>
      </c>
      <c r="AB177" s="50"/>
    </row>
    <row r="178" s="28" customFormat="1" outlineLevel="3" spans="1:28">
      <c r="A178" s="52">
        <f>MAX($A$6:A177)+1</f>
        <v>158</v>
      </c>
      <c r="B178" s="51" t="s">
        <v>1860</v>
      </c>
      <c r="C178" s="51" t="e">
        <f>VLOOKUP($B178,#REF!,MATCH(C$2,#REF!,0),0)</f>
        <v>#REF!</v>
      </c>
      <c r="D178" s="83"/>
      <c r="E178" s="83"/>
      <c r="F178" s="136" t="e">
        <f>VLOOKUP($B178,#REF!,MATCH(F$2,#REF!,0),0)</f>
        <v>#REF!</v>
      </c>
      <c r="G178" s="137" t="e">
        <f>VLOOKUP($B178,#REF!,MATCH(G$2,#REF!,0),0)</f>
        <v>#REF!</v>
      </c>
      <c r="H178" s="48">
        <v>108</v>
      </c>
      <c r="I178" s="48">
        <v>108</v>
      </c>
      <c r="J178" s="48">
        <v>44</v>
      </c>
      <c r="K178" s="48">
        <v>44</v>
      </c>
      <c r="L178" s="48">
        <v>39</v>
      </c>
      <c r="M178" s="48"/>
      <c r="N178" s="48"/>
      <c r="O178" s="48"/>
      <c r="P178" s="48"/>
      <c r="Q178" s="48"/>
      <c r="R178" s="150" t="e">
        <f t="shared" ref="R178:AA178" si="198">$G178*H178</f>
        <v>#REF!</v>
      </c>
      <c r="S178" s="150" t="e">
        <f t="shared" si="198"/>
        <v>#REF!</v>
      </c>
      <c r="T178" s="150" t="e">
        <f t="shared" si="198"/>
        <v>#REF!</v>
      </c>
      <c r="U178" s="150" t="e">
        <f t="shared" si="198"/>
        <v>#REF!</v>
      </c>
      <c r="V178" s="150" t="e">
        <f t="shared" si="198"/>
        <v>#REF!</v>
      </c>
      <c r="W178" s="150" t="e">
        <f t="shared" si="198"/>
        <v>#REF!</v>
      </c>
      <c r="X178" s="150" t="e">
        <f t="shared" si="198"/>
        <v>#REF!</v>
      </c>
      <c r="Y178" s="150" t="e">
        <f t="shared" si="198"/>
        <v>#REF!</v>
      </c>
      <c r="Z178" s="150" t="e">
        <f t="shared" si="198"/>
        <v>#REF!</v>
      </c>
      <c r="AA178" s="150" t="e">
        <f t="shared" si="198"/>
        <v>#REF!</v>
      </c>
      <c r="AB178" s="50"/>
    </row>
    <row r="179" s="28" customFormat="1" outlineLevel="3" spans="1:28">
      <c r="A179" s="52">
        <f>MAX($A$6:A178)+1</f>
        <v>159</v>
      </c>
      <c r="B179" s="51" t="s">
        <v>1859</v>
      </c>
      <c r="C179" s="51" t="e">
        <f>VLOOKUP($B179,#REF!,MATCH(C$2,#REF!,0),0)</f>
        <v>#REF!</v>
      </c>
      <c r="D179" s="83"/>
      <c r="E179" s="83"/>
      <c r="F179" s="136" t="e">
        <f>VLOOKUP($B179,#REF!,MATCH(F$2,#REF!,0),0)</f>
        <v>#REF!</v>
      </c>
      <c r="G179" s="137" t="e">
        <f>VLOOKUP($B179,#REF!,MATCH(G$2,#REF!,0),0)</f>
        <v>#REF!</v>
      </c>
      <c r="H179" s="48">
        <v>114</v>
      </c>
      <c r="I179" s="48">
        <v>114</v>
      </c>
      <c r="J179" s="48">
        <v>48</v>
      </c>
      <c r="K179" s="48">
        <v>48</v>
      </c>
      <c r="L179" s="48">
        <v>2</v>
      </c>
      <c r="M179" s="48"/>
      <c r="N179" s="48"/>
      <c r="O179" s="48"/>
      <c r="P179" s="48"/>
      <c r="Q179" s="48"/>
      <c r="R179" s="150" t="e">
        <f t="shared" ref="R179:AA179" si="199">$G179*H179</f>
        <v>#REF!</v>
      </c>
      <c r="S179" s="150" t="e">
        <f t="shared" si="199"/>
        <v>#REF!</v>
      </c>
      <c r="T179" s="150" t="e">
        <f t="shared" si="199"/>
        <v>#REF!</v>
      </c>
      <c r="U179" s="150" t="e">
        <f t="shared" si="199"/>
        <v>#REF!</v>
      </c>
      <c r="V179" s="150" t="e">
        <f t="shared" si="199"/>
        <v>#REF!</v>
      </c>
      <c r="W179" s="150" t="e">
        <f t="shared" si="199"/>
        <v>#REF!</v>
      </c>
      <c r="X179" s="150" t="e">
        <f t="shared" si="199"/>
        <v>#REF!</v>
      </c>
      <c r="Y179" s="150" t="e">
        <f t="shared" si="199"/>
        <v>#REF!</v>
      </c>
      <c r="Z179" s="150" t="e">
        <f t="shared" si="199"/>
        <v>#REF!</v>
      </c>
      <c r="AA179" s="150" t="e">
        <f t="shared" si="199"/>
        <v>#REF!</v>
      </c>
      <c r="AB179" s="50"/>
    </row>
    <row r="180" s="28" customFormat="1" outlineLevel="3" spans="1:28">
      <c r="A180" s="52">
        <f>MAX($A$6:A179)+1</f>
        <v>160</v>
      </c>
      <c r="B180" s="51" t="s">
        <v>1998</v>
      </c>
      <c r="C180" s="51" t="e">
        <f>VLOOKUP($B180,#REF!,MATCH(C$2,#REF!,0),0)</f>
        <v>#REF!</v>
      </c>
      <c r="D180" s="83"/>
      <c r="E180" s="83"/>
      <c r="F180" s="136" t="e">
        <f>VLOOKUP($B180,#REF!,MATCH(F$2,#REF!,0),0)</f>
        <v>#REF!</v>
      </c>
      <c r="G180" s="137" t="e">
        <f>VLOOKUP($B180,#REF!,MATCH(G$2,#REF!,0),0)</f>
        <v>#REF!</v>
      </c>
      <c r="H180" s="48">
        <v>114</v>
      </c>
      <c r="I180" s="48">
        <v>114</v>
      </c>
      <c r="J180" s="48">
        <v>48</v>
      </c>
      <c r="K180" s="48">
        <v>48</v>
      </c>
      <c r="L180" s="48">
        <v>19</v>
      </c>
      <c r="M180" s="48"/>
      <c r="N180" s="48"/>
      <c r="O180" s="48"/>
      <c r="P180" s="48"/>
      <c r="Q180" s="48"/>
      <c r="R180" s="150" t="e">
        <f t="shared" ref="R180:AA180" si="200">$G180*H180</f>
        <v>#REF!</v>
      </c>
      <c r="S180" s="150" t="e">
        <f t="shared" si="200"/>
        <v>#REF!</v>
      </c>
      <c r="T180" s="150" t="e">
        <f t="shared" si="200"/>
        <v>#REF!</v>
      </c>
      <c r="U180" s="150" t="e">
        <f t="shared" si="200"/>
        <v>#REF!</v>
      </c>
      <c r="V180" s="150" t="e">
        <f t="shared" si="200"/>
        <v>#REF!</v>
      </c>
      <c r="W180" s="150" t="e">
        <f t="shared" si="200"/>
        <v>#REF!</v>
      </c>
      <c r="X180" s="150" t="e">
        <f t="shared" si="200"/>
        <v>#REF!</v>
      </c>
      <c r="Y180" s="150" t="e">
        <f t="shared" si="200"/>
        <v>#REF!</v>
      </c>
      <c r="Z180" s="150" t="e">
        <f t="shared" si="200"/>
        <v>#REF!</v>
      </c>
      <c r="AA180" s="150" t="e">
        <f t="shared" si="200"/>
        <v>#REF!</v>
      </c>
      <c r="AB180" s="50"/>
    </row>
    <row r="181" s="28" customFormat="1" outlineLevel="3" spans="1:28">
      <c r="A181" s="52">
        <f>MAX($A$6:A180)+1</f>
        <v>161</v>
      </c>
      <c r="B181" s="51" t="s">
        <v>1999</v>
      </c>
      <c r="C181" s="51" t="e">
        <f>VLOOKUP($B181,#REF!,MATCH(C$2,#REF!,0),0)</f>
        <v>#REF!</v>
      </c>
      <c r="D181" s="83"/>
      <c r="E181" s="83"/>
      <c r="F181" s="136" t="e">
        <f>VLOOKUP($B181,#REF!,MATCH(F$2,#REF!,0),0)</f>
        <v>#REF!</v>
      </c>
      <c r="G181" s="137" t="e">
        <f>VLOOKUP($B181,#REF!,MATCH(G$2,#REF!,0),0)</f>
        <v>#REF!</v>
      </c>
      <c r="H181" s="48">
        <v>1</v>
      </c>
      <c r="I181" s="48">
        <v>1</v>
      </c>
      <c r="J181" s="48">
        <v>1</v>
      </c>
      <c r="K181" s="48">
        <v>1</v>
      </c>
      <c r="L181" s="48"/>
      <c r="M181" s="48"/>
      <c r="N181" s="48"/>
      <c r="O181" s="48"/>
      <c r="P181" s="48"/>
      <c r="Q181" s="48"/>
      <c r="R181" s="150" t="e">
        <f t="shared" ref="R181:AA181" si="201">$G181*H181</f>
        <v>#REF!</v>
      </c>
      <c r="S181" s="150" t="e">
        <f t="shared" si="201"/>
        <v>#REF!</v>
      </c>
      <c r="T181" s="150" t="e">
        <f t="shared" si="201"/>
        <v>#REF!</v>
      </c>
      <c r="U181" s="150" t="e">
        <f t="shared" si="201"/>
        <v>#REF!</v>
      </c>
      <c r="V181" s="150" t="e">
        <f t="shared" si="201"/>
        <v>#REF!</v>
      </c>
      <c r="W181" s="150" t="e">
        <f t="shared" si="201"/>
        <v>#REF!</v>
      </c>
      <c r="X181" s="150" t="e">
        <f t="shared" si="201"/>
        <v>#REF!</v>
      </c>
      <c r="Y181" s="150" t="e">
        <f t="shared" si="201"/>
        <v>#REF!</v>
      </c>
      <c r="Z181" s="150" t="e">
        <f t="shared" si="201"/>
        <v>#REF!</v>
      </c>
      <c r="AA181" s="150" t="e">
        <f t="shared" si="201"/>
        <v>#REF!</v>
      </c>
      <c r="AB181" s="50"/>
    </row>
    <row r="182" s="29" customFormat="1" outlineLevel="2" spans="1:28">
      <c r="A182" s="40"/>
      <c r="B182" s="41" t="s">
        <v>2000</v>
      </c>
      <c r="C182" s="41"/>
      <c r="D182" s="140"/>
      <c r="E182" s="140"/>
      <c r="F182" s="141"/>
      <c r="G182" s="142"/>
      <c r="H182" s="43"/>
      <c r="I182" s="43"/>
      <c r="J182" s="43"/>
      <c r="K182" s="43"/>
      <c r="L182" s="43"/>
      <c r="M182" s="43"/>
      <c r="N182" s="43"/>
      <c r="O182" s="43"/>
      <c r="P182" s="43"/>
      <c r="Q182" s="43"/>
      <c r="R182" s="149" t="e">
        <f t="shared" ref="R182:AA182" si="202">SUM(R183:R191)</f>
        <v>#REF!</v>
      </c>
      <c r="S182" s="149" t="e">
        <f t="shared" si="202"/>
        <v>#REF!</v>
      </c>
      <c r="T182" s="149" t="e">
        <f t="shared" si="202"/>
        <v>#REF!</v>
      </c>
      <c r="U182" s="149" t="e">
        <f t="shared" si="202"/>
        <v>#REF!</v>
      </c>
      <c r="V182" s="149" t="e">
        <f t="shared" si="202"/>
        <v>#REF!</v>
      </c>
      <c r="W182" s="149" t="e">
        <f t="shared" si="202"/>
        <v>#REF!</v>
      </c>
      <c r="X182" s="149" t="e">
        <f t="shared" si="202"/>
        <v>#REF!</v>
      </c>
      <c r="Y182" s="149" t="e">
        <f t="shared" si="202"/>
        <v>#REF!</v>
      </c>
      <c r="Z182" s="149" t="e">
        <f t="shared" si="202"/>
        <v>#REF!</v>
      </c>
      <c r="AA182" s="149" t="e">
        <f t="shared" si="202"/>
        <v>#REF!</v>
      </c>
      <c r="AB182" s="40"/>
    </row>
    <row r="183" s="28" customFormat="1" ht="28.8" outlineLevel="3" spans="1:28">
      <c r="A183" s="52">
        <f>MAX($A$6:A182)+1</f>
        <v>162</v>
      </c>
      <c r="B183" s="51" t="s">
        <v>1899</v>
      </c>
      <c r="C183" s="51" t="e">
        <f>VLOOKUP($B183,#REF!,MATCH(C$2,#REF!,0),0)</f>
        <v>#REF!</v>
      </c>
      <c r="D183" s="83"/>
      <c r="E183" s="83"/>
      <c r="F183" s="136" t="e">
        <f>VLOOKUP($B183,#REF!,MATCH(F$2,#REF!,0),0)</f>
        <v>#REF!</v>
      </c>
      <c r="G183" s="137" t="e">
        <f>VLOOKUP($B183,#REF!,MATCH(G$2,#REF!,0),0)</f>
        <v>#REF!</v>
      </c>
      <c r="H183" s="48">
        <v>4285.25</v>
      </c>
      <c r="I183" s="48">
        <v>3135.72</v>
      </c>
      <c r="J183" s="48">
        <v>1756.38</v>
      </c>
      <c r="K183" s="48">
        <v>1756.38</v>
      </c>
      <c r="L183" s="48">
        <v>847.34</v>
      </c>
      <c r="M183" s="48">
        <v>5.6</v>
      </c>
      <c r="N183" s="48">
        <v>5.6</v>
      </c>
      <c r="O183" s="48">
        <v>5.6</v>
      </c>
      <c r="P183" s="48"/>
      <c r="Q183" s="48"/>
      <c r="R183" s="150" t="e">
        <f t="shared" ref="R183:AA183" si="203">$G183*H183</f>
        <v>#REF!</v>
      </c>
      <c r="S183" s="150" t="e">
        <f t="shared" si="203"/>
        <v>#REF!</v>
      </c>
      <c r="T183" s="150" t="e">
        <f t="shared" si="203"/>
        <v>#REF!</v>
      </c>
      <c r="U183" s="150" t="e">
        <f t="shared" si="203"/>
        <v>#REF!</v>
      </c>
      <c r="V183" s="150" t="e">
        <f t="shared" si="203"/>
        <v>#REF!</v>
      </c>
      <c r="W183" s="150" t="e">
        <f t="shared" si="203"/>
        <v>#REF!</v>
      </c>
      <c r="X183" s="150" t="e">
        <f t="shared" si="203"/>
        <v>#REF!</v>
      </c>
      <c r="Y183" s="150" t="e">
        <f t="shared" si="203"/>
        <v>#REF!</v>
      </c>
      <c r="Z183" s="150" t="e">
        <f t="shared" si="203"/>
        <v>#REF!</v>
      </c>
      <c r="AA183" s="150" t="e">
        <f t="shared" si="203"/>
        <v>#REF!</v>
      </c>
      <c r="AB183" s="50"/>
    </row>
    <row r="184" s="28" customFormat="1" ht="28.8" outlineLevel="3" spans="1:28">
      <c r="A184" s="52">
        <f>MAX($A$6:A183)+1</f>
        <v>163</v>
      </c>
      <c r="B184" s="51" t="s">
        <v>1900</v>
      </c>
      <c r="C184" s="51" t="e">
        <f>VLOOKUP($B184,#REF!,MATCH(C$2,#REF!,0),0)</f>
        <v>#REF!</v>
      </c>
      <c r="D184" s="83"/>
      <c r="E184" s="83"/>
      <c r="F184" s="136" t="e">
        <f>VLOOKUP($B184,#REF!,MATCH(F$2,#REF!,0),0)</f>
        <v>#REF!</v>
      </c>
      <c r="G184" s="137" t="e">
        <f>VLOOKUP($B184,#REF!,MATCH(G$2,#REF!,0),0)</f>
        <v>#REF!</v>
      </c>
      <c r="H184" s="48">
        <v>1418.82</v>
      </c>
      <c r="I184" s="48">
        <v>2485.47</v>
      </c>
      <c r="J184" s="48">
        <v>965.74</v>
      </c>
      <c r="K184" s="48">
        <v>965.74</v>
      </c>
      <c r="L184" s="48">
        <v>847.44</v>
      </c>
      <c r="M184" s="48">
        <v>12.2</v>
      </c>
      <c r="N184" s="48">
        <v>12.2</v>
      </c>
      <c r="O184" s="48">
        <v>12.2</v>
      </c>
      <c r="P184" s="48"/>
      <c r="Q184" s="48"/>
      <c r="R184" s="150" t="e">
        <f t="shared" ref="R184:AA184" si="204">$G184*H184</f>
        <v>#REF!</v>
      </c>
      <c r="S184" s="150" t="e">
        <f t="shared" si="204"/>
        <v>#REF!</v>
      </c>
      <c r="T184" s="150" t="e">
        <f t="shared" si="204"/>
        <v>#REF!</v>
      </c>
      <c r="U184" s="150" t="e">
        <f t="shared" si="204"/>
        <v>#REF!</v>
      </c>
      <c r="V184" s="150" t="e">
        <f t="shared" si="204"/>
        <v>#REF!</v>
      </c>
      <c r="W184" s="150" t="e">
        <f t="shared" si="204"/>
        <v>#REF!</v>
      </c>
      <c r="X184" s="150" t="e">
        <f t="shared" si="204"/>
        <v>#REF!</v>
      </c>
      <c r="Y184" s="150" t="e">
        <f t="shared" si="204"/>
        <v>#REF!</v>
      </c>
      <c r="Z184" s="150" t="e">
        <f t="shared" si="204"/>
        <v>#REF!</v>
      </c>
      <c r="AA184" s="150" t="e">
        <f t="shared" si="204"/>
        <v>#REF!</v>
      </c>
      <c r="AB184" s="50"/>
    </row>
    <row r="185" s="28" customFormat="1" ht="28.8" outlineLevel="3" spans="1:28">
      <c r="A185" s="52">
        <f>MAX($A$6:A184)+1</f>
        <v>164</v>
      </c>
      <c r="B185" s="51" t="s">
        <v>1901</v>
      </c>
      <c r="C185" s="51" t="e">
        <f>VLOOKUP($B185,#REF!,MATCH(C$2,#REF!,0),0)</f>
        <v>#REF!</v>
      </c>
      <c r="D185" s="83"/>
      <c r="E185" s="83"/>
      <c r="F185" s="136" t="e">
        <f>VLOOKUP($B185,#REF!,MATCH(F$2,#REF!,0),0)</f>
        <v>#REF!</v>
      </c>
      <c r="G185" s="137" t="e">
        <f>VLOOKUP($B185,#REF!,MATCH(G$2,#REF!,0),0)</f>
        <v>#REF!</v>
      </c>
      <c r="H185" s="48"/>
      <c r="I185" s="48"/>
      <c r="J185" s="48"/>
      <c r="K185" s="48"/>
      <c r="L185" s="48">
        <v>133.569</v>
      </c>
      <c r="M185" s="48">
        <v>3.04</v>
      </c>
      <c r="N185" s="48">
        <v>3.04</v>
      </c>
      <c r="O185" s="48">
        <v>3.04</v>
      </c>
      <c r="P185" s="48"/>
      <c r="Q185" s="48"/>
      <c r="R185" s="150" t="e">
        <f t="shared" ref="R185:AA185" si="205">$G185*H185</f>
        <v>#REF!</v>
      </c>
      <c r="S185" s="150" t="e">
        <f t="shared" si="205"/>
        <v>#REF!</v>
      </c>
      <c r="T185" s="150" t="e">
        <f t="shared" si="205"/>
        <v>#REF!</v>
      </c>
      <c r="U185" s="150" t="e">
        <f t="shared" si="205"/>
        <v>#REF!</v>
      </c>
      <c r="V185" s="150" t="e">
        <f t="shared" si="205"/>
        <v>#REF!</v>
      </c>
      <c r="W185" s="150" t="e">
        <f t="shared" si="205"/>
        <v>#REF!</v>
      </c>
      <c r="X185" s="150" t="e">
        <f t="shared" si="205"/>
        <v>#REF!</v>
      </c>
      <c r="Y185" s="150" t="e">
        <f t="shared" si="205"/>
        <v>#REF!</v>
      </c>
      <c r="Z185" s="150" t="e">
        <f t="shared" si="205"/>
        <v>#REF!</v>
      </c>
      <c r="AA185" s="150" t="e">
        <f t="shared" si="205"/>
        <v>#REF!</v>
      </c>
      <c r="AB185" s="50"/>
    </row>
    <row r="186" s="28" customFormat="1" ht="28.8" outlineLevel="3" spans="1:28">
      <c r="A186" s="52">
        <f>MAX($A$6:A185)+1</f>
        <v>165</v>
      </c>
      <c r="B186" s="51" t="s">
        <v>1902</v>
      </c>
      <c r="C186" s="51" t="e">
        <f>VLOOKUP($B186,#REF!,MATCH(C$2,#REF!,0),0)</f>
        <v>#REF!</v>
      </c>
      <c r="D186" s="83"/>
      <c r="E186" s="83"/>
      <c r="F186" s="136" t="e">
        <f>VLOOKUP($B186,#REF!,MATCH(F$2,#REF!,0),0)</f>
        <v>#REF!</v>
      </c>
      <c r="G186" s="137" t="e">
        <f>VLOOKUP($B186,#REF!,MATCH(G$2,#REF!,0),0)</f>
        <v>#REF!</v>
      </c>
      <c r="H186" s="48"/>
      <c r="I186" s="48"/>
      <c r="J186" s="48"/>
      <c r="K186" s="48"/>
      <c r="L186" s="48"/>
      <c r="M186" s="48">
        <v>1</v>
      </c>
      <c r="N186" s="48">
        <v>1</v>
      </c>
      <c r="O186" s="48">
        <v>1</v>
      </c>
      <c r="P186" s="48"/>
      <c r="Q186" s="48"/>
      <c r="R186" s="150" t="e">
        <f t="shared" ref="R186:AA186" si="206">$G186*H186</f>
        <v>#REF!</v>
      </c>
      <c r="S186" s="150" t="e">
        <f t="shared" si="206"/>
        <v>#REF!</v>
      </c>
      <c r="T186" s="150" t="e">
        <f t="shared" si="206"/>
        <v>#REF!</v>
      </c>
      <c r="U186" s="150" t="e">
        <f t="shared" si="206"/>
        <v>#REF!</v>
      </c>
      <c r="V186" s="150" t="e">
        <f t="shared" si="206"/>
        <v>#REF!</v>
      </c>
      <c r="W186" s="150" t="e">
        <f t="shared" si="206"/>
        <v>#REF!</v>
      </c>
      <c r="X186" s="150" t="e">
        <f t="shared" si="206"/>
        <v>#REF!</v>
      </c>
      <c r="Y186" s="150" t="e">
        <f t="shared" si="206"/>
        <v>#REF!</v>
      </c>
      <c r="Z186" s="150" t="e">
        <f t="shared" si="206"/>
        <v>#REF!</v>
      </c>
      <c r="AA186" s="150" t="e">
        <f t="shared" si="206"/>
        <v>#REF!</v>
      </c>
      <c r="AB186" s="50"/>
    </row>
    <row r="187" s="28" customFormat="1" ht="28.8" outlineLevel="3" spans="1:28">
      <c r="A187" s="52">
        <f>MAX($A$6:A186)+1</f>
        <v>166</v>
      </c>
      <c r="B187" s="51" t="s">
        <v>1903</v>
      </c>
      <c r="C187" s="51" t="e">
        <f>VLOOKUP($B187,#REF!,MATCH(C$2,#REF!,0),0)</f>
        <v>#REF!</v>
      </c>
      <c r="D187" s="83"/>
      <c r="E187" s="83"/>
      <c r="F187" s="136" t="e">
        <f>VLOOKUP($B187,#REF!,MATCH(F$2,#REF!,0),0)</f>
        <v>#REF!</v>
      </c>
      <c r="G187" s="137" t="e">
        <f>VLOOKUP($B187,#REF!,MATCH(G$2,#REF!,0),0)</f>
        <v>#REF!</v>
      </c>
      <c r="H187" s="48"/>
      <c r="I187" s="48"/>
      <c r="J187" s="48"/>
      <c r="K187" s="48"/>
      <c r="L187" s="48"/>
      <c r="M187" s="48">
        <v>4.6</v>
      </c>
      <c r="N187" s="48">
        <v>4.6</v>
      </c>
      <c r="O187" s="48">
        <v>4.6</v>
      </c>
      <c r="P187" s="48"/>
      <c r="Q187" s="48"/>
      <c r="R187" s="150" t="e">
        <f t="shared" ref="R187:AA187" si="207">$G187*H187</f>
        <v>#REF!</v>
      </c>
      <c r="S187" s="150" t="e">
        <f t="shared" si="207"/>
        <v>#REF!</v>
      </c>
      <c r="T187" s="150" t="e">
        <f t="shared" si="207"/>
        <v>#REF!</v>
      </c>
      <c r="U187" s="150" t="e">
        <f t="shared" si="207"/>
        <v>#REF!</v>
      </c>
      <c r="V187" s="150" t="e">
        <f t="shared" si="207"/>
        <v>#REF!</v>
      </c>
      <c r="W187" s="150" t="e">
        <f t="shared" si="207"/>
        <v>#REF!</v>
      </c>
      <c r="X187" s="150" t="e">
        <f t="shared" si="207"/>
        <v>#REF!</v>
      </c>
      <c r="Y187" s="150" t="e">
        <f t="shared" si="207"/>
        <v>#REF!</v>
      </c>
      <c r="Z187" s="150" t="e">
        <f t="shared" si="207"/>
        <v>#REF!</v>
      </c>
      <c r="AA187" s="150" t="e">
        <f t="shared" si="207"/>
        <v>#REF!</v>
      </c>
      <c r="AB187" s="50"/>
    </row>
    <row r="188" s="28" customFormat="1" ht="28.8" outlineLevel="3" spans="1:28">
      <c r="A188" s="52">
        <f>MAX($A$6:A187)+1</f>
        <v>167</v>
      </c>
      <c r="B188" s="51" t="s">
        <v>1904</v>
      </c>
      <c r="C188" s="51" t="e">
        <f>VLOOKUP($B188,#REF!,MATCH(C$2,#REF!,0),0)</f>
        <v>#REF!</v>
      </c>
      <c r="D188" s="83"/>
      <c r="E188" s="83"/>
      <c r="F188" s="136" t="e">
        <f>VLOOKUP($B188,#REF!,MATCH(F$2,#REF!,0),0)</f>
        <v>#REF!</v>
      </c>
      <c r="G188" s="137" t="e">
        <f>VLOOKUP($B188,#REF!,MATCH(G$2,#REF!,0),0)</f>
        <v>#REF!</v>
      </c>
      <c r="H188" s="48"/>
      <c r="I188" s="48"/>
      <c r="J188" s="48"/>
      <c r="K188" s="48"/>
      <c r="L188" s="48"/>
      <c r="M188" s="48">
        <v>32.51</v>
      </c>
      <c r="N188" s="48">
        <v>32.51</v>
      </c>
      <c r="O188" s="48">
        <v>32.51</v>
      </c>
      <c r="P188" s="48"/>
      <c r="Q188" s="48"/>
      <c r="R188" s="150" t="e">
        <f t="shared" ref="R188:AA188" si="208">$G188*H188</f>
        <v>#REF!</v>
      </c>
      <c r="S188" s="150" t="e">
        <f t="shared" si="208"/>
        <v>#REF!</v>
      </c>
      <c r="T188" s="150" t="e">
        <f t="shared" si="208"/>
        <v>#REF!</v>
      </c>
      <c r="U188" s="150" t="e">
        <f t="shared" si="208"/>
        <v>#REF!</v>
      </c>
      <c r="V188" s="150" t="e">
        <f t="shared" si="208"/>
        <v>#REF!</v>
      </c>
      <c r="W188" s="150" t="e">
        <f t="shared" si="208"/>
        <v>#REF!</v>
      </c>
      <c r="X188" s="150" t="e">
        <f t="shared" si="208"/>
        <v>#REF!</v>
      </c>
      <c r="Y188" s="150" t="e">
        <f t="shared" si="208"/>
        <v>#REF!</v>
      </c>
      <c r="Z188" s="150" t="e">
        <f t="shared" si="208"/>
        <v>#REF!</v>
      </c>
      <c r="AA188" s="150" t="e">
        <f t="shared" si="208"/>
        <v>#REF!</v>
      </c>
      <c r="AB188" s="50"/>
    </row>
    <row r="189" s="28" customFormat="1" ht="28.8" outlineLevel="3" spans="1:28">
      <c r="A189" s="52">
        <f>MAX($A$6:A188)+1</f>
        <v>168</v>
      </c>
      <c r="B189" s="51" t="s">
        <v>2001</v>
      </c>
      <c r="C189" s="51" t="e">
        <f>VLOOKUP($B189,#REF!,MATCH(C$2,#REF!,0),0)</f>
        <v>#REF!</v>
      </c>
      <c r="D189" s="83"/>
      <c r="E189" s="83"/>
      <c r="F189" s="136" t="e">
        <f>VLOOKUP($B189,#REF!,MATCH(F$2,#REF!,0),0)</f>
        <v>#REF!</v>
      </c>
      <c r="G189" s="137" t="e">
        <f>VLOOKUP($B189,#REF!,MATCH(G$2,#REF!,0),0)</f>
        <v>#REF!</v>
      </c>
      <c r="H189" s="48">
        <v>4091.57</v>
      </c>
      <c r="I189" s="48">
        <v>3925.6</v>
      </c>
      <c r="J189" s="48">
        <v>1622.11</v>
      </c>
      <c r="K189" s="48">
        <v>1622.11</v>
      </c>
      <c r="L189" s="48">
        <v>1251.386</v>
      </c>
      <c r="M189" s="48"/>
      <c r="N189" s="48"/>
      <c r="O189" s="48"/>
      <c r="P189" s="48"/>
      <c r="Q189" s="48"/>
      <c r="R189" s="150" t="e">
        <f t="shared" ref="R189:AA189" si="209">$G189*H189</f>
        <v>#REF!</v>
      </c>
      <c r="S189" s="150" t="e">
        <f t="shared" si="209"/>
        <v>#REF!</v>
      </c>
      <c r="T189" s="150" t="e">
        <f t="shared" si="209"/>
        <v>#REF!</v>
      </c>
      <c r="U189" s="150" t="e">
        <f t="shared" si="209"/>
        <v>#REF!</v>
      </c>
      <c r="V189" s="150" t="e">
        <f t="shared" si="209"/>
        <v>#REF!</v>
      </c>
      <c r="W189" s="150" t="e">
        <f t="shared" si="209"/>
        <v>#REF!</v>
      </c>
      <c r="X189" s="150" t="e">
        <f t="shared" si="209"/>
        <v>#REF!</v>
      </c>
      <c r="Y189" s="150" t="e">
        <f t="shared" si="209"/>
        <v>#REF!</v>
      </c>
      <c r="Z189" s="150" t="e">
        <f t="shared" si="209"/>
        <v>#REF!</v>
      </c>
      <c r="AA189" s="150" t="e">
        <f t="shared" si="209"/>
        <v>#REF!</v>
      </c>
      <c r="AB189" s="50"/>
    </row>
    <row r="190" s="28" customFormat="1" ht="28.8" outlineLevel="3" spans="1:28">
      <c r="A190" s="52">
        <f>MAX($A$6:A189)+1</f>
        <v>169</v>
      </c>
      <c r="B190" s="51" t="s">
        <v>2002</v>
      </c>
      <c r="C190" s="51" t="e">
        <f>VLOOKUP($B190,#REF!,MATCH(C$2,#REF!,0),0)</f>
        <v>#REF!</v>
      </c>
      <c r="D190" s="83"/>
      <c r="E190" s="83"/>
      <c r="F190" s="136" t="e">
        <f>VLOOKUP($B190,#REF!,MATCH(F$2,#REF!,0),0)</f>
        <v>#REF!</v>
      </c>
      <c r="G190" s="137" t="e">
        <f>VLOOKUP($B190,#REF!,MATCH(G$2,#REF!,0),0)</f>
        <v>#REF!</v>
      </c>
      <c r="H190" s="48">
        <v>1</v>
      </c>
      <c r="I190" s="48">
        <v>1</v>
      </c>
      <c r="J190" s="48">
        <v>1</v>
      </c>
      <c r="K190" s="48">
        <v>1</v>
      </c>
      <c r="L190" s="48">
        <v>1745.34</v>
      </c>
      <c r="M190" s="48"/>
      <c r="N190" s="48"/>
      <c r="O190" s="48"/>
      <c r="P190" s="48"/>
      <c r="Q190" s="48"/>
      <c r="R190" s="150" t="e">
        <f t="shared" ref="R190:AA190" si="210">$G190*H190</f>
        <v>#REF!</v>
      </c>
      <c r="S190" s="150" t="e">
        <f t="shared" si="210"/>
        <v>#REF!</v>
      </c>
      <c r="T190" s="150" t="e">
        <f t="shared" si="210"/>
        <v>#REF!</v>
      </c>
      <c r="U190" s="150" t="e">
        <f t="shared" si="210"/>
        <v>#REF!</v>
      </c>
      <c r="V190" s="150" t="e">
        <f t="shared" si="210"/>
        <v>#REF!</v>
      </c>
      <c r="W190" s="150" t="e">
        <f t="shared" si="210"/>
        <v>#REF!</v>
      </c>
      <c r="X190" s="150" t="e">
        <f t="shared" si="210"/>
        <v>#REF!</v>
      </c>
      <c r="Y190" s="150" t="e">
        <f t="shared" si="210"/>
        <v>#REF!</v>
      </c>
      <c r="Z190" s="150" t="e">
        <f t="shared" si="210"/>
        <v>#REF!</v>
      </c>
      <c r="AA190" s="150" t="e">
        <f t="shared" si="210"/>
        <v>#REF!</v>
      </c>
      <c r="AB190" s="50"/>
    </row>
    <row r="191" s="28" customFormat="1" ht="28.8" outlineLevel="3" spans="1:28">
      <c r="A191" s="52">
        <f>MAX($A$6:A190)+1</f>
        <v>170</v>
      </c>
      <c r="B191" s="51" t="s">
        <v>2003</v>
      </c>
      <c r="C191" s="51" t="e">
        <f>VLOOKUP($B191,#REF!,MATCH(C$2,#REF!,0),0)</f>
        <v>#REF!</v>
      </c>
      <c r="D191" s="83"/>
      <c r="E191" s="83"/>
      <c r="F191" s="136" t="e">
        <f>VLOOKUP($B191,#REF!,MATCH(F$2,#REF!,0),0)</f>
        <v>#REF!</v>
      </c>
      <c r="G191" s="137" t="e">
        <f>VLOOKUP($B191,#REF!,MATCH(G$2,#REF!,0),0)</f>
        <v>#REF!</v>
      </c>
      <c r="H191" s="48"/>
      <c r="I191" s="48"/>
      <c r="J191" s="48"/>
      <c r="K191" s="48"/>
      <c r="L191" s="48"/>
      <c r="M191" s="48"/>
      <c r="N191" s="48"/>
      <c r="O191" s="48"/>
      <c r="P191" s="48"/>
      <c r="Q191" s="48"/>
      <c r="R191" s="150" t="e">
        <f t="shared" ref="R191:AA191" si="211">$G191*H191</f>
        <v>#REF!</v>
      </c>
      <c r="S191" s="150" t="e">
        <f t="shared" si="211"/>
        <v>#REF!</v>
      </c>
      <c r="T191" s="150" t="e">
        <f t="shared" si="211"/>
        <v>#REF!</v>
      </c>
      <c r="U191" s="150" t="e">
        <f t="shared" si="211"/>
        <v>#REF!</v>
      </c>
      <c r="V191" s="150" t="e">
        <f t="shared" si="211"/>
        <v>#REF!</v>
      </c>
      <c r="W191" s="150" t="e">
        <f t="shared" si="211"/>
        <v>#REF!</v>
      </c>
      <c r="X191" s="150" t="e">
        <f t="shared" si="211"/>
        <v>#REF!</v>
      </c>
      <c r="Y191" s="150" t="e">
        <f t="shared" si="211"/>
        <v>#REF!</v>
      </c>
      <c r="Z191" s="150" t="e">
        <f t="shared" si="211"/>
        <v>#REF!</v>
      </c>
      <c r="AA191" s="150" t="e">
        <f t="shared" si="211"/>
        <v>#REF!</v>
      </c>
      <c r="AB191" s="50"/>
    </row>
    <row r="192" s="122" customFormat="1" outlineLevel="1" spans="1:28">
      <c r="A192" s="130"/>
      <c r="B192" s="131" t="s">
        <v>2004</v>
      </c>
      <c r="C192" s="131"/>
      <c r="D192" s="153"/>
      <c r="E192" s="153"/>
      <c r="F192" s="154"/>
      <c r="G192" s="155"/>
      <c r="H192" s="134"/>
      <c r="I192" s="134"/>
      <c r="J192" s="134"/>
      <c r="K192" s="134"/>
      <c r="L192" s="134"/>
      <c r="M192" s="134"/>
      <c r="N192" s="134"/>
      <c r="O192" s="134"/>
      <c r="P192" s="134"/>
      <c r="Q192" s="134"/>
      <c r="R192" s="148" t="e">
        <f t="shared" ref="R192:AA192" si="212">SUM(R193,R202)</f>
        <v>#REF!</v>
      </c>
      <c r="S192" s="148" t="e">
        <f t="shared" si="212"/>
        <v>#REF!</v>
      </c>
      <c r="T192" s="148" t="e">
        <f t="shared" si="212"/>
        <v>#REF!</v>
      </c>
      <c r="U192" s="148" t="e">
        <f t="shared" si="212"/>
        <v>#REF!</v>
      </c>
      <c r="V192" s="148" t="e">
        <f t="shared" si="212"/>
        <v>#REF!</v>
      </c>
      <c r="W192" s="148" t="e">
        <f t="shared" si="212"/>
        <v>#REF!</v>
      </c>
      <c r="X192" s="148" t="e">
        <f t="shared" si="212"/>
        <v>#REF!</v>
      </c>
      <c r="Y192" s="148" t="e">
        <f t="shared" si="212"/>
        <v>#REF!</v>
      </c>
      <c r="Z192" s="148" t="e">
        <f t="shared" si="212"/>
        <v>#REF!</v>
      </c>
      <c r="AA192" s="148" t="e">
        <f t="shared" si="212"/>
        <v>#REF!</v>
      </c>
      <c r="AB192" s="130"/>
    </row>
    <row r="193" s="29" customFormat="1" outlineLevel="2" spans="1:28">
      <c r="A193" s="40"/>
      <c r="B193" s="41" t="s">
        <v>2005</v>
      </c>
      <c r="C193" s="41"/>
      <c r="D193" s="140"/>
      <c r="E193" s="140"/>
      <c r="F193" s="141"/>
      <c r="G193" s="142"/>
      <c r="H193" s="43"/>
      <c r="I193" s="43"/>
      <c r="J193" s="43"/>
      <c r="K193" s="43"/>
      <c r="L193" s="43"/>
      <c r="M193" s="43"/>
      <c r="N193" s="43"/>
      <c r="O193" s="43"/>
      <c r="P193" s="43"/>
      <c r="Q193" s="43"/>
      <c r="R193" s="149" t="e">
        <f t="shared" ref="R193:AA193" si="213">SUM(R194:R201)</f>
        <v>#REF!</v>
      </c>
      <c r="S193" s="149" t="e">
        <f t="shared" si="213"/>
        <v>#REF!</v>
      </c>
      <c r="T193" s="149" t="e">
        <f t="shared" si="213"/>
        <v>#REF!</v>
      </c>
      <c r="U193" s="149" t="e">
        <f t="shared" si="213"/>
        <v>#REF!</v>
      </c>
      <c r="V193" s="149" t="e">
        <f t="shared" si="213"/>
        <v>#REF!</v>
      </c>
      <c r="W193" s="149" t="e">
        <f t="shared" si="213"/>
        <v>#REF!</v>
      </c>
      <c r="X193" s="149" t="e">
        <f t="shared" si="213"/>
        <v>#REF!</v>
      </c>
      <c r="Y193" s="149" t="e">
        <f t="shared" si="213"/>
        <v>#REF!</v>
      </c>
      <c r="Z193" s="149" t="e">
        <f t="shared" si="213"/>
        <v>#REF!</v>
      </c>
      <c r="AA193" s="149" t="e">
        <f t="shared" si="213"/>
        <v>#REF!</v>
      </c>
      <c r="AB193" s="40"/>
    </row>
    <row r="194" s="28" customFormat="1" ht="28.8" outlineLevel="3" spans="1:28">
      <c r="A194" s="52">
        <f>MAX($A$6:A193)+1</f>
        <v>171</v>
      </c>
      <c r="B194" s="51" t="s">
        <v>2006</v>
      </c>
      <c r="C194" s="51" t="e">
        <f>VLOOKUP($B194,#REF!,MATCH(C$2,#REF!,0),0)</f>
        <v>#REF!</v>
      </c>
      <c r="D194" s="83"/>
      <c r="E194" s="83"/>
      <c r="F194" s="136" t="e">
        <f>VLOOKUP($B194,#REF!,MATCH(F$2,#REF!,0),0)</f>
        <v>#REF!</v>
      </c>
      <c r="G194" s="137" t="e">
        <f>VLOOKUP($B194,#REF!,MATCH(G$2,#REF!,0),0)</f>
        <v>#REF!</v>
      </c>
      <c r="H194" s="48"/>
      <c r="I194" s="48"/>
      <c r="J194" s="48"/>
      <c r="K194" s="48"/>
      <c r="L194" s="48"/>
      <c r="M194" s="48">
        <v>1</v>
      </c>
      <c r="N194" s="48">
        <v>1</v>
      </c>
      <c r="O194" s="48">
        <v>1</v>
      </c>
      <c r="P194" s="48"/>
      <c r="Q194" s="48"/>
      <c r="R194" s="150" t="e">
        <f t="shared" ref="R194:AA194" si="214">$G194*H194</f>
        <v>#REF!</v>
      </c>
      <c r="S194" s="150" t="e">
        <f t="shared" si="214"/>
        <v>#REF!</v>
      </c>
      <c r="T194" s="150" t="e">
        <f t="shared" si="214"/>
        <v>#REF!</v>
      </c>
      <c r="U194" s="150" t="e">
        <f t="shared" si="214"/>
        <v>#REF!</v>
      </c>
      <c r="V194" s="150" t="e">
        <f t="shared" si="214"/>
        <v>#REF!</v>
      </c>
      <c r="W194" s="150" t="e">
        <f t="shared" si="214"/>
        <v>#REF!</v>
      </c>
      <c r="X194" s="150" t="e">
        <f t="shared" si="214"/>
        <v>#REF!</v>
      </c>
      <c r="Y194" s="150" t="e">
        <f t="shared" si="214"/>
        <v>#REF!</v>
      </c>
      <c r="Z194" s="150" t="e">
        <f t="shared" si="214"/>
        <v>#REF!</v>
      </c>
      <c r="AA194" s="150" t="e">
        <f t="shared" si="214"/>
        <v>#REF!</v>
      </c>
      <c r="AB194" s="50"/>
    </row>
    <row r="195" s="28" customFormat="1" ht="28.8" outlineLevel="3" spans="1:28">
      <c r="A195" s="52">
        <f>MAX($A$6:A194)+1</f>
        <v>172</v>
      </c>
      <c r="B195" s="51" t="s">
        <v>2007</v>
      </c>
      <c r="C195" s="51" t="e">
        <f>VLOOKUP($B195,#REF!,MATCH(C$2,#REF!,0),0)</f>
        <v>#REF!</v>
      </c>
      <c r="D195" s="83"/>
      <c r="E195" s="83"/>
      <c r="F195" s="136" t="e">
        <f>VLOOKUP($B195,#REF!,MATCH(F$2,#REF!,0),0)</f>
        <v>#REF!</v>
      </c>
      <c r="G195" s="137" t="e">
        <f>VLOOKUP($B195,#REF!,MATCH(G$2,#REF!,0),0)</f>
        <v>#REF!</v>
      </c>
      <c r="H195" s="48"/>
      <c r="I195" s="48"/>
      <c r="J195" s="48"/>
      <c r="K195" s="48"/>
      <c r="L195" s="48"/>
      <c r="M195" s="48">
        <v>1</v>
      </c>
      <c r="N195" s="48">
        <v>1</v>
      </c>
      <c r="O195" s="48">
        <v>1</v>
      </c>
      <c r="P195" s="48"/>
      <c r="Q195" s="48"/>
      <c r="R195" s="150" t="e">
        <f t="shared" ref="R195:AA195" si="215">$G195*H195</f>
        <v>#REF!</v>
      </c>
      <c r="S195" s="150" t="e">
        <f t="shared" si="215"/>
        <v>#REF!</v>
      </c>
      <c r="T195" s="150" t="e">
        <f t="shared" si="215"/>
        <v>#REF!</v>
      </c>
      <c r="U195" s="150" t="e">
        <f t="shared" si="215"/>
        <v>#REF!</v>
      </c>
      <c r="V195" s="150" t="e">
        <f t="shared" si="215"/>
        <v>#REF!</v>
      </c>
      <c r="W195" s="150" t="e">
        <f t="shared" si="215"/>
        <v>#REF!</v>
      </c>
      <c r="X195" s="150" t="e">
        <f t="shared" si="215"/>
        <v>#REF!</v>
      </c>
      <c r="Y195" s="150" t="e">
        <f t="shared" si="215"/>
        <v>#REF!</v>
      </c>
      <c r="Z195" s="150" t="e">
        <f t="shared" si="215"/>
        <v>#REF!</v>
      </c>
      <c r="AA195" s="150" t="e">
        <f t="shared" si="215"/>
        <v>#REF!</v>
      </c>
      <c r="AB195" s="50"/>
    </row>
    <row r="196" s="28" customFormat="1" outlineLevel="3" spans="1:28">
      <c r="A196" s="52">
        <f>MAX($A$6:A195)+1</f>
        <v>173</v>
      </c>
      <c r="B196" s="51" t="s">
        <v>1924</v>
      </c>
      <c r="C196" s="51" t="e">
        <f>VLOOKUP($B196,#REF!,MATCH(C$2,#REF!,0),0)</f>
        <v>#REF!</v>
      </c>
      <c r="D196" s="83"/>
      <c r="E196" s="83"/>
      <c r="F196" s="136" t="e">
        <f>VLOOKUP($B196,#REF!,MATCH(F$2,#REF!,0),0)</f>
        <v>#REF!</v>
      </c>
      <c r="G196" s="137" t="e">
        <f>VLOOKUP($B196,#REF!,MATCH(G$2,#REF!,0),0)</f>
        <v>#REF!</v>
      </c>
      <c r="H196" s="48"/>
      <c r="I196" s="48"/>
      <c r="J196" s="48"/>
      <c r="K196" s="48"/>
      <c r="L196" s="48"/>
      <c r="M196" s="48">
        <v>1</v>
      </c>
      <c r="N196" s="48">
        <v>1</v>
      </c>
      <c r="O196" s="48">
        <v>1</v>
      </c>
      <c r="P196" s="48"/>
      <c r="Q196" s="48"/>
      <c r="R196" s="150" t="e">
        <f t="shared" ref="R196:AA196" si="216">$G196*H196</f>
        <v>#REF!</v>
      </c>
      <c r="S196" s="150" t="e">
        <f t="shared" si="216"/>
        <v>#REF!</v>
      </c>
      <c r="T196" s="150" t="e">
        <f t="shared" si="216"/>
        <v>#REF!</v>
      </c>
      <c r="U196" s="150" t="e">
        <f t="shared" si="216"/>
        <v>#REF!</v>
      </c>
      <c r="V196" s="150" t="e">
        <f t="shared" si="216"/>
        <v>#REF!</v>
      </c>
      <c r="W196" s="150" t="e">
        <f t="shared" si="216"/>
        <v>#REF!</v>
      </c>
      <c r="X196" s="150" t="e">
        <f t="shared" si="216"/>
        <v>#REF!</v>
      </c>
      <c r="Y196" s="150" t="e">
        <f t="shared" si="216"/>
        <v>#REF!</v>
      </c>
      <c r="Z196" s="150" t="e">
        <f t="shared" si="216"/>
        <v>#REF!</v>
      </c>
      <c r="AA196" s="150" t="e">
        <f t="shared" si="216"/>
        <v>#REF!</v>
      </c>
      <c r="AB196" s="50"/>
    </row>
    <row r="197" s="28" customFormat="1" ht="28.8" outlineLevel="3" spans="1:28">
      <c r="A197" s="52">
        <f>MAX($A$6:A196)+1</f>
        <v>174</v>
      </c>
      <c r="B197" s="51" t="s">
        <v>1938</v>
      </c>
      <c r="C197" s="51" t="e">
        <f>VLOOKUP($B197,#REF!,MATCH(C$2,#REF!,0),0)</f>
        <v>#REF!</v>
      </c>
      <c r="D197" s="83"/>
      <c r="E197" s="83"/>
      <c r="F197" s="136" t="e">
        <f>VLOOKUP($B197,#REF!,MATCH(F$2,#REF!,0),0)</f>
        <v>#REF!</v>
      </c>
      <c r="G197" s="137" t="e">
        <f>VLOOKUP($B197,#REF!,MATCH(G$2,#REF!,0),0)</f>
        <v>#REF!</v>
      </c>
      <c r="H197" s="48">
        <f>1127.31+154.7-600</f>
        <v>682.01</v>
      </c>
      <c r="I197" s="48">
        <f>1281.12+154.2-600</f>
        <v>835.32</v>
      </c>
      <c r="J197" s="48">
        <f>523.52+62.2</f>
        <v>585.72</v>
      </c>
      <c r="K197" s="48">
        <f>523.52+62.2</f>
        <v>585.72</v>
      </c>
      <c r="L197" s="48">
        <v>261.3</v>
      </c>
      <c r="M197" s="48"/>
      <c r="N197" s="48"/>
      <c r="O197" s="48"/>
      <c r="P197" s="48"/>
      <c r="Q197" s="48"/>
      <c r="R197" s="150" t="e">
        <f t="shared" ref="R197:AA197" si="217">$G197*H197</f>
        <v>#REF!</v>
      </c>
      <c r="S197" s="150" t="e">
        <f t="shared" si="217"/>
        <v>#REF!</v>
      </c>
      <c r="T197" s="150" t="e">
        <f t="shared" si="217"/>
        <v>#REF!</v>
      </c>
      <c r="U197" s="150" t="e">
        <f t="shared" si="217"/>
        <v>#REF!</v>
      </c>
      <c r="V197" s="150" t="e">
        <f t="shared" si="217"/>
        <v>#REF!</v>
      </c>
      <c r="W197" s="150" t="e">
        <f t="shared" si="217"/>
        <v>#REF!</v>
      </c>
      <c r="X197" s="150" t="e">
        <f t="shared" si="217"/>
        <v>#REF!</v>
      </c>
      <c r="Y197" s="150" t="e">
        <f t="shared" si="217"/>
        <v>#REF!</v>
      </c>
      <c r="Z197" s="150" t="e">
        <f t="shared" si="217"/>
        <v>#REF!</v>
      </c>
      <c r="AA197" s="150" t="e">
        <f t="shared" si="217"/>
        <v>#REF!</v>
      </c>
      <c r="AB197" s="50"/>
    </row>
    <row r="198" s="28" customFormat="1" ht="28.8" outlineLevel="3" spans="1:28">
      <c r="A198" s="52">
        <f>MAX($A$6:A197)+1</f>
        <v>175</v>
      </c>
      <c r="B198" s="51" t="s">
        <v>2008</v>
      </c>
      <c r="C198" s="51" t="e">
        <f>VLOOKUP($B198,#REF!,MATCH(C$2,#REF!,0),0)</f>
        <v>#REF!</v>
      </c>
      <c r="D198" s="83"/>
      <c r="E198" s="83"/>
      <c r="F198" s="136" t="e">
        <f>VLOOKUP($B198,#REF!,MATCH(F$2,#REF!,0),0)</f>
        <v>#REF!</v>
      </c>
      <c r="G198" s="137" t="e">
        <f>VLOOKUP($B198,#REF!,MATCH(G$2,#REF!,0),0)</f>
        <v>#REF!</v>
      </c>
      <c r="H198" s="48">
        <v>600</v>
      </c>
      <c r="I198" s="48">
        <v>600</v>
      </c>
      <c r="J198" s="48">
        <v>1</v>
      </c>
      <c r="K198" s="48">
        <v>1</v>
      </c>
      <c r="L198" s="48"/>
      <c r="M198" s="48"/>
      <c r="N198" s="48"/>
      <c r="O198" s="48"/>
      <c r="P198" s="48"/>
      <c r="Q198" s="48"/>
      <c r="R198" s="150" t="e">
        <f t="shared" ref="R198:AA198" si="218">$G198*H198</f>
        <v>#REF!</v>
      </c>
      <c r="S198" s="150" t="e">
        <f t="shared" si="218"/>
        <v>#REF!</v>
      </c>
      <c r="T198" s="150" t="e">
        <f t="shared" si="218"/>
        <v>#REF!</v>
      </c>
      <c r="U198" s="150" t="e">
        <f t="shared" si="218"/>
        <v>#REF!</v>
      </c>
      <c r="V198" s="150" t="e">
        <f t="shared" si="218"/>
        <v>#REF!</v>
      </c>
      <c r="W198" s="150" t="e">
        <f t="shared" si="218"/>
        <v>#REF!</v>
      </c>
      <c r="X198" s="150" t="e">
        <f t="shared" si="218"/>
        <v>#REF!</v>
      </c>
      <c r="Y198" s="150" t="e">
        <f t="shared" si="218"/>
        <v>#REF!</v>
      </c>
      <c r="Z198" s="150" t="e">
        <f t="shared" si="218"/>
        <v>#REF!</v>
      </c>
      <c r="AA198" s="150" t="e">
        <f t="shared" si="218"/>
        <v>#REF!</v>
      </c>
      <c r="AB198" s="50"/>
    </row>
    <row r="199" s="28" customFormat="1" ht="28.8" outlineLevel="3" spans="1:28">
      <c r="A199" s="52">
        <f>MAX($A$6:A198)+1</f>
        <v>176</v>
      </c>
      <c r="B199" s="51" t="s">
        <v>1940</v>
      </c>
      <c r="C199" s="51" t="e">
        <f>VLOOKUP($B199,#REF!,MATCH(C$2,#REF!,0),0)</f>
        <v>#REF!</v>
      </c>
      <c r="D199" s="83"/>
      <c r="E199" s="83"/>
      <c r="F199" s="136" t="e">
        <f>VLOOKUP($B199,#REF!,MATCH(F$2,#REF!,0),0)</f>
        <v>#REF!</v>
      </c>
      <c r="G199" s="137" t="e">
        <f>VLOOKUP($B199,#REF!,MATCH(G$2,#REF!,0),0)</f>
        <v>#REF!</v>
      </c>
      <c r="H199" s="48">
        <v>567.19</v>
      </c>
      <c r="I199" s="48">
        <v>569.86</v>
      </c>
      <c r="J199" s="48">
        <v>160.59</v>
      </c>
      <c r="K199" s="48">
        <v>160.59</v>
      </c>
      <c r="L199" s="48">
        <v>84.429</v>
      </c>
      <c r="M199" s="48"/>
      <c r="N199" s="48"/>
      <c r="O199" s="48"/>
      <c r="P199" s="48"/>
      <c r="Q199" s="48"/>
      <c r="R199" s="150" t="e">
        <f t="shared" ref="R199:AA199" si="219">$G199*H199</f>
        <v>#REF!</v>
      </c>
      <c r="S199" s="150" t="e">
        <f t="shared" si="219"/>
        <v>#REF!</v>
      </c>
      <c r="T199" s="150" t="e">
        <f t="shared" si="219"/>
        <v>#REF!</v>
      </c>
      <c r="U199" s="150" t="e">
        <f t="shared" si="219"/>
        <v>#REF!</v>
      </c>
      <c r="V199" s="150" t="e">
        <f t="shared" si="219"/>
        <v>#REF!</v>
      </c>
      <c r="W199" s="150" t="e">
        <f t="shared" si="219"/>
        <v>#REF!</v>
      </c>
      <c r="X199" s="150" t="e">
        <f t="shared" si="219"/>
        <v>#REF!</v>
      </c>
      <c r="Y199" s="150" t="e">
        <f t="shared" si="219"/>
        <v>#REF!</v>
      </c>
      <c r="Z199" s="150" t="e">
        <f t="shared" si="219"/>
        <v>#REF!</v>
      </c>
      <c r="AA199" s="150" t="e">
        <f t="shared" si="219"/>
        <v>#REF!</v>
      </c>
      <c r="AB199" s="50"/>
    </row>
    <row r="200" s="28" customFormat="1" ht="28.8" outlineLevel="3" spans="1:28">
      <c r="A200" s="52">
        <f>MAX($A$6:A199)+1</f>
        <v>177</v>
      </c>
      <c r="B200" s="51" t="s">
        <v>1941</v>
      </c>
      <c r="C200" s="51" t="e">
        <f>VLOOKUP($B200,#REF!,MATCH(C$2,#REF!,0),0)</f>
        <v>#REF!</v>
      </c>
      <c r="D200" s="83"/>
      <c r="E200" s="83"/>
      <c r="F200" s="136" t="e">
        <f>VLOOKUP($B200,#REF!,MATCH(F$2,#REF!,0),0)</f>
        <v>#REF!</v>
      </c>
      <c r="G200" s="137" t="e">
        <f>VLOOKUP($B200,#REF!,MATCH(G$2,#REF!,0),0)</f>
        <v>#REF!</v>
      </c>
      <c r="H200" s="48">
        <v>1</v>
      </c>
      <c r="I200" s="48">
        <v>1</v>
      </c>
      <c r="J200" s="48">
        <v>1</v>
      </c>
      <c r="K200" s="48">
        <v>1</v>
      </c>
      <c r="L200" s="48"/>
      <c r="M200" s="48"/>
      <c r="N200" s="48"/>
      <c r="O200" s="48"/>
      <c r="P200" s="48"/>
      <c r="Q200" s="48"/>
      <c r="R200" s="150" t="e">
        <f t="shared" ref="R200:AA200" si="220">$G200*H200</f>
        <v>#REF!</v>
      </c>
      <c r="S200" s="150" t="e">
        <f t="shared" si="220"/>
        <v>#REF!</v>
      </c>
      <c r="T200" s="150" t="e">
        <f t="shared" si="220"/>
        <v>#REF!</v>
      </c>
      <c r="U200" s="150" t="e">
        <f t="shared" si="220"/>
        <v>#REF!</v>
      </c>
      <c r="V200" s="150" t="e">
        <f t="shared" si="220"/>
        <v>#REF!</v>
      </c>
      <c r="W200" s="150" t="e">
        <f t="shared" si="220"/>
        <v>#REF!</v>
      </c>
      <c r="X200" s="150" t="e">
        <f t="shared" si="220"/>
        <v>#REF!</v>
      </c>
      <c r="Y200" s="150" t="e">
        <f t="shared" si="220"/>
        <v>#REF!</v>
      </c>
      <c r="Z200" s="150" t="e">
        <f t="shared" si="220"/>
        <v>#REF!</v>
      </c>
      <c r="AA200" s="150" t="e">
        <f t="shared" si="220"/>
        <v>#REF!</v>
      </c>
      <c r="AB200" s="50"/>
    </row>
    <row r="201" s="28" customFormat="1" ht="28.8" outlineLevel="3" spans="1:28">
      <c r="A201" s="52">
        <f>MAX($A$6:A200)+1</f>
        <v>178</v>
      </c>
      <c r="B201" s="51" t="s">
        <v>1942</v>
      </c>
      <c r="C201" s="51" t="e">
        <f>VLOOKUP($B201,#REF!,MATCH(C$2,#REF!,0),0)</f>
        <v>#REF!</v>
      </c>
      <c r="D201" s="83"/>
      <c r="E201" s="83"/>
      <c r="F201" s="136" t="e">
        <f>VLOOKUP($B201,#REF!,MATCH(F$2,#REF!,0),0)</f>
        <v>#REF!</v>
      </c>
      <c r="G201" s="137" t="e">
        <f>VLOOKUP($B201,#REF!,MATCH(G$2,#REF!,0),0)</f>
        <v>#REF!</v>
      </c>
      <c r="H201" s="48">
        <v>818.74</v>
      </c>
      <c r="I201" s="48">
        <v>816.79</v>
      </c>
      <c r="J201" s="48">
        <v>345.95</v>
      </c>
      <c r="K201" s="48">
        <v>345.95</v>
      </c>
      <c r="L201" s="48">
        <v>404.24</v>
      </c>
      <c r="M201" s="48"/>
      <c r="N201" s="48"/>
      <c r="O201" s="48"/>
      <c r="P201" s="48"/>
      <c r="Q201" s="48"/>
      <c r="R201" s="150" t="e">
        <f t="shared" ref="R201:AA201" si="221">$G201*H201</f>
        <v>#REF!</v>
      </c>
      <c r="S201" s="150" t="e">
        <f t="shared" si="221"/>
        <v>#REF!</v>
      </c>
      <c r="T201" s="150" t="e">
        <f t="shared" si="221"/>
        <v>#REF!</v>
      </c>
      <c r="U201" s="150" t="e">
        <f t="shared" si="221"/>
        <v>#REF!</v>
      </c>
      <c r="V201" s="150" t="e">
        <f t="shared" si="221"/>
        <v>#REF!</v>
      </c>
      <c r="W201" s="150" t="e">
        <f t="shared" si="221"/>
        <v>#REF!</v>
      </c>
      <c r="X201" s="150" t="e">
        <f t="shared" si="221"/>
        <v>#REF!</v>
      </c>
      <c r="Y201" s="150" t="e">
        <f t="shared" si="221"/>
        <v>#REF!</v>
      </c>
      <c r="Z201" s="150" t="e">
        <f t="shared" si="221"/>
        <v>#REF!</v>
      </c>
      <c r="AA201" s="150" t="e">
        <f t="shared" si="221"/>
        <v>#REF!</v>
      </c>
      <c r="AB201" s="50"/>
    </row>
    <row r="202" s="29" customFormat="1" outlineLevel="2" spans="1:28">
      <c r="A202" s="40"/>
      <c r="B202" s="41" t="s">
        <v>2009</v>
      </c>
      <c r="C202" s="41"/>
      <c r="D202" s="140"/>
      <c r="E202" s="140"/>
      <c r="F202" s="141"/>
      <c r="G202" s="142"/>
      <c r="H202" s="43"/>
      <c r="I202" s="43"/>
      <c r="J202" s="43"/>
      <c r="K202" s="43"/>
      <c r="L202" s="43"/>
      <c r="M202" s="43"/>
      <c r="N202" s="43"/>
      <c r="O202" s="43"/>
      <c r="P202" s="43"/>
      <c r="Q202" s="43"/>
      <c r="R202" s="149" t="e">
        <f t="shared" ref="R202:AA202" si="222">SUM(R203:R208)</f>
        <v>#REF!</v>
      </c>
      <c r="S202" s="149" t="e">
        <f t="shared" si="222"/>
        <v>#REF!</v>
      </c>
      <c r="T202" s="149" t="e">
        <f t="shared" si="222"/>
        <v>#REF!</v>
      </c>
      <c r="U202" s="149" t="e">
        <f t="shared" si="222"/>
        <v>#REF!</v>
      </c>
      <c r="V202" s="149" t="e">
        <f t="shared" si="222"/>
        <v>#REF!</v>
      </c>
      <c r="W202" s="149" t="e">
        <f t="shared" si="222"/>
        <v>#REF!</v>
      </c>
      <c r="X202" s="149" t="e">
        <f t="shared" si="222"/>
        <v>#REF!</v>
      </c>
      <c r="Y202" s="149" t="e">
        <f t="shared" si="222"/>
        <v>#REF!</v>
      </c>
      <c r="Z202" s="149" t="e">
        <f t="shared" si="222"/>
        <v>#REF!</v>
      </c>
      <c r="AA202" s="149" t="e">
        <f t="shared" si="222"/>
        <v>#REF!</v>
      </c>
      <c r="AB202" s="40"/>
    </row>
    <row r="203" s="28" customFormat="1" outlineLevel="3" spans="1:28">
      <c r="A203" s="52">
        <f>MAX($A$6:A202)+1</f>
        <v>179</v>
      </c>
      <c r="B203" s="51" t="s">
        <v>2010</v>
      </c>
      <c r="C203" s="51" t="e">
        <f>VLOOKUP($B203,#REF!,MATCH(C$2,#REF!,0),0)</f>
        <v>#REF!</v>
      </c>
      <c r="D203" s="83"/>
      <c r="E203" s="83"/>
      <c r="F203" s="136" t="e">
        <f>VLOOKUP($B203,#REF!,MATCH(F$2,#REF!,0),0)</f>
        <v>#REF!</v>
      </c>
      <c r="G203" s="137" t="e">
        <f>VLOOKUP($B203,#REF!,MATCH(G$2,#REF!,0),0)</f>
        <v>#REF!</v>
      </c>
      <c r="H203" s="48">
        <v>424</v>
      </c>
      <c r="I203" s="48">
        <v>424</v>
      </c>
      <c r="J203" s="48">
        <v>176</v>
      </c>
      <c r="K203" s="48">
        <v>176</v>
      </c>
      <c r="L203" s="48">
        <v>135</v>
      </c>
      <c r="M203" s="48"/>
      <c r="N203" s="48"/>
      <c r="O203" s="48"/>
      <c r="P203" s="48"/>
      <c r="Q203" s="48"/>
      <c r="R203" s="150" t="e">
        <f t="shared" ref="R203:AA203" si="223">$G203*H203</f>
        <v>#REF!</v>
      </c>
      <c r="S203" s="150" t="e">
        <f t="shared" si="223"/>
        <v>#REF!</v>
      </c>
      <c r="T203" s="150" t="e">
        <f t="shared" si="223"/>
        <v>#REF!</v>
      </c>
      <c r="U203" s="150" t="e">
        <f t="shared" si="223"/>
        <v>#REF!</v>
      </c>
      <c r="V203" s="150" t="e">
        <f t="shared" si="223"/>
        <v>#REF!</v>
      </c>
      <c r="W203" s="150" t="e">
        <f t="shared" si="223"/>
        <v>#REF!</v>
      </c>
      <c r="X203" s="150" t="e">
        <f t="shared" si="223"/>
        <v>#REF!</v>
      </c>
      <c r="Y203" s="150" t="e">
        <f t="shared" si="223"/>
        <v>#REF!</v>
      </c>
      <c r="Z203" s="150" t="e">
        <f t="shared" si="223"/>
        <v>#REF!</v>
      </c>
      <c r="AA203" s="150" t="e">
        <f t="shared" si="223"/>
        <v>#REF!</v>
      </c>
      <c r="AB203" s="50"/>
    </row>
    <row r="204" s="28" customFormat="1" outlineLevel="3" spans="1:28">
      <c r="A204" s="52">
        <f>MAX($A$6:A203)+1</f>
        <v>180</v>
      </c>
      <c r="B204" s="51" t="s">
        <v>2011</v>
      </c>
      <c r="C204" s="51" t="e">
        <f>VLOOKUP($B204,#REF!,MATCH(C$2,#REF!,0),0)</f>
        <v>#REF!</v>
      </c>
      <c r="D204" s="83"/>
      <c r="E204" s="83"/>
      <c r="F204" s="136" t="e">
        <f>VLOOKUP($B204,#REF!,MATCH(F$2,#REF!,0),0)</f>
        <v>#REF!</v>
      </c>
      <c r="G204" s="137" t="e">
        <f>VLOOKUP($B204,#REF!,MATCH(G$2,#REF!,0),0)</f>
        <v>#REF!</v>
      </c>
      <c r="H204" s="48">
        <v>108</v>
      </c>
      <c r="I204" s="48">
        <v>108</v>
      </c>
      <c r="J204" s="48">
        <v>44</v>
      </c>
      <c r="K204" s="48">
        <v>44</v>
      </c>
      <c r="L204" s="48">
        <v>19</v>
      </c>
      <c r="M204" s="48"/>
      <c r="N204" s="48"/>
      <c r="O204" s="48"/>
      <c r="P204" s="48"/>
      <c r="Q204" s="48"/>
      <c r="R204" s="150" t="e">
        <f t="shared" ref="R204:AA204" si="224">$G204*H204</f>
        <v>#REF!</v>
      </c>
      <c r="S204" s="150" t="e">
        <f t="shared" si="224"/>
        <v>#REF!</v>
      </c>
      <c r="T204" s="150" t="e">
        <f t="shared" si="224"/>
        <v>#REF!</v>
      </c>
      <c r="U204" s="150" t="e">
        <f t="shared" si="224"/>
        <v>#REF!</v>
      </c>
      <c r="V204" s="150" t="e">
        <f t="shared" si="224"/>
        <v>#REF!</v>
      </c>
      <c r="W204" s="150" t="e">
        <f t="shared" si="224"/>
        <v>#REF!</v>
      </c>
      <c r="X204" s="150" t="e">
        <f t="shared" si="224"/>
        <v>#REF!</v>
      </c>
      <c r="Y204" s="150" t="e">
        <f t="shared" si="224"/>
        <v>#REF!</v>
      </c>
      <c r="Z204" s="150" t="e">
        <f t="shared" si="224"/>
        <v>#REF!</v>
      </c>
      <c r="AA204" s="150" t="e">
        <f t="shared" si="224"/>
        <v>#REF!</v>
      </c>
      <c r="AB204" s="50"/>
    </row>
    <row r="205" s="28" customFormat="1" outlineLevel="3" spans="1:28">
      <c r="A205" s="52">
        <f>MAX($A$6:A204)+1</f>
        <v>181</v>
      </c>
      <c r="B205" s="51" t="s">
        <v>2012</v>
      </c>
      <c r="C205" s="51" t="e">
        <f>VLOOKUP($B205,#REF!,MATCH(C$2,#REF!,0),0)</f>
        <v>#REF!</v>
      </c>
      <c r="D205" s="83"/>
      <c r="E205" s="83"/>
      <c r="F205" s="136" t="e">
        <f>VLOOKUP($B205,#REF!,MATCH(F$2,#REF!,0),0)</f>
        <v>#REF!</v>
      </c>
      <c r="G205" s="137" t="e">
        <f>VLOOKUP($B205,#REF!,MATCH(G$2,#REF!,0),0)</f>
        <v>#REF!</v>
      </c>
      <c r="H205" s="48"/>
      <c r="I205" s="48"/>
      <c r="J205" s="48"/>
      <c r="K205" s="48"/>
      <c r="L205" s="48"/>
      <c r="M205" s="48"/>
      <c r="N205" s="48"/>
      <c r="O205" s="48"/>
      <c r="P205" s="48"/>
      <c r="Q205" s="48"/>
      <c r="R205" s="150" t="e">
        <f t="shared" ref="R205:AA205" si="225">$G205*H205</f>
        <v>#REF!</v>
      </c>
      <c r="S205" s="150" t="e">
        <f t="shared" si="225"/>
        <v>#REF!</v>
      </c>
      <c r="T205" s="150" t="e">
        <f t="shared" si="225"/>
        <v>#REF!</v>
      </c>
      <c r="U205" s="150" t="e">
        <f t="shared" si="225"/>
        <v>#REF!</v>
      </c>
      <c r="V205" s="150" t="e">
        <f t="shared" si="225"/>
        <v>#REF!</v>
      </c>
      <c r="W205" s="150" t="e">
        <f t="shared" si="225"/>
        <v>#REF!</v>
      </c>
      <c r="X205" s="150" t="e">
        <f t="shared" si="225"/>
        <v>#REF!</v>
      </c>
      <c r="Y205" s="150" t="e">
        <f t="shared" si="225"/>
        <v>#REF!</v>
      </c>
      <c r="Z205" s="150" t="e">
        <f t="shared" si="225"/>
        <v>#REF!</v>
      </c>
      <c r="AA205" s="150" t="e">
        <f t="shared" si="225"/>
        <v>#REF!</v>
      </c>
      <c r="AB205" s="50"/>
    </row>
    <row r="206" s="28" customFormat="1" outlineLevel="3" spans="1:28">
      <c r="A206" s="52">
        <f>MAX($A$6:A204)+1</f>
        <v>181</v>
      </c>
      <c r="B206" s="51" t="s">
        <v>2013</v>
      </c>
      <c r="C206" s="51" t="e">
        <f>VLOOKUP($B206,#REF!,MATCH(C$2,#REF!,0),0)</f>
        <v>#REF!</v>
      </c>
      <c r="D206" s="83"/>
      <c r="E206" s="83"/>
      <c r="F206" s="136" t="e">
        <f>VLOOKUP($B206,#REF!,MATCH(F$2,#REF!,0),0)</f>
        <v>#REF!</v>
      </c>
      <c r="G206" s="137" t="e">
        <f>VLOOKUP($B206,#REF!,MATCH(G$2,#REF!,0),0)</f>
        <v>#REF!</v>
      </c>
      <c r="H206" s="48">
        <v>3</v>
      </c>
      <c r="I206" s="48">
        <v>9</v>
      </c>
      <c r="J206" s="48">
        <v>1</v>
      </c>
      <c r="K206" s="48">
        <v>1</v>
      </c>
      <c r="L206" s="48"/>
      <c r="M206" s="48"/>
      <c r="N206" s="48"/>
      <c r="O206" s="48"/>
      <c r="P206" s="48"/>
      <c r="Q206" s="48"/>
      <c r="R206" s="150" t="e">
        <f t="shared" ref="R206:AA206" si="226">$G206*H206</f>
        <v>#REF!</v>
      </c>
      <c r="S206" s="150" t="e">
        <f t="shared" si="226"/>
        <v>#REF!</v>
      </c>
      <c r="T206" s="150" t="e">
        <f t="shared" si="226"/>
        <v>#REF!</v>
      </c>
      <c r="U206" s="150" t="e">
        <f t="shared" si="226"/>
        <v>#REF!</v>
      </c>
      <c r="V206" s="150" t="e">
        <f t="shared" si="226"/>
        <v>#REF!</v>
      </c>
      <c r="W206" s="150" t="e">
        <f t="shared" si="226"/>
        <v>#REF!</v>
      </c>
      <c r="X206" s="150" t="e">
        <f t="shared" si="226"/>
        <v>#REF!</v>
      </c>
      <c r="Y206" s="150" t="e">
        <f t="shared" si="226"/>
        <v>#REF!</v>
      </c>
      <c r="Z206" s="150" t="e">
        <f t="shared" si="226"/>
        <v>#REF!</v>
      </c>
      <c r="AA206" s="150" t="e">
        <f t="shared" si="226"/>
        <v>#REF!</v>
      </c>
      <c r="AB206" s="50"/>
    </row>
    <row r="207" s="28" customFormat="1" outlineLevel="3" spans="1:28">
      <c r="A207" s="52">
        <f>MAX($A$6:A206)+1</f>
        <v>182</v>
      </c>
      <c r="B207" s="51" t="s">
        <v>2014</v>
      </c>
      <c r="C207" s="51" t="e">
        <f>VLOOKUP($B207,#REF!,MATCH(C$2,#REF!,0),0)</f>
        <v>#REF!</v>
      </c>
      <c r="D207" s="83"/>
      <c r="E207" s="83"/>
      <c r="F207" s="136" t="e">
        <f>VLOOKUP($B207,#REF!,MATCH(F$2,#REF!,0),0)</f>
        <v>#REF!</v>
      </c>
      <c r="G207" s="137" t="e">
        <f>VLOOKUP($B207,#REF!,MATCH(G$2,#REF!,0),0)</f>
        <v>#REF!</v>
      </c>
      <c r="H207" s="48">
        <v>6</v>
      </c>
      <c r="I207" s="48">
        <v>6</v>
      </c>
      <c r="J207" s="48">
        <v>6</v>
      </c>
      <c r="K207" s="48">
        <v>6</v>
      </c>
      <c r="L207" s="48">
        <v>2</v>
      </c>
      <c r="M207" s="48"/>
      <c r="N207" s="48"/>
      <c r="O207" s="48"/>
      <c r="P207" s="48"/>
      <c r="Q207" s="48"/>
      <c r="R207" s="150" t="e">
        <f t="shared" ref="R207:AA207" si="227">$G207*H207</f>
        <v>#REF!</v>
      </c>
      <c r="S207" s="150" t="e">
        <f t="shared" si="227"/>
        <v>#REF!</v>
      </c>
      <c r="T207" s="150" t="e">
        <f t="shared" si="227"/>
        <v>#REF!</v>
      </c>
      <c r="U207" s="150" t="e">
        <f t="shared" si="227"/>
        <v>#REF!</v>
      </c>
      <c r="V207" s="150" t="e">
        <f t="shared" si="227"/>
        <v>#REF!</v>
      </c>
      <c r="W207" s="150" t="e">
        <f t="shared" si="227"/>
        <v>#REF!</v>
      </c>
      <c r="X207" s="150" t="e">
        <f t="shared" si="227"/>
        <v>#REF!</v>
      </c>
      <c r="Y207" s="150" t="e">
        <f t="shared" si="227"/>
        <v>#REF!</v>
      </c>
      <c r="Z207" s="150" t="e">
        <f t="shared" si="227"/>
        <v>#REF!</v>
      </c>
      <c r="AA207" s="150" t="e">
        <f t="shared" si="227"/>
        <v>#REF!</v>
      </c>
      <c r="AB207" s="50"/>
    </row>
    <row r="208" s="28" customFormat="1" outlineLevel="3" spans="1:28">
      <c r="A208" s="52">
        <f>MAX($A$6:A207)+1</f>
        <v>183</v>
      </c>
      <c r="B208" s="51" t="s">
        <v>2015</v>
      </c>
      <c r="C208" s="51" t="e">
        <f>VLOOKUP($B208,#REF!,MATCH(C$2,#REF!,0),0)</f>
        <v>#REF!</v>
      </c>
      <c r="D208" s="83"/>
      <c r="E208" s="83"/>
      <c r="F208" s="136" t="e">
        <f>VLOOKUP($B208,#REF!,MATCH(F$2,#REF!,0),0)</f>
        <v>#REF!</v>
      </c>
      <c r="G208" s="137" t="e">
        <f>VLOOKUP($B208,#REF!,MATCH(G$2,#REF!,0),0)</f>
        <v>#REF!</v>
      </c>
      <c r="H208" s="48">
        <v>108</v>
      </c>
      <c r="I208" s="48">
        <v>108</v>
      </c>
      <c r="J208" s="48">
        <v>44</v>
      </c>
      <c r="K208" s="48">
        <v>44</v>
      </c>
      <c r="L208" s="48">
        <v>19</v>
      </c>
      <c r="M208" s="48"/>
      <c r="N208" s="48"/>
      <c r="O208" s="48"/>
      <c r="P208" s="48"/>
      <c r="Q208" s="48"/>
      <c r="R208" s="150" t="e">
        <f t="shared" ref="R208:AA208" si="228">$G208*H208</f>
        <v>#REF!</v>
      </c>
      <c r="S208" s="150" t="e">
        <f t="shared" si="228"/>
        <v>#REF!</v>
      </c>
      <c r="T208" s="150" t="e">
        <f t="shared" si="228"/>
        <v>#REF!</v>
      </c>
      <c r="U208" s="150" t="e">
        <f t="shared" si="228"/>
        <v>#REF!</v>
      </c>
      <c r="V208" s="150" t="e">
        <f t="shared" si="228"/>
        <v>#REF!</v>
      </c>
      <c r="W208" s="150" t="e">
        <f t="shared" si="228"/>
        <v>#REF!</v>
      </c>
      <c r="X208" s="150" t="e">
        <f t="shared" si="228"/>
        <v>#REF!</v>
      </c>
      <c r="Y208" s="150" t="e">
        <f t="shared" si="228"/>
        <v>#REF!</v>
      </c>
      <c r="Z208" s="150" t="e">
        <f t="shared" si="228"/>
        <v>#REF!</v>
      </c>
      <c r="AA208" s="150" t="e">
        <f t="shared" si="228"/>
        <v>#REF!</v>
      </c>
      <c r="AB208" s="50"/>
    </row>
    <row r="209" s="122" customFormat="1" outlineLevel="1" spans="1:28">
      <c r="A209" s="130"/>
      <c r="B209" s="131" t="s">
        <v>2016</v>
      </c>
      <c r="C209" s="131"/>
      <c r="D209" s="153"/>
      <c r="E209" s="153"/>
      <c r="F209" s="154"/>
      <c r="G209" s="155"/>
      <c r="H209" s="134"/>
      <c r="I209" s="134"/>
      <c r="J209" s="134"/>
      <c r="K209" s="134"/>
      <c r="L209" s="134"/>
      <c r="M209" s="134"/>
      <c r="N209" s="134"/>
      <c r="O209" s="134"/>
      <c r="P209" s="134"/>
      <c r="Q209" s="134"/>
      <c r="R209" s="148" t="e">
        <f t="shared" ref="R209:AA209" si="229">SUM(R210,R243,R264)</f>
        <v>#REF!</v>
      </c>
      <c r="S209" s="148" t="e">
        <f t="shared" si="229"/>
        <v>#REF!</v>
      </c>
      <c r="T209" s="148" t="e">
        <f t="shared" si="229"/>
        <v>#REF!</v>
      </c>
      <c r="U209" s="148" t="e">
        <f t="shared" si="229"/>
        <v>#REF!</v>
      </c>
      <c r="V209" s="148" t="e">
        <f t="shared" si="229"/>
        <v>#REF!</v>
      </c>
      <c r="W209" s="148" t="e">
        <f t="shared" si="229"/>
        <v>#REF!</v>
      </c>
      <c r="X209" s="148" t="e">
        <f t="shared" si="229"/>
        <v>#REF!</v>
      </c>
      <c r="Y209" s="148" t="e">
        <f t="shared" si="229"/>
        <v>#REF!</v>
      </c>
      <c r="Z209" s="148" t="e">
        <f t="shared" si="229"/>
        <v>#REF!</v>
      </c>
      <c r="AA209" s="148" t="e">
        <f t="shared" si="229"/>
        <v>#REF!</v>
      </c>
      <c r="AB209" s="130"/>
    </row>
    <row r="210" s="29" customFormat="1" outlineLevel="2" spans="1:28">
      <c r="A210" s="40"/>
      <c r="B210" s="41" t="s">
        <v>2017</v>
      </c>
      <c r="C210" s="41"/>
      <c r="D210" s="140"/>
      <c r="E210" s="140"/>
      <c r="F210" s="141"/>
      <c r="G210" s="142"/>
      <c r="H210" s="43"/>
      <c r="I210" s="43"/>
      <c r="J210" s="43"/>
      <c r="K210" s="43"/>
      <c r="L210" s="43"/>
      <c r="M210" s="43"/>
      <c r="N210" s="43"/>
      <c r="O210" s="43"/>
      <c r="P210" s="43"/>
      <c r="Q210" s="43"/>
      <c r="R210" s="149" t="e">
        <f t="shared" ref="R210:AA210" si="230">SUM(R211:R242)</f>
        <v>#REF!</v>
      </c>
      <c r="S210" s="149" t="e">
        <f t="shared" si="230"/>
        <v>#REF!</v>
      </c>
      <c r="T210" s="149" t="e">
        <f t="shared" si="230"/>
        <v>#REF!</v>
      </c>
      <c r="U210" s="149" t="e">
        <f t="shared" si="230"/>
        <v>#REF!</v>
      </c>
      <c r="V210" s="149" t="e">
        <f t="shared" si="230"/>
        <v>#REF!</v>
      </c>
      <c r="W210" s="149" t="e">
        <f t="shared" si="230"/>
        <v>#REF!</v>
      </c>
      <c r="X210" s="149" t="e">
        <f t="shared" si="230"/>
        <v>#REF!</v>
      </c>
      <c r="Y210" s="149" t="e">
        <f t="shared" si="230"/>
        <v>#REF!</v>
      </c>
      <c r="Z210" s="149" t="e">
        <f t="shared" si="230"/>
        <v>#REF!</v>
      </c>
      <c r="AA210" s="149" t="e">
        <f t="shared" si="230"/>
        <v>#REF!</v>
      </c>
      <c r="AB210" s="40"/>
    </row>
    <row r="211" s="28" customFormat="1" ht="28.8" outlineLevel="3" spans="1:28">
      <c r="A211" s="52">
        <f>MAX($A$6:A210)+1</f>
        <v>184</v>
      </c>
      <c r="B211" s="51" t="s">
        <v>2018</v>
      </c>
      <c r="C211" s="51" t="e">
        <f>VLOOKUP($B211,#REF!,MATCH(C$2,#REF!,0),0)</f>
        <v>#REF!</v>
      </c>
      <c r="D211" s="83"/>
      <c r="E211" s="83"/>
      <c r="F211" s="136" t="e">
        <f>VLOOKUP($B211,#REF!,MATCH(F$2,#REF!,0),0)</f>
        <v>#REF!</v>
      </c>
      <c r="G211" s="137" t="e">
        <f>VLOOKUP($B211,#REF!,MATCH(G$2,#REF!,0),0)</f>
        <v>#REF!</v>
      </c>
      <c r="H211" s="48">
        <v>48</v>
      </c>
      <c r="I211" s="48">
        <v>48</v>
      </c>
      <c r="J211" s="48">
        <v>16</v>
      </c>
      <c r="K211" s="48">
        <v>16</v>
      </c>
      <c r="L211" s="48"/>
      <c r="M211" s="48"/>
      <c r="N211" s="48"/>
      <c r="O211" s="48"/>
      <c r="P211" s="48"/>
      <c r="Q211" s="48"/>
      <c r="R211" s="150" t="e">
        <f t="shared" ref="R211:AA211" si="231">$G211*H211</f>
        <v>#REF!</v>
      </c>
      <c r="S211" s="150" t="e">
        <f t="shared" si="231"/>
        <v>#REF!</v>
      </c>
      <c r="T211" s="150" t="e">
        <f t="shared" si="231"/>
        <v>#REF!</v>
      </c>
      <c r="U211" s="150" t="e">
        <f t="shared" si="231"/>
        <v>#REF!</v>
      </c>
      <c r="V211" s="150" t="e">
        <f t="shared" si="231"/>
        <v>#REF!</v>
      </c>
      <c r="W211" s="150" t="e">
        <f t="shared" si="231"/>
        <v>#REF!</v>
      </c>
      <c r="X211" s="150" t="e">
        <f t="shared" si="231"/>
        <v>#REF!</v>
      </c>
      <c r="Y211" s="150" t="e">
        <f t="shared" si="231"/>
        <v>#REF!</v>
      </c>
      <c r="Z211" s="150" t="e">
        <f t="shared" si="231"/>
        <v>#REF!</v>
      </c>
      <c r="AA211" s="150" t="e">
        <f t="shared" si="231"/>
        <v>#REF!</v>
      </c>
      <c r="AB211" s="50"/>
    </row>
    <row r="212" s="28" customFormat="1" ht="28.8" outlineLevel="3" spans="1:28">
      <c r="A212" s="52">
        <f>MAX($A$6:A211)+1</f>
        <v>185</v>
      </c>
      <c r="B212" s="51" t="s">
        <v>2019</v>
      </c>
      <c r="C212" s="51" t="e">
        <f>VLOOKUP($B212,#REF!,MATCH(C$2,#REF!,0),0)</f>
        <v>#REF!</v>
      </c>
      <c r="D212" s="83"/>
      <c r="E212" s="83"/>
      <c r="F212" s="136" t="e">
        <f>VLOOKUP($B212,#REF!,MATCH(F$2,#REF!,0),0)</f>
        <v>#REF!</v>
      </c>
      <c r="G212" s="137" t="e">
        <f>VLOOKUP($B212,#REF!,MATCH(G$2,#REF!,0),0)</f>
        <v>#REF!</v>
      </c>
      <c r="H212" s="48"/>
      <c r="I212" s="48"/>
      <c r="J212" s="48"/>
      <c r="K212" s="48"/>
      <c r="L212" s="48">
        <v>5</v>
      </c>
      <c r="M212" s="48">
        <v>1</v>
      </c>
      <c r="N212" s="48"/>
      <c r="O212" s="48">
        <v>1</v>
      </c>
      <c r="P212" s="48"/>
      <c r="Q212" s="48"/>
      <c r="R212" s="150" t="e">
        <f t="shared" ref="R212:AA212" si="232">$G212*H212</f>
        <v>#REF!</v>
      </c>
      <c r="S212" s="150" t="e">
        <f t="shared" si="232"/>
        <v>#REF!</v>
      </c>
      <c r="T212" s="150" t="e">
        <f t="shared" si="232"/>
        <v>#REF!</v>
      </c>
      <c r="U212" s="150" t="e">
        <f t="shared" si="232"/>
        <v>#REF!</v>
      </c>
      <c r="V212" s="150" t="e">
        <f t="shared" si="232"/>
        <v>#REF!</v>
      </c>
      <c r="W212" s="150" t="e">
        <f t="shared" si="232"/>
        <v>#REF!</v>
      </c>
      <c r="X212" s="150" t="e">
        <f t="shared" si="232"/>
        <v>#REF!</v>
      </c>
      <c r="Y212" s="150" t="e">
        <f t="shared" si="232"/>
        <v>#REF!</v>
      </c>
      <c r="Z212" s="150" t="e">
        <f t="shared" si="232"/>
        <v>#REF!</v>
      </c>
      <c r="AA212" s="150" t="e">
        <f t="shared" si="232"/>
        <v>#REF!</v>
      </c>
      <c r="AB212" s="50"/>
    </row>
    <row r="213" s="28" customFormat="1" ht="28.8" outlineLevel="3" spans="1:28">
      <c r="A213" s="52">
        <f>MAX($A$6:A212)+1</f>
        <v>186</v>
      </c>
      <c r="B213" s="51" t="s">
        <v>2020</v>
      </c>
      <c r="C213" s="51" t="e">
        <f>VLOOKUP($B213,#REF!,MATCH(C$2,#REF!,0),0)</f>
        <v>#REF!</v>
      </c>
      <c r="D213" s="83"/>
      <c r="E213" s="83"/>
      <c r="F213" s="136" t="e">
        <f>VLOOKUP($B213,#REF!,MATCH(F$2,#REF!,0),0)</f>
        <v>#REF!</v>
      </c>
      <c r="G213" s="137" t="e">
        <f>VLOOKUP($B213,#REF!,MATCH(G$2,#REF!,0),0)</f>
        <v>#REF!</v>
      </c>
      <c r="H213" s="48">
        <v>1</v>
      </c>
      <c r="I213" s="48">
        <v>1</v>
      </c>
      <c r="J213" s="48">
        <v>1</v>
      </c>
      <c r="K213" s="48">
        <v>1</v>
      </c>
      <c r="L213" s="48">
        <v>7</v>
      </c>
      <c r="M213" s="48"/>
      <c r="N213" s="48"/>
      <c r="O213" s="48"/>
      <c r="P213" s="48"/>
      <c r="Q213" s="48"/>
      <c r="R213" s="150" t="e">
        <f t="shared" ref="R213:AA213" si="233">$G213*H213</f>
        <v>#REF!</v>
      </c>
      <c r="S213" s="150" t="e">
        <f t="shared" si="233"/>
        <v>#REF!</v>
      </c>
      <c r="T213" s="150" t="e">
        <f t="shared" si="233"/>
        <v>#REF!</v>
      </c>
      <c r="U213" s="150" t="e">
        <f t="shared" si="233"/>
        <v>#REF!</v>
      </c>
      <c r="V213" s="150" t="e">
        <f t="shared" si="233"/>
        <v>#REF!</v>
      </c>
      <c r="W213" s="150" t="e">
        <f t="shared" si="233"/>
        <v>#REF!</v>
      </c>
      <c r="X213" s="150" t="e">
        <f t="shared" si="233"/>
        <v>#REF!</v>
      </c>
      <c r="Y213" s="150" t="e">
        <f t="shared" si="233"/>
        <v>#REF!</v>
      </c>
      <c r="Z213" s="150" t="e">
        <f t="shared" si="233"/>
        <v>#REF!</v>
      </c>
      <c r="AA213" s="150" t="e">
        <f t="shared" si="233"/>
        <v>#REF!</v>
      </c>
      <c r="AB213" s="50"/>
    </row>
    <row r="214" s="28" customFormat="1" ht="28.8" outlineLevel="3" spans="1:28">
      <c r="A214" s="52">
        <f>MAX($A$6:A213)+1</f>
        <v>187</v>
      </c>
      <c r="B214" s="51" t="s">
        <v>1855</v>
      </c>
      <c r="C214" s="51" t="e">
        <f>VLOOKUP($B214,#REF!,MATCH(C$2,#REF!,0),0)</f>
        <v>#REF!</v>
      </c>
      <c r="D214" s="83"/>
      <c r="E214" s="83"/>
      <c r="F214" s="136" t="e">
        <f>VLOOKUP($B214,#REF!,MATCH(F$2,#REF!,0),0)</f>
        <v>#REF!</v>
      </c>
      <c r="G214" s="137" t="e">
        <f>VLOOKUP($B214,#REF!,MATCH(G$2,#REF!,0),0)</f>
        <v>#REF!</v>
      </c>
      <c r="H214" s="48">
        <v>9</v>
      </c>
      <c r="I214" s="48">
        <v>9</v>
      </c>
      <c r="J214" s="48">
        <v>4</v>
      </c>
      <c r="K214" s="48">
        <v>4</v>
      </c>
      <c r="L214" s="48">
        <v>1</v>
      </c>
      <c r="M214" s="48">
        <v>1</v>
      </c>
      <c r="N214" s="48">
        <v>1</v>
      </c>
      <c r="O214" s="48">
        <v>1</v>
      </c>
      <c r="P214" s="48"/>
      <c r="Q214" s="48"/>
      <c r="R214" s="150" t="e">
        <f t="shared" ref="R214:AA214" si="234">$G214*H214</f>
        <v>#REF!</v>
      </c>
      <c r="S214" s="150" t="e">
        <f t="shared" si="234"/>
        <v>#REF!</v>
      </c>
      <c r="T214" s="150" t="e">
        <f t="shared" si="234"/>
        <v>#REF!</v>
      </c>
      <c r="U214" s="150" t="e">
        <f t="shared" si="234"/>
        <v>#REF!</v>
      </c>
      <c r="V214" s="150" t="e">
        <f t="shared" si="234"/>
        <v>#REF!</v>
      </c>
      <c r="W214" s="150" t="e">
        <f t="shared" si="234"/>
        <v>#REF!</v>
      </c>
      <c r="X214" s="150" t="e">
        <f t="shared" si="234"/>
        <v>#REF!</v>
      </c>
      <c r="Y214" s="150" t="e">
        <f t="shared" si="234"/>
        <v>#REF!</v>
      </c>
      <c r="Z214" s="150" t="e">
        <f t="shared" si="234"/>
        <v>#REF!</v>
      </c>
      <c r="AA214" s="150" t="e">
        <f t="shared" si="234"/>
        <v>#REF!</v>
      </c>
      <c r="AB214" s="50"/>
    </row>
    <row r="215" s="28" customFormat="1" outlineLevel="3" spans="1:28">
      <c r="A215" s="52">
        <f>MAX($A$6:A214)+1</f>
        <v>188</v>
      </c>
      <c r="B215" s="51" t="s">
        <v>1856</v>
      </c>
      <c r="C215" s="51" t="e">
        <f>VLOOKUP($B215,#REF!,MATCH(C$2,#REF!,0),0)</f>
        <v>#REF!</v>
      </c>
      <c r="D215" s="83"/>
      <c r="E215" s="83"/>
      <c r="F215" s="136" t="e">
        <f>VLOOKUP($B215,#REF!,MATCH(F$2,#REF!,0),0)</f>
        <v>#REF!</v>
      </c>
      <c r="G215" s="137" t="e">
        <f>VLOOKUP($B215,#REF!,MATCH(G$2,#REF!,0),0)</f>
        <v>#REF!</v>
      </c>
      <c r="H215" s="48">
        <v>9</v>
      </c>
      <c r="I215" s="48">
        <v>9</v>
      </c>
      <c r="J215" s="48">
        <v>4</v>
      </c>
      <c r="K215" s="48">
        <v>4</v>
      </c>
      <c r="L215" s="48">
        <v>1</v>
      </c>
      <c r="M215" s="48">
        <v>1</v>
      </c>
      <c r="N215" s="48">
        <v>1</v>
      </c>
      <c r="O215" s="48">
        <v>1</v>
      </c>
      <c r="P215" s="48"/>
      <c r="Q215" s="48"/>
      <c r="R215" s="150" t="e">
        <f t="shared" ref="R215:AA215" si="235">$G215*H215</f>
        <v>#REF!</v>
      </c>
      <c r="S215" s="150" t="e">
        <f t="shared" si="235"/>
        <v>#REF!</v>
      </c>
      <c r="T215" s="150" t="e">
        <f t="shared" si="235"/>
        <v>#REF!</v>
      </c>
      <c r="U215" s="150" t="e">
        <f t="shared" si="235"/>
        <v>#REF!</v>
      </c>
      <c r="V215" s="150" t="e">
        <f t="shared" si="235"/>
        <v>#REF!</v>
      </c>
      <c r="W215" s="150" t="e">
        <f t="shared" si="235"/>
        <v>#REF!</v>
      </c>
      <c r="X215" s="150" t="e">
        <f t="shared" si="235"/>
        <v>#REF!</v>
      </c>
      <c r="Y215" s="150" t="e">
        <f t="shared" si="235"/>
        <v>#REF!</v>
      </c>
      <c r="Z215" s="150" t="e">
        <f t="shared" si="235"/>
        <v>#REF!</v>
      </c>
      <c r="AA215" s="150" t="e">
        <f t="shared" si="235"/>
        <v>#REF!</v>
      </c>
      <c r="AB215" s="50"/>
    </row>
    <row r="216" s="28" customFormat="1" outlineLevel="3" spans="1:28">
      <c r="A216" s="52">
        <f>MAX($A$6:A215)+1</f>
        <v>189</v>
      </c>
      <c r="B216" s="51" t="s">
        <v>2021</v>
      </c>
      <c r="C216" s="51" t="e">
        <f>VLOOKUP($B216,#REF!,MATCH(C$2,#REF!,0),0)</f>
        <v>#REF!</v>
      </c>
      <c r="D216" s="83"/>
      <c r="E216" s="83"/>
      <c r="F216" s="136" t="e">
        <f>VLOOKUP($B216,#REF!,MATCH(F$2,#REF!,0),0)</f>
        <v>#REF!</v>
      </c>
      <c r="G216" s="137" t="e">
        <f>VLOOKUP($B216,#REF!,MATCH(G$2,#REF!,0),0)</f>
        <v>#REF!</v>
      </c>
      <c r="H216" s="48">
        <v>1</v>
      </c>
      <c r="I216" s="48">
        <v>1</v>
      </c>
      <c r="J216" s="48">
        <v>1</v>
      </c>
      <c r="K216" s="48">
        <v>1</v>
      </c>
      <c r="L216" s="48">
        <v>33</v>
      </c>
      <c r="M216" s="48">
        <v>1</v>
      </c>
      <c r="N216" s="48">
        <v>1</v>
      </c>
      <c r="O216" s="48">
        <v>1</v>
      </c>
      <c r="P216" s="48"/>
      <c r="Q216" s="48"/>
      <c r="R216" s="150" t="e">
        <f t="shared" ref="R216:AA216" si="236">$G216*H216</f>
        <v>#REF!</v>
      </c>
      <c r="S216" s="150" t="e">
        <f t="shared" si="236"/>
        <v>#REF!</v>
      </c>
      <c r="T216" s="150" t="e">
        <f t="shared" si="236"/>
        <v>#REF!</v>
      </c>
      <c r="U216" s="150" t="e">
        <f t="shared" si="236"/>
        <v>#REF!</v>
      </c>
      <c r="V216" s="150" t="e">
        <f t="shared" si="236"/>
        <v>#REF!</v>
      </c>
      <c r="W216" s="150" t="e">
        <f t="shared" si="236"/>
        <v>#REF!</v>
      </c>
      <c r="X216" s="150" t="e">
        <f t="shared" si="236"/>
        <v>#REF!</v>
      </c>
      <c r="Y216" s="150" t="e">
        <f t="shared" si="236"/>
        <v>#REF!</v>
      </c>
      <c r="Z216" s="150" t="e">
        <f t="shared" si="236"/>
        <v>#REF!</v>
      </c>
      <c r="AA216" s="150" t="e">
        <f t="shared" si="236"/>
        <v>#REF!</v>
      </c>
      <c r="AB216" s="50"/>
    </row>
    <row r="217" s="28" customFormat="1" outlineLevel="3" spans="1:28">
      <c r="A217" s="52">
        <f>MAX($A$6:A216)+1</f>
        <v>190</v>
      </c>
      <c r="B217" s="51" t="s">
        <v>1860</v>
      </c>
      <c r="C217" s="51" t="e">
        <f>VLOOKUP($B217,#REF!,MATCH(C$2,#REF!,0),0)</f>
        <v>#REF!</v>
      </c>
      <c r="D217" s="83"/>
      <c r="E217" s="83"/>
      <c r="F217" s="136" t="e">
        <f>VLOOKUP($B217,#REF!,MATCH(F$2,#REF!,0),0)</f>
        <v>#REF!</v>
      </c>
      <c r="G217" s="137" t="e">
        <f>VLOOKUP($B217,#REF!,MATCH(G$2,#REF!,0),0)</f>
        <v>#REF!</v>
      </c>
      <c r="H217" s="48">
        <v>108</v>
      </c>
      <c r="I217" s="48">
        <v>108</v>
      </c>
      <c r="J217" s="48">
        <v>44</v>
      </c>
      <c r="K217" s="48">
        <v>44</v>
      </c>
      <c r="L217" s="48"/>
      <c r="M217" s="48">
        <v>1</v>
      </c>
      <c r="N217" s="48">
        <v>1</v>
      </c>
      <c r="O217" s="48">
        <v>1</v>
      </c>
      <c r="P217" s="48"/>
      <c r="Q217" s="48"/>
      <c r="R217" s="150" t="e">
        <f t="shared" ref="R217:AA217" si="237">$G217*H217</f>
        <v>#REF!</v>
      </c>
      <c r="S217" s="150" t="e">
        <f t="shared" si="237"/>
        <v>#REF!</v>
      </c>
      <c r="T217" s="150" t="e">
        <f t="shared" si="237"/>
        <v>#REF!</v>
      </c>
      <c r="U217" s="150" t="e">
        <f t="shared" si="237"/>
        <v>#REF!</v>
      </c>
      <c r="V217" s="150" t="e">
        <f t="shared" si="237"/>
        <v>#REF!</v>
      </c>
      <c r="W217" s="150" t="e">
        <f t="shared" si="237"/>
        <v>#REF!</v>
      </c>
      <c r="X217" s="150" t="e">
        <f t="shared" si="237"/>
        <v>#REF!</v>
      </c>
      <c r="Y217" s="150" t="e">
        <f t="shared" si="237"/>
        <v>#REF!</v>
      </c>
      <c r="Z217" s="150" t="e">
        <f t="shared" si="237"/>
        <v>#REF!</v>
      </c>
      <c r="AA217" s="150" t="e">
        <f t="shared" si="237"/>
        <v>#REF!</v>
      </c>
      <c r="AB217" s="50"/>
    </row>
    <row r="218" s="28" customFormat="1" outlineLevel="3" spans="1:28">
      <c r="A218" s="52">
        <f>MAX($A$6:A217)+1</f>
        <v>191</v>
      </c>
      <c r="B218" s="51" t="s">
        <v>1857</v>
      </c>
      <c r="C218" s="51" t="e">
        <f>VLOOKUP($B218,#REF!,MATCH(C$2,#REF!,0),0)</f>
        <v>#REF!</v>
      </c>
      <c r="D218" s="83"/>
      <c r="E218" s="83"/>
      <c r="F218" s="136" t="e">
        <f>VLOOKUP($B218,#REF!,MATCH(F$2,#REF!,0),0)</f>
        <v>#REF!</v>
      </c>
      <c r="G218" s="137" t="e">
        <f>VLOOKUP($B218,#REF!,MATCH(G$2,#REF!,0),0)</f>
        <v>#REF!</v>
      </c>
      <c r="H218" s="48">
        <v>96</v>
      </c>
      <c r="I218" s="48">
        <v>96</v>
      </c>
      <c r="J218" s="48">
        <v>32</v>
      </c>
      <c r="K218" s="48">
        <v>32</v>
      </c>
      <c r="L218" s="48"/>
      <c r="M218" s="48">
        <v>1</v>
      </c>
      <c r="N218" s="48">
        <v>1</v>
      </c>
      <c r="O218" s="48">
        <v>1</v>
      </c>
      <c r="P218" s="48"/>
      <c r="Q218" s="48"/>
      <c r="R218" s="150" t="e">
        <f t="shared" ref="R218:AA218" si="238">$G218*H218</f>
        <v>#REF!</v>
      </c>
      <c r="S218" s="150" t="e">
        <f t="shared" si="238"/>
        <v>#REF!</v>
      </c>
      <c r="T218" s="150" t="e">
        <f t="shared" si="238"/>
        <v>#REF!</v>
      </c>
      <c r="U218" s="150" t="e">
        <f t="shared" si="238"/>
        <v>#REF!</v>
      </c>
      <c r="V218" s="150" t="e">
        <f t="shared" si="238"/>
        <v>#REF!</v>
      </c>
      <c r="W218" s="150" t="e">
        <f t="shared" si="238"/>
        <v>#REF!</v>
      </c>
      <c r="X218" s="150" t="e">
        <f t="shared" si="238"/>
        <v>#REF!</v>
      </c>
      <c r="Y218" s="150" t="e">
        <f t="shared" si="238"/>
        <v>#REF!</v>
      </c>
      <c r="Z218" s="150" t="e">
        <f t="shared" si="238"/>
        <v>#REF!</v>
      </c>
      <c r="AA218" s="150" t="e">
        <f t="shared" si="238"/>
        <v>#REF!</v>
      </c>
      <c r="AB218" s="50"/>
    </row>
    <row r="219" s="28" customFormat="1" outlineLevel="3" spans="1:28">
      <c r="A219" s="52">
        <f>MAX($A$6:A218)+1</f>
        <v>192</v>
      </c>
      <c r="B219" s="51" t="s">
        <v>1861</v>
      </c>
      <c r="C219" s="51" t="e">
        <f>VLOOKUP($B219,#REF!,MATCH(C$2,#REF!,0),0)</f>
        <v>#REF!</v>
      </c>
      <c r="D219" s="83"/>
      <c r="E219" s="83"/>
      <c r="F219" s="136" t="e">
        <f>VLOOKUP($B219,#REF!,MATCH(F$2,#REF!,0),0)</f>
        <v>#REF!</v>
      </c>
      <c r="G219" s="137" t="e">
        <f>VLOOKUP($B219,#REF!,MATCH(G$2,#REF!,0),0)</f>
        <v>#REF!</v>
      </c>
      <c r="H219" s="48"/>
      <c r="I219" s="48"/>
      <c r="J219" s="48"/>
      <c r="K219" s="48"/>
      <c r="L219" s="48">
        <v>2</v>
      </c>
      <c r="M219" s="48"/>
      <c r="N219" s="48"/>
      <c r="O219" s="48"/>
      <c r="P219" s="48"/>
      <c r="Q219" s="48"/>
      <c r="R219" s="150" t="e">
        <f t="shared" ref="R219:AA219" si="239">$G219*H219</f>
        <v>#REF!</v>
      </c>
      <c r="S219" s="150" t="e">
        <f t="shared" si="239"/>
        <v>#REF!</v>
      </c>
      <c r="T219" s="150" t="e">
        <f t="shared" si="239"/>
        <v>#REF!</v>
      </c>
      <c r="U219" s="150" t="e">
        <f t="shared" si="239"/>
        <v>#REF!</v>
      </c>
      <c r="V219" s="150" t="e">
        <f t="shared" si="239"/>
        <v>#REF!</v>
      </c>
      <c r="W219" s="150" t="e">
        <f t="shared" si="239"/>
        <v>#REF!</v>
      </c>
      <c r="X219" s="150" t="e">
        <f t="shared" si="239"/>
        <v>#REF!</v>
      </c>
      <c r="Y219" s="150" t="e">
        <f t="shared" si="239"/>
        <v>#REF!</v>
      </c>
      <c r="Z219" s="150" t="e">
        <f t="shared" si="239"/>
        <v>#REF!</v>
      </c>
      <c r="AA219" s="150" t="e">
        <f t="shared" si="239"/>
        <v>#REF!</v>
      </c>
      <c r="AB219" s="50"/>
    </row>
    <row r="220" s="28" customFormat="1" outlineLevel="3" spans="1:28">
      <c r="A220" s="52">
        <f>MAX($A$6:A219)+1</f>
        <v>193</v>
      </c>
      <c r="B220" s="51" t="s">
        <v>1858</v>
      </c>
      <c r="C220" s="51" t="e">
        <f>VLOOKUP($B220,#REF!,MATCH(C$2,#REF!,0),0)</f>
        <v>#REF!</v>
      </c>
      <c r="D220" s="83"/>
      <c r="E220" s="83"/>
      <c r="F220" s="136" t="e">
        <f>VLOOKUP($B220,#REF!,MATCH(F$2,#REF!,0),0)</f>
        <v>#REF!</v>
      </c>
      <c r="G220" s="137" t="e">
        <f>VLOOKUP($B220,#REF!,MATCH(G$2,#REF!,0),0)</f>
        <v>#REF!</v>
      </c>
      <c r="H220" s="48"/>
      <c r="I220" s="48"/>
      <c r="J220" s="48"/>
      <c r="K220" s="48"/>
      <c r="L220" s="48">
        <v>11</v>
      </c>
      <c r="M220" s="48"/>
      <c r="N220" s="48"/>
      <c r="O220" s="48"/>
      <c r="P220" s="48"/>
      <c r="Q220" s="48"/>
      <c r="R220" s="150" t="e">
        <f t="shared" ref="R220:AA220" si="240">$G220*H220</f>
        <v>#REF!</v>
      </c>
      <c r="S220" s="150" t="e">
        <f t="shared" si="240"/>
        <v>#REF!</v>
      </c>
      <c r="T220" s="150" t="e">
        <f t="shared" si="240"/>
        <v>#REF!</v>
      </c>
      <c r="U220" s="150" t="e">
        <f t="shared" si="240"/>
        <v>#REF!</v>
      </c>
      <c r="V220" s="150" t="e">
        <f t="shared" si="240"/>
        <v>#REF!</v>
      </c>
      <c r="W220" s="150" t="e">
        <f t="shared" si="240"/>
        <v>#REF!</v>
      </c>
      <c r="X220" s="150" t="e">
        <f t="shared" si="240"/>
        <v>#REF!</v>
      </c>
      <c r="Y220" s="150" t="e">
        <f t="shared" si="240"/>
        <v>#REF!</v>
      </c>
      <c r="Z220" s="150" t="e">
        <f t="shared" si="240"/>
        <v>#REF!</v>
      </c>
      <c r="AA220" s="150" t="e">
        <f t="shared" si="240"/>
        <v>#REF!</v>
      </c>
      <c r="AB220" s="50"/>
    </row>
    <row r="221" s="28" customFormat="1" outlineLevel="3" spans="1:28">
      <c r="A221" s="52">
        <f>MAX($A$6:A220)+1</f>
        <v>194</v>
      </c>
      <c r="B221" s="51" t="s">
        <v>2022</v>
      </c>
      <c r="C221" s="51" t="e">
        <f>VLOOKUP($B221,#REF!,MATCH(C$2,#REF!,0),0)</f>
        <v>#REF!</v>
      </c>
      <c r="D221" s="83"/>
      <c r="E221" s="83"/>
      <c r="F221" s="136" t="e">
        <f>VLOOKUP($B221,#REF!,MATCH(F$2,#REF!,0),0)</f>
        <v>#REF!</v>
      </c>
      <c r="G221" s="137" t="e">
        <f>VLOOKUP($B221,#REF!,MATCH(G$2,#REF!,0),0)</f>
        <v>#REF!</v>
      </c>
      <c r="H221" s="48">
        <v>6</v>
      </c>
      <c r="I221" s="48">
        <v>6</v>
      </c>
      <c r="J221" s="48">
        <v>1</v>
      </c>
      <c r="K221" s="48">
        <v>1</v>
      </c>
      <c r="L221" s="48"/>
      <c r="M221" s="48"/>
      <c r="N221" s="48"/>
      <c r="O221" s="48"/>
      <c r="P221" s="48"/>
      <c r="Q221" s="48"/>
      <c r="R221" s="150" t="e">
        <f t="shared" ref="R221:AA221" si="241">$G221*H221</f>
        <v>#REF!</v>
      </c>
      <c r="S221" s="150" t="e">
        <f t="shared" si="241"/>
        <v>#REF!</v>
      </c>
      <c r="T221" s="150" t="e">
        <f t="shared" si="241"/>
        <v>#REF!</v>
      </c>
      <c r="U221" s="150" t="e">
        <f t="shared" si="241"/>
        <v>#REF!</v>
      </c>
      <c r="V221" s="150" t="e">
        <f t="shared" si="241"/>
        <v>#REF!</v>
      </c>
      <c r="W221" s="150" t="e">
        <f t="shared" si="241"/>
        <v>#REF!</v>
      </c>
      <c r="X221" s="150" t="e">
        <f t="shared" si="241"/>
        <v>#REF!</v>
      </c>
      <c r="Y221" s="150" t="e">
        <f t="shared" si="241"/>
        <v>#REF!</v>
      </c>
      <c r="Z221" s="150" t="e">
        <f t="shared" si="241"/>
        <v>#REF!</v>
      </c>
      <c r="AA221" s="150" t="e">
        <f t="shared" si="241"/>
        <v>#REF!</v>
      </c>
      <c r="AB221" s="50"/>
    </row>
    <row r="222" s="28" customFormat="1" outlineLevel="3" spans="1:28">
      <c r="A222" s="52">
        <f>MAX($A$6:A221)+1</f>
        <v>195</v>
      </c>
      <c r="B222" s="51" t="s">
        <v>1864</v>
      </c>
      <c r="C222" s="51" t="e">
        <f>VLOOKUP($B222,#REF!,MATCH(C$2,#REF!,0),0)</f>
        <v>#REF!</v>
      </c>
      <c r="D222" s="83"/>
      <c r="E222" s="83"/>
      <c r="F222" s="136" t="e">
        <f>VLOOKUP($B222,#REF!,MATCH(F$2,#REF!,0),0)</f>
        <v>#REF!</v>
      </c>
      <c r="G222" s="137" t="e">
        <f>VLOOKUP($B222,#REF!,MATCH(G$2,#REF!,0),0)</f>
        <v>#REF!</v>
      </c>
      <c r="H222" s="48">
        <v>3</v>
      </c>
      <c r="I222" s="48">
        <v>3</v>
      </c>
      <c r="J222" s="48">
        <v>1</v>
      </c>
      <c r="K222" s="48">
        <v>1</v>
      </c>
      <c r="L222" s="48">
        <v>1</v>
      </c>
      <c r="M222" s="48">
        <v>3</v>
      </c>
      <c r="N222" s="48">
        <v>3</v>
      </c>
      <c r="O222" s="48">
        <v>3</v>
      </c>
      <c r="P222" s="48"/>
      <c r="Q222" s="48"/>
      <c r="R222" s="150" t="e">
        <f t="shared" ref="R222:AA222" si="242">$G222*H222</f>
        <v>#REF!</v>
      </c>
      <c r="S222" s="150" t="e">
        <f t="shared" si="242"/>
        <v>#REF!</v>
      </c>
      <c r="T222" s="150" t="e">
        <f t="shared" si="242"/>
        <v>#REF!</v>
      </c>
      <c r="U222" s="150" t="e">
        <f t="shared" si="242"/>
        <v>#REF!</v>
      </c>
      <c r="V222" s="150" t="e">
        <f t="shared" si="242"/>
        <v>#REF!</v>
      </c>
      <c r="W222" s="150" t="e">
        <f t="shared" si="242"/>
        <v>#REF!</v>
      </c>
      <c r="X222" s="150" t="e">
        <f t="shared" si="242"/>
        <v>#REF!</v>
      </c>
      <c r="Y222" s="150" t="e">
        <f t="shared" si="242"/>
        <v>#REF!</v>
      </c>
      <c r="Z222" s="150" t="e">
        <f t="shared" si="242"/>
        <v>#REF!</v>
      </c>
      <c r="AA222" s="150" t="e">
        <f t="shared" si="242"/>
        <v>#REF!</v>
      </c>
      <c r="AB222" s="50"/>
    </row>
    <row r="223" s="28" customFormat="1" outlineLevel="3" spans="1:28">
      <c r="A223" s="52">
        <f>MAX($A$6:A222)+1</f>
        <v>196</v>
      </c>
      <c r="B223" s="51" t="s">
        <v>1999</v>
      </c>
      <c r="C223" s="51" t="e">
        <f>VLOOKUP($B223,#REF!,MATCH(C$2,#REF!,0),0)</f>
        <v>#REF!</v>
      </c>
      <c r="D223" s="83"/>
      <c r="E223" s="83"/>
      <c r="F223" s="136" t="e">
        <f>VLOOKUP($B223,#REF!,MATCH(F$2,#REF!,0),0)</f>
        <v>#REF!</v>
      </c>
      <c r="G223" s="137" t="e">
        <f>VLOOKUP($B223,#REF!,MATCH(G$2,#REF!,0),0)</f>
        <v>#REF!</v>
      </c>
      <c r="H223" s="48">
        <v>1</v>
      </c>
      <c r="I223" s="48">
        <v>1</v>
      </c>
      <c r="J223" s="48">
        <v>1</v>
      </c>
      <c r="K223" s="48">
        <v>1</v>
      </c>
      <c r="L223" s="48"/>
      <c r="M223" s="48"/>
      <c r="N223" s="48"/>
      <c r="O223" s="48"/>
      <c r="P223" s="48"/>
      <c r="Q223" s="48"/>
      <c r="R223" s="150" t="e">
        <f t="shared" ref="R223:AA223" si="243">$G223*H223</f>
        <v>#REF!</v>
      </c>
      <c r="S223" s="150" t="e">
        <f t="shared" si="243"/>
        <v>#REF!</v>
      </c>
      <c r="T223" s="150" t="e">
        <f t="shared" si="243"/>
        <v>#REF!</v>
      </c>
      <c r="U223" s="150" t="e">
        <f t="shared" si="243"/>
        <v>#REF!</v>
      </c>
      <c r="V223" s="150" t="e">
        <f t="shared" si="243"/>
        <v>#REF!</v>
      </c>
      <c r="W223" s="150" t="e">
        <f t="shared" si="243"/>
        <v>#REF!</v>
      </c>
      <c r="X223" s="150" t="e">
        <f t="shared" si="243"/>
        <v>#REF!</v>
      </c>
      <c r="Y223" s="150" t="e">
        <f t="shared" si="243"/>
        <v>#REF!</v>
      </c>
      <c r="Z223" s="150" t="e">
        <f t="shared" si="243"/>
        <v>#REF!</v>
      </c>
      <c r="AA223" s="150" t="e">
        <f t="shared" si="243"/>
        <v>#REF!</v>
      </c>
      <c r="AB223" s="50"/>
    </row>
    <row r="224" s="28" customFormat="1" outlineLevel="3" spans="1:28">
      <c r="A224" s="52">
        <f>MAX($A$6:A223)+1</f>
        <v>197</v>
      </c>
      <c r="B224" s="51" t="s">
        <v>2023</v>
      </c>
      <c r="C224" s="51" t="e">
        <f>VLOOKUP($B224,#REF!,MATCH(C$2,#REF!,0),0)</f>
        <v>#REF!</v>
      </c>
      <c r="D224" s="83"/>
      <c r="E224" s="83"/>
      <c r="F224" s="136" t="e">
        <f>VLOOKUP($B224,#REF!,MATCH(F$2,#REF!,0),0)</f>
        <v>#REF!</v>
      </c>
      <c r="G224" s="137" t="e">
        <f>VLOOKUP($B224,#REF!,MATCH(G$2,#REF!,0),0)</f>
        <v>#REF!</v>
      </c>
      <c r="H224" s="48">
        <v>1</v>
      </c>
      <c r="I224" s="48">
        <v>1</v>
      </c>
      <c r="J224" s="48">
        <v>1</v>
      </c>
      <c r="K224" s="48">
        <v>1</v>
      </c>
      <c r="L224" s="48">
        <v>19</v>
      </c>
      <c r="M224" s="48"/>
      <c r="N224" s="48"/>
      <c r="O224" s="48"/>
      <c r="P224" s="48"/>
      <c r="Q224" s="48"/>
      <c r="R224" s="150" t="e">
        <f t="shared" ref="R224:AA224" si="244">$G224*H224</f>
        <v>#REF!</v>
      </c>
      <c r="S224" s="150" t="e">
        <f t="shared" si="244"/>
        <v>#REF!</v>
      </c>
      <c r="T224" s="150" t="e">
        <f t="shared" si="244"/>
        <v>#REF!</v>
      </c>
      <c r="U224" s="150" t="e">
        <f t="shared" si="244"/>
        <v>#REF!</v>
      </c>
      <c r="V224" s="150" t="e">
        <f t="shared" si="244"/>
        <v>#REF!</v>
      </c>
      <c r="W224" s="150" t="e">
        <f t="shared" si="244"/>
        <v>#REF!</v>
      </c>
      <c r="X224" s="150" t="e">
        <f t="shared" si="244"/>
        <v>#REF!</v>
      </c>
      <c r="Y224" s="150" t="e">
        <f t="shared" si="244"/>
        <v>#REF!</v>
      </c>
      <c r="Z224" s="150" t="e">
        <f t="shared" si="244"/>
        <v>#REF!</v>
      </c>
      <c r="AA224" s="150" t="e">
        <f t="shared" si="244"/>
        <v>#REF!</v>
      </c>
      <c r="AB224" s="50"/>
    </row>
    <row r="225" s="28" customFormat="1" outlineLevel="3" spans="1:28">
      <c r="A225" s="52">
        <f>MAX($A$6:A224)+1</f>
        <v>198</v>
      </c>
      <c r="B225" s="51" t="s">
        <v>2024</v>
      </c>
      <c r="C225" s="51" t="e">
        <f>VLOOKUP($B225,#REF!,MATCH(C$2,#REF!,0),0)</f>
        <v>#REF!</v>
      </c>
      <c r="D225" s="83"/>
      <c r="E225" s="83"/>
      <c r="F225" s="136" t="e">
        <f>VLOOKUP($B225,#REF!,MATCH(F$2,#REF!,0),0)</f>
        <v>#REF!</v>
      </c>
      <c r="G225" s="137" t="e">
        <f>VLOOKUP($B225,#REF!,MATCH(G$2,#REF!,0),0)</f>
        <v>#REF!</v>
      </c>
      <c r="H225" s="48">
        <v>108</v>
      </c>
      <c r="I225" s="48">
        <v>108</v>
      </c>
      <c r="J225" s="48">
        <v>44</v>
      </c>
      <c r="K225" s="48">
        <v>44</v>
      </c>
      <c r="L225" s="48">
        <v>19</v>
      </c>
      <c r="M225" s="48"/>
      <c r="N225" s="48"/>
      <c r="O225" s="48"/>
      <c r="P225" s="48"/>
      <c r="Q225" s="48"/>
      <c r="R225" s="150" t="e">
        <f t="shared" ref="R225:AA225" si="245">$G225*H225</f>
        <v>#REF!</v>
      </c>
      <c r="S225" s="150" t="e">
        <f t="shared" si="245"/>
        <v>#REF!</v>
      </c>
      <c r="T225" s="150" t="e">
        <f t="shared" si="245"/>
        <v>#REF!</v>
      </c>
      <c r="U225" s="150" t="e">
        <f t="shared" si="245"/>
        <v>#REF!</v>
      </c>
      <c r="V225" s="150" t="e">
        <f t="shared" si="245"/>
        <v>#REF!</v>
      </c>
      <c r="W225" s="150" t="e">
        <f t="shared" si="245"/>
        <v>#REF!</v>
      </c>
      <c r="X225" s="150" t="e">
        <f t="shared" si="245"/>
        <v>#REF!</v>
      </c>
      <c r="Y225" s="150" t="e">
        <f t="shared" si="245"/>
        <v>#REF!</v>
      </c>
      <c r="Z225" s="150" t="e">
        <f t="shared" si="245"/>
        <v>#REF!</v>
      </c>
      <c r="AA225" s="150" t="e">
        <f t="shared" si="245"/>
        <v>#REF!</v>
      </c>
      <c r="AB225" s="50"/>
    </row>
    <row r="226" s="28" customFormat="1" outlineLevel="3" spans="1:28">
      <c r="A226" s="52">
        <f>MAX($A$6:A225)+1</f>
        <v>199</v>
      </c>
      <c r="B226" s="51" t="s">
        <v>2025</v>
      </c>
      <c r="C226" s="51" t="e">
        <f>VLOOKUP($B226,#REF!,MATCH(C$2,#REF!,0),0)</f>
        <v>#REF!</v>
      </c>
      <c r="D226" s="83"/>
      <c r="E226" s="83"/>
      <c r="F226" s="136" t="e">
        <f>VLOOKUP($B226,#REF!,MATCH(F$2,#REF!,0),0)</f>
        <v>#REF!</v>
      </c>
      <c r="G226" s="137" t="e">
        <f>VLOOKUP($B226,#REF!,MATCH(G$2,#REF!,0),0)</f>
        <v>#REF!</v>
      </c>
      <c r="H226" s="48">
        <v>1</v>
      </c>
      <c r="I226" s="48">
        <v>1</v>
      </c>
      <c r="J226" s="48">
        <v>1</v>
      </c>
      <c r="K226" s="48">
        <v>1</v>
      </c>
      <c r="L226" s="48"/>
      <c r="M226" s="48"/>
      <c r="N226" s="48"/>
      <c r="O226" s="48"/>
      <c r="P226" s="48"/>
      <c r="Q226" s="48"/>
      <c r="R226" s="150" t="e">
        <f t="shared" ref="R226:AA226" si="246">$G226*H226</f>
        <v>#REF!</v>
      </c>
      <c r="S226" s="150" t="e">
        <f t="shared" si="246"/>
        <v>#REF!</v>
      </c>
      <c r="T226" s="150" t="e">
        <f t="shared" si="246"/>
        <v>#REF!</v>
      </c>
      <c r="U226" s="150" t="e">
        <f t="shared" si="246"/>
        <v>#REF!</v>
      </c>
      <c r="V226" s="150" t="e">
        <f t="shared" si="246"/>
        <v>#REF!</v>
      </c>
      <c r="W226" s="150" t="e">
        <f t="shared" si="246"/>
        <v>#REF!</v>
      </c>
      <c r="X226" s="150" t="e">
        <f t="shared" si="246"/>
        <v>#REF!</v>
      </c>
      <c r="Y226" s="150" t="e">
        <f t="shared" si="246"/>
        <v>#REF!</v>
      </c>
      <c r="Z226" s="150" t="e">
        <f t="shared" si="246"/>
        <v>#REF!</v>
      </c>
      <c r="AA226" s="150" t="e">
        <f t="shared" si="246"/>
        <v>#REF!</v>
      </c>
      <c r="AB226" s="50"/>
    </row>
    <row r="227" s="28" customFormat="1" outlineLevel="3" spans="1:28">
      <c r="A227" s="52">
        <f>MAX($A$6:A226)+1</f>
        <v>200</v>
      </c>
      <c r="B227" s="51" t="s">
        <v>2026</v>
      </c>
      <c r="C227" s="51" t="e">
        <f>VLOOKUP($B227,#REF!,MATCH(C$2,#REF!,0),0)</f>
        <v>#REF!</v>
      </c>
      <c r="D227" s="83"/>
      <c r="E227" s="83"/>
      <c r="F227" s="136" t="e">
        <f>VLOOKUP($B227,#REF!,MATCH(F$2,#REF!,0),0)</f>
        <v>#REF!</v>
      </c>
      <c r="G227" s="137" t="e">
        <f>VLOOKUP($B227,#REF!,MATCH(G$2,#REF!,0),0)</f>
        <v>#REF!</v>
      </c>
      <c r="H227" s="48">
        <v>6</v>
      </c>
      <c r="I227" s="48">
        <v>6</v>
      </c>
      <c r="J227" s="48">
        <v>1</v>
      </c>
      <c r="K227" s="48">
        <v>1</v>
      </c>
      <c r="L227" s="48"/>
      <c r="M227" s="48"/>
      <c r="N227" s="48"/>
      <c r="O227" s="48"/>
      <c r="P227" s="48"/>
      <c r="Q227" s="48"/>
      <c r="R227" s="150" t="e">
        <f t="shared" ref="R227:AA227" si="247">$G227*H227</f>
        <v>#REF!</v>
      </c>
      <c r="S227" s="150" t="e">
        <f t="shared" si="247"/>
        <v>#REF!</v>
      </c>
      <c r="T227" s="150" t="e">
        <f t="shared" si="247"/>
        <v>#REF!</v>
      </c>
      <c r="U227" s="150" t="e">
        <f t="shared" si="247"/>
        <v>#REF!</v>
      </c>
      <c r="V227" s="150" t="e">
        <f t="shared" si="247"/>
        <v>#REF!</v>
      </c>
      <c r="W227" s="150" t="e">
        <f t="shared" si="247"/>
        <v>#REF!</v>
      </c>
      <c r="X227" s="150" t="e">
        <f t="shared" si="247"/>
        <v>#REF!</v>
      </c>
      <c r="Y227" s="150" t="e">
        <f t="shared" si="247"/>
        <v>#REF!</v>
      </c>
      <c r="Z227" s="150" t="e">
        <f t="shared" si="247"/>
        <v>#REF!</v>
      </c>
      <c r="AA227" s="150" t="e">
        <f t="shared" si="247"/>
        <v>#REF!</v>
      </c>
      <c r="AB227" s="50"/>
    </row>
    <row r="228" s="28" customFormat="1" outlineLevel="3" spans="1:28">
      <c r="A228" s="52">
        <f>MAX($A$6:A227)+1</f>
        <v>201</v>
      </c>
      <c r="B228" s="51" t="s">
        <v>2027</v>
      </c>
      <c r="C228" s="51" t="e">
        <f>VLOOKUP($B228,#REF!,MATCH(C$2,#REF!,0),0)</f>
        <v>#REF!</v>
      </c>
      <c r="D228" s="83"/>
      <c r="E228" s="83"/>
      <c r="F228" s="136" t="e">
        <f>VLOOKUP($B228,#REF!,MATCH(F$2,#REF!,0),0)</f>
        <v>#REF!</v>
      </c>
      <c r="G228" s="137" t="e">
        <f>VLOOKUP($B228,#REF!,MATCH(G$2,#REF!,0),0)</f>
        <v>#REF!</v>
      </c>
      <c r="H228" s="48">
        <v>3</v>
      </c>
      <c r="I228" s="48">
        <v>3</v>
      </c>
      <c r="J228" s="48">
        <v>1</v>
      </c>
      <c r="K228" s="48">
        <v>1</v>
      </c>
      <c r="L228" s="48"/>
      <c r="M228" s="48"/>
      <c r="N228" s="48"/>
      <c r="O228" s="48"/>
      <c r="P228" s="48"/>
      <c r="Q228" s="48"/>
      <c r="R228" s="150" t="e">
        <f t="shared" ref="R228:AA228" si="248">$G228*H228</f>
        <v>#REF!</v>
      </c>
      <c r="S228" s="150" t="e">
        <f t="shared" si="248"/>
        <v>#REF!</v>
      </c>
      <c r="T228" s="150" t="e">
        <f t="shared" si="248"/>
        <v>#REF!</v>
      </c>
      <c r="U228" s="150" t="e">
        <f t="shared" si="248"/>
        <v>#REF!</v>
      </c>
      <c r="V228" s="150" t="e">
        <f t="shared" si="248"/>
        <v>#REF!</v>
      </c>
      <c r="W228" s="150" t="e">
        <f t="shared" si="248"/>
        <v>#REF!</v>
      </c>
      <c r="X228" s="150" t="e">
        <f t="shared" si="248"/>
        <v>#REF!</v>
      </c>
      <c r="Y228" s="150" t="e">
        <f t="shared" si="248"/>
        <v>#REF!</v>
      </c>
      <c r="Z228" s="150" t="e">
        <f t="shared" si="248"/>
        <v>#REF!</v>
      </c>
      <c r="AA228" s="150" t="e">
        <f t="shared" si="248"/>
        <v>#REF!</v>
      </c>
      <c r="AB228" s="50"/>
    </row>
    <row r="229" s="28" customFormat="1" ht="28.8" outlineLevel="3" spans="1:28">
      <c r="A229" s="52">
        <f>MAX($A$6:A228)+1</f>
        <v>202</v>
      </c>
      <c r="B229" s="51" t="s">
        <v>2028</v>
      </c>
      <c r="C229" s="51" t="e">
        <f>VLOOKUP($B229,#REF!,MATCH(C$2,#REF!,0),0)</f>
        <v>#REF!</v>
      </c>
      <c r="D229" s="83"/>
      <c r="E229" s="83"/>
      <c r="F229" s="136" t="e">
        <f>VLOOKUP($B229,#REF!,MATCH(F$2,#REF!,0),0)</f>
        <v>#REF!</v>
      </c>
      <c r="G229" s="137" t="e">
        <f>VLOOKUP($B229,#REF!,MATCH(G$2,#REF!,0),0)</f>
        <v>#REF!</v>
      </c>
      <c r="H229" s="48"/>
      <c r="I229" s="48"/>
      <c r="J229" s="48"/>
      <c r="K229" s="48"/>
      <c r="L229" s="48">
        <v>7</v>
      </c>
      <c r="M229" s="48"/>
      <c r="N229" s="48"/>
      <c r="O229" s="48"/>
      <c r="P229" s="48"/>
      <c r="Q229" s="48"/>
      <c r="R229" s="150" t="e">
        <f t="shared" ref="R229:AA229" si="249">$G229*H229</f>
        <v>#REF!</v>
      </c>
      <c r="S229" s="150" t="e">
        <f t="shared" si="249"/>
        <v>#REF!</v>
      </c>
      <c r="T229" s="150" t="e">
        <f t="shared" si="249"/>
        <v>#REF!</v>
      </c>
      <c r="U229" s="150" t="e">
        <f t="shared" si="249"/>
        <v>#REF!</v>
      </c>
      <c r="V229" s="150" t="e">
        <f t="shared" si="249"/>
        <v>#REF!</v>
      </c>
      <c r="W229" s="150" t="e">
        <f t="shared" si="249"/>
        <v>#REF!</v>
      </c>
      <c r="X229" s="150" t="e">
        <f t="shared" si="249"/>
        <v>#REF!</v>
      </c>
      <c r="Y229" s="150" t="e">
        <f t="shared" si="249"/>
        <v>#REF!</v>
      </c>
      <c r="Z229" s="150" t="e">
        <f t="shared" si="249"/>
        <v>#REF!</v>
      </c>
      <c r="AA229" s="150" t="e">
        <f t="shared" si="249"/>
        <v>#REF!</v>
      </c>
      <c r="AB229" s="50"/>
    </row>
    <row r="230" s="28" customFormat="1" ht="28.8" outlineLevel="3" spans="1:28">
      <c r="A230" s="52">
        <f>MAX($A$6:A229)+1</f>
        <v>203</v>
      </c>
      <c r="B230" s="51" t="s">
        <v>2029</v>
      </c>
      <c r="C230" s="51" t="e">
        <f>VLOOKUP($B230,#REF!,MATCH(C$2,#REF!,0),0)</f>
        <v>#REF!</v>
      </c>
      <c r="D230" s="83"/>
      <c r="E230" s="83"/>
      <c r="F230" s="136" t="e">
        <f>VLOOKUP($B230,#REF!,MATCH(F$2,#REF!,0),0)</f>
        <v>#REF!</v>
      </c>
      <c r="G230" s="137" t="e">
        <f>VLOOKUP($B230,#REF!,MATCH(G$2,#REF!,0),0)</f>
        <v>#REF!</v>
      </c>
      <c r="H230" s="48">
        <v>48</v>
      </c>
      <c r="I230" s="48">
        <v>48</v>
      </c>
      <c r="J230" s="48">
        <v>16</v>
      </c>
      <c r="K230" s="48">
        <v>16</v>
      </c>
      <c r="L230" s="48"/>
      <c r="M230" s="48"/>
      <c r="N230" s="48"/>
      <c r="O230" s="48"/>
      <c r="P230" s="48"/>
      <c r="Q230" s="48"/>
      <c r="R230" s="150" t="e">
        <f t="shared" ref="R230:AA230" si="250">$G230*H230</f>
        <v>#REF!</v>
      </c>
      <c r="S230" s="150" t="e">
        <f t="shared" si="250"/>
        <v>#REF!</v>
      </c>
      <c r="T230" s="150" t="e">
        <f t="shared" si="250"/>
        <v>#REF!</v>
      </c>
      <c r="U230" s="150" t="e">
        <f t="shared" si="250"/>
        <v>#REF!</v>
      </c>
      <c r="V230" s="150" t="e">
        <f t="shared" si="250"/>
        <v>#REF!</v>
      </c>
      <c r="W230" s="150" t="e">
        <f t="shared" si="250"/>
        <v>#REF!</v>
      </c>
      <c r="X230" s="150" t="e">
        <f t="shared" si="250"/>
        <v>#REF!</v>
      </c>
      <c r="Y230" s="150" t="e">
        <f t="shared" si="250"/>
        <v>#REF!</v>
      </c>
      <c r="Z230" s="150" t="e">
        <f t="shared" si="250"/>
        <v>#REF!</v>
      </c>
      <c r="AA230" s="150" t="e">
        <f t="shared" si="250"/>
        <v>#REF!</v>
      </c>
      <c r="AB230" s="50"/>
    </row>
    <row r="231" s="28" customFormat="1" ht="28.8" outlineLevel="3" spans="1:28">
      <c r="A231" s="52">
        <f>MAX($A$6:A230)+1</f>
        <v>204</v>
      </c>
      <c r="B231" s="51" t="s">
        <v>2030</v>
      </c>
      <c r="C231" s="51" t="e">
        <f>VLOOKUP($B231,#REF!,MATCH(C$2,#REF!,0),0)</f>
        <v>#REF!</v>
      </c>
      <c r="D231" s="83"/>
      <c r="E231" s="83"/>
      <c r="F231" s="136" t="e">
        <f>VLOOKUP($B231,#REF!,MATCH(F$2,#REF!,0),0)</f>
        <v>#REF!</v>
      </c>
      <c r="G231" s="137" t="e">
        <f>VLOOKUP($B231,#REF!,MATCH(G$2,#REF!,0),0)</f>
        <v>#REF!</v>
      </c>
      <c r="H231" s="48"/>
      <c r="I231" s="48"/>
      <c r="J231" s="48"/>
      <c r="K231" s="48"/>
      <c r="L231" s="48">
        <v>5</v>
      </c>
      <c r="M231" s="48"/>
      <c r="N231" s="48"/>
      <c r="O231" s="48"/>
      <c r="P231" s="48"/>
      <c r="Q231" s="48"/>
      <c r="R231" s="150" t="e">
        <f t="shared" ref="R231:AA231" si="251">$G231*H231</f>
        <v>#REF!</v>
      </c>
      <c r="S231" s="150" t="e">
        <f t="shared" si="251"/>
        <v>#REF!</v>
      </c>
      <c r="T231" s="150" t="e">
        <f t="shared" si="251"/>
        <v>#REF!</v>
      </c>
      <c r="U231" s="150" t="e">
        <f t="shared" si="251"/>
        <v>#REF!</v>
      </c>
      <c r="V231" s="150" t="e">
        <f t="shared" si="251"/>
        <v>#REF!</v>
      </c>
      <c r="W231" s="150" t="e">
        <f t="shared" si="251"/>
        <v>#REF!</v>
      </c>
      <c r="X231" s="150" t="e">
        <f t="shared" si="251"/>
        <v>#REF!</v>
      </c>
      <c r="Y231" s="150" t="e">
        <f t="shared" si="251"/>
        <v>#REF!</v>
      </c>
      <c r="Z231" s="150" t="e">
        <f t="shared" si="251"/>
        <v>#REF!</v>
      </c>
      <c r="AA231" s="150" t="e">
        <f t="shared" si="251"/>
        <v>#REF!</v>
      </c>
      <c r="AB231" s="50"/>
    </row>
    <row r="232" s="28" customFormat="1" outlineLevel="3" spans="1:28">
      <c r="A232" s="52">
        <f>MAX($A$6:A231)+1</f>
        <v>205</v>
      </c>
      <c r="B232" s="51" t="s">
        <v>1658</v>
      </c>
      <c r="C232" s="51" t="e">
        <f>VLOOKUP($B232,#REF!,MATCH(C$2,#REF!,0),0)</f>
        <v>#REF!</v>
      </c>
      <c r="D232" s="83"/>
      <c r="E232" s="83"/>
      <c r="F232" s="136" t="e">
        <f>VLOOKUP($B232,#REF!,MATCH(F$2,#REF!,0),0)</f>
        <v>#REF!</v>
      </c>
      <c r="G232" s="137" t="e">
        <f>VLOOKUP($B232,#REF!,MATCH(G$2,#REF!,0),0)</f>
        <v>#REF!</v>
      </c>
      <c r="H232" s="48">
        <v>48</v>
      </c>
      <c r="I232" s="48">
        <v>48</v>
      </c>
      <c r="J232" s="48">
        <v>16</v>
      </c>
      <c r="K232" s="48">
        <v>16</v>
      </c>
      <c r="L232" s="48"/>
      <c r="M232" s="48"/>
      <c r="N232" s="48"/>
      <c r="O232" s="48"/>
      <c r="P232" s="48"/>
      <c r="Q232" s="48"/>
      <c r="R232" s="150" t="e">
        <f t="shared" ref="R232:AA232" si="252">$G232*H232</f>
        <v>#REF!</v>
      </c>
      <c r="S232" s="150" t="e">
        <f t="shared" si="252"/>
        <v>#REF!</v>
      </c>
      <c r="T232" s="150" t="e">
        <f t="shared" si="252"/>
        <v>#REF!</v>
      </c>
      <c r="U232" s="150" t="e">
        <f t="shared" si="252"/>
        <v>#REF!</v>
      </c>
      <c r="V232" s="150" t="e">
        <f t="shared" si="252"/>
        <v>#REF!</v>
      </c>
      <c r="W232" s="150" t="e">
        <f t="shared" si="252"/>
        <v>#REF!</v>
      </c>
      <c r="X232" s="150" t="e">
        <f t="shared" si="252"/>
        <v>#REF!</v>
      </c>
      <c r="Y232" s="150" t="e">
        <f t="shared" si="252"/>
        <v>#REF!</v>
      </c>
      <c r="Z232" s="150" t="e">
        <f t="shared" si="252"/>
        <v>#REF!</v>
      </c>
      <c r="AA232" s="150" t="e">
        <f t="shared" si="252"/>
        <v>#REF!</v>
      </c>
      <c r="AB232" s="50"/>
    </row>
    <row r="233" s="28" customFormat="1" outlineLevel="3" spans="1:28">
      <c r="A233" s="52">
        <f>MAX($A$6:A232)+1</f>
        <v>206</v>
      </c>
      <c r="B233" s="51" t="s">
        <v>2031</v>
      </c>
      <c r="C233" s="51" t="e">
        <f>VLOOKUP($B233,#REF!,MATCH(C$2,#REF!,0),0)</f>
        <v>#REF!</v>
      </c>
      <c r="D233" s="83"/>
      <c r="E233" s="83"/>
      <c r="F233" s="136" t="e">
        <f>VLOOKUP($B233,#REF!,MATCH(F$2,#REF!,0),0)</f>
        <v>#REF!</v>
      </c>
      <c r="G233" s="137" t="e">
        <f>VLOOKUP($B233,#REF!,MATCH(G$2,#REF!,0),0)</f>
        <v>#REF!</v>
      </c>
      <c r="H233" s="48">
        <v>108</v>
      </c>
      <c r="I233" s="48">
        <v>108</v>
      </c>
      <c r="J233" s="48">
        <v>44</v>
      </c>
      <c r="K233" s="48">
        <v>44</v>
      </c>
      <c r="L233" s="48">
        <v>19</v>
      </c>
      <c r="M233" s="48">
        <v>1</v>
      </c>
      <c r="N233" s="48">
        <v>1</v>
      </c>
      <c r="O233" s="48">
        <v>1</v>
      </c>
      <c r="P233" s="48"/>
      <c r="Q233" s="48"/>
      <c r="R233" s="150" t="e">
        <f t="shared" ref="R233:AA233" si="253">$G233*H233</f>
        <v>#REF!</v>
      </c>
      <c r="S233" s="150" t="e">
        <f t="shared" si="253"/>
        <v>#REF!</v>
      </c>
      <c r="T233" s="150" t="e">
        <f t="shared" si="253"/>
        <v>#REF!</v>
      </c>
      <c r="U233" s="150" t="e">
        <f t="shared" si="253"/>
        <v>#REF!</v>
      </c>
      <c r="V233" s="150" t="e">
        <f t="shared" si="253"/>
        <v>#REF!</v>
      </c>
      <c r="W233" s="150" t="e">
        <f t="shared" si="253"/>
        <v>#REF!</v>
      </c>
      <c r="X233" s="150" t="e">
        <f t="shared" si="253"/>
        <v>#REF!</v>
      </c>
      <c r="Y233" s="150" t="e">
        <f t="shared" si="253"/>
        <v>#REF!</v>
      </c>
      <c r="Z233" s="150" t="e">
        <f t="shared" si="253"/>
        <v>#REF!</v>
      </c>
      <c r="AA233" s="150" t="e">
        <f t="shared" si="253"/>
        <v>#REF!</v>
      </c>
      <c r="AB233" s="50"/>
    </row>
    <row r="234" s="28" customFormat="1" outlineLevel="3" spans="1:28">
      <c r="A234" s="52">
        <f>MAX($A$6:A233)+1</f>
        <v>207</v>
      </c>
      <c r="B234" s="51" t="s">
        <v>1879</v>
      </c>
      <c r="C234" s="51" t="e">
        <f>VLOOKUP($B234,#REF!,MATCH(C$2,#REF!,0),0)</f>
        <v>#REF!</v>
      </c>
      <c r="D234" s="83"/>
      <c r="E234" s="83"/>
      <c r="F234" s="136" t="e">
        <f>VLOOKUP($B234,#REF!,MATCH(F$2,#REF!,0),0)</f>
        <v>#REF!</v>
      </c>
      <c r="G234" s="137" t="e">
        <f>VLOOKUP($B234,#REF!,MATCH(G$2,#REF!,0),0)</f>
        <v>#REF!</v>
      </c>
      <c r="H234" s="48"/>
      <c r="I234" s="48"/>
      <c r="J234" s="48"/>
      <c r="K234" s="48"/>
      <c r="L234" s="48"/>
      <c r="M234" s="48"/>
      <c r="N234" s="48"/>
      <c r="O234" s="48"/>
      <c r="P234" s="48"/>
      <c r="Q234" s="48"/>
      <c r="R234" s="150" t="e">
        <f t="shared" ref="R234:AA234" si="254">$G234*H234</f>
        <v>#REF!</v>
      </c>
      <c r="S234" s="150" t="e">
        <f t="shared" si="254"/>
        <v>#REF!</v>
      </c>
      <c r="T234" s="150" t="e">
        <f t="shared" si="254"/>
        <v>#REF!</v>
      </c>
      <c r="U234" s="150" t="e">
        <f t="shared" si="254"/>
        <v>#REF!</v>
      </c>
      <c r="V234" s="150" t="e">
        <f t="shared" si="254"/>
        <v>#REF!</v>
      </c>
      <c r="W234" s="150" t="e">
        <f t="shared" si="254"/>
        <v>#REF!</v>
      </c>
      <c r="X234" s="150" t="e">
        <f t="shared" si="254"/>
        <v>#REF!</v>
      </c>
      <c r="Y234" s="150" t="e">
        <f t="shared" si="254"/>
        <v>#REF!</v>
      </c>
      <c r="Z234" s="150" t="e">
        <f t="shared" si="254"/>
        <v>#REF!</v>
      </c>
      <c r="AA234" s="150" t="e">
        <f t="shared" si="254"/>
        <v>#REF!</v>
      </c>
      <c r="AB234" s="50"/>
    </row>
    <row r="235" s="28" customFormat="1" outlineLevel="3" spans="1:28">
      <c r="A235" s="52">
        <f>MAX($A$6:A234)+1</f>
        <v>208</v>
      </c>
      <c r="B235" s="51" t="s">
        <v>1880</v>
      </c>
      <c r="C235" s="51" t="e">
        <f>VLOOKUP($B235,#REF!,MATCH(C$2,#REF!,0),0)</f>
        <v>#REF!</v>
      </c>
      <c r="D235" s="83"/>
      <c r="E235" s="83"/>
      <c r="F235" s="136" t="e">
        <f>VLOOKUP($B235,#REF!,MATCH(F$2,#REF!,0),0)</f>
        <v>#REF!</v>
      </c>
      <c r="G235" s="137" t="e">
        <f>VLOOKUP($B235,#REF!,MATCH(G$2,#REF!,0),0)</f>
        <v>#REF!</v>
      </c>
      <c r="H235" s="48">
        <v>9</v>
      </c>
      <c r="I235" s="48">
        <v>9</v>
      </c>
      <c r="J235" s="48">
        <v>1</v>
      </c>
      <c r="K235" s="48">
        <v>1</v>
      </c>
      <c r="L235" s="48">
        <v>3</v>
      </c>
      <c r="M235" s="48">
        <v>1</v>
      </c>
      <c r="N235" s="48">
        <v>1</v>
      </c>
      <c r="O235" s="48">
        <v>1</v>
      </c>
      <c r="P235" s="48"/>
      <c r="Q235" s="48"/>
      <c r="R235" s="150" t="e">
        <f t="shared" ref="R235:AA235" si="255">$G235*H235</f>
        <v>#REF!</v>
      </c>
      <c r="S235" s="150" t="e">
        <f t="shared" si="255"/>
        <v>#REF!</v>
      </c>
      <c r="T235" s="150" t="e">
        <f t="shared" si="255"/>
        <v>#REF!</v>
      </c>
      <c r="U235" s="150" t="e">
        <f t="shared" si="255"/>
        <v>#REF!</v>
      </c>
      <c r="V235" s="150" t="e">
        <f t="shared" si="255"/>
        <v>#REF!</v>
      </c>
      <c r="W235" s="150" t="e">
        <f t="shared" si="255"/>
        <v>#REF!</v>
      </c>
      <c r="X235" s="150" t="e">
        <f t="shared" si="255"/>
        <v>#REF!</v>
      </c>
      <c r="Y235" s="150" t="e">
        <f t="shared" si="255"/>
        <v>#REF!</v>
      </c>
      <c r="Z235" s="150" t="e">
        <f t="shared" si="255"/>
        <v>#REF!</v>
      </c>
      <c r="AA235" s="150" t="e">
        <f t="shared" si="255"/>
        <v>#REF!</v>
      </c>
      <c r="AB235" s="50"/>
    </row>
    <row r="236" s="28" customFormat="1" outlineLevel="3" spans="1:28">
      <c r="A236" s="52">
        <f>MAX($A$6:A235)+1</f>
        <v>209</v>
      </c>
      <c r="B236" s="51" t="s">
        <v>1881</v>
      </c>
      <c r="C236" s="51" t="e">
        <f>VLOOKUP($B236,#REF!,MATCH(C$2,#REF!,0),0)</f>
        <v>#REF!</v>
      </c>
      <c r="D236" s="83"/>
      <c r="E236" s="83"/>
      <c r="F236" s="136" t="e">
        <f>VLOOKUP($B236,#REF!,MATCH(F$2,#REF!,0),0)</f>
        <v>#REF!</v>
      </c>
      <c r="G236" s="137" t="e">
        <f>VLOOKUP($B236,#REF!,MATCH(G$2,#REF!,0),0)</f>
        <v>#REF!</v>
      </c>
      <c r="H236" s="48"/>
      <c r="I236" s="48"/>
      <c r="J236" s="48"/>
      <c r="K236" s="48"/>
      <c r="L236" s="48"/>
      <c r="M236" s="48"/>
      <c r="N236" s="48"/>
      <c r="O236" s="48"/>
      <c r="P236" s="48"/>
      <c r="Q236" s="48"/>
      <c r="R236" s="150" t="e">
        <f t="shared" ref="R236:AA236" si="256">$G236*H236</f>
        <v>#REF!</v>
      </c>
      <c r="S236" s="150" t="e">
        <f t="shared" si="256"/>
        <v>#REF!</v>
      </c>
      <c r="T236" s="150" t="e">
        <f t="shared" si="256"/>
        <v>#REF!</v>
      </c>
      <c r="U236" s="150" t="e">
        <f t="shared" si="256"/>
        <v>#REF!</v>
      </c>
      <c r="V236" s="150" t="e">
        <f t="shared" si="256"/>
        <v>#REF!</v>
      </c>
      <c r="W236" s="150" t="e">
        <f t="shared" si="256"/>
        <v>#REF!</v>
      </c>
      <c r="X236" s="150" t="e">
        <f t="shared" si="256"/>
        <v>#REF!</v>
      </c>
      <c r="Y236" s="150" t="e">
        <f t="shared" si="256"/>
        <v>#REF!</v>
      </c>
      <c r="Z236" s="150" t="e">
        <f t="shared" si="256"/>
        <v>#REF!</v>
      </c>
      <c r="AA236" s="150" t="e">
        <f t="shared" si="256"/>
        <v>#REF!</v>
      </c>
      <c r="AB236" s="50"/>
    </row>
    <row r="237" s="28" customFormat="1" outlineLevel="3" spans="1:28">
      <c r="A237" s="52">
        <f>MAX($A$6:A236)+1</f>
        <v>210</v>
      </c>
      <c r="B237" s="51" t="s">
        <v>1700</v>
      </c>
      <c r="C237" s="51" t="e">
        <f>VLOOKUP($B237,#REF!,MATCH(C$2,#REF!,0),0)</f>
        <v>#REF!</v>
      </c>
      <c r="D237" s="83"/>
      <c r="E237" s="83"/>
      <c r="F237" s="136" t="e">
        <f>VLOOKUP($B237,#REF!,MATCH(F$2,#REF!,0),0)</f>
        <v>#REF!</v>
      </c>
      <c r="G237" s="137" t="e">
        <f>VLOOKUP($B237,#REF!,MATCH(G$2,#REF!,0),0)</f>
        <v>#REF!</v>
      </c>
      <c r="H237" s="48">
        <v>108</v>
      </c>
      <c r="I237" s="48">
        <v>1</v>
      </c>
      <c r="J237" s="48">
        <v>1</v>
      </c>
      <c r="K237" s="48">
        <v>1</v>
      </c>
      <c r="L237" s="48"/>
      <c r="M237" s="48">
        <v>1</v>
      </c>
      <c r="N237" s="48">
        <v>1</v>
      </c>
      <c r="O237" s="48">
        <v>1</v>
      </c>
      <c r="P237" s="48"/>
      <c r="Q237" s="48"/>
      <c r="R237" s="150" t="e">
        <f t="shared" ref="R237:AA237" si="257">$G237*H237</f>
        <v>#REF!</v>
      </c>
      <c r="S237" s="150" t="e">
        <f t="shared" si="257"/>
        <v>#REF!</v>
      </c>
      <c r="T237" s="150" t="e">
        <f t="shared" si="257"/>
        <v>#REF!</v>
      </c>
      <c r="U237" s="150" t="e">
        <f t="shared" si="257"/>
        <v>#REF!</v>
      </c>
      <c r="V237" s="150" t="e">
        <f t="shared" si="257"/>
        <v>#REF!</v>
      </c>
      <c r="W237" s="150" t="e">
        <f t="shared" si="257"/>
        <v>#REF!</v>
      </c>
      <c r="X237" s="150" t="e">
        <f t="shared" si="257"/>
        <v>#REF!</v>
      </c>
      <c r="Y237" s="150" t="e">
        <f t="shared" si="257"/>
        <v>#REF!</v>
      </c>
      <c r="Z237" s="150" t="e">
        <f t="shared" si="257"/>
        <v>#REF!</v>
      </c>
      <c r="AA237" s="150" t="e">
        <f t="shared" si="257"/>
        <v>#REF!</v>
      </c>
      <c r="AB237" s="50"/>
    </row>
    <row r="238" s="28" customFormat="1" outlineLevel="3" spans="1:28">
      <c r="A238" s="52">
        <f>MAX($A$6:A237)+1</f>
        <v>211</v>
      </c>
      <c r="B238" s="51" t="s">
        <v>1702</v>
      </c>
      <c r="C238" s="51" t="e">
        <f>VLOOKUP($B238,#REF!,MATCH(C$2,#REF!,0),0)</f>
        <v>#REF!</v>
      </c>
      <c r="D238" s="83"/>
      <c r="E238" s="83"/>
      <c r="F238" s="136" t="e">
        <f>VLOOKUP($B238,#REF!,MATCH(F$2,#REF!,0),0)</f>
        <v>#REF!</v>
      </c>
      <c r="G238" s="137" t="e">
        <f>VLOOKUP($B238,#REF!,MATCH(G$2,#REF!,0),0)</f>
        <v>#REF!</v>
      </c>
      <c r="H238" s="48">
        <v>108</v>
      </c>
      <c r="I238" s="48">
        <v>1</v>
      </c>
      <c r="J238" s="48">
        <v>1</v>
      </c>
      <c r="K238" s="48">
        <v>1</v>
      </c>
      <c r="L238" s="48"/>
      <c r="M238" s="48">
        <v>1</v>
      </c>
      <c r="N238" s="48">
        <v>1</v>
      </c>
      <c r="O238" s="48">
        <v>1</v>
      </c>
      <c r="P238" s="48"/>
      <c r="Q238" s="48"/>
      <c r="R238" s="150" t="e">
        <f t="shared" ref="R238:AA238" si="258">$G238*H238</f>
        <v>#REF!</v>
      </c>
      <c r="S238" s="150" t="e">
        <f t="shared" si="258"/>
        <v>#REF!</v>
      </c>
      <c r="T238" s="150" t="e">
        <f t="shared" si="258"/>
        <v>#REF!</v>
      </c>
      <c r="U238" s="150" t="e">
        <f t="shared" si="258"/>
        <v>#REF!</v>
      </c>
      <c r="V238" s="150" t="e">
        <f t="shared" si="258"/>
        <v>#REF!</v>
      </c>
      <c r="W238" s="150" t="e">
        <f t="shared" si="258"/>
        <v>#REF!</v>
      </c>
      <c r="X238" s="150" t="e">
        <f t="shared" si="258"/>
        <v>#REF!</v>
      </c>
      <c r="Y238" s="150" t="e">
        <f t="shared" si="258"/>
        <v>#REF!</v>
      </c>
      <c r="Z238" s="150" t="e">
        <f t="shared" si="258"/>
        <v>#REF!</v>
      </c>
      <c r="AA238" s="150" t="e">
        <f t="shared" si="258"/>
        <v>#REF!</v>
      </c>
      <c r="AB238" s="50"/>
    </row>
    <row r="239" s="28" customFormat="1" outlineLevel="3" spans="1:28">
      <c r="A239" s="52">
        <f>MAX($A$6:A238)+1</f>
        <v>212</v>
      </c>
      <c r="B239" s="51" t="s">
        <v>2032</v>
      </c>
      <c r="C239" s="51" t="e">
        <f>VLOOKUP($B239,#REF!,MATCH(C$2,#REF!,0),0)</f>
        <v>#REF!</v>
      </c>
      <c r="D239" s="83"/>
      <c r="E239" s="83"/>
      <c r="F239" s="136" t="e">
        <f>VLOOKUP($B239,#REF!,MATCH(F$2,#REF!,0),0)</f>
        <v>#REF!</v>
      </c>
      <c r="G239" s="137" t="e">
        <f>VLOOKUP($B239,#REF!,MATCH(G$2,#REF!,0),0)</f>
        <v>#REF!</v>
      </c>
      <c r="H239" s="48">
        <v>48</v>
      </c>
      <c r="I239" s="48">
        <v>48</v>
      </c>
      <c r="J239" s="48">
        <v>16</v>
      </c>
      <c r="K239" s="48">
        <v>16</v>
      </c>
      <c r="L239" s="48">
        <v>12</v>
      </c>
      <c r="M239" s="48">
        <v>1</v>
      </c>
      <c r="N239" s="48">
        <v>1</v>
      </c>
      <c r="O239" s="48">
        <v>1</v>
      </c>
      <c r="P239" s="48"/>
      <c r="Q239" s="48"/>
      <c r="R239" s="150" t="e">
        <f t="shared" ref="R239:AA239" si="259">$G239*H239</f>
        <v>#REF!</v>
      </c>
      <c r="S239" s="150" t="e">
        <f t="shared" si="259"/>
        <v>#REF!</v>
      </c>
      <c r="T239" s="150" t="e">
        <f t="shared" si="259"/>
        <v>#REF!</v>
      </c>
      <c r="U239" s="150" t="e">
        <f t="shared" si="259"/>
        <v>#REF!</v>
      </c>
      <c r="V239" s="150" t="e">
        <f t="shared" si="259"/>
        <v>#REF!</v>
      </c>
      <c r="W239" s="150" t="e">
        <f t="shared" si="259"/>
        <v>#REF!</v>
      </c>
      <c r="X239" s="150" t="e">
        <f t="shared" si="259"/>
        <v>#REF!</v>
      </c>
      <c r="Y239" s="150" t="e">
        <f t="shared" si="259"/>
        <v>#REF!</v>
      </c>
      <c r="Z239" s="150" t="e">
        <f t="shared" si="259"/>
        <v>#REF!</v>
      </c>
      <c r="AA239" s="150" t="e">
        <f t="shared" si="259"/>
        <v>#REF!</v>
      </c>
      <c r="AB239" s="50"/>
    </row>
    <row r="240" s="28" customFormat="1" ht="28.8" outlineLevel="3" spans="1:28">
      <c r="A240" s="52">
        <f>MAX($A$6:A239)+1</f>
        <v>213</v>
      </c>
      <c r="B240" s="51" t="s">
        <v>2033</v>
      </c>
      <c r="C240" s="51" t="e">
        <f>VLOOKUP($B240,#REF!,MATCH(C$2,#REF!,0),0)</f>
        <v>#REF!</v>
      </c>
      <c r="D240" s="83"/>
      <c r="E240" s="83"/>
      <c r="F240" s="136" t="e">
        <f>VLOOKUP($B240,#REF!,MATCH(F$2,#REF!,0),0)</f>
        <v>#REF!</v>
      </c>
      <c r="G240" s="137" t="e">
        <f>VLOOKUP($B240,#REF!,MATCH(G$2,#REF!,0),0)</f>
        <v>#REF!</v>
      </c>
      <c r="H240" s="48">
        <v>1</v>
      </c>
      <c r="I240" s="48">
        <v>1</v>
      </c>
      <c r="J240" s="48">
        <v>1</v>
      </c>
      <c r="K240" s="48">
        <v>1</v>
      </c>
      <c r="L240" s="48"/>
      <c r="M240" s="48"/>
      <c r="N240" s="48"/>
      <c r="O240" s="48"/>
      <c r="P240" s="48"/>
      <c r="Q240" s="48"/>
      <c r="R240" s="150" t="e">
        <f t="shared" ref="R240:AA240" si="260">$G240*H240</f>
        <v>#REF!</v>
      </c>
      <c r="S240" s="150" t="e">
        <f t="shared" si="260"/>
        <v>#REF!</v>
      </c>
      <c r="T240" s="150" t="e">
        <f t="shared" si="260"/>
        <v>#REF!</v>
      </c>
      <c r="U240" s="150" t="e">
        <f t="shared" si="260"/>
        <v>#REF!</v>
      </c>
      <c r="V240" s="150" t="e">
        <f t="shared" si="260"/>
        <v>#REF!</v>
      </c>
      <c r="W240" s="150" t="e">
        <f t="shared" si="260"/>
        <v>#REF!</v>
      </c>
      <c r="X240" s="150" t="e">
        <f t="shared" si="260"/>
        <v>#REF!</v>
      </c>
      <c r="Y240" s="150" t="e">
        <f t="shared" si="260"/>
        <v>#REF!</v>
      </c>
      <c r="Z240" s="150" t="e">
        <f t="shared" si="260"/>
        <v>#REF!</v>
      </c>
      <c r="AA240" s="150" t="e">
        <f t="shared" si="260"/>
        <v>#REF!</v>
      </c>
      <c r="AB240" s="50"/>
    </row>
    <row r="241" s="28" customFormat="1" ht="28.8" outlineLevel="3" spans="1:28">
      <c r="A241" s="52">
        <f>MAX($A$6:A240)+1</f>
        <v>214</v>
      </c>
      <c r="B241" s="51" t="s">
        <v>2034</v>
      </c>
      <c r="C241" s="51" t="e">
        <f>VLOOKUP($B241,#REF!,MATCH(C$2,#REF!,0),0)</f>
        <v>#REF!</v>
      </c>
      <c r="D241" s="83"/>
      <c r="E241" s="83"/>
      <c r="F241" s="136" t="e">
        <f>VLOOKUP($B241,#REF!,MATCH(F$2,#REF!,0),0)</f>
        <v>#REF!</v>
      </c>
      <c r="G241" s="137" t="e">
        <f>VLOOKUP($B241,#REF!,MATCH(G$2,#REF!,0),0)</f>
        <v>#REF!</v>
      </c>
      <c r="H241" s="48">
        <v>2</v>
      </c>
      <c r="I241" s="48">
        <v>2</v>
      </c>
      <c r="J241" s="48">
        <v>2</v>
      </c>
      <c r="K241" s="48">
        <v>2</v>
      </c>
      <c r="L241" s="48"/>
      <c r="M241" s="48"/>
      <c r="N241" s="48"/>
      <c r="O241" s="48"/>
      <c r="P241" s="48"/>
      <c r="Q241" s="48"/>
      <c r="R241" s="150" t="e">
        <f t="shared" ref="R241:AA241" si="261">$G241*H241</f>
        <v>#REF!</v>
      </c>
      <c r="S241" s="150" t="e">
        <f t="shared" si="261"/>
        <v>#REF!</v>
      </c>
      <c r="T241" s="150" t="e">
        <f t="shared" si="261"/>
        <v>#REF!</v>
      </c>
      <c r="U241" s="150" t="e">
        <f t="shared" si="261"/>
        <v>#REF!</v>
      </c>
      <c r="V241" s="150" t="e">
        <f t="shared" si="261"/>
        <v>#REF!</v>
      </c>
      <c r="W241" s="150" t="e">
        <f t="shared" si="261"/>
        <v>#REF!</v>
      </c>
      <c r="X241" s="150" t="e">
        <f t="shared" si="261"/>
        <v>#REF!</v>
      </c>
      <c r="Y241" s="150" t="e">
        <f t="shared" si="261"/>
        <v>#REF!</v>
      </c>
      <c r="Z241" s="150" t="e">
        <f t="shared" si="261"/>
        <v>#REF!</v>
      </c>
      <c r="AA241" s="150" t="e">
        <f t="shared" si="261"/>
        <v>#REF!</v>
      </c>
      <c r="AB241" s="50"/>
    </row>
    <row r="242" s="28" customFormat="1" ht="28.8" outlineLevel="3" spans="1:28">
      <c r="A242" s="52">
        <f>MAX($A$6:A241)+1</f>
        <v>215</v>
      </c>
      <c r="B242" s="51" t="s">
        <v>2035</v>
      </c>
      <c r="C242" s="51" t="e">
        <f>VLOOKUP($B242,#REF!,MATCH(C$2,#REF!,0),0)</f>
        <v>#REF!</v>
      </c>
      <c r="D242" s="83"/>
      <c r="E242" s="83"/>
      <c r="F242" s="136" t="e">
        <f>VLOOKUP($B242,#REF!,MATCH(F$2,#REF!,0),0)</f>
        <v>#REF!</v>
      </c>
      <c r="G242" s="137" t="e">
        <f>VLOOKUP($B242,#REF!,MATCH(G$2,#REF!,0),0)</f>
        <v>#REF!</v>
      </c>
      <c r="H242" s="48">
        <v>1</v>
      </c>
      <c r="I242" s="48">
        <v>1</v>
      </c>
      <c r="J242" s="48">
        <v>1</v>
      </c>
      <c r="K242" s="48">
        <v>1</v>
      </c>
      <c r="L242" s="48"/>
      <c r="M242" s="48"/>
      <c r="N242" s="48"/>
      <c r="O242" s="48"/>
      <c r="P242" s="48"/>
      <c r="Q242" s="48"/>
      <c r="R242" s="150" t="e">
        <f t="shared" ref="R242:AA242" si="262">$G242*H242</f>
        <v>#REF!</v>
      </c>
      <c r="S242" s="150" t="e">
        <f t="shared" si="262"/>
        <v>#REF!</v>
      </c>
      <c r="T242" s="150" t="e">
        <f t="shared" si="262"/>
        <v>#REF!</v>
      </c>
      <c r="U242" s="150" t="e">
        <f t="shared" si="262"/>
        <v>#REF!</v>
      </c>
      <c r="V242" s="150" t="e">
        <f t="shared" si="262"/>
        <v>#REF!</v>
      </c>
      <c r="W242" s="150" t="e">
        <f t="shared" si="262"/>
        <v>#REF!</v>
      </c>
      <c r="X242" s="150" t="e">
        <f t="shared" si="262"/>
        <v>#REF!</v>
      </c>
      <c r="Y242" s="150" t="e">
        <f t="shared" si="262"/>
        <v>#REF!</v>
      </c>
      <c r="Z242" s="150" t="e">
        <f t="shared" si="262"/>
        <v>#REF!</v>
      </c>
      <c r="AA242" s="150" t="e">
        <f t="shared" si="262"/>
        <v>#REF!</v>
      </c>
      <c r="AB242" s="50"/>
    </row>
    <row r="243" s="29" customFormat="1" outlineLevel="2" spans="1:28">
      <c r="A243" s="40"/>
      <c r="B243" s="41" t="s">
        <v>2036</v>
      </c>
      <c r="C243" s="41"/>
      <c r="D243" s="140"/>
      <c r="E243" s="140"/>
      <c r="F243" s="141"/>
      <c r="G243" s="142"/>
      <c r="H243" s="43"/>
      <c r="I243" s="43"/>
      <c r="J243" s="43"/>
      <c r="K243" s="43"/>
      <c r="L243" s="43"/>
      <c r="M243" s="43"/>
      <c r="N243" s="43"/>
      <c r="O243" s="43"/>
      <c r="P243" s="43"/>
      <c r="Q243" s="43"/>
      <c r="R243" s="149" t="e">
        <f t="shared" ref="R243:AA243" si="263">SUM(R244:R263)</f>
        <v>#REF!</v>
      </c>
      <c r="S243" s="149" t="e">
        <f t="shared" si="263"/>
        <v>#REF!</v>
      </c>
      <c r="T243" s="149" t="e">
        <f t="shared" si="263"/>
        <v>#REF!</v>
      </c>
      <c r="U243" s="149" t="e">
        <f t="shared" si="263"/>
        <v>#REF!</v>
      </c>
      <c r="V243" s="149" t="e">
        <f t="shared" si="263"/>
        <v>#REF!</v>
      </c>
      <c r="W243" s="149" t="e">
        <f t="shared" si="263"/>
        <v>#REF!</v>
      </c>
      <c r="X243" s="149" t="e">
        <f t="shared" si="263"/>
        <v>#REF!</v>
      </c>
      <c r="Y243" s="149" t="e">
        <f t="shared" si="263"/>
        <v>#REF!</v>
      </c>
      <c r="Z243" s="149" t="e">
        <f t="shared" si="263"/>
        <v>#REF!</v>
      </c>
      <c r="AA243" s="149" t="e">
        <f t="shared" si="263"/>
        <v>#REF!</v>
      </c>
      <c r="AB243" s="40"/>
    </row>
    <row r="244" s="28" customFormat="1" ht="28.8" outlineLevel="3" spans="1:28">
      <c r="A244" s="52">
        <f>MAX($A$6:A243)+1</f>
        <v>216</v>
      </c>
      <c r="B244" s="51" t="s">
        <v>1899</v>
      </c>
      <c r="C244" s="51" t="e">
        <f>VLOOKUP($B244,#REF!,MATCH(C$2,#REF!,0),0)</f>
        <v>#REF!</v>
      </c>
      <c r="D244" s="83"/>
      <c r="E244" s="83"/>
      <c r="F244" s="136" t="e">
        <f>VLOOKUP($B244,#REF!,MATCH(F$2,#REF!,0),0)</f>
        <v>#REF!</v>
      </c>
      <c r="G244" s="137" t="e">
        <f>VLOOKUP($B244,#REF!,MATCH(G$2,#REF!,0),0)</f>
        <v>#REF!</v>
      </c>
      <c r="H244" s="48">
        <v>1.5</v>
      </c>
      <c r="I244" s="48">
        <v>1.47</v>
      </c>
      <c r="J244" s="48">
        <v>1</v>
      </c>
      <c r="K244" s="48">
        <v>1</v>
      </c>
      <c r="L244" s="48"/>
      <c r="M244" s="48"/>
      <c r="N244" s="48"/>
      <c r="O244" s="48"/>
      <c r="P244" s="48"/>
      <c r="Q244" s="48"/>
      <c r="R244" s="150" t="e">
        <f t="shared" ref="R244:AA244" si="264">$G244*H244</f>
        <v>#REF!</v>
      </c>
      <c r="S244" s="150" t="e">
        <f t="shared" si="264"/>
        <v>#REF!</v>
      </c>
      <c r="T244" s="150" t="e">
        <f t="shared" si="264"/>
        <v>#REF!</v>
      </c>
      <c r="U244" s="150" t="e">
        <f t="shared" si="264"/>
        <v>#REF!</v>
      </c>
      <c r="V244" s="150" t="e">
        <f t="shared" si="264"/>
        <v>#REF!</v>
      </c>
      <c r="W244" s="150" t="e">
        <f t="shared" si="264"/>
        <v>#REF!</v>
      </c>
      <c r="X244" s="150" t="e">
        <f t="shared" si="264"/>
        <v>#REF!</v>
      </c>
      <c r="Y244" s="150" t="e">
        <f t="shared" si="264"/>
        <v>#REF!</v>
      </c>
      <c r="Z244" s="150" t="e">
        <f t="shared" si="264"/>
        <v>#REF!</v>
      </c>
      <c r="AA244" s="150" t="e">
        <f t="shared" si="264"/>
        <v>#REF!</v>
      </c>
      <c r="AB244" s="50"/>
    </row>
    <row r="245" s="28" customFormat="1" ht="28.8" outlineLevel="3" spans="1:28">
      <c r="A245" s="52">
        <f>MAX($A$6:A244)+1</f>
        <v>217</v>
      </c>
      <c r="B245" s="51" t="s">
        <v>1900</v>
      </c>
      <c r="C245" s="51" t="e">
        <f>VLOOKUP($B245,#REF!,MATCH(C$2,#REF!,0),0)</f>
        <v>#REF!</v>
      </c>
      <c r="D245" s="83"/>
      <c r="E245" s="83"/>
      <c r="F245" s="136" t="e">
        <f>VLOOKUP($B245,#REF!,MATCH(F$2,#REF!,0),0)</f>
        <v>#REF!</v>
      </c>
      <c r="G245" s="137" t="e">
        <f>VLOOKUP($B245,#REF!,MATCH(G$2,#REF!,0),0)</f>
        <v>#REF!</v>
      </c>
      <c r="H245" s="48">
        <v>287.82</v>
      </c>
      <c r="I245" s="48">
        <v>145.42</v>
      </c>
      <c r="J245" s="48">
        <v>107.2</v>
      </c>
      <c r="K245" s="48">
        <v>107.2</v>
      </c>
      <c r="L245" s="48">
        <v>61.239</v>
      </c>
      <c r="M245" s="48"/>
      <c r="N245" s="48"/>
      <c r="O245" s="48"/>
      <c r="P245" s="48"/>
      <c r="Q245" s="48"/>
      <c r="R245" s="150" t="e">
        <f t="shared" ref="R245:AA245" si="265">$G245*H245</f>
        <v>#REF!</v>
      </c>
      <c r="S245" s="150" t="e">
        <f t="shared" si="265"/>
        <v>#REF!</v>
      </c>
      <c r="T245" s="150" t="e">
        <f t="shared" si="265"/>
        <v>#REF!</v>
      </c>
      <c r="U245" s="150" t="e">
        <f t="shared" si="265"/>
        <v>#REF!</v>
      </c>
      <c r="V245" s="150" t="e">
        <f t="shared" si="265"/>
        <v>#REF!</v>
      </c>
      <c r="W245" s="150" t="e">
        <f t="shared" si="265"/>
        <v>#REF!</v>
      </c>
      <c r="X245" s="150" t="e">
        <f t="shared" si="265"/>
        <v>#REF!</v>
      </c>
      <c r="Y245" s="150" t="e">
        <f t="shared" si="265"/>
        <v>#REF!</v>
      </c>
      <c r="Z245" s="150" t="e">
        <f t="shared" si="265"/>
        <v>#REF!</v>
      </c>
      <c r="AA245" s="150" t="e">
        <f t="shared" si="265"/>
        <v>#REF!</v>
      </c>
      <c r="AB245" s="50"/>
    </row>
    <row r="246" s="28" customFormat="1" ht="28.8" outlineLevel="3" spans="1:28">
      <c r="A246" s="52">
        <f>MAX($A$6:A245)+1</f>
        <v>218</v>
      </c>
      <c r="B246" s="51" t="s">
        <v>1901</v>
      </c>
      <c r="C246" s="51" t="e">
        <f>VLOOKUP($B246,#REF!,MATCH(C$2,#REF!,0),0)</f>
        <v>#REF!</v>
      </c>
      <c r="D246" s="83"/>
      <c r="E246" s="83"/>
      <c r="F246" s="136" t="e">
        <f>VLOOKUP($B246,#REF!,MATCH(F$2,#REF!,0),0)</f>
        <v>#REF!</v>
      </c>
      <c r="G246" s="137" t="e">
        <f>VLOOKUP($B246,#REF!,MATCH(G$2,#REF!,0),0)</f>
        <v>#REF!</v>
      </c>
      <c r="H246" s="48">
        <v>50.88</v>
      </c>
      <c r="I246" s="48">
        <v>10.2</v>
      </c>
      <c r="J246" s="48">
        <v>1</v>
      </c>
      <c r="K246" s="48">
        <v>1</v>
      </c>
      <c r="L246" s="48">
        <v>67.975</v>
      </c>
      <c r="M246" s="48"/>
      <c r="N246" s="48"/>
      <c r="O246" s="48"/>
      <c r="P246" s="48"/>
      <c r="Q246" s="48"/>
      <c r="R246" s="150" t="e">
        <f t="shared" ref="R246:AA246" si="266">$G246*H246</f>
        <v>#REF!</v>
      </c>
      <c r="S246" s="150" t="e">
        <f t="shared" si="266"/>
        <v>#REF!</v>
      </c>
      <c r="T246" s="150" t="e">
        <f t="shared" si="266"/>
        <v>#REF!</v>
      </c>
      <c r="U246" s="150" t="e">
        <f t="shared" si="266"/>
        <v>#REF!</v>
      </c>
      <c r="V246" s="150" t="e">
        <f t="shared" si="266"/>
        <v>#REF!</v>
      </c>
      <c r="W246" s="150" t="e">
        <f t="shared" si="266"/>
        <v>#REF!</v>
      </c>
      <c r="X246" s="150" t="e">
        <f t="shared" si="266"/>
        <v>#REF!</v>
      </c>
      <c r="Y246" s="150" t="e">
        <f t="shared" si="266"/>
        <v>#REF!</v>
      </c>
      <c r="Z246" s="150" t="e">
        <f t="shared" si="266"/>
        <v>#REF!</v>
      </c>
      <c r="AA246" s="150" t="e">
        <f t="shared" si="266"/>
        <v>#REF!</v>
      </c>
      <c r="AB246" s="50"/>
    </row>
    <row r="247" s="28" customFormat="1" ht="28.8" outlineLevel="3" spans="1:28">
      <c r="A247" s="52">
        <f>MAX($A$6:A246)+1</f>
        <v>219</v>
      </c>
      <c r="B247" s="51" t="s">
        <v>1902</v>
      </c>
      <c r="C247" s="51" t="e">
        <f>VLOOKUP($B247,#REF!,MATCH(C$2,#REF!,0),0)</f>
        <v>#REF!</v>
      </c>
      <c r="D247" s="83"/>
      <c r="E247" s="83"/>
      <c r="F247" s="136" t="e">
        <f>VLOOKUP($B247,#REF!,MATCH(F$2,#REF!,0),0)</f>
        <v>#REF!</v>
      </c>
      <c r="G247" s="137" t="e">
        <f>VLOOKUP($B247,#REF!,MATCH(G$2,#REF!,0),0)</f>
        <v>#REF!</v>
      </c>
      <c r="H247" s="48">
        <v>8.7</v>
      </c>
      <c r="I247" s="48">
        <v>11.5</v>
      </c>
      <c r="J247" s="48">
        <v>5.8</v>
      </c>
      <c r="K247" s="48">
        <v>5.8</v>
      </c>
      <c r="L247" s="48">
        <v>3.15</v>
      </c>
      <c r="M247" s="48"/>
      <c r="N247" s="48"/>
      <c r="O247" s="48"/>
      <c r="P247" s="48"/>
      <c r="Q247" s="48"/>
      <c r="R247" s="150" t="e">
        <f t="shared" ref="R247:AA247" si="267">$G247*H247</f>
        <v>#REF!</v>
      </c>
      <c r="S247" s="150" t="e">
        <f t="shared" si="267"/>
        <v>#REF!</v>
      </c>
      <c r="T247" s="150" t="e">
        <f t="shared" si="267"/>
        <v>#REF!</v>
      </c>
      <c r="U247" s="150" t="e">
        <f t="shared" si="267"/>
        <v>#REF!</v>
      </c>
      <c r="V247" s="150" t="e">
        <f t="shared" si="267"/>
        <v>#REF!</v>
      </c>
      <c r="W247" s="150" t="e">
        <f t="shared" si="267"/>
        <v>#REF!</v>
      </c>
      <c r="X247" s="150" t="e">
        <f t="shared" si="267"/>
        <v>#REF!</v>
      </c>
      <c r="Y247" s="150" t="e">
        <f t="shared" si="267"/>
        <v>#REF!</v>
      </c>
      <c r="Z247" s="150" t="e">
        <f t="shared" si="267"/>
        <v>#REF!</v>
      </c>
      <c r="AA247" s="150" t="e">
        <f t="shared" si="267"/>
        <v>#REF!</v>
      </c>
      <c r="AB247" s="50"/>
    </row>
    <row r="248" s="28" customFormat="1" ht="28.8" outlineLevel="3" spans="1:28">
      <c r="A248" s="52">
        <f>MAX($A$6:A247)+1</f>
        <v>220</v>
      </c>
      <c r="B248" s="51" t="s">
        <v>1903</v>
      </c>
      <c r="C248" s="51" t="e">
        <f>VLOOKUP($B248,#REF!,MATCH(C$2,#REF!,0),0)</f>
        <v>#REF!</v>
      </c>
      <c r="D248" s="83"/>
      <c r="E248" s="83"/>
      <c r="F248" s="136" t="e">
        <f>VLOOKUP($B248,#REF!,MATCH(F$2,#REF!,0),0)</f>
        <v>#REF!</v>
      </c>
      <c r="G248" s="137" t="e">
        <f>VLOOKUP($B248,#REF!,MATCH(G$2,#REF!,0),0)</f>
        <v>#REF!</v>
      </c>
      <c r="H248" s="48">
        <v>17.4</v>
      </c>
      <c r="I248" s="48">
        <v>14.6</v>
      </c>
      <c r="J248" s="48">
        <v>11.6</v>
      </c>
      <c r="K248" s="48">
        <v>11.6</v>
      </c>
      <c r="L248" s="48"/>
      <c r="M248" s="48"/>
      <c r="N248" s="48"/>
      <c r="O248" s="48"/>
      <c r="P248" s="48"/>
      <c r="Q248" s="48"/>
      <c r="R248" s="150" t="e">
        <f t="shared" ref="R248:AA248" si="268">$G248*H248</f>
        <v>#REF!</v>
      </c>
      <c r="S248" s="150" t="e">
        <f t="shared" si="268"/>
        <v>#REF!</v>
      </c>
      <c r="T248" s="150" t="e">
        <f t="shared" si="268"/>
        <v>#REF!</v>
      </c>
      <c r="U248" s="150" t="e">
        <f t="shared" si="268"/>
        <v>#REF!</v>
      </c>
      <c r="V248" s="150" t="e">
        <f t="shared" si="268"/>
        <v>#REF!</v>
      </c>
      <c r="W248" s="150" t="e">
        <f t="shared" si="268"/>
        <v>#REF!</v>
      </c>
      <c r="X248" s="150" t="e">
        <f t="shared" si="268"/>
        <v>#REF!</v>
      </c>
      <c r="Y248" s="150" t="e">
        <f t="shared" si="268"/>
        <v>#REF!</v>
      </c>
      <c r="Z248" s="150" t="e">
        <f t="shared" si="268"/>
        <v>#REF!</v>
      </c>
      <c r="AA248" s="150" t="e">
        <f t="shared" si="268"/>
        <v>#REF!</v>
      </c>
      <c r="AB248" s="50"/>
    </row>
    <row r="249" s="28" customFormat="1" ht="28.8" outlineLevel="3" spans="1:28">
      <c r="A249" s="52">
        <f>MAX($A$6:A248)+1</f>
        <v>221</v>
      </c>
      <c r="B249" s="51" t="s">
        <v>1904</v>
      </c>
      <c r="C249" s="51" t="e">
        <f>VLOOKUP($B249,#REF!,MATCH(C$2,#REF!,0),0)</f>
        <v>#REF!</v>
      </c>
      <c r="D249" s="83"/>
      <c r="E249" s="83"/>
      <c r="F249" s="136" t="e">
        <f>VLOOKUP($B249,#REF!,MATCH(F$2,#REF!,0),0)</f>
        <v>#REF!</v>
      </c>
      <c r="G249" s="137" t="e">
        <f>VLOOKUP($B249,#REF!,MATCH(G$2,#REF!,0),0)</f>
        <v>#REF!</v>
      </c>
      <c r="H249" s="48">
        <v>2.4</v>
      </c>
      <c r="I249" s="48">
        <v>2.7</v>
      </c>
      <c r="J249" s="48">
        <v>1.5</v>
      </c>
      <c r="K249" s="48">
        <v>1.5</v>
      </c>
      <c r="L249" s="48">
        <v>2.83</v>
      </c>
      <c r="M249" s="48"/>
      <c r="N249" s="48"/>
      <c r="O249" s="48"/>
      <c r="P249" s="48"/>
      <c r="Q249" s="48"/>
      <c r="R249" s="150" t="e">
        <f t="shared" ref="R249:AA249" si="269">$G249*H249</f>
        <v>#REF!</v>
      </c>
      <c r="S249" s="150" t="e">
        <f t="shared" si="269"/>
        <v>#REF!</v>
      </c>
      <c r="T249" s="150" t="e">
        <f t="shared" si="269"/>
        <v>#REF!</v>
      </c>
      <c r="U249" s="150" t="e">
        <f t="shared" si="269"/>
        <v>#REF!</v>
      </c>
      <c r="V249" s="150" t="e">
        <f t="shared" si="269"/>
        <v>#REF!</v>
      </c>
      <c r="W249" s="150" t="e">
        <f t="shared" si="269"/>
        <v>#REF!</v>
      </c>
      <c r="X249" s="150" t="e">
        <f t="shared" si="269"/>
        <v>#REF!</v>
      </c>
      <c r="Y249" s="150" t="e">
        <f t="shared" si="269"/>
        <v>#REF!</v>
      </c>
      <c r="Z249" s="150" t="e">
        <f t="shared" si="269"/>
        <v>#REF!</v>
      </c>
      <c r="AA249" s="150" t="e">
        <f t="shared" si="269"/>
        <v>#REF!</v>
      </c>
      <c r="AB249" s="50"/>
    </row>
    <row r="250" s="28" customFormat="1" ht="28.8" outlineLevel="3" spans="1:28">
      <c r="A250" s="52">
        <f>MAX($A$6:A249)+1</f>
        <v>222</v>
      </c>
      <c r="B250" s="51" t="s">
        <v>2037</v>
      </c>
      <c r="C250" s="51" t="e">
        <f>VLOOKUP($B250,#REF!,MATCH(C$2,#REF!,0),0)</f>
        <v>#REF!</v>
      </c>
      <c r="D250" s="83"/>
      <c r="E250" s="83"/>
      <c r="F250" s="136" t="e">
        <f>VLOOKUP($B250,#REF!,MATCH(F$2,#REF!,0),0)</f>
        <v>#REF!</v>
      </c>
      <c r="G250" s="137" t="e">
        <f>VLOOKUP($B250,#REF!,MATCH(G$2,#REF!,0),0)</f>
        <v>#REF!</v>
      </c>
      <c r="H250" s="48">
        <v>3.4</v>
      </c>
      <c r="I250" s="48">
        <v>3.7</v>
      </c>
      <c r="J250" s="48">
        <v>2.5</v>
      </c>
      <c r="K250" s="48">
        <v>2.5</v>
      </c>
      <c r="L250" s="48">
        <v>11.8</v>
      </c>
      <c r="M250" s="48"/>
      <c r="N250" s="48"/>
      <c r="O250" s="48"/>
      <c r="P250" s="48"/>
      <c r="Q250" s="48"/>
      <c r="R250" s="150" t="e">
        <f t="shared" ref="R250:AA250" si="270">$G250*H250</f>
        <v>#REF!</v>
      </c>
      <c r="S250" s="150" t="e">
        <f t="shared" si="270"/>
        <v>#REF!</v>
      </c>
      <c r="T250" s="150" t="e">
        <f t="shared" si="270"/>
        <v>#REF!</v>
      </c>
      <c r="U250" s="150" t="e">
        <f t="shared" si="270"/>
        <v>#REF!</v>
      </c>
      <c r="V250" s="150" t="e">
        <f t="shared" si="270"/>
        <v>#REF!</v>
      </c>
      <c r="W250" s="150" t="e">
        <f t="shared" si="270"/>
        <v>#REF!</v>
      </c>
      <c r="X250" s="150" t="e">
        <f t="shared" si="270"/>
        <v>#REF!</v>
      </c>
      <c r="Y250" s="150" t="e">
        <f t="shared" si="270"/>
        <v>#REF!</v>
      </c>
      <c r="Z250" s="150" t="e">
        <f t="shared" si="270"/>
        <v>#REF!</v>
      </c>
      <c r="AA250" s="150" t="e">
        <f t="shared" si="270"/>
        <v>#REF!</v>
      </c>
      <c r="AB250" s="50"/>
    </row>
    <row r="251" s="28" customFormat="1" ht="28.8" outlineLevel="3" spans="1:28">
      <c r="A251" s="52">
        <f>MAX($A$6:A250)+1</f>
        <v>223</v>
      </c>
      <c r="B251" s="51" t="s">
        <v>2038</v>
      </c>
      <c r="C251" s="51" t="e">
        <f>VLOOKUP($B251,#REF!,MATCH(C$2,#REF!,0),0)</f>
        <v>#REF!</v>
      </c>
      <c r="D251" s="83"/>
      <c r="E251" s="83"/>
      <c r="F251" s="136" t="e">
        <f>VLOOKUP($B251,#REF!,MATCH(F$2,#REF!,0),0)</f>
        <v>#REF!</v>
      </c>
      <c r="G251" s="137" t="e">
        <f>VLOOKUP($B251,#REF!,MATCH(G$2,#REF!,0),0)</f>
        <v>#REF!</v>
      </c>
      <c r="H251" s="48">
        <v>4.4</v>
      </c>
      <c r="I251" s="48">
        <v>4.7</v>
      </c>
      <c r="J251" s="48">
        <v>3.5</v>
      </c>
      <c r="K251" s="48">
        <v>3.5</v>
      </c>
      <c r="L251" s="48">
        <v>16.35</v>
      </c>
      <c r="M251" s="48"/>
      <c r="N251" s="48"/>
      <c r="O251" s="48"/>
      <c r="P251" s="48"/>
      <c r="Q251" s="48"/>
      <c r="R251" s="150" t="e">
        <f t="shared" ref="R251:AA251" si="271">$G251*H251</f>
        <v>#REF!</v>
      </c>
      <c r="S251" s="150" t="e">
        <f t="shared" si="271"/>
        <v>#REF!</v>
      </c>
      <c r="T251" s="150" t="e">
        <f t="shared" si="271"/>
        <v>#REF!</v>
      </c>
      <c r="U251" s="150" t="e">
        <f t="shared" si="271"/>
        <v>#REF!</v>
      </c>
      <c r="V251" s="150" t="e">
        <f t="shared" si="271"/>
        <v>#REF!</v>
      </c>
      <c r="W251" s="150" t="e">
        <f t="shared" si="271"/>
        <v>#REF!</v>
      </c>
      <c r="X251" s="150" t="e">
        <f t="shared" si="271"/>
        <v>#REF!</v>
      </c>
      <c r="Y251" s="150" t="e">
        <f t="shared" si="271"/>
        <v>#REF!</v>
      </c>
      <c r="Z251" s="150" t="e">
        <f t="shared" si="271"/>
        <v>#REF!</v>
      </c>
      <c r="AA251" s="150" t="e">
        <f t="shared" si="271"/>
        <v>#REF!</v>
      </c>
      <c r="AB251" s="50"/>
    </row>
    <row r="252" s="28" customFormat="1" ht="28.8" outlineLevel="3" spans="1:28">
      <c r="A252" s="52">
        <f>MAX($A$6:A251)+1</f>
        <v>224</v>
      </c>
      <c r="B252" s="51" t="s">
        <v>2039</v>
      </c>
      <c r="C252" s="51" t="e">
        <f>VLOOKUP($B252,#REF!,MATCH(C$2,#REF!,0),0)</f>
        <v>#REF!</v>
      </c>
      <c r="D252" s="83"/>
      <c r="E252" s="83"/>
      <c r="F252" s="136" t="e">
        <f>VLOOKUP($B252,#REF!,MATCH(F$2,#REF!,0),0)</f>
        <v>#REF!</v>
      </c>
      <c r="G252" s="137" t="e">
        <f>VLOOKUP($B252,#REF!,MATCH(G$2,#REF!,0),0)</f>
        <v>#REF!</v>
      </c>
      <c r="H252" s="48">
        <v>5.4</v>
      </c>
      <c r="I252" s="48">
        <v>5.7</v>
      </c>
      <c r="J252" s="48">
        <v>4.5</v>
      </c>
      <c r="K252" s="48">
        <v>4.5</v>
      </c>
      <c r="L252" s="48"/>
      <c r="M252" s="48"/>
      <c r="N252" s="48"/>
      <c r="O252" s="48"/>
      <c r="P252" s="48"/>
      <c r="Q252" s="48"/>
      <c r="R252" s="150" t="e">
        <f t="shared" ref="R252:AA252" si="272">$G252*H252</f>
        <v>#REF!</v>
      </c>
      <c r="S252" s="150" t="e">
        <f t="shared" si="272"/>
        <v>#REF!</v>
      </c>
      <c r="T252" s="150" t="e">
        <f t="shared" si="272"/>
        <v>#REF!</v>
      </c>
      <c r="U252" s="150" t="e">
        <f t="shared" si="272"/>
        <v>#REF!</v>
      </c>
      <c r="V252" s="150" t="e">
        <f t="shared" si="272"/>
        <v>#REF!</v>
      </c>
      <c r="W252" s="150" t="e">
        <f t="shared" si="272"/>
        <v>#REF!</v>
      </c>
      <c r="X252" s="150" t="e">
        <f t="shared" si="272"/>
        <v>#REF!</v>
      </c>
      <c r="Y252" s="150" t="e">
        <f t="shared" si="272"/>
        <v>#REF!</v>
      </c>
      <c r="Z252" s="150" t="e">
        <f t="shared" si="272"/>
        <v>#REF!</v>
      </c>
      <c r="AA252" s="150" t="e">
        <f t="shared" si="272"/>
        <v>#REF!</v>
      </c>
      <c r="AB252" s="50"/>
    </row>
    <row r="253" s="28" customFormat="1" ht="28.8" outlineLevel="3" spans="1:28">
      <c r="A253" s="52">
        <f>MAX($A$6:A252)+1</f>
        <v>225</v>
      </c>
      <c r="B253" s="51" t="s">
        <v>2040</v>
      </c>
      <c r="C253" s="51" t="e">
        <f>VLOOKUP($B253,#REF!,MATCH(C$2,#REF!,0),0)</f>
        <v>#REF!</v>
      </c>
      <c r="D253" s="83"/>
      <c r="E253" s="83"/>
      <c r="F253" s="136" t="e">
        <f>VLOOKUP($B253,#REF!,MATCH(F$2,#REF!,0),0)</f>
        <v>#REF!</v>
      </c>
      <c r="G253" s="137" t="e">
        <f>VLOOKUP($B253,#REF!,MATCH(G$2,#REF!,0),0)</f>
        <v>#REF!</v>
      </c>
      <c r="H253" s="48">
        <v>6.4</v>
      </c>
      <c r="I253" s="48">
        <v>6.7</v>
      </c>
      <c r="J253" s="48">
        <v>5.5</v>
      </c>
      <c r="K253" s="48">
        <v>5.5</v>
      </c>
      <c r="L253" s="48">
        <v>34.104</v>
      </c>
      <c r="M253" s="48"/>
      <c r="N253" s="48"/>
      <c r="O253" s="48"/>
      <c r="P253" s="48"/>
      <c r="Q253" s="48"/>
      <c r="R253" s="150" t="e">
        <f t="shared" ref="R253:AA253" si="273">$G253*H253</f>
        <v>#REF!</v>
      </c>
      <c r="S253" s="150" t="e">
        <f t="shared" si="273"/>
        <v>#REF!</v>
      </c>
      <c r="T253" s="150" t="e">
        <f t="shared" si="273"/>
        <v>#REF!</v>
      </c>
      <c r="U253" s="150" t="e">
        <f t="shared" si="273"/>
        <v>#REF!</v>
      </c>
      <c r="V253" s="150" t="e">
        <f t="shared" si="273"/>
        <v>#REF!</v>
      </c>
      <c r="W253" s="150" t="e">
        <f t="shared" si="273"/>
        <v>#REF!</v>
      </c>
      <c r="X253" s="150" t="e">
        <f t="shared" si="273"/>
        <v>#REF!</v>
      </c>
      <c r="Y253" s="150" t="e">
        <f t="shared" si="273"/>
        <v>#REF!</v>
      </c>
      <c r="Z253" s="150" t="e">
        <f t="shared" si="273"/>
        <v>#REF!</v>
      </c>
      <c r="AA253" s="150" t="e">
        <f t="shared" si="273"/>
        <v>#REF!</v>
      </c>
      <c r="AB253" s="50"/>
    </row>
    <row r="254" s="28" customFormat="1" ht="28.8" outlineLevel="3" spans="1:28">
      <c r="A254" s="52">
        <f>MAX($A$6:A253)+1</f>
        <v>226</v>
      </c>
      <c r="B254" s="51" t="s">
        <v>2041</v>
      </c>
      <c r="C254" s="51" t="e">
        <f>VLOOKUP($B254,#REF!,MATCH(C$2,#REF!,0),0)</f>
        <v>#REF!</v>
      </c>
      <c r="D254" s="83"/>
      <c r="E254" s="83"/>
      <c r="F254" s="136" t="e">
        <f>VLOOKUP($B254,#REF!,MATCH(F$2,#REF!,0),0)</f>
        <v>#REF!</v>
      </c>
      <c r="G254" s="137" t="e">
        <f>VLOOKUP($B254,#REF!,MATCH(G$2,#REF!,0),0)</f>
        <v>#REF!</v>
      </c>
      <c r="H254" s="48">
        <v>7.4</v>
      </c>
      <c r="I254" s="48">
        <v>7.7</v>
      </c>
      <c r="J254" s="48">
        <v>6.5</v>
      </c>
      <c r="K254" s="48">
        <v>6.5</v>
      </c>
      <c r="L254" s="48"/>
      <c r="M254" s="48"/>
      <c r="N254" s="48"/>
      <c r="O254" s="48"/>
      <c r="P254" s="48"/>
      <c r="Q254" s="48"/>
      <c r="R254" s="150" t="e">
        <f t="shared" ref="R254:AA254" si="274">$G254*H254</f>
        <v>#REF!</v>
      </c>
      <c r="S254" s="150" t="e">
        <f t="shared" si="274"/>
        <v>#REF!</v>
      </c>
      <c r="T254" s="150" t="e">
        <f t="shared" si="274"/>
        <v>#REF!</v>
      </c>
      <c r="U254" s="150" t="e">
        <f t="shared" si="274"/>
        <v>#REF!</v>
      </c>
      <c r="V254" s="150" t="e">
        <f t="shared" si="274"/>
        <v>#REF!</v>
      </c>
      <c r="W254" s="150" t="e">
        <f t="shared" si="274"/>
        <v>#REF!</v>
      </c>
      <c r="X254" s="150" t="e">
        <f t="shared" si="274"/>
        <v>#REF!</v>
      </c>
      <c r="Y254" s="150" t="e">
        <f t="shared" si="274"/>
        <v>#REF!</v>
      </c>
      <c r="Z254" s="150" t="e">
        <f t="shared" si="274"/>
        <v>#REF!</v>
      </c>
      <c r="AA254" s="150" t="e">
        <f t="shared" si="274"/>
        <v>#REF!</v>
      </c>
      <c r="AB254" s="50"/>
    </row>
    <row r="255" s="28" customFormat="1" ht="28.8" outlineLevel="3" spans="1:28">
      <c r="A255" s="52">
        <f>MAX($A$6:A254)+1</f>
        <v>227</v>
      </c>
      <c r="B255" s="51" t="s">
        <v>2042</v>
      </c>
      <c r="C255" s="51" t="e">
        <f>VLOOKUP($B255,#REF!,MATCH(C$2,#REF!,0),0)</f>
        <v>#REF!</v>
      </c>
      <c r="D255" s="83"/>
      <c r="E255" s="83"/>
      <c r="F255" s="136" t="e">
        <f>VLOOKUP($B255,#REF!,MATCH(F$2,#REF!,0),0)</f>
        <v>#REF!</v>
      </c>
      <c r="G255" s="137" t="e">
        <f>VLOOKUP($B255,#REF!,MATCH(G$2,#REF!,0),0)</f>
        <v>#REF!</v>
      </c>
      <c r="H255" s="48">
        <v>8.4</v>
      </c>
      <c r="I255" s="48">
        <v>8.7</v>
      </c>
      <c r="J255" s="48">
        <v>7.5</v>
      </c>
      <c r="K255" s="48">
        <v>7.5</v>
      </c>
      <c r="L255" s="48">
        <v>12.6</v>
      </c>
      <c r="M255" s="48"/>
      <c r="N255" s="48"/>
      <c r="O255" s="48"/>
      <c r="P255" s="48"/>
      <c r="Q255" s="48"/>
      <c r="R255" s="150" t="e">
        <f t="shared" ref="R255:AA255" si="275">$G255*H255</f>
        <v>#REF!</v>
      </c>
      <c r="S255" s="150" t="e">
        <f t="shared" si="275"/>
        <v>#REF!</v>
      </c>
      <c r="T255" s="150" t="e">
        <f t="shared" si="275"/>
        <v>#REF!</v>
      </c>
      <c r="U255" s="150" t="e">
        <f t="shared" si="275"/>
        <v>#REF!</v>
      </c>
      <c r="V255" s="150" t="e">
        <f t="shared" si="275"/>
        <v>#REF!</v>
      </c>
      <c r="W255" s="150" t="e">
        <f t="shared" si="275"/>
        <v>#REF!</v>
      </c>
      <c r="X255" s="150" t="e">
        <f t="shared" si="275"/>
        <v>#REF!</v>
      </c>
      <c r="Y255" s="150" t="e">
        <f t="shared" si="275"/>
        <v>#REF!</v>
      </c>
      <c r="Z255" s="150" t="e">
        <f t="shared" si="275"/>
        <v>#REF!</v>
      </c>
      <c r="AA255" s="150" t="e">
        <f t="shared" si="275"/>
        <v>#REF!</v>
      </c>
      <c r="AB255" s="50"/>
    </row>
    <row r="256" s="28" customFormat="1" ht="28.8" outlineLevel="3" spans="1:28">
      <c r="A256" s="52">
        <f>MAX($A$6:A255)+1</f>
        <v>228</v>
      </c>
      <c r="B256" s="51" t="s">
        <v>2043</v>
      </c>
      <c r="C256" s="51" t="e">
        <f>VLOOKUP($B256,#REF!,MATCH(C$2,#REF!,0),0)</f>
        <v>#REF!</v>
      </c>
      <c r="D256" s="83"/>
      <c r="E256" s="83"/>
      <c r="F256" s="136" t="e">
        <f>VLOOKUP($B256,#REF!,MATCH(F$2,#REF!,0),0)</f>
        <v>#REF!</v>
      </c>
      <c r="G256" s="137" t="e">
        <f>VLOOKUP($B256,#REF!,MATCH(G$2,#REF!,0),0)</f>
        <v>#REF!</v>
      </c>
      <c r="H256" s="48">
        <v>9.4</v>
      </c>
      <c r="I256" s="48">
        <v>9.7</v>
      </c>
      <c r="J256" s="48">
        <v>8.5</v>
      </c>
      <c r="K256" s="48">
        <v>8.5</v>
      </c>
      <c r="L256" s="48">
        <v>17.7</v>
      </c>
      <c r="M256" s="48"/>
      <c r="N256" s="48"/>
      <c r="O256" s="48"/>
      <c r="P256" s="48"/>
      <c r="Q256" s="48"/>
      <c r="R256" s="150" t="e">
        <f t="shared" ref="R256:AA256" si="276">$G256*H256</f>
        <v>#REF!</v>
      </c>
      <c r="S256" s="150" t="e">
        <f t="shared" si="276"/>
        <v>#REF!</v>
      </c>
      <c r="T256" s="150" t="e">
        <f t="shared" si="276"/>
        <v>#REF!</v>
      </c>
      <c r="U256" s="150" t="e">
        <f t="shared" si="276"/>
        <v>#REF!</v>
      </c>
      <c r="V256" s="150" t="e">
        <f t="shared" si="276"/>
        <v>#REF!</v>
      </c>
      <c r="W256" s="150" t="e">
        <f t="shared" si="276"/>
        <v>#REF!</v>
      </c>
      <c r="X256" s="150" t="e">
        <f t="shared" si="276"/>
        <v>#REF!</v>
      </c>
      <c r="Y256" s="150" t="e">
        <f t="shared" si="276"/>
        <v>#REF!</v>
      </c>
      <c r="Z256" s="150" t="e">
        <f t="shared" si="276"/>
        <v>#REF!</v>
      </c>
      <c r="AA256" s="150" t="e">
        <f t="shared" si="276"/>
        <v>#REF!</v>
      </c>
      <c r="AB256" s="50"/>
    </row>
    <row r="257" s="28" customFormat="1" ht="28.8" outlineLevel="3" spans="1:28">
      <c r="A257" s="52">
        <f>MAX($A$6:A256)+1</f>
        <v>229</v>
      </c>
      <c r="B257" s="51" t="s">
        <v>1888</v>
      </c>
      <c r="C257" s="51" t="e">
        <f>VLOOKUP($B257,#REF!,MATCH(C$2,#REF!,0),0)</f>
        <v>#REF!</v>
      </c>
      <c r="D257" s="83"/>
      <c r="E257" s="83"/>
      <c r="F257" s="136" t="e">
        <f>VLOOKUP($B257,#REF!,MATCH(F$2,#REF!,0),0)</f>
        <v>#REF!</v>
      </c>
      <c r="G257" s="137" t="e">
        <f>VLOOKUP($B257,#REF!,MATCH(G$2,#REF!,0),0)</f>
        <v>#REF!</v>
      </c>
      <c r="H257" s="48">
        <v>4.8</v>
      </c>
      <c r="I257" s="48">
        <v>3.45</v>
      </c>
      <c r="J257" s="48">
        <v>1.2</v>
      </c>
      <c r="K257" s="48">
        <v>1.2</v>
      </c>
      <c r="L257" s="48"/>
      <c r="M257" s="48"/>
      <c r="N257" s="48"/>
      <c r="O257" s="48"/>
      <c r="P257" s="48"/>
      <c r="Q257" s="48"/>
      <c r="R257" s="150" t="e">
        <f t="shared" ref="R257:AA257" si="277">$G257*H257</f>
        <v>#REF!</v>
      </c>
      <c r="S257" s="150" t="e">
        <f t="shared" si="277"/>
        <v>#REF!</v>
      </c>
      <c r="T257" s="150" t="e">
        <f t="shared" si="277"/>
        <v>#REF!</v>
      </c>
      <c r="U257" s="150" t="e">
        <f t="shared" si="277"/>
        <v>#REF!</v>
      </c>
      <c r="V257" s="150" t="e">
        <f t="shared" si="277"/>
        <v>#REF!</v>
      </c>
      <c r="W257" s="150" t="e">
        <f t="shared" si="277"/>
        <v>#REF!</v>
      </c>
      <c r="X257" s="150" t="e">
        <f t="shared" si="277"/>
        <v>#REF!</v>
      </c>
      <c r="Y257" s="150" t="e">
        <f t="shared" si="277"/>
        <v>#REF!</v>
      </c>
      <c r="Z257" s="150" t="e">
        <f t="shared" si="277"/>
        <v>#REF!</v>
      </c>
      <c r="AA257" s="150" t="e">
        <f t="shared" si="277"/>
        <v>#REF!</v>
      </c>
      <c r="AB257" s="50"/>
    </row>
    <row r="258" s="28" customFormat="1" ht="28.8" outlineLevel="3" spans="1:28">
      <c r="A258" s="52">
        <f>MAX($A$6:A257)+1</f>
        <v>230</v>
      </c>
      <c r="B258" s="51" t="s">
        <v>1889</v>
      </c>
      <c r="C258" s="51" t="e">
        <f>VLOOKUP($B258,#REF!,MATCH(C$2,#REF!,0),0)</f>
        <v>#REF!</v>
      </c>
      <c r="D258" s="83"/>
      <c r="E258" s="83"/>
      <c r="F258" s="136" t="e">
        <f>VLOOKUP($B258,#REF!,MATCH(F$2,#REF!,0),0)</f>
        <v>#REF!</v>
      </c>
      <c r="G258" s="137" t="e">
        <f>VLOOKUP($B258,#REF!,MATCH(G$2,#REF!,0),0)</f>
        <v>#REF!</v>
      </c>
      <c r="H258" s="48">
        <v>30</v>
      </c>
      <c r="I258" s="48">
        <v>29.99</v>
      </c>
      <c r="J258" s="48">
        <v>28.44</v>
      </c>
      <c r="K258" s="48">
        <v>28.44</v>
      </c>
      <c r="L258" s="48"/>
      <c r="M258" s="48"/>
      <c r="N258" s="48"/>
      <c r="O258" s="48"/>
      <c r="P258" s="48"/>
      <c r="Q258" s="48"/>
      <c r="R258" s="150" t="e">
        <f t="shared" ref="R258:AA258" si="278">$G258*H258</f>
        <v>#REF!</v>
      </c>
      <c r="S258" s="150" t="e">
        <f t="shared" si="278"/>
        <v>#REF!</v>
      </c>
      <c r="T258" s="150" t="e">
        <f t="shared" si="278"/>
        <v>#REF!</v>
      </c>
      <c r="U258" s="150" t="e">
        <f t="shared" si="278"/>
        <v>#REF!</v>
      </c>
      <c r="V258" s="150" t="e">
        <f t="shared" si="278"/>
        <v>#REF!</v>
      </c>
      <c r="W258" s="150" t="e">
        <f t="shared" si="278"/>
        <v>#REF!</v>
      </c>
      <c r="X258" s="150" t="e">
        <f t="shared" si="278"/>
        <v>#REF!</v>
      </c>
      <c r="Y258" s="150" t="e">
        <f t="shared" si="278"/>
        <v>#REF!</v>
      </c>
      <c r="Z258" s="150" t="e">
        <f t="shared" si="278"/>
        <v>#REF!</v>
      </c>
      <c r="AA258" s="150" t="e">
        <f t="shared" si="278"/>
        <v>#REF!</v>
      </c>
      <c r="AB258" s="50"/>
    </row>
    <row r="259" s="28" customFormat="1" ht="28.8" outlineLevel="3" spans="1:28">
      <c r="A259" s="52">
        <f>MAX($A$6:A258)+1</f>
        <v>231</v>
      </c>
      <c r="B259" s="51" t="s">
        <v>1890</v>
      </c>
      <c r="C259" s="51" t="e">
        <f>VLOOKUP($B259,#REF!,MATCH(C$2,#REF!,0),0)</f>
        <v>#REF!</v>
      </c>
      <c r="D259" s="83"/>
      <c r="E259" s="83"/>
      <c r="F259" s="136" t="e">
        <f>VLOOKUP($B259,#REF!,MATCH(F$2,#REF!,0),0)</f>
        <v>#REF!</v>
      </c>
      <c r="G259" s="137" t="e">
        <f>VLOOKUP($B259,#REF!,MATCH(G$2,#REF!,0),0)</f>
        <v>#REF!</v>
      </c>
      <c r="H259" s="48">
        <v>80.4</v>
      </c>
      <c r="I259" s="48">
        <v>90</v>
      </c>
      <c r="J259" s="48">
        <v>27.05</v>
      </c>
      <c r="K259" s="48">
        <v>27.05</v>
      </c>
      <c r="L259" s="48">
        <v>7.612</v>
      </c>
      <c r="M259" s="48"/>
      <c r="N259" s="48"/>
      <c r="O259" s="48"/>
      <c r="P259" s="48"/>
      <c r="Q259" s="48"/>
      <c r="R259" s="150" t="e">
        <f t="shared" ref="R259:AA259" si="279">$G259*H259</f>
        <v>#REF!</v>
      </c>
      <c r="S259" s="150" t="e">
        <f t="shared" si="279"/>
        <v>#REF!</v>
      </c>
      <c r="T259" s="150" t="e">
        <f t="shared" si="279"/>
        <v>#REF!</v>
      </c>
      <c r="U259" s="150" t="e">
        <f t="shared" si="279"/>
        <v>#REF!</v>
      </c>
      <c r="V259" s="150" t="e">
        <f t="shared" si="279"/>
        <v>#REF!</v>
      </c>
      <c r="W259" s="150" t="e">
        <f t="shared" si="279"/>
        <v>#REF!</v>
      </c>
      <c r="X259" s="150" t="e">
        <f t="shared" si="279"/>
        <v>#REF!</v>
      </c>
      <c r="Y259" s="150" t="e">
        <f t="shared" si="279"/>
        <v>#REF!</v>
      </c>
      <c r="Z259" s="150" t="e">
        <f t="shared" si="279"/>
        <v>#REF!</v>
      </c>
      <c r="AA259" s="150" t="e">
        <f t="shared" si="279"/>
        <v>#REF!</v>
      </c>
      <c r="AB259" s="50"/>
    </row>
    <row r="260" s="28" customFormat="1" ht="28.8" outlineLevel="3" spans="1:28">
      <c r="A260" s="52">
        <f>MAX($A$6:A259)+1</f>
        <v>232</v>
      </c>
      <c r="B260" s="51" t="s">
        <v>1891</v>
      </c>
      <c r="C260" s="51" t="e">
        <f>VLOOKUP($B260,#REF!,MATCH(C$2,#REF!,0),0)</f>
        <v>#REF!</v>
      </c>
      <c r="D260" s="83"/>
      <c r="E260" s="83"/>
      <c r="F260" s="136" t="e">
        <f>VLOOKUP($B260,#REF!,MATCH(F$2,#REF!,0),0)</f>
        <v>#REF!</v>
      </c>
      <c r="G260" s="137" t="e">
        <f>VLOOKUP($B260,#REF!,MATCH(G$2,#REF!,0),0)</f>
        <v>#REF!</v>
      </c>
      <c r="H260" s="48">
        <v>17.4</v>
      </c>
      <c r="I260" s="48">
        <v>17.4</v>
      </c>
      <c r="J260" s="48">
        <v>5.8</v>
      </c>
      <c r="K260" s="48">
        <v>5.8</v>
      </c>
      <c r="L260" s="48">
        <v>8.633</v>
      </c>
      <c r="M260" s="48"/>
      <c r="N260" s="48"/>
      <c r="O260" s="48"/>
      <c r="P260" s="48"/>
      <c r="Q260" s="48"/>
      <c r="R260" s="150" t="e">
        <f t="shared" ref="R260:AA260" si="280">$G260*H260</f>
        <v>#REF!</v>
      </c>
      <c r="S260" s="150" t="e">
        <f t="shared" si="280"/>
        <v>#REF!</v>
      </c>
      <c r="T260" s="150" t="e">
        <f t="shared" si="280"/>
        <v>#REF!</v>
      </c>
      <c r="U260" s="150" t="e">
        <f t="shared" si="280"/>
        <v>#REF!</v>
      </c>
      <c r="V260" s="150" t="e">
        <f t="shared" si="280"/>
        <v>#REF!</v>
      </c>
      <c r="W260" s="150" t="e">
        <f t="shared" si="280"/>
        <v>#REF!</v>
      </c>
      <c r="X260" s="150" t="e">
        <f t="shared" si="280"/>
        <v>#REF!</v>
      </c>
      <c r="Y260" s="150" t="e">
        <f t="shared" si="280"/>
        <v>#REF!</v>
      </c>
      <c r="Z260" s="150" t="e">
        <f t="shared" si="280"/>
        <v>#REF!</v>
      </c>
      <c r="AA260" s="150" t="e">
        <f t="shared" si="280"/>
        <v>#REF!</v>
      </c>
      <c r="AB260" s="50"/>
    </row>
    <row r="261" s="28" customFormat="1" ht="28.8" outlineLevel="3" spans="1:28">
      <c r="A261" s="52">
        <f>MAX($A$6:A260)+1</f>
        <v>233</v>
      </c>
      <c r="B261" s="51" t="s">
        <v>1892</v>
      </c>
      <c r="C261" s="51" t="e">
        <f>VLOOKUP($B261,#REF!,MATCH(C$2,#REF!,0),0)</f>
        <v>#REF!</v>
      </c>
      <c r="D261" s="83"/>
      <c r="E261" s="83"/>
      <c r="F261" s="136" t="e">
        <f>VLOOKUP($B261,#REF!,MATCH(F$2,#REF!,0),0)</f>
        <v>#REF!</v>
      </c>
      <c r="G261" s="137" t="e">
        <f>VLOOKUP($B261,#REF!,MATCH(G$2,#REF!,0),0)</f>
        <v>#REF!</v>
      </c>
      <c r="H261" s="48">
        <v>26.1</v>
      </c>
      <c r="I261" s="48">
        <v>26.1</v>
      </c>
      <c r="J261" s="48">
        <v>8.7</v>
      </c>
      <c r="K261" s="48">
        <v>8.7</v>
      </c>
      <c r="L261" s="48"/>
      <c r="M261" s="48"/>
      <c r="N261" s="48"/>
      <c r="O261" s="48"/>
      <c r="P261" s="48"/>
      <c r="Q261" s="48"/>
      <c r="R261" s="150" t="e">
        <f t="shared" ref="R261:AA261" si="281">$G261*H261</f>
        <v>#REF!</v>
      </c>
      <c r="S261" s="150" t="e">
        <f t="shared" si="281"/>
        <v>#REF!</v>
      </c>
      <c r="T261" s="150" t="e">
        <f t="shared" si="281"/>
        <v>#REF!</v>
      </c>
      <c r="U261" s="150" t="e">
        <f t="shared" si="281"/>
        <v>#REF!</v>
      </c>
      <c r="V261" s="150" t="e">
        <f t="shared" si="281"/>
        <v>#REF!</v>
      </c>
      <c r="W261" s="150" t="e">
        <f t="shared" si="281"/>
        <v>#REF!</v>
      </c>
      <c r="X261" s="150" t="e">
        <f t="shared" si="281"/>
        <v>#REF!</v>
      </c>
      <c r="Y261" s="150" t="e">
        <f t="shared" si="281"/>
        <v>#REF!</v>
      </c>
      <c r="Z261" s="150" t="e">
        <f t="shared" si="281"/>
        <v>#REF!</v>
      </c>
      <c r="AA261" s="150" t="e">
        <f t="shared" si="281"/>
        <v>#REF!</v>
      </c>
      <c r="AB261" s="50"/>
    </row>
    <row r="262" s="28" customFormat="1" ht="28.8" outlineLevel="3" spans="1:28">
      <c r="A262" s="52">
        <f>MAX($A$6:A261)+1</f>
        <v>234</v>
      </c>
      <c r="B262" s="51" t="s">
        <v>1893</v>
      </c>
      <c r="C262" s="51" t="e">
        <f>VLOOKUP($B262,#REF!,MATCH(C$2,#REF!,0),0)</f>
        <v>#REF!</v>
      </c>
      <c r="D262" s="83"/>
      <c r="E262" s="83"/>
      <c r="F262" s="136" t="e">
        <f>VLOOKUP($B262,#REF!,MATCH(F$2,#REF!,0),0)</f>
        <v>#REF!</v>
      </c>
      <c r="G262" s="137" t="e">
        <f>VLOOKUP($B262,#REF!,MATCH(G$2,#REF!,0),0)</f>
        <v>#REF!</v>
      </c>
      <c r="H262" s="48">
        <v>197.49</v>
      </c>
      <c r="I262" s="48">
        <v>198.09</v>
      </c>
      <c r="J262" s="48">
        <v>46.1</v>
      </c>
      <c r="K262" s="48">
        <v>46.1</v>
      </c>
      <c r="L262" s="48">
        <v>14.05</v>
      </c>
      <c r="M262" s="48"/>
      <c r="N262" s="48"/>
      <c r="O262" s="48"/>
      <c r="P262" s="48"/>
      <c r="Q262" s="48"/>
      <c r="R262" s="150" t="e">
        <f t="shared" ref="R262:AA262" si="282">$G262*H262</f>
        <v>#REF!</v>
      </c>
      <c r="S262" s="150" t="e">
        <f t="shared" si="282"/>
        <v>#REF!</v>
      </c>
      <c r="T262" s="150" t="e">
        <f t="shared" si="282"/>
        <v>#REF!</v>
      </c>
      <c r="U262" s="150" t="e">
        <f t="shared" si="282"/>
        <v>#REF!</v>
      </c>
      <c r="V262" s="150" t="e">
        <f t="shared" si="282"/>
        <v>#REF!</v>
      </c>
      <c r="W262" s="150" t="e">
        <f t="shared" si="282"/>
        <v>#REF!</v>
      </c>
      <c r="X262" s="150" t="e">
        <f t="shared" si="282"/>
        <v>#REF!</v>
      </c>
      <c r="Y262" s="150" t="e">
        <f t="shared" si="282"/>
        <v>#REF!</v>
      </c>
      <c r="Z262" s="150" t="e">
        <f t="shared" si="282"/>
        <v>#REF!</v>
      </c>
      <c r="AA262" s="150" t="e">
        <f t="shared" si="282"/>
        <v>#REF!</v>
      </c>
      <c r="AB262" s="50"/>
    </row>
    <row r="263" s="28" customFormat="1" ht="28.8" outlineLevel="3" spans="1:28">
      <c r="A263" s="52">
        <f>MAX($A$6:A262)+1</f>
        <v>235</v>
      </c>
      <c r="B263" s="51" t="s">
        <v>1894</v>
      </c>
      <c r="C263" s="51" t="e">
        <f>VLOOKUP($B263,#REF!,MATCH(C$2,#REF!,0),0)</f>
        <v>#REF!</v>
      </c>
      <c r="D263" s="83"/>
      <c r="E263" s="83"/>
      <c r="F263" s="136" t="e">
        <f>VLOOKUP($B263,#REF!,MATCH(F$2,#REF!,0),0)</f>
        <v>#REF!</v>
      </c>
      <c r="G263" s="137" t="e">
        <f>VLOOKUP($B263,#REF!,MATCH(G$2,#REF!,0),0)</f>
        <v>#REF!</v>
      </c>
      <c r="H263" s="48"/>
      <c r="I263" s="48"/>
      <c r="J263" s="48"/>
      <c r="K263" s="48"/>
      <c r="L263" s="48">
        <v>18.281</v>
      </c>
      <c r="M263" s="48"/>
      <c r="N263" s="48"/>
      <c r="O263" s="48"/>
      <c r="P263" s="48"/>
      <c r="Q263" s="48"/>
      <c r="R263" s="150" t="e">
        <f t="shared" ref="R263:AA263" si="283">$G263*H263</f>
        <v>#REF!</v>
      </c>
      <c r="S263" s="150" t="e">
        <f t="shared" si="283"/>
        <v>#REF!</v>
      </c>
      <c r="T263" s="150" t="e">
        <f t="shared" si="283"/>
        <v>#REF!</v>
      </c>
      <c r="U263" s="150" t="e">
        <f t="shared" si="283"/>
        <v>#REF!</v>
      </c>
      <c r="V263" s="150" t="e">
        <f t="shared" si="283"/>
        <v>#REF!</v>
      </c>
      <c r="W263" s="150" t="e">
        <f t="shared" si="283"/>
        <v>#REF!</v>
      </c>
      <c r="X263" s="150" t="e">
        <f t="shared" si="283"/>
        <v>#REF!</v>
      </c>
      <c r="Y263" s="150" t="e">
        <f t="shared" si="283"/>
        <v>#REF!</v>
      </c>
      <c r="Z263" s="150" t="e">
        <f t="shared" si="283"/>
        <v>#REF!</v>
      </c>
      <c r="AA263" s="150" t="e">
        <f t="shared" si="283"/>
        <v>#REF!</v>
      </c>
      <c r="AB263" s="50"/>
    </row>
    <row r="264" s="29" customFormat="1" outlineLevel="2" spans="1:28">
      <c r="A264" s="40"/>
      <c r="B264" s="41" t="s">
        <v>2044</v>
      </c>
      <c r="C264" s="41"/>
      <c r="D264" s="140"/>
      <c r="E264" s="140"/>
      <c r="F264" s="141"/>
      <c r="G264" s="142"/>
      <c r="H264" s="43"/>
      <c r="I264" s="43"/>
      <c r="J264" s="43"/>
      <c r="K264" s="43"/>
      <c r="L264" s="43"/>
      <c r="M264" s="43"/>
      <c r="N264" s="43"/>
      <c r="O264" s="43"/>
      <c r="P264" s="43"/>
      <c r="Q264" s="43"/>
      <c r="R264" s="149" t="e">
        <f t="shared" ref="R264:AA264" si="284">SUM(R265:R266)</f>
        <v>#REF!</v>
      </c>
      <c r="S264" s="149" t="e">
        <f t="shared" si="284"/>
        <v>#REF!</v>
      </c>
      <c r="T264" s="149" t="e">
        <f t="shared" si="284"/>
        <v>#REF!</v>
      </c>
      <c r="U264" s="149" t="e">
        <f t="shared" si="284"/>
        <v>#REF!</v>
      </c>
      <c r="V264" s="149" t="e">
        <f t="shared" si="284"/>
        <v>#REF!</v>
      </c>
      <c r="W264" s="149" t="e">
        <f t="shared" si="284"/>
        <v>#REF!</v>
      </c>
      <c r="X264" s="149" t="e">
        <f t="shared" si="284"/>
        <v>#REF!</v>
      </c>
      <c r="Y264" s="149" t="e">
        <f t="shared" si="284"/>
        <v>#REF!</v>
      </c>
      <c r="Z264" s="149" t="e">
        <f t="shared" si="284"/>
        <v>#REF!</v>
      </c>
      <c r="AA264" s="149" t="e">
        <f t="shared" si="284"/>
        <v>#REF!</v>
      </c>
      <c r="AB264" s="40"/>
    </row>
    <row r="265" s="28" customFormat="1" outlineLevel="3" spans="1:28">
      <c r="A265" s="52">
        <f>MAX($A$6:A264)+1</f>
        <v>236</v>
      </c>
      <c r="B265" s="51" t="s">
        <v>1906</v>
      </c>
      <c r="C265" s="51" t="e">
        <f>VLOOKUP($B265,#REF!,MATCH(C$2,#REF!,0),0)</f>
        <v>#REF!</v>
      </c>
      <c r="D265" s="83"/>
      <c r="E265" s="83"/>
      <c r="F265" s="136" t="e">
        <f>VLOOKUP($B265,#REF!,MATCH(F$2,#REF!,0),0)</f>
        <v>#REF!</v>
      </c>
      <c r="G265" s="137" t="e">
        <f>VLOOKUP($B265,#REF!,MATCH(G$2,#REF!,0),0)</f>
        <v>#REF!</v>
      </c>
      <c r="H265" s="48">
        <v>6.65</v>
      </c>
      <c r="I265" s="48">
        <v>1.66</v>
      </c>
      <c r="J265" s="48">
        <v>6.68</v>
      </c>
      <c r="K265" s="48">
        <v>6.68</v>
      </c>
      <c r="L265" s="48">
        <v>5.547</v>
      </c>
      <c r="M265" s="48">
        <v>0.06</v>
      </c>
      <c r="N265" s="48">
        <v>0.06</v>
      </c>
      <c r="O265" s="48">
        <v>0.06</v>
      </c>
      <c r="P265" s="48"/>
      <c r="Q265" s="48"/>
      <c r="R265" s="150" t="e">
        <f t="shared" ref="R265:AA265" si="285">$G265*H265</f>
        <v>#REF!</v>
      </c>
      <c r="S265" s="150" t="e">
        <f t="shared" si="285"/>
        <v>#REF!</v>
      </c>
      <c r="T265" s="150" t="e">
        <f t="shared" si="285"/>
        <v>#REF!</v>
      </c>
      <c r="U265" s="150" t="e">
        <f t="shared" si="285"/>
        <v>#REF!</v>
      </c>
      <c r="V265" s="150" t="e">
        <f t="shared" si="285"/>
        <v>#REF!</v>
      </c>
      <c r="W265" s="150" t="e">
        <f t="shared" si="285"/>
        <v>#REF!</v>
      </c>
      <c r="X265" s="150" t="e">
        <f t="shared" si="285"/>
        <v>#REF!</v>
      </c>
      <c r="Y265" s="150" t="e">
        <f t="shared" si="285"/>
        <v>#REF!</v>
      </c>
      <c r="Z265" s="150" t="e">
        <f t="shared" si="285"/>
        <v>#REF!</v>
      </c>
      <c r="AA265" s="150" t="e">
        <f t="shared" si="285"/>
        <v>#REF!</v>
      </c>
      <c r="AB265" s="50"/>
    </row>
    <row r="266" s="28" customFormat="1" outlineLevel="3" spans="1:28">
      <c r="A266" s="52">
        <f>MAX($A$6:A265)+1</f>
        <v>237</v>
      </c>
      <c r="B266" s="51" t="s">
        <v>1907</v>
      </c>
      <c r="C266" s="51" t="e">
        <f>VLOOKUP($B266,#REF!,MATCH(C$2,#REF!,0),0)</f>
        <v>#REF!</v>
      </c>
      <c r="D266" s="83"/>
      <c r="E266" s="83"/>
      <c r="F266" s="136" t="e">
        <f>VLOOKUP($B266,#REF!,MATCH(F$2,#REF!,0),0)</f>
        <v>#REF!</v>
      </c>
      <c r="G266" s="137" t="e">
        <f>VLOOKUP($B266,#REF!,MATCH(G$2,#REF!,0),0)</f>
        <v>#REF!</v>
      </c>
      <c r="H266" s="48">
        <v>233.49</v>
      </c>
      <c r="I266" s="48">
        <v>203.84</v>
      </c>
      <c r="J266" s="48">
        <v>88.06</v>
      </c>
      <c r="K266" s="48">
        <v>88.06</v>
      </c>
      <c r="L266" s="48">
        <v>81.058</v>
      </c>
      <c r="M266" s="48">
        <v>1</v>
      </c>
      <c r="N266" s="48">
        <v>1</v>
      </c>
      <c r="O266" s="48">
        <v>1</v>
      </c>
      <c r="P266" s="48"/>
      <c r="Q266" s="48"/>
      <c r="R266" s="150" t="e">
        <f t="shared" ref="R266:AA266" si="286">$G266*H266</f>
        <v>#REF!</v>
      </c>
      <c r="S266" s="150" t="e">
        <f t="shared" si="286"/>
        <v>#REF!</v>
      </c>
      <c r="T266" s="150" t="e">
        <f t="shared" si="286"/>
        <v>#REF!</v>
      </c>
      <c r="U266" s="150" t="e">
        <f t="shared" si="286"/>
        <v>#REF!</v>
      </c>
      <c r="V266" s="150" t="e">
        <f t="shared" si="286"/>
        <v>#REF!</v>
      </c>
      <c r="W266" s="150" t="e">
        <f t="shared" si="286"/>
        <v>#REF!</v>
      </c>
      <c r="X266" s="150" t="e">
        <f t="shared" si="286"/>
        <v>#REF!</v>
      </c>
      <c r="Y266" s="150" t="e">
        <f t="shared" si="286"/>
        <v>#REF!</v>
      </c>
      <c r="Z266" s="150" t="e">
        <f t="shared" si="286"/>
        <v>#REF!</v>
      </c>
      <c r="AA266" s="150" t="e">
        <f t="shared" si="286"/>
        <v>#REF!</v>
      </c>
      <c r="AB266" s="50"/>
    </row>
    <row r="267" s="122" customFormat="1" outlineLevel="1" spans="1:28">
      <c r="A267" s="130"/>
      <c r="B267" s="131" t="s">
        <v>2045</v>
      </c>
      <c r="C267" s="131"/>
      <c r="D267" s="153"/>
      <c r="E267" s="153"/>
      <c r="F267" s="154"/>
      <c r="G267" s="155"/>
      <c r="H267" s="134"/>
      <c r="I267" s="134"/>
      <c r="J267" s="134"/>
      <c r="K267" s="134"/>
      <c r="L267" s="134"/>
      <c r="M267" s="134"/>
      <c r="N267" s="134"/>
      <c r="O267" s="134"/>
      <c r="P267" s="134"/>
      <c r="Q267" s="134"/>
      <c r="R267" s="148" t="e">
        <f t="shared" ref="R267:AA267" si="287">SUM(R268,R276)</f>
        <v>#REF!</v>
      </c>
      <c r="S267" s="148" t="e">
        <f t="shared" si="287"/>
        <v>#REF!</v>
      </c>
      <c r="T267" s="148" t="e">
        <f t="shared" si="287"/>
        <v>#REF!</v>
      </c>
      <c r="U267" s="148" t="e">
        <f t="shared" si="287"/>
        <v>#REF!</v>
      </c>
      <c r="V267" s="148" t="e">
        <f t="shared" si="287"/>
        <v>#REF!</v>
      </c>
      <c r="W267" s="148" t="e">
        <f t="shared" si="287"/>
        <v>#REF!</v>
      </c>
      <c r="X267" s="148" t="e">
        <f t="shared" si="287"/>
        <v>#REF!</v>
      </c>
      <c r="Y267" s="148" t="e">
        <f t="shared" si="287"/>
        <v>#REF!</v>
      </c>
      <c r="Z267" s="148" t="e">
        <f t="shared" si="287"/>
        <v>#REF!</v>
      </c>
      <c r="AA267" s="148" t="e">
        <f t="shared" si="287"/>
        <v>#REF!</v>
      </c>
      <c r="AB267" s="130"/>
    </row>
    <row r="268" s="29" customFormat="1" outlineLevel="2" spans="1:28">
      <c r="A268" s="40"/>
      <c r="B268" s="41" t="s">
        <v>2046</v>
      </c>
      <c r="C268" s="41"/>
      <c r="D268" s="140"/>
      <c r="E268" s="140"/>
      <c r="F268" s="141"/>
      <c r="G268" s="142"/>
      <c r="H268" s="43"/>
      <c r="I268" s="43"/>
      <c r="J268" s="43"/>
      <c r="K268" s="43"/>
      <c r="L268" s="43"/>
      <c r="M268" s="43"/>
      <c r="N268" s="43"/>
      <c r="O268" s="43"/>
      <c r="P268" s="43"/>
      <c r="Q268" s="43"/>
      <c r="R268" s="149" t="e">
        <f t="shared" ref="R268:AA268" si="288">SUM(R269:R275)</f>
        <v>#REF!</v>
      </c>
      <c r="S268" s="149" t="e">
        <f t="shared" si="288"/>
        <v>#REF!</v>
      </c>
      <c r="T268" s="149" t="e">
        <f t="shared" si="288"/>
        <v>#REF!</v>
      </c>
      <c r="U268" s="149" t="e">
        <f t="shared" si="288"/>
        <v>#REF!</v>
      </c>
      <c r="V268" s="149" t="e">
        <f t="shared" si="288"/>
        <v>#REF!</v>
      </c>
      <c r="W268" s="149" t="e">
        <f t="shared" si="288"/>
        <v>#REF!</v>
      </c>
      <c r="X268" s="149" t="e">
        <f t="shared" si="288"/>
        <v>#REF!</v>
      </c>
      <c r="Y268" s="149" t="e">
        <f t="shared" si="288"/>
        <v>#REF!</v>
      </c>
      <c r="Z268" s="149" t="e">
        <f t="shared" si="288"/>
        <v>#REF!</v>
      </c>
      <c r="AA268" s="149" t="e">
        <f t="shared" si="288"/>
        <v>#REF!</v>
      </c>
      <c r="AB268" s="40"/>
    </row>
    <row r="269" s="28" customFormat="1" ht="28.8" outlineLevel="3" spans="1:28">
      <c r="A269" s="52">
        <f>MAX($A$6:A268)+1</f>
        <v>238</v>
      </c>
      <c r="B269" s="51" t="s">
        <v>1942</v>
      </c>
      <c r="C269" s="51" t="e">
        <f>VLOOKUP($B269,#REF!,MATCH(C$2,#REF!,0),0)</f>
        <v>#REF!</v>
      </c>
      <c r="D269" s="83"/>
      <c r="E269" s="83"/>
      <c r="F269" s="136" t="e">
        <f>VLOOKUP($B269,#REF!,MATCH(F$2,#REF!,0),0)</f>
        <v>#REF!</v>
      </c>
      <c r="G269" s="137" t="e">
        <f>VLOOKUP($B269,#REF!,MATCH(G$2,#REF!,0),0)</f>
        <v>#REF!</v>
      </c>
      <c r="H269" s="48">
        <v>30.56</v>
      </c>
      <c r="I269" s="48">
        <f>39.1+28.05</f>
        <v>67.15</v>
      </c>
      <c r="J269" s="48">
        <v>24.63</v>
      </c>
      <c r="K269" s="48">
        <v>24.63</v>
      </c>
      <c r="L269" s="48">
        <v>6.312</v>
      </c>
      <c r="M269" s="48">
        <v>20.5</v>
      </c>
      <c r="N269" s="48">
        <v>20.5</v>
      </c>
      <c r="O269" s="48">
        <v>20.5</v>
      </c>
      <c r="P269" s="48"/>
      <c r="Q269" s="48"/>
      <c r="R269" s="150" t="e">
        <f t="shared" ref="R269:AA269" si="289">$G269*H269</f>
        <v>#REF!</v>
      </c>
      <c r="S269" s="150" t="e">
        <f t="shared" si="289"/>
        <v>#REF!</v>
      </c>
      <c r="T269" s="150" t="e">
        <f t="shared" si="289"/>
        <v>#REF!</v>
      </c>
      <c r="U269" s="150" t="e">
        <f t="shared" si="289"/>
        <v>#REF!</v>
      </c>
      <c r="V269" s="150" t="e">
        <f t="shared" si="289"/>
        <v>#REF!</v>
      </c>
      <c r="W269" s="150" t="e">
        <f t="shared" si="289"/>
        <v>#REF!</v>
      </c>
      <c r="X269" s="150" t="e">
        <f t="shared" si="289"/>
        <v>#REF!</v>
      </c>
      <c r="Y269" s="150" t="e">
        <f t="shared" si="289"/>
        <v>#REF!</v>
      </c>
      <c r="Z269" s="150" t="e">
        <f t="shared" si="289"/>
        <v>#REF!</v>
      </c>
      <c r="AA269" s="150" t="e">
        <f t="shared" si="289"/>
        <v>#REF!</v>
      </c>
      <c r="AB269" s="50"/>
    </row>
    <row r="270" s="28" customFormat="1" ht="28.8" outlineLevel="3" spans="1:28">
      <c r="A270" s="52">
        <f>MAX($A$6:A269)+1</f>
        <v>239</v>
      </c>
      <c r="B270" s="51" t="s">
        <v>1941</v>
      </c>
      <c r="C270" s="51" t="e">
        <f>VLOOKUP($B270,#REF!,MATCH(C$2,#REF!,0),0)</f>
        <v>#REF!</v>
      </c>
      <c r="D270" s="83"/>
      <c r="E270" s="83"/>
      <c r="F270" s="136" t="e">
        <f>VLOOKUP($B270,#REF!,MATCH(F$2,#REF!,0),0)</f>
        <v>#REF!</v>
      </c>
      <c r="G270" s="137" t="e">
        <f>VLOOKUP($B270,#REF!,MATCH(G$2,#REF!,0),0)</f>
        <v>#REF!</v>
      </c>
      <c r="H270" s="48"/>
      <c r="I270" s="48"/>
      <c r="J270" s="48"/>
      <c r="K270" s="48"/>
      <c r="L270" s="48"/>
      <c r="M270" s="48">
        <v>5.5</v>
      </c>
      <c r="N270" s="48">
        <v>5.5</v>
      </c>
      <c r="O270" s="48">
        <v>5.5</v>
      </c>
      <c r="P270" s="48"/>
      <c r="Q270" s="48"/>
      <c r="R270" s="150" t="e">
        <f t="shared" ref="R270:AA270" si="290">$G270*H270</f>
        <v>#REF!</v>
      </c>
      <c r="S270" s="150" t="e">
        <f t="shared" si="290"/>
        <v>#REF!</v>
      </c>
      <c r="T270" s="150" t="e">
        <f t="shared" si="290"/>
        <v>#REF!</v>
      </c>
      <c r="U270" s="150" t="e">
        <f t="shared" si="290"/>
        <v>#REF!</v>
      </c>
      <c r="V270" s="150" t="e">
        <f t="shared" si="290"/>
        <v>#REF!</v>
      </c>
      <c r="W270" s="150" t="e">
        <f t="shared" si="290"/>
        <v>#REF!</v>
      </c>
      <c r="X270" s="150" t="e">
        <f t="shared" si="290"/>
        <v>#REF!</v>
      </c>
      <c r="Y270" s="150" t="e">
        <f t="shared" si="290"/>
        <v>#REF!</v>
      </c>
      <c r="Z270" s="150" t="e">
        <f t="shared" si="290"/>
        <v>#REF!</v>
      </c>
      <c r="AA270" s="150" t="e">
        <f t="shared" si="290"/>
        <v>#REF!</v>
      </c>
      <c r="AB270" s="50"/>
    </row>
    <row r="271" s="28" customFormat="1" ht="28.8" outlineLevel="3" spans="1:28">
      <c r="A271" s="52">
        <f>MAX($A$6:A270)+1</f>
        <v>240</v>
      </c>
      <c r="B271" s="51" t="s">
        <v>1940</v>
      </c>
      <c r="C271" s="51" t="e">
        <f>VLOOKUP($B271,#REF!,MATCH(C$2,#REF!,0),0)</f>
        <v>#REF!</v>
      </c>
      <c r="D271" s="83"/>
      <c r="E271" s="83"/>
      <c r="F271" s="136" t="e">
        <f>VLOOKUP($B271,#REF!,MATCH(F$2,#REF!,0),0)</f>
        <v>#REF!</v>
      </c>
      <c r="G271" s="137" t="e">
        <f>VLOOKUP($B271,#REF!,MATCH(G$2,#REF!,0),0)</f>
        <v>#REF!</v>
      </c>
      <c r="H271" s="48">
        <v>30.41</v>
      </c>
      <c r="I271" s="48">
        <v>3.7</v>
      </c>
      <c r="J271" s="48">
        <v>14.4</v>
      </c>
      <c r="K271" s="48">
        <v>14.4</v>
      </c>
      <c r="L271" s="48"/>
      <c r="M271" s="48">
        <v>44.3</v>
      </c>
      <c r="N271" s="48">
        <v>44.3</v>
      </c>
      <c r="O271" s="48">
        <v>44.3</v>
      </c>
      <c r="P271" s="48"/>
      <c r="Q271" s="48"/>
      <c r="R271" s="150" t="e">
        <f t="shared" ref="R271:AA271" si="291">$G271*H271</f>
        <v>#REF!</v>
      </c>
      <c r="S271" s="150" t="e">
        <f t="shared" si="291"/>
        <v>#REF!</v>
      </c>
      <c r="T271" s="150" t="e">
        <f t="shared" si="291"/>
        <v>#REF!</v>
      </c>
      <c r="U271" s="150" t="e">
        <f t="shared" si="291"/>
        <v>#REF!</v>
      </c>
      <c r="V271" s="150" t="e">
        <f t="shared" si="291"/>
        <v>#REF!</v>
      </c>
      <c r="W271" s="150" t="e">
        <f t="shared" si="291"/>
        <v>#REF!</v>
      </c>
      <c r="X271" s="150" t="e">
        <f t="shared" si="291"/>
        <v>#REF!</v>
      </c>
      <c r="Y271" s="150" t="e">
        <f t="shared" si="291"/>
        <v>#REF!</v>
      </c>
      <c r="Z271" s="150" t="e">
        <f t="shared" si="291"/>
        <v>#REF!</v>
      </c>
      <c r="AA271" s="150" t="e">
        <f t="shared" si="291"/>
        <v>#REF!</v>
      </c>
      <c r="AB271" s="50"/>
    </row>
    <row r="272" s="28" customFormat="1" ht="28.8" outlineLevel="3" spans="1:28">
      <c r="A272" s="52">
        <f>MAX($A$6:A271)+1</f>
        <v>241</v>
      </c>
      <c r="B272" s="51" t="s">
        <v>1939</v>
      </c>
      <c r="C272" s="51" t="e">
        <f>VLOOKUP($B272,#REF!,MATCH(C$2,#REF!,0),0)</f>
        <v>#REF!</v>
      </c>
      <c r="D272" s="83"/>
      <c r="E272" s="83"/>
      <c r="F272" s="136" t="e">
        <f>VLOOKUP($B272,#REF!,MATCH(F$2,#REF!,0),0)</f>
        <v>#REF!</v>
      </c>
      <c r="G272" s="137" t="e">
        <f>VLOOKUP($B272,#REF!,MATCH(G$2,#REF!,0),0)</f>
        <v>#REF!</v>
      </c>
      <c r="H272" s="48"/>
      <c r="I272" s="48"/>
      <c r="J272" s="48"/>
      <c r="K272" s="48"/>
      <c r="L272" s="48">
        <v>28.7</v>
      </c>
      <c r="M272" s="48"/>
      <c r="N272" s="48"/>
      <c r="O272" s="48"/>
      <c r="P272" s="48"/>
      <c r="Q272" s="48"/>
      <c r="R272" s="150" t="e">
        <f t="shared" ref="R272:AA272" si="292">$G272*H272</f>
        <v>#REF!</v>
      </c>
      <c r="S272" s="150" t="e">
        <f t="shared" si="292"/>
        <v>#REF!</v>
      </c>
      <c r="T272" s="150" t="e">
        <f t="shared" si="292"/>
        <v>#REF!</v>
      </c>
      <c r="U272" s="150" t="e">
        <f t="shared" si="292"/>
        <v>#REF!</v>
      </c>
      <c r="V272" s="150" t="e">
        <f t="shared" si="292"/>
        <v>#REF!</v>
      </c>
      <c r="W272" s="150" t="e">
        <f t="shared" si="292"/>
        <v>#REF!</v>
      </c>
      <c r="X272" s="150" t="e">
        <f t="shared" si="292"/>
        <v>#REF!</v>
      </c>
      <c r="Y272" s="150" t="e">
        <f t="shared" si="292"/>
        <v>#REF!</v>
      </c>
      <c r="Z272" s="150" t="e">
        <f t="shared" si="292"/>
        <v>#REF!</v>
      </c>
      <c r="AA272" s="150" t="e">
        <f t="shared" si="292"/>
        <v>#REF!</v>
      </c>
      <c r="AB272" s="50"/>
    </row>
    <row r="273" s="28" customFormat="1" ht="28.8" outlineLevel="3" spans="1:28">
      <c r="A273" s="52">
        <f>MAX($A$6:A272)+1</f>
        <v>242</v>
      </c>
      <c r="B273" s="51" t="s">
        <v>1938</v>
      </c>
      <c r="C273" s="51" t="e">
        <f>VLOOKUP($B273,#REF!,MATCH(C$2,#REF!,0),0)</f>
        <v>#REF!</v>
      </c>
      <c r="D273" s="83"/>
      <c r="E273" s="83"/>
      <c r="F273" s="136" t="e">
        <f>VLOOKUP($B273,#REF!,MATCH(F$2,#REF!,0),0)</f>
        <v>#REF!</v>
      </c>
      <c r="G273" s="137" t="e">
        <f>VLOOKUP($B273,#REF!,MATCH(G$2,#REF!,0),0)</f>
        <v>#REF!</v>
      </c>
      <c r="H273" s="48"/>
      <c r="I273" s="48"/>
      <c r="J273" s="48"/>
      <c r="K273" s="48"/>
      <c r="L273" s="48"/>
      <c r="M273" s="48"/>
      <c r="N273" s="48"/>
      <c r="O273" s="48"/>
      <c r="P273" s="48"/>
      <c r="Q273" s="48"/>
      <c r="R273" s="150" t="e">
        <f t="shared" ref="R273:AA273" si="293">$G273*H273</f>
        <v>#REF!</v>
      </c>
      <c r="S273" s="150" t="e">
        <f t="shared" si="293"/>
        <v>#REF!</v>
      </c>
      <c r="T273" s="150" t="e">
        <f t="shared" si="293"/>
        <v>#REF!</v>
      </c>
      <c r="U273" s="150" t="e">
        <f t="shared" si="293"/>
        <v>#REF!</v>
      </c>
      <c r="V273" s="150" t="e">
        <f t="shared" si="293"/>
        <v>#REF!</v>
      </c>
      <c r="W273" s="150" t="e">
        <f t="shared" si="293"/>
        <v>#REF!</v>
      </c>
      <c r="X273" s="150" t="e">
        <f t="shared" si="293"/>
        <v>#REF!</v>
      </c>
      <c r="Y273" s="150" t="e">
        <f t="shared" si="293"/>
        <v>#REF!</v>
      </c>
      <c r="Z273" s="150" t="e">
        <f t="shared" si="293"/>
        <v>#REF!</v>
      </c>
      <c r="AA273" s="150" t="e">
        <f t="shared" si="293"/>
        <v>#REF!</v>
      </c>
      <c r="AB273" s="50"/>
    </row>
    <row r="274" s="28" customFormat="1" ht="28.8" outlineLevel="3" spans="1:28">
      <c r="A274" s="52">
        <f>MAX($A$6:A273)+1</f>
        <v>243</v>
      </c>
      <c r="B274" s="51" t="s">
        <v>2047</v>
      </c>
      <c r="C274" s="51" t="e">
        <f>VLOOKUP($B274,#REF!,MATCH(C$2,#REF!,0),0)</f>
        <v>#REF!</v>
      </c>
      <c r="D274" s="83"/>
      <c r="E274" s="83"/>
      <c r="F274" s="136" t="e">
        <f>VLOOKUP($B274,#REF!,MATCH(F$2,#REF!,0),0)</f>
        <v>#REF!</v>
      </c>
      <c r="G274" s="137" t="e">
        <f>VLOOKUP($B274,#REF!,MATCH(G$2,#REF!,0),0)</f>
        <v>#REF!</v>
      </c>
      <c r="H274" s="48">
        <v>1</v>
      </c>
      <c r="I274" s="48">
        <v>1</v>
      </c>
      <c r="J274" s="48">
        <v>1</v>
      </c>
      <c r="K274" s="48">
        <v>1</v>
      </c>
      <c r="L274" s="48"/>
      <c r="M274" s="48">
        <v>1</v>
      </c>
      <c r="N274" s="48">
        <v>1</v>
      </c>
      <c r="O274" s="48">
        <v>1</v>
      </c>
      <c r="P274" s="48"/>
      <c r="Q274" s="48"/>
      <c r="R274" s="150" t="e">
        <f t="shared" ref="R274:AA274" si="294">$G274*H274</f>
        <v>#REF!</v>
      </c>
      <c r="S274" s="150" t="e">
        <f t="shared" si="294"/>
        <v>#REF!</v>
      </c>
      <c r="T274" s="150" t="e">
        <f t="shared" si="294"/>
        <v>#REF!</v>
      </c>
      <c r="U274" s="150" t="e">
        <f t="shared" si="294"/>
        <v>#REF!</v>
      </c>
      <c r="V274" s="150" t="e">
        <f t="shared" si="294"/>
        <v>#REF!</v>
      </c>
      <c r="W274" s="150" t="e">
        <f t="shared" si="294"/>
        <v>#REF!</v>
      </c>
      <c r="X274" s="150" t="e">
        <f t="shared" si="294"/>
        <v>#REF!</v>
      </c>
      <c r="Y274" s="150" t="e">
        <f t="shared" si="294"/>
        <v>#REF!</v>
      </c>
      <c r="Z274" s="150" t="e">
        <f t="shared" si="294"/>
        <v>#REF!</v>
      </c>
      <c r="AA274" s="150" t="e">
        <f t="shared" si="294"/>
        <v>#REF!</v>
      </c>
      <c r="AB274" s="50"/>
    </row>
    <row r="275" s="28" customFormat="1" ht="28.8" outlineLevel="3" spans="1:28">
      <c r="A275" s="52">
        <f>MAX($A$6:A274)+1</f>
        <v>244</v>
      </c>
      <c r="B275" s="51" t="s">
        <v>2048</v>
      </c>
      <c r="C275" s="51" t="e">
        <f>VLOOKUP($B275,#REF!,MATCH(C$2,#REF!,0),0)</f>
        <v>#REF!</v>
      </c>
      <c r="D275" s="83"/>
      <c r="E275" s="83"/>
      <c r="F275" s="136" t="e">
        <f>VLOOKUP($B275,#REF!,MATCH(F$2,#REF!,0),0)</f>
        <v>#REF!</v>
      </c>
      <c r="G275" s="137" t="e">
        <f>VLOOKUP($B275,#REF!,MATCH(G$2,#REF!,0),0)</f>
        <v>#REF!</v>
      </c>
      <c r="H275" s="48">
        <v>862.5</v>
      </c>
      <c r="I275" s="48">
        <v>780.81</v>
      </c>
      <c r="J275" s="48">
        <v>405.69</v>
      </c>
      <c r="K275" s="48">
        <v>405.69</v>
      </c>
      <c r="L275" s="48"/>
      <c r="M275" s="48">
        <v>7.6</v>
      </c>
      <c r="N275" s="48">
        <v>7.6</v>
      </c>
      <c r="O275" s="48">
        <v>7.6</v>
      </c>
      <c r="P275" s="48"/>
      <c r="Q275" s="48"/>
      <c r="R275" s="150" t="e">
        <f t="shared" ref="R275:AA275" si="295">$G275*H275</f>
        <v>#REF!</v>
      </c>
      <c r="S275" s="150" t="e">
        <f t="shared" si="295"/>
        <v>#REF!</v>
      </c>
      <c r="T275" s="150" t="e">
        <f t="shared" si="295"/>
        <v>#REF!</v>
      </c>
      <c r="U275" s="150" t="e">
        <f t="shared" si="295"/>
        <v>#REF!</v>
      </c>
      <c r="V275" s="150" t="e">
        <f t="shared" si="295"/>
        <v>#REF!</v>
      </c>
      <c r="W275" s="150" t="e">
        <f t="shared" si="295"/>
        <v>#REF!</v>
      </c>
      <c r="X275" s="150" t="e">
        <f t="shared" si="295"/>
        <v>#REF!</v>
      </c>
      <c r="Y275" s="150" t="e">
        <f t="shared" si="295"/>
        <v>#REF!</v>
      </c>
      <c r="Z275" s="150" t="e">
        <f t="shared" si="295"/>
        <v>#REF!</v>
      </c>
      <c r="AA275" s="150" t="e">
        <f t="shared" si="295"/>
        <v>#REF!</v>
      </c>
      <c r="AB275" s="50"/>
    </row>
    <row r="276" s="29" customFormat="1" outlineLevel="2" spans="1:28">
      <c r="A276" s="40"/>
      <c r="B276" s="41" t="s">
        <v>2049</v>
      </c>
      <c r="C276" s="41"/>
      <c r="D276" s="140"/>
      <c r="E276" s="140"/>
      <c r="F276" s="141"/>
      <c r="G276" s="142"/>
      <c r="H276" s="43"/>
      <c r="I276" s="43"/>
      <c r="J276" s="43"/>
      <c r="K276" s="43"/>
      <c r="L276" s="43"/>
      <c r="M276" s="43"/>
      <c r="N276" s="43"/>
      <c r="O276" s="43"/>
      <c r="P276" s="43"/>
      <c r="Q276" s="43"/>
      <c r="R276" s="149" t="e">
        <f t="shared" ref="R276:AA276" si="296">SUM(R277:R282)</f>
        <v>#REF!</v>
      </c>
      <c r="S276" s="149" t="e">
        <f t="shared" si="296"/>
        <v>#REF!</v>
      </c>
      <c r="T276" s="149" t="e">
        <f t="shared" si="296"/>
        <v>#REF!</v>
      </c>
      <c r="U276" s="149" t="e">
        <f t="shared" si="296"/>
        <v>#REF!</v>
      </c>
      <c r="V276" s="149" t="e">
        <f t="shared" si="296"/>
        <v>#REF!</v>
      </c>
      <c r="W276" s="149" t="e">
        <f t="shared" si="296"/>
        <v>#REF!</v>
      </c>
      <c r="X276" s="149" t="e">
        <f t="shared" si="296"/>
        <v>#REF!</v>
      </c>
      <c r="Y276" s="149" t="e">
        <f t="shared" si="296"/>
        <v>#REF!</v>
      </c>
      <c r="Z276" s="149" t="e">
        <f t="shared" si="296"/>
        <v>#REF!</v>
      </c>
      <c r="AA276" s="149" t="e">
        <f t="shared" si="296"/>
        <v>#REF!</v>
      </c>
      <c r="AB276" s="40"/>
    </row>
    <row r="277" s="28" customFormat="1" outlineLevel="3" spans="1:28">
      <c r="A277" s="52">
        <f>MAX($A$6:A276)+1</f>
        <v>245</v>
      </c>
      <c r="B277" s="51" t="s">
        <v>1729</v>
      </c>
      <c r="C277" s="51" t="e">
        <f>VLOOKUP($B277,#REF!,MATCH(C$2,#REF!,0),0)</f>
        <v>#REF!</v>
      </c>
      <c r="D277" s="83"/>
      <c r="E277" s="83"/>
      <c r="F277" s="136" t="e">
        <f>VLOOKUP($B277,#REF!,MATCH(F$2,#REF!,0),0)</f>
        <v>#REF!</v>
      </c>
      <c r="G277" s="137" t="e">
        <f>VLOOKUP($B277,#REF!,MATCH(G$2,#REF!,0),0)</f>
        <v>#REF!</v>
      </c>
      <c r="H277" s="48"/>
      <c r="I277" s="48"/>
      <c r="J277" s="48"/>
      <c r="K277" s="48"/>
      <c r="L277" s="48"/>
      <c r="M277" s="48">
        <v>1</v>
      </c>
      <c r="N277" s="48">
        <v>1</v>
      </c>
      <c r="O277" s="48">
        <v>1</v>
      </c>
      <c r="P277" s="48"/>
      <c r="Q277" s="48"/>
      <c r="R277" s="150" t="e">
        <f t="shared" ref="R277:AA277" si="297">$G277*H277</f>
        <v>#REF!</v>
      </c>
      <c r="S277" s="150" t="e">
        <f t="shared" si="297"/>
        <v>#REF!</v>
      </c>
      <c r="T277" s="150" t="e">
        <f t="shared" si="297"/>
        <v>#REF!</v>
      </c>
      <c r="U277" s="150" t="e">
        <f t="shared" si="297"/>
        <v>#REF!</v>
      </c>
      <c r="V277" s="150" t="e">
        <f t="shared" si="297"/>
        <v>#REF!</v>
      </c>
      <c r="W277" s="150" t="e">
        <f t="shared" si="297"/>
        <v>#REF!</v>
      </c>
      <c r="X277" s="150" t="e">
        <f t="shared" si="297"/>
        <v>#REF!</v>
      </c>
      <c r="Y277" s="150" t="e">
        <f t="shared" si="297"/>
        <v>#REF!</v>
      </c>
      <c r="Z277" s="150" t="e">
        <f t="shared" si="297"/>
        <v>#REF!</v>
      </c>
      <c r="AA277" s="150" t="e">
        <f t="shared" si="297"/>
        <v>#REF!</v>
      </c>
      <c r="AB277" s="50"/>
    </row>
    <row r="278" s="28" customFormat="1" outlineLevel="3" spans="1:28">
      <c r="A278" s="52">
        <f>MAX($A$6:A277)+1</f>
        <v>246</v>
      </c>
      <c r="B278" s="51" t="s">
        <v>1721</v>
      </c>
      <c r="C278" s="51" t="e">
        <f>VLOOKUP($B278,#REF!,MATCH(C$2,#REF!,0),0)</f>
        <v>#REF!</v>
      </c>
      <c r="D278" s="83"/>
      <c r="E278" s="83"/>
      <c r="F278" s="136" t="e">
        <f>VLOOKUP($B278,#REF!,MATCH(F$2,#REF!,0),0)</f>
        <v>#REF!</v>
      </c>
      <c r="G278" s="137" t="e">
        <f>VLOOKUP($B278,#REF!,MATCH(G$2,#REF!,0),0)</f>
        <v>#REF!</v>
      </c>
      <c r="H278" s="48"/>
      <c r="I278" s="48"/>
      <c r="J278" s="48">
        <v>20</v>
      </c>
      <c r="K278" s="48">
        <v>20</v>
      </c>
      <c r="L278" s="48">
        <v>10</v>
      </c>
      <c r="M278" s="48">
        <v>5</v>
      </c>
      <c r="N278" s="48">
        <v>5</v>
      </c>
      <c r="O278" s="48">
        <v>5</v>
      </c>
      <c r="P278" s="48"/>
      <c r="Q278" s="48"/>
      <c r="R278" s="150" t="e">
        <f t="shared" ref="R278:AA278" si="298">$G278*H278</f>
        <v>#REF!</v>
      </c>
      <c r="S278" s="150" t="e">
        <f t="shared" si="298"/>
        <v>#REF!</v>
      </c>
      <c r="T278" s="150" t="e">
        <f t="shared" si="298"/>
        <v>#REF!</v>
      </c>
      <c r="U278" s="150" t="e">
        <f t="shared" si="298"/>
        <v>#REF!</v>
      </c>
      <c r="V278" s="150" t="e">
        <f t="shared" si="298"/>
        <v>#REF!</v>
      </c>
      <c r="W278" s="150" t="e">
        <f t="shared" si="298"/>
        <v>#REF!</v>
      </c>
      <c r="X278" s="150" t="e">
        <f t="shared" si="298"/>
        <v>#REF!</v>
      </c>
      <c r="Y278" s="150" t="e">
        <f t="shared" si="298"/>
        <v>#REF!</v>
      </c>
      <c r="Z278" s="150" t="e">
        <f t="shared" si="298"/>
        <v>#REF!</v>
      </c>
      <c r="AA278" s="150" t="e">
        <f t="shared" si="298"/>
        <v>#REF!</v>
      </c>
      <c r="AB278" s="50"/>
    </row>
    <row r="279" s="28" customFormat="1" outlineLevel="3" spans="1:28">
      <c r="A279" s="52">
        <f>MAX($A$6:A278)+1</f>
        <v>247</v>
      </c>
      <c r="B279" s="51" t="s">
        <v>2050</v>
      </c>
      <c r="C279" s="51" t="e">
        <f>VLOOKUP($B279,#REF!,MATCH(C$2,#REF!,0),0)</f>
        <v>#REF!</v>
      </c>
      <c r="D279" s="83"/>
      <c r="E279" s="83"/>
      <c r="F279" s="136" t="e">
        <f>VLOOKUP($B279,#REF!,MATCH(F$2,#REF!,0),0)</f>
        <v>#REF!</v>
      </c>
      <c r="G279" s="137" t="e">
        <f>VLOOKUP($B279,#REF!,MATCH(G$2,#REF!,0),0)</f>
        <v>#REF!</v>
      </c>
      <c r="H279" s="48"/>
      <c r="I279" s="48"/>
      <c r="J279" s="48"/>
      <c r="K279" s="48"/>
      <c r="L279" s="48"/>
      <c r="M279" s="48"/>
      <c r="N279" s="48"/>
      <c r="O279" s="48"/>
      <c r="P279" s="48"/>
      <c r="Q279" s="48"/>
      <c r="R279" s="150" t="e">
        <f t="shared" ref="R279:AA279" si="299">$G279*H279</f>
        <v>#REF!</v>
      </c>
      <c r="S279" s="150" t="e">
        <f t="shared" si="299"/>
        <v>#REF!</v>
      </c>
      <c r="T279" s="150" t="e">
        <f t="shared" si="299"/>
        <v>#REF!</v>
      </c>
      <c r="U279" s="150" t="e">
        <f t="shared" si="299"/>
        <v>#REF!</v>
      </c>
      <c r="V279" s="150" t="e">
        <f t="shared" si="299"/>
        <v>#REF!</v>
      </c>
      <c r="W279" s="150" t="e">
        <f t="shared" si="299"/>
        <v>#REF!</v>
      </c>
      <c r="X279" s="150" t="e">
        <f t="shared" si="299"/>
        <v>#REF!</v>
      </c>
      <c r="Y279" s="150" t="e">
        <f t="shared" si="299"/>
        <v>#REF!</v>
      </c>
      <c r="Z279" s="150" t="e">
        <f t="shared" si="299"/>
        <v>#REF!</v>
      </c>
      <c r="AA279" s="150" t="e">
        <f t="shared" si="299"/>
        <v>#REF!</v>
      </c>
      <c r="AB279" s="50"/>
    </row>
    <row r="280" s="28" customFormat="1" outlineLevel="3" spans="1:28">
      <c r="A280" s="52">
        <f>MAX($A$6:A279)+1</f>
        <v>248</v>
      </c>
      <c r="B280" s="51" t="s">
        <v>2051</v>
      </c>
      <c r="C280" s="51" t="e">
        <f>VLOOKUP($B280,#REF!,MATCH(C$2,#REF!,0),0)</f>
        <v>#REF!</v>
      </c>
      <c r="D280" s="83"/>
      <c r="E280" s="83"/>
      <c r="F280" s="136" t="e">
        <f>VLOOKUP($B280,#REF!,MATCH(F$2,#REF!,0),0)</f>
        <v>#REF!</v>
      </c>
      <c r="G280" s="137" t="e">
        <f>VLOOKUP($B280,#REF!,MATCH(G$2,#REF!,0),0)</f>
        <v>#REF!</v>
      </c>
      <c r="H280" s="48">
        <v>51</v>
      </c>
      <c r="I280" s="48">
        <v>51</v>
      </c>
      <c r="J280" s="48">
        <v>1</v>
      </c>
      <c r="K280" s="48">
        <v>1</v>
      </c>
      <c r="L280" s="48"/>
      <c r="M280" s="48">
        <v>1</v>
      </c>
      <c r="N280" s="48">
        <v>1</v>
      </c>
      <c r="O280" s="48">
        <v>1</v>
      </c>
      <c r="P280" s="48"/>
      <c r="Q280" s="48"/>
      <c r="R280" s="150" t="e">
        <f t="shared" ref="R280:AA280" si="300">$G280*H280</f>
        <v>#REF!</v>
      </c>
      <c r="S280" s="150" t="e">
        <f t="shared" si="300"/>
        <v>#REF!</v>
      </c>
      <c r="T280" s="150" t="e">
        <f t="shared" si="300"/>
        <v>#REF!</v>
      </c>
      <c r="U280" s="150" t="e">
        <f t="shared" si="300"/>
        <v>#REF!</v>
      </c>
      <c r="V280" s="150" t="e">
        <f t="shared" si="300"/>
        <v>#REF!</v>
      </c>
      <c r="W280" s="150" t="e">
        <f t="shared" si="300"/>
        <v>#REF!</v>
      </c>
      <c r="X280" s="150" t="e">
        <f t="shared" si="300"/>
        <v>#REF!</v>
      </c>
      <c r="Y280" s="150" t="e">
        <f t="shared" si="300"/>
        <v>#REF!</v>
      </c>
      <c r="Z280" s="150" t="e">
        <f t="shared" si="300"/>
        <v>#REF!</v>
      </c>
      <c r="AA280" s="150" t="e">
        <f t="shared" si="300"/>
        <v>#REF!</v>
      </c>
      <c r="AB280" s="50"/>
    </row>
    <row r="281" s="28" customFormat="1" outlineLevel="3" spans="1:28">
      <c r="A281" s="52">
        <f>MAX($A$6:A280)+1</f>
        <v>249</v>
      </c>
      <c r="B281" s="51" t="s">
        <v>2013</v>
      </c>
      <c r="C281" s="51" t="e">
        <f>VLOOKUP($B281,#REF!,MATCH(C$2,#REF!,0),0)</f>
        <v>#REF!</v>
      </c>
      <c r="D281" s="83"/>
      <c r="E281" s="83"/>
      <c r="F281" s="136" t="e">
        <f>VLOOKUP($B281,#REF!,MATCH(F$2,#REF!,0),0)</f>
        <v>#REF!</v>
      </c>
      <c r="G281" s="137" t="e">
        <f>VLOOKUP($B281,#REF!,MATCH(G$2,#REF!,0),0)</f>
        <v>#REF!</v>
      </c>
      <c r="H281" s="48">
        <v>3</v>
      </c>
      <c r="I281" s="48">
        <v>3</v>
      </c>
      <c r="J281" s="48">
        <v>2</v>
      </c>
      <c r="K281" s="48">
        <v>2</v>
      </c>
      <c r="L281" s="48"/>
      <c r="M281" s="48">
        <v>4</v>
      </c>
      <c r="N281" s="48">
        <v>4</v>
      </c>
      <c r="O281" s="48">
        <v>4</v>
      </c>
      <c r="P281" s="48"/>
      <c r="Q281" s="48"/>
      <c r="R281" s="150" t="e">
        <f t="shared" ref="R281:AA281" si="301">$G281*H281</f>
        <v>#REF!</v>
      </c>
      <c r="S281" s="150" t="e">
        <f t="shared" si="301"/>
        <v>#REF!</v>
      </c>
      <c r="T281" s="150" t="e">
        <f t="shared" si="301"/>
        <v>#REF!</v>
      </c>
      <c r="U281" s="150" t="e">
        <f t="shared" si="301"/>
        <v>#REF!</v>
      </c>
      <c r="V281" s="150" t="e">
        <f t="shared" si="301"/>
        <v>#REF!</v>
      </c>
      <c r="W281" s="150" t="e">
        <f t="shared" si="301"/>
        <v>#REF!</v>
      </c>
      <c r="X281" s="150" t="e">
        <f t="shared" si="301"/>
        <v>#REF!</v>
      </c>
      <c r="Y281" s="150" t="e">
        <f t="shared" si="301"/>
        <v>#REF!</v>
      </c>
      <c r="Z281" s="150" t="e">
        <f t="shared" si="301"/>
        <v>#REF!</v>
      </c>
      <c r="AA281" s="150" t="e">
        <f t="shared" si="301"/>
        <v>#REF!</v>
      </c>
      <c r="AB281" s="50"/>
    </row>
    <row r="282" s="28" customFormat="1" outlineLevel="3" spans="1:28">
      <c r="A282" s="52">
        <f>MAX($A$6:A281)+1</f>
        <v>250</v>
      </c>
      <c r="B282" s="51" t="s">
        <v>2012</v>
      </c>
      <c r="C282" s="51" t="e">
        <f>VLOOKUP($B282,#REF!,MATCH(C$2,#REF!,0),0)</f>
        <v>#REF!</v>
      </c>
      <c r="D282" s="83"/>
      <c r="E282" s="83"/>
      <c r="F282" s="136" t="e">
        <f>VLOOKUP($B282,#REF!,MATCH(F$2,#REF!,0),0)</f>
        <v>#REF!</v>
      </c>
      <c r="G282" s="137" t="e">
        <f>VLOOKUP($B282,#REF!,MATCH(G$2,#REF!,0),0)</f>
        <v>#REF!</v>
      </c>
      <c r="H282" s="48">
        <v>4</v>
      </c>
      <c r="I282" s="48">
        <v>4</v>
      </c>
      <c r="J282" s="48">
        <v>1</v>
      </c>
      <c r="K282" s="48">
        <v>1</v>
      </c>
      <c r="L282" s="48"/>
      <c r="M282" s="48"/>
      <c r="N282" s="48"/>
      <c r="O282" s="48"/>
      <c r="P282" s="48"/>
      <c r="Q282" s="48"/>
      <c r="R282" s="150" t="e">
        <f t="shared" ref="R282:AA282" si="302">$G282*H282</f>
        <v>#REF!</v>
      </c>
      <c r="S282" s="150" t="e">
        <f t="shared" si="302"/>
        <v>#REF!</v>
      </c>
      <c r="T282" s="150" t="e">
        <f t="shared" si="302"/>
        <v>#REF!</v>
      </c>
      <c r="U282" s="150" t="e">
        <f t="shared" si="302"/>
        <v>#REF!</v>
      </c>
      <c r="V282" s="150" t="e">
        <f t="shared" si="302"/>
        <v>#REF!</v>
      </c>
      <c r="W282" s="150" t="e">
        <f t="shared" si="302"/>
        <v>#REF!</v>
      </c>
      <c r="X282" s="150" t="e">
        <f t="shared" si="302"/>
        <v>#REF!</v>
      </c>
      <c r="Y282" s="150" t="e">
        <f t="shared" si="302"/>
        <v>#REF!</v>
      </c>
      <c r="Z282" s="150" t="e">
        <f t="shared" si="302"/>
        <v>#REF!</v>
      </c>
      <c r="AA282" s="150" t="e">
        <f t="shared" si="302"/>
        <v>#REF!</v>
      </c>
      <c r="AB282" s="50"/>
    </row>
    <row r="283" s="122" customFormat="1" outlineLevel="1" spans="1:28">
      <c r="A283" s="130"/>
      <c r="B283" s="131" t="s">
        <v>2052</v>
      </c>
      <c r="C283" s="131"/>
      <c r="D283" s="153"/>
      <c r="E283" s="153"/>
      <c r="F283" s="154"/>
      <c r="G283" s="155"/>
      <c r="H283" s="134"/>
      <c r="I283" s="134"/>
      <c r="J283" s="134"/>
      <c r="K283" s="134"/>
      <c r="L283" s="134"/>
      <c r="M283" s="134"/>
      <c r="N283" s="134"/>
      <c r="O283" s="134"/>
      <c r="P283" s="134"/>
      <c r="Q283" s="134"/>
      <c r="R283" s="148" t="e">
        <f t="shared" ref="R283:AA283" si="303">SUM(R284,R291)</f>
        <v>#REF!</v>
      </c>
      <c r="S283" s="148" t="e">
        <f t="shared" si="303"/>
        <v>#REF!</v>
      </c>
      <c r="T283" s="148" t="e">
        <f t="shared" si="303"/>
        <v>#REF!</v>
      </c>
      <c r="U283" s="148" t="e">
        <f t="shared" si="303"/>
        <v>#REF!</v>
      </c>
      <c r="V283" s="148" t="e">
        <f t="shared" si="303"/>
        <v>#REF!</v>
      </c>
      <c r="W283" s="148" t="e">
        <f t="shared" si="303"/>
        <v>#REF!</v>
      </c>
      <c r="X283" s="148" t="e">
        <f t="shared" si="303"/>
        <v>#REF!</v>
      </c>
      <c r="Y283" s="148" t="e">
        <f t="shared" si="303"/>
        <v>#REF!</v>
      </c>
      <c r="Z283" s="148" t="e">
        <f t="shared" si="303"/>
        <v>#REF!</v>
      </c>
      <c r="AA283" s="148" t="e">
        <f t="shared" si="303"/>
        <v>#REF!</v>
      </c>
      <c r="AB283" s="130"/>
    </row>
    <row r="284" s="29" customFormat="1" outlineLevel="2" spans="1:28">
      <c r="A284" s="40"/>
      <c r="B284" s="41" t="s">
        <v>2053</v>
      </c>
      <c r="C284" s="41"/>
      <c r="D284" s="140"/>
      <c r="E284" s="140"/>
      <c r="F284" s="141"/>
      <c r="G284" s="142"/>
      <c r="H284" s="43"/>
      <c r="I284" s="43"/>
      <c r="J284" s="43"/>
      <c r="K284" s="43"/>
      <c r="L284" s="43"/>
      <c r="M284" s="43"/>
      <c r="N284" s="43"/>
      <c r="O284" s="43"/>
      <c r="P284" s="43"/>
      <c r="Q284" s="43"/>
      <c r="R284" s="149" t="e">
        <f t="shared" ref="R284:AA284" si="304">SUM(R285:R290)</f>
        <v>#REF!</v>
      </c>
      <c r="S284" s="149" t="e">
        <f t="shared" si="304"/>
        <v>#REF!</v>
      </c>
      <c r="T284" s="149" t="e">
        <f t="shared" si="304"/>
        <v>#REF!</v>
      </c>
      <c r="U284" s="149" t="e">
        <f t="shared" si="304"/>
        <v>#REF!</v>
      </c>
      <c r="V284" s="149" t="e">
        <f t="shared" si="304"/>
        <v>#REF!</v>
      </c>
      <c r="W284" s="149" t="e">
        <f t="shared" si="304"/>
        <v>#REF!</v>
      </c>
      <c r="X284" s="149" t="e">
        <f t="shared" si="304"/>
        <v>#REF!</v>
      </c>
      <c r="Y284" s="149" t="e">
        <f t="shared" si="304"/>
        <v>#REF!</v>
      </c>
      <c r="Z284" s="149" t="e">
        <f t="shared" si="304"/>
        <v>#REF!</v>
      </c>
      <c r="AA284" s="149" t="e">
        <f t="shared" si="304"/>
        <v>#REF!</v>
      </c>
      <c r="AB284" s="40"/>
    </row>
    <row r="285" s="29" customFormat="1" outlineLevel="3" spans="1:28">
      <c r="A285" s="52">
        <f>MAX($A$6:A284)+1</f>
        <v>251</v>
      </c>
      <c r="B285" s="51" t="s">
        <v>2054</v>
      </c>
      <c r="C285" s="51" t="e">
        <f>VLOOKUP($B285,#REF!,MATCH(C$2,#REF!,0),0)</f>
        <v>#REF!</v>
      </c>
      <c r="D285" s="83"/>
      <c r="E285" s="83"/>
      <c r="F285" s="136" t="e">
        <f>VLOOKUP($B285,#REF!,MATCH(F$2,#REF!,0),0)</f>
        <v>#REF!</v>
      </c>
      <c r="G285" s="137" t="e">
        <f>VLOOKUP($B285,#REF!,MATCH(G$2,#REF!,0),0)</f>
        <v>#REF!</v>
      </c>
      <c r="H285" s="48">
        <v>108</v>
      </c>
      <c r="I285" s="48">
        <v>108</v>
      </c>
      <c r="J285" s="48">
        <v>44</v>
      </c>
      <c r="K285" s="48">
        <v>44</v>
      </c>
      <c r="L285" s="48">
        <v>192</v>
      </c>
      <c r="M285" s="48">
        <v>1</v>
      </c>
      <c r="N285" s="48">
        <v>1</v>
      </c>
      <c r="O285" s="48">
        <v>1</v>
      </c>
      <c r="P285" s="48"/>
      <c r="Q285" s="48"/>
      <c r="R285" s="150" t="e">
        <f t="shared" ref="R285:AA285" si="305">$G285*H285</f>
        <v>#REF!</v>
      </c>
      <c r="S285" s="150" t="e">
        <f t="shared" si="305"/>
        <v>#REF!</v>
      </c>
      <c r="T285" s="150" t="e">
        <f t="shared" si="305"/>
        <v>#REF!</v>
      </c>
      <c r="U285" s="150" t="e">
        <f t="shared" si="305"/>
        <v>#REF!</v>
      </c>
      <c r="V285" s="150" t="e">
        <f t="shared" si="305"/>
        <v>#REF!</v>
      </c>
      <c r="W285" s="150" t="e">
        <f t="shared" si="305"/>
        <v>#REF!</v>
      </c>
      <c r="X285" s="150" t="e">
        <f t="shared" si="305"/>
        <v>#REF!</v>
      </c>
      <c r="Y285" s="150" t="e">
        <f t="shared" si="305"/>
        <v>#REF!</v>
      </c>
      <c r="Z285" s="150" t="e">
        <f t="shared" si="305"/>
        <v>#REF!</v>
      </c>
      <c r="AA285" s="150" t="e">
        <f t="shared" si="305"/>
        <v>#REF!</v>
      </c>
      <c r="AB285" s="50"/>
    </row>
    <row r="286" s="29" customFormat="1" outlineLevel="3" spans="1:28">
      <c r="A286" s="52">
        <f>MAX($A$6:A285)+1</f>
        <v>252</v>
      </c>
      <c r="B286" s="51" t="s">
        <v>2055</v>
      </c>
      <c r="C286" s="51" t="e">
        <f>VLOOKUP($B286,#REF!,MATCH(C$2,#REF!,0),0)</f>
        <v>#REF!</v>
      </c>
      <c r="D286" s="83"/>
      <c r="E286" s="83"/>
      <c r="F286" s="136" t="e">
        <f>VLOOKUP($B286,#REF!,MATCH(F$2,#REF!,0),0)</f>
        <v>#REF!</v>
      </c>
      <c r="G286" s="137" t="e">
        <f>VLOOKUP($B286,#REF!,MATCH(G$2,#REF!,0),0)</f>
        <v>#REF!</v>
      </c>
      <c r="H286" s="48">
        <v>108</v>
      </c>
      <c r="I286" s="48">
        <v>108</v>
      </c>
      <c r="J286" s="48">
        <v>44</v>
      </c>
      <c r="K286" s="48">
        <v>44</v>
      </c>
      <c r="L286" s="48">
        <v>19</v>
      </c>
      <c r="M286" s="48">
        <v>1</v>
      </c>
      <c r="N286" s="48">
        <v>1</v>
      </c>
      <c r="O286" s="48">
        <v>1</v>
      </c>
      <c r="P286" s="48"/>
      <c r="Q286" s="48"/>
      <c r="R286" s="150" t="e">
        <f t="shared" ref="R286:AA286" si="306">$G286*H286</f>
        <v>#REF!</v>
      </c>
      <c r="S286" s="150" t="e">
        <f t="shared" si="306"/>
        <v>#REF!</v>
      </c>
      <c r="T286" s="150" t="e">
        <f t="shared" si="306"/>
        <v>#REF!</v>
      </c>
      <c r="U286" s="150" t="e">
        <f t="shared" si="306"/>
        <v>#REF!</v>
      </c>
      <c r="V286" s="150" t="e">
        <f t="shared" si="306"/>
        <v>#REF!</v>
      </c>
      <c r="W286" s="150" t="e">
        <f t="shared" si="306"/>
        <v>#REF!</v>
      </c>
      <c r="X286" s="150" t="e">
        <f t="shared" si="306"/>
        <v>#REF!</v>
      </c>
      <c r="Y286" s="150" t="e">
        <f t="shared" si="306"/>
        <v>#REF!</v>
      </c>
      <c r="Z286" s="150" t="e">
        <f t="shared" si="306"/>
        <v>#REF!</v>
      </c>
      <c r="AA286" s="150" t="e">
        <f t="shared" si="306"/>
        <v>#REF!</v>
      </c>
      <c r="AB286" s="50"/>
    </row>
    <row r="287" s="29" customFormat="1" outlineLevel="3" spans="1:28">
      <c r="A287" s="52">
        <f>MAX($A$6:A286)+1</f>
        <v>253</v>
      </c>
      <c r="B287" s="51" t="s">
        <v>1972</v>
      </c>
      <c r="C287" s="51" t="e">
        <f>VLOOKUP($B287,#REF!,MATCH(C$2,#REF!,0),0)</f>
        <v>#REF!</v>
      </c>
      <c r="D287" s="83"/>
      <c r="E287" s="83"/>
      <c r="F287" s="136" t="e">
        <f>VLOOKUP($B287,#REF!,MATCH(F$2,#REF!,0),0)</f>
        <v>#REF!</v>
      </c>
      <c r="G287" s="137" t="e">
        <f>VLOOKUP($B287,#REF!,MATCH(G$2,#REF!,0),0)</f>
        <v>#REF!</v>
      </c>
      <c r="H287" s="48">
        <v>1</v>
      </c>
      <c r="I287" s="48">
        <v>1</v>
      </c>
      <c r="J287" s="48">
        <v>1</v>
      </c>
      <c r="K287" s="48">
        <v>1</v>
      </c>
      <c r="L287" s="48">
        <v>2</v>
      </c>
      <c r="M287" s="48"/>
      <c r="N287" s="48"/>
      <c r="O287" s="48"/>
      <c r="P287" s="48"/>
      <c r="Q287" s="48"/>
      <c r="R287" s="150" t="e">
        <f t="shared" ref="R287:AA287" si="307">$G287*H287</f>
        <v>#REF!</v>
      </c>
      <c r="S287" s="150" t="e">
        <f t="shared" si="307"/>
        <v>#REF!</v>
      </c>
      <c r="T287" s="150" t="e">
        <f t="shared" si="307"/>
        <v>#REF!</v>
      </c>
      <c r="U287" s="150" t="e">
        <f t="shared" si="307"/>
        <v>#REF!</v>
      </c>
      <c r="V287" s="150" t="e">
        <f t="shared" si="307"/>
        <v>#REF!</v>
      </c>
      <c r="W287" s="150" t="e">
        <f t="shared" si="307"/>
        <v>#REF!</v>
      </c>
      <c r="X287" s="150" t="e">
        <f t="shared" si="307"/>
        <v>#REF!</v>
      </c>
      <c r="Y287" s="150" t="e">
        <f t="shared" si="307"/>
        <v>#REF!</v>
      </c>
      <c r="Z287" s="150" t="e">
        <f t="shared" si="307"/>
        <v>#REF!</v>
      </c>
      <c r="AA287" s="150" t="e">
        <f t="shared" si="307"/>
        <v>#REF!</v>
      </c>
      <c r="AB287" s="50"/>
    </row>
    <row r="288" s="29" customFormat="1" outlineLevel="3" spans="1:28">
      <c r="A288" s="52">
        <f>MAX($A$6:A287)+1</f>
        <v>254</v>
      </c>
      <c r="B288" s="51" t="s">
        <v>2056</v>
      </c>
      <c r="C288" s="51" t="e">
        <f>VLOOKUP($B288,#REF!,MATCH(C$2,#REF!,0),0)</f>
        <v>#REF!</v>
      </c>
      <c r="D288" s="83"/>
      <c r="E288" s="83"/>
      <c r="F288" s="136" t="e">
        <f>VLOOKUP($B288,#REF!,MATCH(F$2,#REF!,0),0)</f>
        <v>#REF!</v>
      </c>
      <c r="G288" s="137" t="e">
        <f>VLOOKUP($B288,#REF!,MATCH(G$2,#REF!,0),0)</f>
        <v>#REF!</v>
      </c>
      <c r="H288" s="48">
        <v>1</v>
      </c>
      <c r="I288" s="48">
        <v>1</v>
      </c>
      <c r="J288" s="48">
        <v>1</v>
      </c>
      <c r="K288" s="48">
        <v>1</v>
      </c>
      <c r="L288" s="48">
        <v>2</v>
      </c>
      <c r="M288" s="48"/>
      <c r="N288" s="48"/>
      <c r="O288" s="48"/>
      <c r="P288" s="48"/>
      <c r="Q288" s="48">
        <v>4</v>
      </c>
      <c r="R288" s="150" t="e">
        <f t="shared" ref="R288:AA288" si="308">$G288*H288</f>
        <v>#REF!</v>
      </c>
      <c r="S288" s="150" t="e">
        <f t="shared" si="308"/>
        <v>#REF!</v>
      </c>
      <c r="T288" s="150" t="e">
        <f t="shared" si="308"/>
        <v>#REF!</v>
      </c>
      <c r="U288" s="150" t="e">
        <f t="shared" si="308"/>
        <v>#REF!</v>
      </c>
      <c r="V288" s="150" t="e">
        <f t="shared" si="308"/>
        <v>#REF!</v>
      </c>
      <c r="W288" s="150" t="e">
        <f t="shared" si="308"/>
        <v>#REF!</v>
      </c>
      <c r="X288" s="150" t="e">
        <f t="shared" si="308"/>
        <v>#REF!</v>
      </c>
      <c r="Y288" s="150" t="e">
        <f t="shared" si="308"/>
        <v>#REF!</v>
      </c>
      <c r="Z288" s="150" t="e">
        <f t="shared" si="308"/>
        <v>#REF!</v>
      </c>
      <c r="AA288" s="150" t="e">
        <f t="shared" si="308"/>
        <v>#REF!</v>
      </c>
      <c r="AB288" s="50"/>
    </row>
    <row r="289" s="29" customFormat="1" outlineLevel="3" spans="1:28">
      <c r="A289" s="52">
        <f>MAX($A$6:A288)+1</f>
        <v>255</v>
      </c>
      <c r="B289" s="51" t="s">
        <v>1975</v>
      </c>
      <c r="C289" s="51" t="e">
        <f>VLOOKUP($B289,#REF!,MATCH(C$2,#REF!,0),0)</f>
        <v>#REF!</v>
      </c>
      <c r="D289" s="83"/>
      <c r="E289" s="83"/>
      <c r="F289" s="136" t="e">
        <f>VLOOKUP($B289,#REF!,MATCH(F$2,#REF!,0),0)</f>
        <v>#REF!</v>
      </c>
      <c r="G289" s="137" t="e">
        <f>VLOOKUP($B289,#REF!,MATCH(G$2,#REF!,0),0)</f>
        <v>#REF!</v>
      </c>
      <c r="H289" s="48">
        <v>1</v>
      </c>
      <c r="I289" s="48">
        <v>1</v>
      </c>
      <c r="J289" s="48">
        <v>1</v>
      </c>
      <c r="K289" s="48">
        <v>1</v>
      </c>
      <c r="L289" s="48"/>
      <c r="M289" s="48"/>
      <c r="N289" s="48"/>
      <c r="O289" s="48"/>
      <c r="P289" s="48"/>
      <c r="Q289" s="48"/>
      <c r="R289" s="150" t="e">
        <f t="shared" ref="R289:AA289" si="309">$G289*H289</f>
        <v>#REF!</v>
      </c>
      <c r="S289" s="150" t="e">
        <f t="shared" si="309"/>
        <v>#REF!</v>
      </c>
      <c r="T289" s="150" t="e">
        <f t="shared" si="309"/>
        <v>#REF!</v>
      </c>
      <c r="U289" s="150" t="e">
        <f t="shared" si="309"/>
        <v>#REF!</v>
      </c>
      <c r="V289" s="150" t="e">
        <f t="shared" si="309"/>
        <v>#REF!</v>
      </c>
      <c r="W289" s="150" t="e">
        <f t="shared" si="309"/>
        <v>#REF!</v>
      </c>
      <c r="X289" s="150" t="e">
        <f t="shared" si="309"/>
        <v>#REF!</v>
      </c>
      <c r="Y289" s="150" t="e">
        <f t="shared" si="309"/>
        <v>#REF!</v>
      </c>
      <c r="Z289" s="150" t="e">
        <f t="shared" si="309"/>
        <v>#REF!</v>
      </c>
      <c r="AA289" s="150" t="e">
        <f t="shared" si="309"/>
        <v>#REF!</v>
      </c>
      <c r="AB289" s="50"/>
    </row>
    <row r="290" s="28" customFormat="1" outlineLevel="3" spans="1:28">
      <c r="A290" s="52">
        <f>MAX($A$6:A289)+1</f>
        <v>256</v>
      </c>
      <c r="B290" s="51" t="s">
        <v>1976</v>
      </c>
      <c r="C290" s="51" t="e">
        <f>VLOOKUP($B290,#REF!,MATCH(C$2,#REF!,0),0)</f>
        <v>#REF!</v>
      </c>
      <c r="D290" s="83"/>
      <c r="E290" s="83"/>
      <c r="F290" s="136" t="e">
        <f>VLOOKUP($B290,#REF!,MATCH(F$2,#REF!,0),0)</f>
        <v>#REF!</v>
      </c>
      <c r="G290" s="137" t="e">
        <f>VLOOKUP($B290,#REF!,MATCH(G$2,#REF!,0),0)</f>
        <v>#REF!</v>
      </c>
      <c r="H290" s="48">
        <v>24</v>
      </c>
      <c r="I290" s="48">
        <v>24</v>
      </c>
      <c r="J290" s="48">
        <v>16</v>
      </c>
      <c r="K290" s="48">
        <v>16</v>
      </c>
      <c r="L290" s="48">
        <v>7</v>
      </c>
      <c r="M290" s="48">
        <v>1</v>
      </c>
      <c r="N290" s="48">
        <v>1</v>
      </c>
      <c r="O290" s="48">
        <v>1</v>
      </c>
      <c r="P290" s="48"/>
      <c r="Q290" s="48"/>
      <c r="R290" s="150" t="e">
        <f t="shared" ref="R290:AA290" si="310">$G290*H290</f>
        <v>#REF!</v>
      </c>
      <c r="S290" s="150" t="e">
        <f t="shared" si="310"/>
        <v>#REF!</v>
      </c>
      <c r="T290" s="150" t="e">
        <f t="shared" si="310"/>
        <v>#REF!</v>
      </c>
      <c r="U290" s="150" t="e">
        <f t="shared" si="310"/>
        <v>#REF!</v>
      </c>
      <c r="V290" s="150" t="e">
        <f t="shared" si="310"/>
        <v>#REF!</v>
      </c>
      <c r="W290" s="150" t="e">
        <f t="shared" si="310"/>
        <v>#REF!</v>
      </c>
      <c r="X290" s="150" t="e">
        <f t="shared" si="310"/>
        <v>#REF!</v>
      </c>
      <c r="Y290" s="150" t="e">
        <f t="shared" si="310"/>
        <v>#REF!</v>
      </c>
      <c r="Z290" s="150" t="e">
        <f t="shared" si="310"/>
        <v>#REF!</v>
      </c>
      <c r="AA290" s="150" t="e">
        <f t="shared" si="310"/>
        <v>#REF!</v>
      </c>
      <c r="AB290" s="50"/>
    </row>
    <row r="291" s="29" customFormat="1" outlineLevel="2" spans="1:28">
      <c r="A291" s="40"/>
      <c r="B291" s="41" t="s">
        <v>2057</v>
      </c>
      <c r="C291" s="41"/>
      <c r="D291" s="140"/>
      <c r="E291" s="140"/>
      <c r="F291" s="141"/>
      <c r="G291" s="142"/>
      <c r="H291" s="43"/>
      <c r="I291" s="43"/>
      <c r="J291" s="43"/>
      <c r="K291" s="43"/>
      <c r="L291" s="43"/>
      <c r="M291" s="43"/>
      <c r="N291" s="43"/>
      <c r="O291" s="43"/>
      <c r="P291" s="43"/>
      <c r="Q291" s="43"/>
      <c r="R291" s="149" t="e">
        <f t="shared" ref="R291:AA291" si="311">SUM(R292:R294)</f>
        <v>#REF!</v>
      </c>
      <c r="S291" s="149" t="e">
        <f t="shared" si="311"/>
        <v>#REF!</v>
      </c>
      <c r="T291" s="149" t="e">
        <f t="shared" si="311"/>
        <v>#REF!</v>
      </c>
      <c r="U291" s="149" t="e">
        <f t="shared" si="311"/>
        <v>#REF!</v>
      </c>
      <c r="V291" s="149" t="e">
        <f t="shared" si="311"/>
        <v>#REF!</v>
      </c>
      <c r="W291" s="149" t="e">
        <f t="shared" si="311"/>
        <v>#REF!</v>
      </c>
      <c r="X291" s="149" t="e">
        <f t="shared" si="311"/>
        <v>#REF!</v>
      </c>
      <c r="Y291" s="149" t="e">
        <f t="shared" si="311"/>
        <v>#REF!</v>
      </c>
      <c r="Z291" s="149" t="e">
        <f t="shared" si="311"/>
        <v>#REF!</v>
      </c>
      <c r="AA291" s="149" t="e">
        <f t="shared" si="311"/>
        <v>#REF!</v>
      </c>
      <c r="AB291" s="40"/>
    </row>
    <row r="292" s="28" customFormat="1" outlineLevel="3" spans="1:28">
      <c r="A292" s="52">
        <f>MAX($A$6:A291)+1</f>
        <v>257</v>
      </c>
      <c r="B292" s="51" t="s">
        <v>1753</v>
      </c>
      <c r="C292" s="51" t="e">
        <f>VLOOKUP($B292,#REF!,MATCH(C$2,#REF!,0),0)</f>
        <v>#REF!</v>
      </c>
      <c r="D292" s="83"/>
      <c r="E292" s="83"/>
      <c r="F292" s="136" t="e">
        <f>VLOOKUP($B292,#REF!,MATCH(F$2,#REF!,0),0)</f>
        <v>#REF!</v>
      </c>
      <c r="G292" s="137" t="e">
        <f>VLOOKUP($B292,#REF!,MATCH(G$2,#REF!,0),0)</f>
        <v>#REF!</v>
      </c>
      <c r="H292" s="48"/>
      <c r="I292" s="48"/>
      <c r="J292" s="48"/>
      <c r="K292" s="48"/>
      <c r="L292" s="48"/>
      <c r="M292" s="48"/>
      <c r="N292" s="48"/>
      <c r="O292" s="48"/>
      <c r="P292" s="48"/>
      <c r="Q292" s="48">
        <v>1</v>
      </c>
      <c r="R292" s="150" t="e">
        <f t="shared" ref="R292:AA292" si="312">$G292*H292</f>
        <v>#REF!</v>
      </c>
      <c r="S292" s="150" t="e">
        <f t="shared" si="312"/>
        <v>#REF!</v>
      </c>
      <c r="T292" s="150" t="e">
        <f t="shared" si="312"/>
        <v>#REF!</v>
      </c>
      <c r="U292" s="150" t="e">
        <f t="shared" si="312"/>
        <v>#REF!</v>
      </c>
      <c r="V292" s="150" t="e">
        <f t="shared" si="312"/>
        <v>#REF!</v>
      </c>
      <c r="W292" s="150" t="e">
        <f t="shared" si="312"/>
        <v>#REF!</v>
      </c>
      <c r="X292" s="150" t="e">
        <f t="shared" si="312"/>
        <v>#REF!</v>
      </c>
      <c r="Y292" s="150" t="e">
        <f t="shared" si="312"/>
        <v>#REF!</v>
      </c>
      <c r="Z292" s="150" t="e">
        <f t="shared" si="312"/>
        <v>#REF!</v>
      </c>
      <c r="AA292" s="150" t="e">
        <f t="shared" si="312"/>
        <v>#REF!</v>
      </c>
      <c r="AB292" s="50"/>
    </row>
    <row r="293" s="28" customFormat="1" outlineLevel="3" spans="1:28">
      <c r="A293" s="52">
        <f>MAX($A$6:A292)+1</f>
        <v>258</v>
      </c>
      <c r="B293" s="51" t="s">
        <v>1754</v>
      </c>
      <c r="C293" s="51" t="e">
        <f>VLOOKUP($B293,#REF!,MATCH(C$2,#REF!,0),0)</f>
        <v>#REF!</v>
      </c>
      <c r="D293" s="83"/>
      <c r="E293" s="83"/>
      <c r="F293" s="136" t="e">
        <f>VLOOKUP($B293,#REF!,MATCH(F$2,#REF!,0),0)</f>
        <v>#REF!</v>
      </c>
      <c r="G293" s="137" t="e">
        <f>VLOOKUP($B293,#REF!,MATCH(G$2,#REF!,0),0)</f>
        <v>#REF!</v>
      </c>
      <c r="H293" s="48">
        <v>57</v>
      </c>
      <c r="I293" s="48">
        <v>57</v>
      </c>
      <c r="J293" s="48">
        <v>44</v>
      </c>
      <c r="K293" s="48">
        <v>44</v>
      </c>
      <c r="L293" s="48">
        <v>18</v>
      </c>
      <c r="M293" s="48">
        <v>1</v>
      </c>
      <c r="N293" s="48">
        <v>1</v>
      </c>
      <c r="O293" s="48">
        <v>1</v>
      </c>
      <c r="P293" s="48"/>
      <c r="Q293" s="48"/>
      <c r="R293" s="150" t="e">
        <f t="shared" ref="R293:AA293" si="313">$G293*H293</f>
        <v>#REF!</v>
      </c>
      <c r="S293" s="150" t="e">
        <f t="shared" si="313"/>
        <v>#REF!</v>
      </c>
      <c r="T293" s="150" t="e">
        <f t="shared" si="313"/>
        <v>#REF!</v>
      </c>
      <c r="U293" s="150" t="e">
        <f t="shared" si="313"/>
        <v>#REF!</v>
      </c>
      <c r="V293" s="150" t="e">
        <f t="shared" si="313"/>
        <v>#REF!</v>
      </c>
      <c r="W293" s="150" t="e">
        <f t="shared" si="313"/>
        <v>#REF!</v>
      </c>
      <c r="X293" s="150" t="e">
        <f t="shared" si="313"/>
        <v>#REF!</v>
      </c>
      <c r="Y293" s="150" t="e">
        <f t="shared" si="313"/>
        <v>#REF!</v>
      </c>
      <c r="Z293" s="150" t="e">
        <f t="shared" si="313"/>
        <v>#REF!</v>
      </c>
      <c r="AA293" s="150" t="e">
        <f t="shared" si="313"/>
        <v>#REF!</v>
      </c>
      <c r="AB293" s="50"/>
    </row>
    <row r="294" s="28" customFormat="1" outlineLevel="3" spans="1:28">
      <c r="A294" s="52">
        <f>MAX($A$6:A293)+1</f>
        <v>259</v>
      </c>
      <c r="B294" s="51" t="s">
        <v>1977</v>
      </c>
      <c r="C294" s="51" t="e">
        <f>VLOOKUP($B294,#REF!,MATCH(C$2,#REF!,0),0)</f>
        <v>#REF!</v>
      </c>
      <c r="D294" s="83"/>
      <c r="E294" s="83"/>
      <c r="F294" s="136" t="e">
        <f>VLOOKUP($B294,#REF!,MATCH(F$2,#REF!,0),0)</f>
        <v>#REF!</v>
      </c>
      <c r="G294" s="137" t="e">
        <f>VLOOKUP($B294,#REF!,MATCH(G$2,#REF!,0),0)</f>
        <v>#REF!</v>
      </c>
      <c r="H294" s="48">
        <v>4</v>
      </c>
      <c r="I294" s="48">
        <v>1</v>
      </c>
      <c r="J294" s="48">
        <v>1</v>
      </c>
      <c r="K294" s="48">
        <v>1</v>
      </c>
      <c r="L294" s="48"/>
      <c r="M294" s="48">
        <v>1</v>
      </c>
      <c r="N294" s="48">
        <v>1</v>
      </c>
      <c r="O294" s="48">
        <v>1</v>
      </c>
      <c r="P294" s="48"/>
      <c r="Q294" s="48"/>
      <c r="R294" s="150" t="e">
        <f t="shared" ref="R294:AA294" si="314">$G294*H294</f>
        <v>#REF!</v>
      </c>
      <c r="S294" s="150" t="e">
        <f t="shared" si="314"/>
        <v>#REF!</v>
      </c>
      <c r="T294" s="150" t="e">
        <f t="shared" si="314"/>
        <v>#REF!</v>
      </c>
      <c r="U294" s="150" t="e">
        <f t="shared" si="314"/>
        <v>#REF!</v>
      </c>
      <c r="V294" s="150" t="e">
        <f t="shared" si="314"/>
        <v>#REF!</v>
      </c>
      <c r="W294" s="150" t="e">
        <f t="shared" si="314"/>
        <v>#REF!</v>
      </c>
      <c r="X294" s="150" t="e">
        <f t="shared" si="314"/>
        <v>#REF!</v>
      </c>
      <c r="Y294" s="150" t="e">
        <f t="shared" si="314"/>
        <v>#REF!</v>
      </c>
      <c r="Z294" s="150" t="e">
        <f t="shared" si="314"/>
        <v>#REF!</v>
      </c>
      <c r="AA294" s="150" t="e">
        <f t="shared" si="314"/>
        <v>#REF!</v>
      </c>
      <c r="AB294" s="50"/>
    </row>
    <row r="295" s="123" customFormat="1" spans="1:28">
      <c r="A295" s="125"/>
      <c r="B295" s="126" t="s">
        <v>2058</v>
      </c>
      <c r="C295" s="126"/>
      <c r="D295" s="105"/>
      <c r="E295" s="105"/>
      <c r="F295" s="156"/>
      <c r="G295" s="157"/>
      <c r="H295" s="126"/>
      <c r="I295" s="126"/>
      <c r="J295" s="126"/>
      <c r="K295" s="126"/>
      <c r="L295" s="126"/>
      <c r="M295" s="126"/>
      <c r="N295" s="126"/>
      <c r="O295" s="126"/>
      <c r="P295" s="126"/>
      <c r="Q295" s="126"/>
      <c r="R295" s="158" t="e">
        <f t="shared" ref="R295:AA295" si="315">SUM(R296,R304,R318,R368)</f>
        <v>#REF!</v>
      </c>
      <c r="S295" s="158" t="e">
        <f t="shared" si="315"/>
        <v>#REF!</v>
      </c>
      <c r="T295" s="158" t="e">
        <f t="shared" si="315"/>
        <v>#REF!</v>
      </c>
      <c r="U295" s="158" t="e">
        <f t="shared" si="315"/>
        <v>#REF!</v>
      </c>
      <c r="V295" s="158" t="e">
        <f t="shared" si="315"/>
        <v>#REF!</v>
      </c>
      <c r="W295" s="158" t="e">
        <f t="shared" si="315"/>
        <v>#REF!</v>
      </c>
      <c r="X295" s="158" t="e">
        <f t="shared" si="315"/>
        <v>#REF!</v>
      </c>
      <c r="Y295" s="158" t="e">
        <f t="shared" si="315"/>
        <v>#REF!</v>
      </c>
      <c r="Z295" s="158" t="e">
        <f t="shared" si="315"/>
        <v>#REF!</v>
      </c>
      <c r="AA295" s="158" t="e">
        <f t="shared" si="315"/>
        <v>#REF!</v>
      </c>
      <c r="AB295" s="129"/>
    </row>
    <row r="296" s="122" customFormat="1" outlineLevel="1" spans="1:28">
      <c r="A296" s="130"/>
      <c r="B296" s="131" t="s">
        <v>2059</v>
      </c>
      <c r="C296" s="131"/>
      <c r="D296" s="153"/>
      <c r="E296" s="153"/>
      <c r="F296" s="154"/>
      <c r="G296" s="155"/>
      <c r="H296" s="134"/>
      <c r="I296" s="134"/>
      <c r="J296" s="134"/>
      <c r="K296" s="134"/>
      <c r="L296" s="134"/>
      <c r="M296" s="134"/>
      <c r="N296" s="134"/>
      <c r="O296" s="134"/>
      <c r="P296" s="134"/>
      <c r="Q296" s="134"/>
      <c r="R296" s="148" t="e">
        <f t="shared" ref="R296:AA296" si="316">SUM(R297:R303)</f>
        <v>#REF!</v>
      </c>
      <c r="S296" s="148" t="e">
        <f t="shared" si="316"/>
        <v>#REF!</v>
      </c>
      <c r="T296" s="148" t="e">
        <f t="shared" si="316"/>
        <v>#REF!</v>
      </c>
      <c r="U296" s="148" t="e">
        <f t="shared" si="316"/>
        <v>#REF!</v>
      </c>
      <c r="V296" s="148" t="e">
        <f t="shared" si="316"/>
        <v>#REF!</v>
      </c>
      <c r="W296" s="148" t="e">
        <f t="shared" si="316"/>
        <v>#REF!</v>
      </c>
      <c r="X296" s="148" t="e">
        <f t="shared" si="316"/>
        <v>#REF!</v>
      </c>
      <c r="Y296" s="148" t="e">
        <f t="shared" si="316"/>
        <v>#REF!</v>
      </c>
      <c r="Z296" s="148" t="e">
        <f t="shared" si="316"/>
        <v>#REF!</v>
      </c>
      <c r="AA296" s="148" t="e">
        <f t="shared" si="316"/>
        <v>#REF!</v>
      </c>
      <c r="AB296" s="130"/>
    </row>
    <row r="297" s="28" customFormat="1" outlineLevel="3" spans="1:28">
      <c r="A297" s="52">
        <f>MAX($A$6:A296)+1</f>
        <v>260</v>
      </c>
      <c r="B297" s="51" t="s">
        <v>2060</v>
      </c>
      <c r="C297" s="51" t="e">
        <f>VLOOKUP($B297,#REF!,MATCH(C$2,#REF!,0),0)</f>
        <v>#REF!</v>
      </c>
      <c r="D297" s="83"/>
      <c r="E297" s="83"/>
      <c r="F297" s="136" t="e">
        <f>VLOOKUP($B297,#REF!,MATCH(F$2,#REF!,0),0)</f>
        <v>#REF!</v>
      </c>
      <c r="G297" s="137" t="e">
        <f>VLOOKUP($B297,#REF!,MATCH(G$2,#REF!,0),0)</f>
        <v>#REF!</v>
      </c>
      <c r="H297" s="48"/>
      <c r="I297" s="48"/>
      <c r="J297" s="48"/>
      <c r="K297" s="48"/>
      <c r="L297" s="48"/>
      <c r="M297" s="48"/>
      <c r="N297" s="48"/>
      <c r="O297" s="48"/>
      <c r="P297" s="48"/>
      <c r="Q297" s="48"/>
      <c r="R297" s="150" t="e">
        <f t="shared" ref="R297:AA297" si="317">$G297*H297</f>
        <v>#REF!</v>
      </c>
      <c r="S297" s="150" t="e">
        <f t="shared" si="317"/>
        <v>#REF!</v>
      </c>
      <c r="T297" s="150" t="e">
        <f t="shared" si="317"/>
        <v>#REF!</v>
      </c>
      <c r="U297" s="150" t="e">
        <f t="shared" si="317"/>
        <v>#REF!</v>
      </c>
      <c r="V297" s="150" t="e">
        <f t="shared" si="317"/>
        <v>#REF!</v>
      </c>
      <c r="W297" s="150" t="e">
        <f t="shared" si="317"/>
        <v>#REF!</v>
      </c>
      <c r="X297" s="150" t="e">
        <f t="shared" si="317"/>
        <v>#REF!</v>
      </c>
      <c r="Y297" s="150" t="e">
        <f t="shared" si="317"/>
        <v>#REF!</v>
      </c>
      <c r="Z297" s="150" t="e">
        <f t="shared" si="317"/>
        <v>#REF!</v>
      </c>
      <c r="AA297" s="150" t="e">
        <f t="shared" si="317"/>
        <v>#REF!</v>
      </c>
      <c r="AB297" s="50"/>
    </row>
    <row r="298" s="28" customFormat="1" outlineLevel="3" spans="1:28">
      <c r="A298" s="52">
        <f>MAX($A$6:A297)+1</f>
        <v>261</v>
      </c>
      <c r="B298" s="51" t="s">
        <v>2061</v>
      </c>
      <c r="C298" s="51" t="e">
        <f>VLOOKUP($B298,#REF!,MATCH(C$2,#REF!,0),0)</f>
        <v>#REF!</v>
      </c>
      <c r="D298" s="83"/>
      <c r="E298" s="83"/>
      <c r="F298" s="136" t="e">
        <f>VLOOKUP($B298,#REF!,MATCH(F$2,#REF!,0),0)</f>
        <v>#REF!</v>
      </c>
      <c r="G298" s="137" t="e">
        <f>VLOOKUP($B298,#REF!,MATCH(G$2,#REF!,0),0)</f>
        <v>#REF!</v>
      </c>
      <c r="H298" s="48"/>
      <c r="I298" s="48"/>
      <c r="J298" s="48"/>
      <c r="K298" s="48"/>
      <c r="L298" s="48"/>
      <c r="M298" s="48"/>
      <c r="N298" s="48"/>
      <c r="O298" s="48"/>
      <c r="P298" s="48"/>
      <c r="Q298" s="48"/>
      <c r="R298" s="150" t="e">
        <f t="shared" ref="R298:AA298" si="318">$G298*H298</f>
        <v>#REF!</v>
      </c>
      <c r="S298" s="150" t="e">
        <f t="shared" si="318"/>
        <v>#REF!</v>
      </c>
      <c r="T298" s="150" t="e">
        <f t="shared" si="318"/>
        <v>#REF!</v>
      </c>
      <c r="U298" s="150" t="e">
        <f t="shared" si="318"/>
        <v>#REF!</v>
      </c>
      <c r="V298" s="150" t="e">
        <f t="shared" si="318"/>
        <v>#REF!</v>
      </c>
      <c r="W298" s="150" t="e">
        <f t="shared" si="318"/>
        <v>#REF!</v>
      </c>
      <c r="X298" s="150" t="e">
        <f t="shared" si="318"/>
        <v>#REF!</v>
      </c>
      <c r="Y298" s="150" t="e">
        <f t="shared" si="318"/>
        <v>#REF!</v>
      </c>
      <c r="Z298" s="150" t="e">
        <f t="shared" si="318"/>
        <v>#REF!</v>
      </c>
      <c r="AA298" s="150" t="e">
        <f t="shared" si="318"/>
        <v>#REF!</v>
      </c>
      <c r="AB298" s="50"/>
    </row>
    <row r="299" s="28" customFormat="1" outlineLevel="3" spans="1:28">
      <c r="A299" s="52">
        <f>MAX($A$6:A298)+1</f>
        <v>262</v>
      </c>
      <c r="B299" s="51" t="s">
        <v>2062</v>
      </c>
      <c r="C299" s="51" t="e">
        <f>VLOOKUP($B299,#REF!,MATCH(C$2,#REF!,0),0)</f>
        <v>#REF!</v>
      </c>
      <c r="D299" s="83"/>
      <c r="E299" s="83"/>
      <c r="F299" s="136" t="e">
        <f>VLOOKUP($B299,#REF!,MATCH(F$2,#REF!,0),0)</f>
        <v>#REF!</v>
      </c>
      <c r="G299" s="137" t="e">
        <f>VLOOKUP($B299,#REF!,MATCH(G$2,#REF!,0),0)</f>
        <v>#REF!</v>
      </c>
      <c r="H299" s="48"/>
      <c r="I299" s="48"/>
      <c r="J299" s="48"/>
      <c r="K299" s="48"/>
      <c r="L299" s="48"/>
      <c r="M299" s="48"/>
      <c r="N299" s="48"/>
      <c r="O299" s="48"/>
      <c r="P299" s="48"/>
      <c r="Q299" s="48"/>
      <c r="R299" s="150" t="e">
        <f t="shared" ref="R299:AA299" si="319">$G299*H299</f>
        <v>#REF!</v>
      </c>
      <c r="S299" s="150" t="e">
        <f t="shared" si="319"/>
        <v>#REF!</v>
      </c>
      <c r="T299" s="150" t="e">
        <f t="shared" si="319"/>
        <v>#REF!</v>
      </c>
      <c r="U299" s="150" t="e">
        <f t="shared" si="319"/>
        <v>#REF!</v>
      </c>
      <c r="V299" s="150" t="e">
        <f t="shared" si="319"/>
        <v>#REF!</v>
      </c>
      <c r="W299" s="150" t="e">
        <f t="shared" si="319"/>
        <v>#REF!</v>
      </c>
      <c r="X299" s="150" t="e">
        <f t="shared" si="319"/>
        <v>#REF!</v>
      </c>
      <c r="Y299" s="150" t="e">
        <f t="shared" si="319"/>
        <v>#REF!</v>
      </c>
      <c r="Z299" s="150" t="e">
        <f t="shared" si="319"/>
        <v>#REF!</v>
      </c>
      <c r="AA299" s="150" t="e">
        <f t="shared" si="319"/>
        <v>#REF!</v>
      </c>
      <c r="AB299" s="50"/>
    </row>
    <row r="300" s="28" customFormat="1" outlineLevel="3" spans="1:28">
      <c r="A300" s="52">
        <f>MAX($A$6:A299)+1</f>
        <v>263</v>
      </c>
      <c r="B300" s="51" t="s">
        <v>2063</v>
      </c>
      <c r="C300" s="51" t="e">
        <f>VLOOKUP($B300,#REF!,MATCH(C$2,#REF!,0),0)</f>
        <v>#REF!</v>
      </c>
      <c r="D300" s="83"/>
      <c r="E300" s="83"/>
      <c r="F300" s="136" t="e">
        <f>VLOOKUP($B300,#REF!,MATCH(F$2,#REF!,0),0)</f>
        <v>#REF!</v>
      </c>
      <c r="G300" s="137" t="e">
        <f>VLOOKUP($B300,#REF!,MATCH(G$2,#REF!,0),0)</f>
        <v>#REF!</v>
      </c>
      <c r="H300" s="48">
        <v>1</v>
      </c>
      <c r="I300" s="48">
        <v>1</v>
      </c>
      <c r="J300" s="48">
        <v>1</v>
      </c>
      <c r="K300" s="48">
        <v>1</v>
      </c>
      <c r="L300" s="48"/>
      <c r="M300" s="48"/>
      <c r="N300" s="48"/>
      <c r="O300" s="48"/>
      <c r="P300" s="48"/>
      <c r="Q300" s="48"/>
      <c r="R300" s="150" t="e">
        <f t="shared" ref="R300:AA300" si="320">$G300*H300</f>
        <v>#REF!</v>
      </c>
      <c r="S300" s="150" t="e">
        <f t="shared" si="320"/>
        <v>#REF!</v>
      </c>
      <c r="T300" s="150" t="e">
        <f t="shared" si="320"/>
        <v>#REF!</v>
      </c>
      <c r="U300" s="150" t="e">
        <f t="shared" si="320"/>
        <v>#REF!</v>
      </c>
      <c r="V300" s="150" t="e">
        <f t="shared" si="320"/>
        <v>#REF!</v>
      </c>
      <c r="W300" s="150" t="e">
        <f t="shared" si="320"/>
        <v>#REF!</v>
      </c>
      <c r="X300" s="150" t="e">
        <f t="shared" si="320"/>
        <v>#REF!</v>
      </c>
      <c r="Y300" s="150" t="e">
        <f t="shared" si="320"/>
        <v>#REF!</v>
      </c>
      <c r="Z300" s="150" t="e">
        <f t="shared" si="320"/>
        <v>#REF!</v>
      </c>
      <c r="AA300" s="150" t="e">
        <f t="shared" si="320"/>
        <v>#REF!</v>
      </c>
      <c r="AB300" s="50"/>
    </row>
    <row r="301" s="28" customFormat="1" outlineLevel="3" spans="1:28">
      <c r="A301" s="52">
        <f>MAX($A$6:A300)+1</f>
        <v>264</v>
      </c>
      <c r="B301" s="51" t="s">
        <v>2064</v>
      </c>
      <c r="C301" s="51" t="e">
        <f>VLOOKUP($B301,#REF!,MATCH(C$2,#REF!,0),0)</f>
        <v>#REF!</v>
      </c>
      <c r="D301" s="83"/>
      <c r="E301" s="83"/>
      <c r="F301" s="136" t="e">
        <f>VLOOKUP($B301,#REF!,MATCH(F$2,#REF!,0),0)</f>
        <v>#REF!</v>
      </c>
      <c r="G301" s="137" t="e">
        <f>VLOOKUP($B301,#REF!,MATCH(G$2,#REF!,0),0)</f>
        <v>#REF!</v>
      </c>
      <c r="H301" s="48">
        <v>1</v>
      </c>
      <c r="I301" s="48">
        <v>1</v>
      </c>
      <c r="J301" s="48">
        <v>1</v>
      </c>
      <c r="K301" s="48">
        <v>1</v>
      </c>
      <c r="L301" s="48"/>
      <c r="M301" s="48"/>
      <c r="N301" s="48"/>
      <c r="O301" s="48"/>
      <c r="P301" s="48"/>
      <c r="Q301" s="48"/>
      <c r="R301" s="150" t="e">
        <f t="shared" ref="R301:AA301" si="321">$G301*H301</f>
        <v>#REF!</v>
      </c>
      <c r="S301" s="150" t="e">
        <f t="shared" si="321"/>
        <v>#REF!</v>
      </c>
      <c r="T301" s="150" t="e">
        <f t="shared" si="321"/>
        <v>#REF!</v>
      </c>
      <c r="U301" s="150" t="e">
        <f t="shared" si="321"/>
        <v>#REF!</v>
      </c>
      <c r="V301" s="150" t="e">
        <f t="shared" si="321"/>
        <v>#REF!</v>
      </c>
      <c r="W301" s="150" t="e">
        <f t="shared" si="321"/>
        <v>#REF!</v>
      </c>
      <c r="X301" s="150" t="e">
        <f t="shared" si="321"/>
        <v>#REF!</v>
      </c>
      <c r="Y301" s="150" t="e">
        <f t="shared" si="321"/>
        <v>#REF!</v>
      </c>
      <c r="Z301" s="150" t="e">
        <f t="shared" si="321"/>
        <v>#REF!</v>
      </c>
      <c r="AA301" s="150" t="e">
        <f t="shared" si="321"/>
        <v>#REF!</v>
      </c>
      <c r="AB301" s="50"/>
    </row>
    <row r="302" s="28" customFormat="1" outlineLevel="3" spans="1:28">
      <c r="A302" s="52">
        <f>MAX($A$6:A301)+1</f>
        <v>265</v>
      </c>
      <c r="B302" s="51" t="s">
        <v>2065</v>
      </c>
      <c r="C302" s="51" t="e">
        <f>VLOOKUP($B302,#REF!,MATCH(C$2,#REF!,0),0)</f>
        <v>#REF!</v>
      </c>
      <c r="D302" s="83"/>
      <c r="E302" s="83"/>
      <c r="F302" s="136" t="e">
        <f>VLOOKUP($B302,#REF!,MATCH(F$2,#REF!,0),0)</f>
        <v>#REF!</v>
      </c>
      <c r="G302" s="137" t="e">
        <f>VLOOKUP($B302,#REF!,MATCH(G$2,#REF!,0),0)</f>
        <v>#REF!</v>
      </c>
      <c r="H302" s="48">
        <v>1</v>
      </c>
      <c r="I302" s="48">
        <v>1</v>
      </c>
      <c r="J302" s="48">
        <v>1</v>
      </c>
      <c r="K302" s="48">
        <v>1</v>
      </c>
      <c r="L302" s="48">
        <v>1</v>
      </c>
      <c r="M302" s="48"/>
      <c r="N302" s="48"/>
      <c r="O302" s="48"/>
      <c r="P302" s="48"/>
      <c r="Q302" s="48"/>
      <c r="R302" s="150" t="e">
        <f t="shared" ref="R302:AA302" si="322">$G302*H302</f>
        <v>#REF!</v>
      </c>
      <c r="S302" s="150" t="e">
        <f t="shared" si="322"/>
        <v>#REF!</v>
      </c>
      <c r="T302" s="150" t="e">
        <f t="shared" si="322"/>
        <v>#REF!</v>
      </c>
      <c r="U302" s="150" t="e">
        <f t="shared" si="322"/>
        <v>#REF!</v>
      </c>
      <c r="V302" s="150" t="e">
        <f t="shared" si="322"/>
        <v>#REF!</v>
      </c>
      <c r="W302" s="150" t="e">
        <f t="shared" si="322"/>
        <v>#REF!</v>
      </c>
      <c r="X302" s="150" t="e">
        <f t="shared" si="322"/>
        <v>#REF!</v>
      </c>
      <c r="Y302" s="150" t="e">
        <f t="shared" si="322"/>
        <v>#REF!</v>
      </c>
      <c r="Z302" s="150" t="e">
        <f t="shared" si="322"/>
        <v>#REF!</v>
      </c>
      <c r="AA302" s="150" t="e">
        <f t="shared" si="322"/>
        <v>#REF!</v>
      </c>
      <c r="AB302" s="50"/>
    </row>
    <row r="303" s="28" customFormat="1" outlineLevel="3" spans="1:28">
      <c r="A303" s="52">
        <f>MAX($A$6:A302)+1</f>
        <v>266</v>
      </c>
      <c r="B303" s="51" t="s">
        <v>2066</v>
      </c>
      <c r="C303" s="51" t="e">
        <f>VLOOKUP($B303,#REF!,MATCH(C$2,#REF!,0),0)</f>
        <v>#REF!</v>
      </c>
      <c r="D303" s="83"/>
      <c r="E303" s="83"/>
      <c r="F303" s="136" t="e">
        <f>VLOOKUP($B303,#REF!,MATCH(F$2,#REF!,0),0)</f>
        <v>#REF!</v>
      </c>
      <c r="G303" s="137" t="e">
        <f>VLOOKUP($B303,#REF!,MATCH(G$2,#REF!,0),0)</f>
        <v>#REF!</v>
      </c>
      <c r="H303" s="48">
        <v>1</v>
      </c>
      <c r="I303" s="48">
        <v>1</v>
      </c>
      <c r="J303" s="48">
        <v>1</v>
      </c>
      <c r="K303" s="48">
        <v>1</v>
      </c>
      <c r="L303" s="48"/>
      <c r="M303" s="48"/>
      <c r="N303" s="48"/>
      <c r="O303" s="48"/>
      <c r="P303" s="48"/>
      <c r="Q303" s="48"/>
      <c r="R303" s="150" t="e">
        <f t="shared" ref="R303:AA303" si="323">$G303*H303</f>
        <v>#REF!</v>
      </c>
      <c r="S303" s="150" t="e">
        <f t="shared" si="323"/>
        <v>#REF!</v>
      </c>
      <c r="T303" s="150" t="e">
        <f t="shared" si="323"/>
        <v>#REF!</v>
      </c>
      <c r="U303" s="150" t="e">
        <f t="shared" si="323"/>
        <v>#REF!</v>
      </c>
      <c r="V303" s="150" t="e">
        <f t="shared" si="323"/>
        <v>#REF!</v>
      </c>
      <c r="W303" s="150" t="e">
        <f t="shared" si="323"/>
        <v>#REF!</v>
      </c>
      <c r="X303" s="150" t="e">
        <f t="shared" si="323"/>
        <v>#REF!</v>
      </c>
      <c r="Y303" s="150" t="e">
        <f t="shared" si="323"/>
        <v>#REF!</v>
      </c>
      <c r="Z303" s="150" t="e">
        <f t="shared" si="323"/>
        <v>#REF!</v>
      </c>
      <c r="AA303" s="150" t="e">
        <f t="shared" si="323"/>
        <v>#REF!</v>
      </c>
      <c r="AB303" s="50"/>
    </row>
    <row r="304" s="122" customFormat="1" outlineLevel="1" spans="1:28">
      <c r="A304" s="130"/>
      <c r="B304" s="131" t="s">
        <v>2067</v>
      </c>
      <c r="C304" s="131"/>
      <c r="D304" s="153"/>
      <c r="E304" s="153"/>
      <c r="F304" s="154"/>
      <c r="G304" s="155"/>
      <c r="H304" s="134"/>
      <c r="I304" s="134"/>
      <c r="J304" s="134"/>
      <c r="K304" s="134"/>
      <c r="L304" s="134"/>
      <c r="M304" s="134"/>
      <c r="N304" s="134"/>
      <c r="O304" s="134"/>
      <c r="P304" s="134"/>
      <c r="Q304" s="134"/>
      <c r="R304" s="148" t="e">
        <f t="shared" ref="R304:AA304" si="324">SUM(R305:R317)</f>
        <v>#REF!</v>
      </c>
      <c r="S304" s="148" t="e">
        <f t="shared" si="324"/>
        <v>#REF!</v>
      </c>
      <c r="T304" s="148" t="e">
        <f t="shared" si="324"/>
        <v>#REF!</v>
      </c>
      <c r="U304" s="148" t="e">
        <f t="shared" si="324"/>
        <v>#REF!</v>
      </c>
      <c r="V304" s="148" t="e">
        <f t="shared" si="324"/>
        <v>#REF!</v>
      </c>
      <c r="W304" s="148" t="e">
        <f t="shared" si="324"/>
        <v>#REF!</v>
      </c>
      <c r="X304" s="148" t="e">
        <f t="shared" si="324"/>
        <v>#REF!</v>
      </c>
      <c r="Y304" s="148" t="e">
        <f t="shared" si="324"/>
        <v>#REF!</v>
      </c>
      <c r="Z304" s="148" t="e">
        <f t="shared" si="324"/>
        <v>#REF!</v>
      </c>
      <c r="AA304" s="148" t="e">
        <f t="shared" si="324"/>
        <v>#REF!</v>
      </c>
      <c r="AB304" s="130"/>
    </row>
    <row r="305" s="28" customFormat="1" ht="28.8" outlineLevel="3" spans="1:28">
      <c r="A305" s="52">
        <f>MAX($A$6:A304)+1</f>
        <v>267</v>
      </c>
      <c r="B305" s="51" t="s">
        <v>2068</v>
      </c>
      <c r="C305" s="51" t="e">
        <f>VLOOKUP($B305,#REF!,MATCH(C$2,#REF!,0),0)</f>
        <v>#REF!</v>
      </c>
      <c r="D305" s="83"/>
      <c r="E305" s="83"/>
      <c r="F305" s="136" t="e">
        <f>VLOOKUP($B305,#REF!,MATCH(F$2,#REF!,0),0)</f>
        <v>#REF!</v>
      </c>
      <c r="G305" s="137" t="e">
        <f>VLOOKUP($B305,#REF!,MATCH(G$2,#REF!,0),0)</f>
        <v>#REF!</v>
      </c>
      <c r="H305" s="48"/>
      <c r="I305" s="48"/>
      <c r="J305" s="48"/>
      <c r="K305" s="48"/>
      <c r="L305" s="48"/>
      <c r="M305" s="48"/>
      <c r="N305" s="48"/>
      <c r="O305" s="48"/>
      <c r="P305" s="48"/>
      <c r="Q305" s="48">
        <v>43</v>
      </c>
      <c r="R305" s="150" t="e">
        <f t="shared" ref="R305:AA305" si="325">$G305*H305</f>
        <v>#REF!</v>
      </c>
      <c r="S305" s="150" t="e">
        <f t="shared" si="325"/>
        <v>#REF!</v>
      </c>
      <c r="T305" s="150" t="e">
        <f t="shared" si="325"/>
        <v>#REF!</v>
      </c>
      <c r="U305" s="150" t="e">
        <f t="shared" si="325"/>
        <v>#REF!</v>
      </c>
      <c r="V305" s="150" t="e">
        <f t="shared" si="325"/>
        <v>#REF!</v>
      </c>
      <c r="W305" s="150" t="e">
        <f t="shared" si="325"/>
        <v>#REF!</v>
      </c>
      <c r="X305" s="150" t="e">
        <f t="shared" si="325"/>
        <v>#REF!</v>
      </c>
      <c r="Y305" s="150" t="e">
        <f t="shared" si="325"/>
        <v>#REF!</v>
      </c>
      <c r="Z305" s="150" t="e">
        <f t="shared" si="325"/>
        <v>#REF!</v>
      </c>
      <c r="AA305" s="150" t="e">
        <f t="shared" si="325"/>
        <v>#REF!</v>
      </c>
      <c r="AB305" s="50"/>
    </row>
    <row r="306" s="28" customFormat="1" ht="28.8" outlineLevel="3" spans="1:28">
      <c r="A306" s="52">
        <f>MAX($A$6:A305)+1</f>
        <v>268</v>
      </c>
      <c r="B306" s="51" t="s">
        <v>2069</v>
      </c>
      <c r="C306" s="51" t="e">
        <f>VLOOKUP($B306,#REF!,MATCH(C$2,#REF!,0),0)</f>
        <v>#REF!</v>
      </c>
      <c r="D306" s="83"/>
      <c r="E306" s="83"/>
      <c r="F306" s="136" t="e">
        <f>VLOOKUP($B306,#REF!,MATCH(F$2,#REF!,0),0)</f>
        <v>#REF!</v>
      </c>
      <c r="G306" s="137" t="e">
        <f>VLOOKUP($B306,#REF!,MATCH(G$2,#REF!,0),0)</f>
        <v>#REF!</v>
      </c>
      <c r="H306" s="48"/>
      <c r="I306" s="48"/>
      <c r="J306" s="48"/>
      <c r="K306" s="48"/>
      <c r="L306" s="48"/>
      <c r="M306" s="48"/>
      <c r="N306" s="48"/>
      <c r="O306" s="48"/>
      <c r="P306" s="48"/>
      <c r="Q306" s="48">
        <v>49.87</v>
      </c>
      <c r="R306" s="150" t="e">
        <f t="shared" ref="R306:AA306" si="326">$G306*H306</f>
        <v>#REF!</v>
      </c>
      <c r="S306" s="150" t="e">
        <f t="shared" si="326"/>
        <v>#REF!</v>
      </c>
      <c r="T306" s="150" t="e">
        <f t="shared" si="326"/>
        <v>#REF!</v>
      </c>
      <c r="U306" s="150" t="e">
        <f t="shared" si="326"/>
        <v>#REF!</v>
      </c>
      <c r="V306" s="150" t="e">
        <f t="shared" si="326"/>
        <v>#REF!</v>
      </c>
      <c r="W306" s="150" t="e">
        <f t="shared" si="326"/>
        <v>#REF!</v>
      </c>
      <c r="X306" s="150" t="e">
        <f t="shared" si="326"/>
        <v>#REF!</v>
      </c>
      <c r="Y306" s="150" t="e">
        <f t="shared" si="326"/>
        <v>#REF!</v>
      </c>
      <c r="Z306" s="150" t="e">
        <f t="shared" si="326"/>
        <v>#REF!</v>
      </c>
      <c r="AA306" s="150" t="e">
        <f t="shared" si="326"/>
        <v>#REF!</v>
      </c>
      <c r="AB306" s="50"/>
    </row>
    <row r="307" s="28" customFormat="1" ht="28.8" outlineLevel="3" spans="1:28">
      <c r="A307" s="52">
        <f>MAX($A$6:A306)+1</f>
        <v>269</v>
      </c>
      <c r="B307" s="51" t="s">
        <v>2070</v>
      </c>
      <c r="C307" s="51" t="e">
        <f>VLOOKUP($B307,#REF!,MATCH(C$2,#REF!,0),0)</f>
        <v>#REF!</v>
      </c>
      <c r="D307" s="83"/>
      <c r="E307" s="83"/>
      <c r="F307" s="136" t="e">
        <f>VLOOKUP($B307,#REF!,MATCH(F$2,#REF!,0),0)</f>
        <v>#REF!</v>
      </c>
      <c r="G307" s="137" t="e">
        <f>VLOOKUP($B307,#REF!,MATCH(G$2,#REF!,0),0)</f>
        <v>#REF!</v>
      </c>
      <c r="H307" s="48">
        <v>1.8</v>
      </c>
      <c r="I307" s="48">
        <v>1.82</v>
      </c>
      <c r="J307" s="48">
        <v>1</v>
      </c>
      <c r="K307" s="48">
        <v>1</v>
      </c>
      <c r="L307" s="48"/>
      <c r="M307" s="48"/>
      <c r="N307" s="48"/>
      <c r="O307" s="48"/>
      <c r="P307" s="48"/>
      <c r="Q307" s="48">
        <v>27.5</v>
      </c>
      <c r="R307" s="150" t="e">
        <f t="shared" ref="R307:AA307" si="327">$G307*H307</f>
        <v>#REF!</v>
      </c>
      <c r="S307" s="150" t="e">
        <f t="shared" si="327"/>
        <v>#REF!</v>
      </c>
      <c r="T307" s="150" t="e">
        <f t="shared" si="327"/>
        <v>#REF!</v>
      </c>
      <c r="U307" s="150" t="e">
        <f t="shared" si="327"/>
        <v>#REF!</v>
      </c>
      <c r="V307" s="150" t="e">
        <f t="shared" si="327"/>
        <v>#REF!</v>
      </c>
      <c r="W307" s="150" t="e">
        <f t="shared" si="327"/>
        <v>#REF!</v>
      </c>
      <c r="X307" s="150" t="e">
        <f t="shared" si="327"/>
        <v>#REF!</v>
      </c>
      <c r="Y307" s="150" t="e">
        <f t="shared" si="327"/>
        <v>#REF!</v>
      </c>
      <c r="Z307" s="150" t="e">
        <f t="shared" si="327"/>
        <v>#REF!</v>
      </c>
      <c r="AA307" s="150" t="e">
        <f t="shared" si="327"/>
        <v>#REF!</v>
      </c>
      <c r="AB307" s="50"/>
    </row>
    <row r="308" s="28" customFormat="1" ht="28.8" outlineLevel="3" spans="1:28">
      <c r="A308" s="52">
        <f>MAX($A$6:A307)+1</f>
        <v>270</v>
      </c>
      <c r="B308" s="51" t="s">
        <v>2071</v>
      </c>
      <c r="C308" s="51" t="e">
        <f>VLOOKUP($B308,#REF!,MATCH(C$2,#REF!,0),0)</f>
        <v>#REF!</v>
      </c>
      <c r="D308" s="83"/>
      <c r="E308" s="83"/>
      <c r="F308" s="136" t="e">
        <f>VLOOKUP($B308,#REF!,MATCH(F$2,#REF!,0),0)</f>
        <v>#REF!</v>
      </c>
      <c r="G308" s="137" t="e">
        <f>VLOOKUP($B308,#REF!,MATCH(G$2,#REF!,0),0)</f>
        <v>#REF!</v>
      </c>
      <c r="H308" s="48">
        <v>1.8</v>
      </c>
      <c r="I308" s="48">
        <v>1.8</v>
      </c>
      <c r="J308" s="48">
        <v>0.8</v>
      </c>
      <c r="K308" s="48">
        <v>0.8</v>
      </c>
      <c r="L308" s="48">
        <v>1</v>
      </c>
      <c r="M308" s="48"/>
      <c r="N308" s="48"/>
      <c r="O308" s="48"/>
      <c r="P308" s="48"/>
      <c r="Q308" s="48"/>
      <c r="R308" s="150" t="e">
        <f t="shared" ref="R308:AA308" si="328">$G308*H308</f>
        <v>#REF!</v>
      </c>
      <c r="S308" s="150" t="e">
        <f t="shared" si="328"/>
        <v>#REF!</v>
      </c>
      <c r="T308" s="150" t="e">
        <f t="shared" si="328"/>
        <v>#REF!</v>
      </c>
      <c r="U308" s="150" t="e">
        <f t="shared" si="328"/>
        <v>#REF!</v>
      </c>
      <c r="V308" s="150" t="e">
        <f t="shared" si="328"/>
        <v>#REF!</v>
      </c>
      <c r="W308" s="150" t="e">
        <f t="shared" si="328"/>
        <v>#REF!</v>
      </c>
      <c r="X308" s="150" t="e">
        <f t="shared" si="328"/>
        <v>#REF!</v>
      </c>
      <c r="Y308" s="150" t="e">
        <f t="shared" si="328"/>
        <v>#REF!</v>
      </c>
      <c r="Z308" s="150" t="e">
        <f t="shared" si="328"/>
        <v>#REF!</v>
      </c>
      <c r="AA308" s="150" t="e">
        <f t="shared" si="328"/>
        <v>#REF!</v>
      </c>
      <c r="AB308" s="50"/>
    </row>
    <row r="309" s="28" customFormat="1" ht="28.8" outlineLevel="3" spans="1:28">
      <c r="A309" s="52">
        <f>MAX($A$6:A308)+1</f>
        <v>271</v>
      </c>
      <c r="B309" s="51" t="s">
        <v>2072</v>
      </c>
      <c r="C309" s="51" t="e">
        <f>VLOOKUP($B309,#REF!,MATCH(C$2,#REF!,0),0)</f>
        <v>#REF!</v>
      </c>
      <c r="D309" s="83"/>
      <c r="E309" s="83"/>
      <c r="F309" s="136" t="e">
        <f>VLOOKUP($B309,#REF!,MATCH(F$2,#REF!,0),0)</f>
        <v>#REF!</v>
      </c>
      <c r="G309" s="137" t="e">
        <f>VLOOKUP($B309,#REF!,MATCH(G$2,#REF!,0),0)</f>
        <v>#REF!</v>
      </c>
      <c r="H309" s="48"/>
      <c r="I309" s="48"/>
      <c r="J309" s="48"/>
      <c r="K309" s="48"/>
      <c r="L309" s="48"/>
      <c r="M309" s="48"/>
      <c r="N309" s="48"/>
      <c r="O309" s="48"/>
      <c r="P309" s="48"/>
      <c r="Q309" s="48">
        <v>25.16</v>
      </c>
      <c r="R309" s="150" t="e">
        <f t="shared" ref="R309:AA309" si="329">$G309*H309</f>
        <v>#REF!</v>
      </c>
      <c r="S309" s="150" t="e">
        <f t="shared" si="329"/>
        <v>#REF!</v>
      </c>
      <c r="T309" s="150" t="e">
        <f t="shared" si="329"/>
        <v>#REF!</v>
      </c>
      <c r="U309" s="150" t="e">
        <f t="shared" si="329"/>
        <v>#REF!</v>
      </c>
      <c r="V309" s="150" t="e">
        <f t="shared" si="329"/>
        <v>#REF!</v>
      </c>
      <c r="W309" s="150" t="e">
        <f t="shared" si="329"/>
        <v>#REF!</v>
      </c>
      <c r="X309" s="150" t="e">
        <f t="shared" si="329"/>
        <v>#REF!</v>
      </c>
      <c r="Y309" s="150" t="e">
        <f t="shared" si="329"/>
        <v>#REF!</v>
      </c>
      <c r="Z309" s="150" t="e">
        <f t="shared" si="329"/>
        <v>#REF!</v>
      </c>
      <c r="AA309" s="150" t="e">
        <f t="shared" si="329"/>
        <v>#REF!</v>
      </c>
      <c r="AB309" s="50"/>
    </row>
    <row r="310" s="28" customFormat="1" ht="28.8" outlineLevel="3" spans="1:28">
      <c r="A310" s="52">
        <f>MAX($A$6:A309)+1</f>
        <v>272</v>
      </c>
      <c r="B310" s="51" t="s">
        <v>2073</v>
      </c>
      <c r="C310" s="51" t="e">
        <f>VLOOKUP($B310,#REF!,MATCH(C$2,#REF!,0),0)</f>
        <v>#REF!</v>
      </c>
      <c r="D310" s="83"/>
      <c r="E310" s="83"/>
      <c r="F310" s="136" t="e">
        <f>VLOOKUP($B310,#REF!,MATCH(F$2,#REF!,0),0)</f>
        <v>#REF!</v>
      </c>
      <c r="G310" s="137" t="e">
        <f>VLOOKUP($B310,#REF!,MATCH(G$2,#REF!,0),0)</f>
        <v>#REF!</v>
      </c>
      <c r="H310" s="48"/>
      <c r="I310" s="48"/>
      <c r="J310" s="48"/>
      <c r="K310" s="48"/>
      <c r="L310" s="48"/>
      <c r="M310" s="48"/>
      <c r="N310" s="48"/>
      <c r="O310" s="48"/>
      <c r="P310" s="48"/>
      <c r="Q310" s="48">
        <v>35.02</v>
      </c>
      <c r="R310" s="150" t="e">
        <f t="shared" ref="R310:AA310" si="330">$G310*H310</f>
        <v>#REF!</v>
      </c>
      <c r="S310" s="150" t="e">
        <f t="shared" si="330"/>
        <v>#REF!</v>
      </c>
      <c r="T310" s="150" t="e">
        <f t="shared" si="330"/>
        <v>#REF!</v>
      </c>
      <c r="U310" s="150" t="e">
        <f t="shared" si="330"/>
        <v>#REF!</v>
      </c>
      <c r="V310" s="150" t="e">
        <f t="shared" si="330"/>
        <v>#REF!</v>
      </c>
      <c r="W310" s="150" t="e">
        <f t="shared" si="330"/>
        <v>#REF!</v>
      </c>
      <c r="X310" s="150" t="e">
        <f t="shared" si="330"/>
        <v>#REF!</v>
      </c>
      <c r="Y310" s="150" t="e">
        <f t="shared" si="330"/>
        <v>#REF!</v>
      </c>
      <c r="Z310" s="150" t="e">
        <f t="shared" si="330"/>
        <v>#REF!</v>
      </c>
      <c r="AA310" s="150" t="e">
        <f t="shared" si="330"/>
        <v>#REF!</v>
      </c>
      <c r="AB310" s="50"/>
    </row>
    <row r="311" s="28" customFormat="1" ht="28.8" outlineLevel="3" spans="1:28">
      <c r="A311" s="52">
        <f>MAX($A$6:A310)+1</f>
        <v>273</v>
      </c>
      <c r="B311" s="51" t="s">
        <v>2074</v>
      </c>
      <c r="C311" s="51" t="e">
        <f>VLOOKUP($B311,#REF!,MATCH(C$2,#REF!,0),0)</f>
        <v>#REF!</v>
      </c>
      <c r="D311" s="83"/>
      <c r="E311" s="83"/>
      <c r="F311" s="136" t="e">
        <f>VLOOKUP($B311,#REF!,MATCH(F$2,#REF!,0),0)</f>
        <v>#REF!</v>
      </c>
      <c r="G311" s="137" t="e">
        <f>VLOOKUP($B311,#REF!,MATCH(G$2,#REF!,0),0)</f>
        <v>#REF!</v>
      </c>
      <c r="H311" s="48">
        <v>213.39</v>
      </c>
      <c r="I311" s="48">
        <v>134</v>
      </c>
      <c r="J311" s="48">
        <v>1</v>
      </c>
      <c r="K311" s="48">
        <v>1</v>
      </c>
      <c r="L311" s="48"/>
      <c r="M311" s="48"/>
      <c r="N311" s="48"/>
      <c r="O311" s="48"/>
      <c r="P311" s="48"/>
      <c r="Q311" s="48">
        <v>519.34</v>
      </c>
      <c r="R311" s="150" t="e">
        <f t="shared" ref="R311:AA311" si="331">$G311*H311</f>
        <v>#REF!</v>
      </c>
      <c r="S311" s="150" t="e">
        <f t="shared" si="331"/>
        <v>#REF!</v>
      </c>
      <c r="T311" s="150" t="e">
        <f t="shared" si="331"/>
        <v>#REF!</v>
      </c>
      <c r="U311" s="150" t="e">
        <f t="shared" si="331"/>
        <v>#REF!</v>
      </c>
      <c r="V311" s="150" t="e">
        <f t="shared" si="331"/>
        <v>#REF!</v>
      </c>
      <c r="W311" s="150" t="e">
        <f t="shared" si="331"/>
        <v>#REF!</v>
      </c>
      <c r="X311" s="150" t="e">
        <f t="shared" si="331"/>
        <v>#REF!</v>
      </c>
      <c r="Y311" s="150" t="e">
        <f t="shared" si="331"/>
        <v>#REF!</v>
      </c>
      <c r="Z311" s="150" t="e">
        <f t="shared" si="331"/>
        <v>#REF!</v>
      </c>
      <c r="AA311" s="150" t="e">
        <f t="shared" si="331"/>
        <v>#REF!</v>
      </c>
      <c r="AB311" s="50"/>
    </row>
    <row r="312" s="28" customFormat="1" ht="28.8" outlineLevel="3" spans="1:28">
      <c r="A312" s="52">
        <f>MAX($A$6:A311)+1</f>
        <v>274</v>
      </c>
      <c r="B312" s="51" t="s">
        <v>2075</v>
      </c>
      <c r="C312" s="51" t="e">
        <f>VLOOKUP($B312,#REF!,MATCH(C$2,#REF!,0),0)</f>
        <v>#REF!</v>
      </c>
      <c r="D312" s="83"/>
      <c r="E312" s="83"/>
      <c r="F312" s="136" t="e">
        <f>VLOOKUP($B312,#REF!,MATCH(F$2,#REF!,0),0)</f>
        <v>#REF!</v>
      </c>
      <c r="G312" s="137" t="e">
        <f>VLOOKUP($B312,#REF!,MATCH(G$2,#REF!,0),0)</f>
        <v>#REF!</v>
      </c>
      <c r="H312" s="48">
        <v>227.73</v>
      </c>
      <c r="I312" s="48">
        <v>127.64</v>
      </c>
      <c r="J312" s="48">
        <v>108.35</v>
      </c>
      <c r="K312" s="48">
        <v>108.35</v>
      </c>
      <c r="L312" s="48">
        <v>39.321</v>
      </c>
      <c r="M312" s="48"/>
      <c r="N312" s="48"/>
      <c r="O312" s="48"/>
      <c r="P312" s="48"/>
      <c r="Q312" s="48">
        <v>718.95</v>
      </c>
      <c r="R312" s="150" t="e">
        <f t="shared" ref="R312:AA312" si="332">$G312*H312</f>
        <v>#REF!</v>
      </c>
      <c r="S312" s="150" t="e">
        <f t="shared" si="332"/>
        <v>#REF!</v>
      </c>
      <c r="T312" s="150" t="e">
        <f t="shared" si="332"/>
        <v>#REF!</v>
      </c>
      <c r="U312" s="150" t="e">
        <f t="shared" si="332"/>
        <v>#REF!</v>
      </c>
      <c r="V312" s="150" t="e">
        <f t="shared" si="332"/>
        <v>#REF!</v>
      </c>
      <c r="W312" s="150" t="e">
        <f t="shared" si="332"/>
        <v>#REF!</v>
      </c>
      <c r="X312" s="150" t="e">
        <f t="shared" si="332"/>
        <v>#REF!</v>
      </c>
      <c r="Y312" s="150" t="e">
        <f t="shared" si="332"/>
        <v>#REF!</v>
      </c>
      <c r="Z312" s="150" t="e">
        <f t="shared" si="332"/>
        <v>#REF!</v>
      </c>
      <c r="AA312" s="150" t="e">
        <f t="shared" si="332"/>
        <v>#REF!</v>
      </c>
      <c r="AB312" s="50"/>
    </row>
    <row r="313" s="28" customFormat="1" ht="28.8" outlineLevel="3" spans="1:28">
      <c r="A313" s="52">
        <f>MAX($A$6:A312)+1</f>
        <v>275</v>
      </c>
      <c r="B313" s="51" t="s">
        <v>2076</v>
      </c>
      <c r="C313" s="51" t="e">
        <f>VLOOKUP($B313,#REF!,MATCH(C$2,#REF!,0),0)</f>
        <v>#REF!</v>
      </c>
      <c r="D313" s="83"/>
      <c r="E313" s="83"/>
      <c r="F313" s="136" t="e">
        <f>VLOOKUP($B313,#REF!,MATCH(F$2,#REF!,0),0)</f>
        <v>#REF!</v>
      </c>
      <c r="G313" s="137" t="e">
        <f>VLOOKUP($B313,#REF!,MATCH(G$2,#REF!,0),0)</f>
        <v>#REF!</v>
      </c>
      <c r="H313" s="48"/>
      <c r="I313" s="48"/>
      <c r="J313" s="48"/>
      <c r="K313" s="48"/>
      <c r="L313" s="48"/>
      <c r="M313" s="48"/>
      <c r="N313" s="48"/>
      <c r="O313" s="48"/>
      <c r="P313" s="48"/>
      <c r="Q313" s="48">
        <v>764.17</v>
      </c>
      <c r="R313" s="150" t="e">
        <f t="shared" ref="R313:AA313" si="333">$G313*H313</f>
        <v>#REF!</v>
      </c>
      <c r="S313" s="150" t="e">
        <f t="shared" si="333"/>
        <v>#REF!</v>
      </c>
      <c r="T313" s="150" t="e">
        <f t="shared" si="333"/>
        <v>#REF!</v>
      </c>
      <c r="U313" s="150" t="e">
        <f t="shared" si="333"/>
        <v>#REF!</v>
      </c>
      <c r="V313" s="150" t="e">
        <f t="shared" si="333"/>
        <v>#REF!</v>
      </c>
      <c r="W313" s="150" t="e">
        <f t="shared" si="333"/>
        <v>#REF!</v>
      </c>
      <c r="X313" s="150" t="e">
        <f t="shared" si="333"/>
        <v>#REF!</v>
      </c>
      <c r="Y313" s="150" t="e">
        <f t="shared" si="333"/>
        <v>#REF!</v>
      </c>
      <c r="Z313" s="150" t="e">
        <f t="shared" si="333"/>
        <v>#REF!</v>
      </c>
      <c r="AA313" s="150" t="e">
        <f t="shared" si="333"/>
        <v>#REF!</v>
      </c>
      <c r="AB313" s="50"/>
    </row>
    <row r="314" s="28" customFormat="1" ht="28.8" outlineLevel="3" spans="1:28">
      <c r="A314" s="52">
        <f>MAX($A$6:A313)+1</f>
        <v>276</v>
      </c>
      <c r="B314" s="51" t="s">
        <v>2077</v>
      </c>
      <c r="C314" s="51" t="e">
        <f>VLOOKUP($B314,#REF!,MATCH(C$2,#REF!,0),0)</f>
        <v>#REF!</v>
      </c>
      <c r="D314" s="83"/>
      <c r="E314" s="83"/>
      <c r="F314" s="136" t="e">
        <f>VLOOKUP($B314,#REF!,MATCH(F$2,#REF!,0),0)</f>
        <v>#REF!</v>
      </c>
      <c r="G314" s="137" t="e">
        <f>VLOOKUP($B314,#REF!,MATCH(G$2,#REF!,0),0)</f>
        <v>#REF!</v>
      </c>
      <c r="H314" s="48"/>
      <c r="I314" s="48"/>
      <c r="J314" s="48"/>
      <c r="K314" s="48"/>
      <c r="L314" s="48"/>
      <c r="M314" s="48"/>
      <c r="N314" s="48"/>
      <c r="O314" s="48"/>
      <c r="P314" s="48"/>
      <c r="Q314" s="48">
        <v>644.65</v>
      </c>
      <c r="R314" s="150" t="e">
        <f t="shared" ref="R314:AA314" si="334">$G314*H314</f>
        <v>#REF!</v>
      </c>
      <c r="S314" s="150" t="e">
        <f t="shared" si="334"/>
        <v>#REF!</v>
      </c>
      <c r="T314" s="150" t="e">
        <f t="shared" si="334"/>
        <v>#REF!</v>
      </c>
      <c r="U314" s="150" t="e">
        <f t="shared" si="334"/>
        <v>#REF!</v>
      </c>
      <c r="V314" s="150" t="e">
        <f t="shared" si="334"/>
        <v>#REF!</v>
      </c>
      <c r="W314" s="150" t="e">
        <f t="shared" si="334"/>
        <v>#REF!</v>
      </c>
      <c r="X314" s="150" t="e">
        <f t="shared" si="334"/>
        <v>#REF!</v>
      </c>
      <c r="Y314" s="150" t="e">
        <f t="shared" si="334"/>
        <v>#REF!</v>
      </c>
      <c r="Z314" s="150" t="e">
        <f t="shared" si="334"/>
        <v>#REF!</v>
      </c>
      <c r="AA314" s="150" t="e">
        <f t="shared" si="334"/>
        <v>#REF!</v>
      </c>
      <c r="AB314" s="50"/>
    </row>
    <row r="315" s="28" customFormat="1" ht="28.8" outlineLevel="3" spans="1:28">
      <c r="A315" s="52">
        <f>MAX($A$6:A314)+1</f>
        <v>277</v>
      </c>
      <c r="B315" s="51" t="s">
        <v>2078</v>
      </c>
      <c r="C315" s="51" t="e">
        <f>VLOOKUP($B315,#REF!,MATCH(C$2,#REF!,0),0)</f>
        <v>#REF!</v>
      </c>
      <c r="D315" s="83"/>
      <c r="E315" s="83"/>
      <c r="F315" s="136" t="e">
        <f>VLOOKUP($B315,#REF!,MATCH(F$2,#REF!,0),0)</f>
        <v>#REF!</v>
      </c>
      <c r="G315" s="137" t="e">
        <f>VLOOKUP($B315,#REF!,MATCH(G$2,#REF!,0),0)</f>
        <v>#REF!</v>
      </c>
      <c r="H315" s="48"/>
      <c r="I315" s="48"/>
      <c r="J315" s="48"/>
      <c r="K315" s="48"/>
      <c r="L315" s="48"/>
      <c r="M315" s="48"/>
      <c r="N315" s="48"/>
      <c r="O315" s="48"/>
      <c r="P315" s="48"/>
      <c r="Q315" s="48">
        <v>678.39</v>
      </c>
      <c r="R315" s="150" t="e">
        <f t="shared" ref="R315:AA315" si="335">$G315*H315</f>
        <v>#REF!</v>
      </c>
      <c r="S315" s="150" t="e">
        <f t="shared" si="335"/>
        <v>#REF!</v>
      </c>
      <c r="T315" s="150" t="e">
        <f t="shared" si="335"/>
        <v>#REF!</v>
      </c>
      <c r="U315" s="150" t="e">
        <f t="shared" si="335"/>
        <v>#REF!</v>
      </c>
      <c r="V315" s="150" t="e">
        <f t="shared" si="335"/>
        <v>#REF!</v>
      </c>
      <c r="W315" s="150" t="e">
        <f t="shared" si="335"/>
        <v>#REF!</v>
      </c>
      <c r="X315" s="150" t="e">
        <f t="shared" si="335"/>
        <v>#REF!</v>
      </c>
      <c r="Y315" s="150" t="e">
        <f t="shared" si="335"/>
        <v>#REF!</v>
      </c>
      <c r="Z315" s="150" t="e">
        <f t="shared" si="335"/>
        <v>#REF!</v>
      </c>
      <c r="AA315" s="150" t="e">
        <f t="shared" si="335"/>
        <v>#REF!</v>
      </c>
      <c r="AB315" s="50"/>
    </row>
    <row r="316" s="28" customFormat="1" ht="28.8" outlineLevel="3" spans="1:28">
      <c r="A316" s="52">
        <f>MAX($A$6:A315)+1</f>
        <v>278</v>
      </c>
      <c r="B316" s="51" t="s">
        <v>2079</v>
      </c>
      <c r="C316" s="51" t="e">
        <f>VLOOKUP($B316,#REF!,MATCH(C$2,#REF!,0),0)</f>
        <v>#REF!</v>
      </c>
      <c r="D316" s="83"/>
      <c r="E316" s="83"/>
      <c r="F316" s="136" t="e">
        <f>VLOOKUP($B316,#REF!,MATCH(F$2,#REF!,0),0)</f>
        <v>#REF!</v>
      </c>
      <c r="G316" s="137" t="e">
        <f>VLOOKUP($B316,#REF!,MATCH(G$2,#REF!,0),0)</f>
        <v>#REF!</v>
      </c>
      <c r="H316" s="48"/>
      <c r="I316" s="48"/>
      <c r="J316" s="48"/>
      <c r="K316" s="48"/>
      <c r="L316" s="48"/>
      <c r="M316" s="48"/>
      <c r="N316" s="48"/>
      <c r="O316" s="48"/>
      <c r="P316" s="48"/>
      <c r="Q316" s="48">
        <v>804.8</v>
      </c>
      <c r="R316" s="150" t="e">
        <f t="shared" ref="R316:AA316" si="336">$G316*H316</f>
        <v>#REF!</v>
      </c>
      <c r="S316" s="150" t="e">
        <f t="shared" si="336"/>
        <v>#REF!</v>
      </c>
      <c r="T316" s="150" t="e">
        <f t="shared" si="336"/>
        <v>#REF!</v>
      </c>
      <c r="U316" s="150" t="e">
        <f t="shared" si="336"/>
        <v>#REF!</v>
      </c>
      <c r="V316" s="150" t="e">
        <f t="shared" si="336"/>
        <v>#REF!</v>
      </c>
      <c r="W316" s="150" t="e">
        <f t="shared" si="336"/>
        <v>#REF!</v>
      </c>
      <c r="X316" s="150" t="e">
        <f t="shared" si="336"/>
        <v>#REF!</v>
      </c>
      <c r="Y316" s="150" t="e">
        <f t="shared" si="336"/>
        <v>#REF!</v>
      </c>
      <c r="Z316" s="150" t="e">
        <f t="shared" si="336"/>
        <v>#REF!</v>
      </c>
      <c r="AA316" s="150" t="e">
        <f t="shared" si="336"/>
        <v>#REF!</v>
      </c>
      <c r="AB316" s="50"/>
    </row>
    <row r="317" s="28" customFormat="1" ht="28.8" outlineLevel="3" spans="1:28">
      <c r="A317" s="52">
        <f>MAX($A$6:A316)+1</f>
        <v>279</v>
      </c>
      <c r="B317" s="51" t="s">
        <v>2080</v>
      </c>
      <c r="C317" s="51" t="e">
        <f>VLOOKUP($B317,#REF!,MATCH(C$2,#REF!,0),0)</f>
        <v>#REF!</v>
      </c>
      <c r="D317" s="83"/>
      <c r="E317" s="83"/>
      <c r="F317" s="136" t="e">
        <f>VLOOKUP($B317,#REF!,MATCH(F$2,#REF!,0),0)</f>
        <v>#REF!</v>
      </c>
      <c r="G317" s="137" t="e">
        <f>VLOOKUP($B317,#REF!,MATCH(G$2,#REF!,0),0)</f>
        <v>#REF!</v>
      </c>
      <c r="H317" s="48"/>
      <c r="I317" s="48"/>
      <c r="J317" s="48"/>
      <c r="K317" s="48"/>
      <c r="L317" s="48"/>
      <c r="M317" s="48"/>
      <c r="N317" s="48"/>
      <c r="O317" s="48"/>
      <c r="P317" s="48"/>
      <c r="Q317" s="48">
        <v>266.48</v>
      </c>
      <c r="R317" s="150" t="e">
        <f t="shared" ref="R317:AA317" si="337">$G317*H317</f>
        <v>#REF!</v>
      </c>
      <c r="S317" s="150" t="e">
        <f t="shared" si="337"/>
        <v>#REF!</v>
      </c>
      <c r="T317" s="150" t="e">
        <f t="shared" si="337"/>
        <v>#REF!</v>
      </c>
      <c r="U317" s="150" t="e">
        <f t="shared" si="337"/>
        <v>#REF!</v>
      </c>
      <c r="V317" s="150" t="e">
        <f t="shared" si="337"/>
        <v>#REF!</v>
      </c>
      <c r="W317" s="150" t="e">
        <f t="shared" si="337"/>
        <v>#REF!</v>
      </c>
      <c r="X317" s="150" t="e">
        <f t="shared" si="337"/>
        <v>#REF!</v>
      </c>
      <c r="Y317" s="150" t="e">
        <f t="shared" si="337"/>
        <v>#REF!</v>
      </c>
      <c r="Z317" s="150" t="e">
        <f t="shared" si="337"/>
        <v>#REF!</v>
      </c>
      <c r="AA317" s="150" t="e">
        <f t="shared" si="337"/>
        <v>#REF!</v>
      </c>
      <c r="AB317" s="50"/>
    </row>
    <row r="318" s="122" customFormat="1" outlineLevel="1" spans="1:28">
      <c r="A318" s="130"/>
      <c r="B318" s="131" t="s">
        <v>2081</v>
      </c>
      <c r="C318" s="131"/>
      <c r="D318" s="153"/>
      <c r="E318" s="153"/>
      <c r="F318" s="154"/>
      <c r="G318" s="155"/>
      <c r="H318" s="134"/>
      <c r="I318" s="134"/>
      <c r="J318" s="134"/>
      <c r="K318" s="134"/>
      <c r="L318" s="134"/>
      <c r="M318" s="134"/>
      <c r="N318" s="134"/>
      <c r="O318" s="134"/>
      <c r="P318" s="134"/>
      <c r="Q318" s="134"/>
      <c r="R318" s="148" t="e">
        <f t="shared" ref="R318:AA318" si="338">SUM(R319:R367)</f>
        <v>#REF!</v>
      </c>
      <c r="S318" s="148" t="e">
        <f t="shared" si="338"/>
        <v>#REF!</v>
      </c>
      <c r="T318" s="148" t="e">
        <f t="shared" si="338"/>
        <v>#REF!</v>
      </c>
      <c r="U318" s="148" t="e">
        <f t="shared" si="338"/>
        <v>#REF!</v>
      </c>
      <c r="V318" s="148" t="e">
        <f t="shared" si="338"/>
        <v>#REF!</v>
      </c>
      <c r="W318" s="148" t="e">
        <f t="shared" si="338"/>
        <v>#REF!</v>
      </c>
      <c r="X318" s="148" t="e">
        <f t="shared" si="338"/>
        <v>#REF!</v>
      </c>
      <c r="Y318" s="148" t="e">
        <f t="shared" si="338"/>
        <v>#REF!</v>
      </c>
      <c r="Z318" s="148" t="e">
        <f t="shared" si="338"/>
        <v>#REF!</v>
      </c>
      <c r="AA318" s="148" t="e">
        <f t="shared" si="338"/>
        <v>#REF!</v>
      </c>
      <c r="AB318" s="130"/>
    </row>
    <row r="319" s="28" customFormat="1" outlineLevel="3" spans="1:28">
      <c r="A319" s="52">
        <f>MAX($A$6:A318)+1</f>
        <v>280</v>
      </c>
      <c r="B319" s="51" t="s">
        <v>1972</v>
      </c>
      <c r="C319" s="51" t="e">
        <f>VLOOKUP($B319,#REF!,MATCH(C$2,#REF!,0),0)</f>
        <v>#REF!</v>
      </c>
      <c r="D319" s="83"/>
      <c r="E319" s="83"/>
      <c r="F319" s="136" t="e">
        <f>VLOOKUP($B319,#REF!,MATCH(F$2,#REF!,0),0)</f>
        <v>#REF!</v>
      </c>
      <c r="G319" s="137" t="e">
        <f>VLOOKUP($B319,#REF!,MATCH(G$2,#REF!,0),0)</f>
        <v>#REF!</v>
      </c>
      <c r="H319" s="48"/>
      <c r="I319" s="48"/>
      <c r="J319" s="48"/>
      <c r="K319" s="48"/>
      <c r="L319" s="48"/>
      <c r="M319" s="48"/>
      <c r="N319" s="48"/>
      <c r="O319" s="48"/>
      <c r="P319" s="48"/>
      <c r="Q319" s="48"/>
      <c r="R319" s="150" t="e">
        <f t="shared" ref="R319:AA319" si="339">$G319*H319</f>
        <v>#REF!</v>
      </c>
      <c r="S319" s="150" t="e">
        <f t="shared" si="339"/>
        <v>#REF!</v>
      </c>
      <c r="T319" s="150" t="e">
        <f t="shared" si="339"/>
        <v>#REF!</v>
      </c>
      <c r="U319" s="150" t="e">
        <f t="shared" si="339"/>
        <v>#REF!</v>
      </c>
      <c r="V319" s="150" t="e">
        <f t="shared" si="339"/>
        <v>#REF!</v>
      </c>
      <c r="W319" s="150" t="e">
        <f t="shared" si="339"/>
        <v>#REF!</v>
      </c>
      <c r="X319" s="150" t="e">
        <f t="shared" si="339"/>
        <v>#REF!</v>
      </c>
      <c r="Y319" s="150" t="e">
        <f t="shared" si="339"/>
        <v>#REF!</v>
      </c>
      <c r="Z319" s="150" t="e">
        <f t="shared" si="339"/>
        <v>#REF!</v>
      </c>
      <c r="AA319" s="150" t="e">
        <f t="shared" si="339"/>
        <v>#REF!</v>
      </c>
      <c r="AB319" s="50"/>
    </row>
    <row r="320" s="28" customFormat="1" outlineLevel="3" spans="1:28">
      <c r="A320" s="52">
        <f>MAX($A$6:A319)+1</f>
        <v>281</v>
      </c>
      <c r="B320" s="51" t="s">
        <v>2056</v>
      </c>
      <c r="C320" s="51" t="e">
        <f>VLOOKUP($B320,#REF!,MATCH(C$2,#REF!,0),0)</f>
        <v>#REF!</v>
      </c>
      <c r="D320" s="83"/>
      <c r="E320" s="83"/>
      <c r="F320" s="136" t="e">
        <f>VLOOKUP($B320,#REF!,MATCH(F$2,#REF!,0),0)</f>
        <v>#REF!</v>
      </c>
      <c r="G320" s="137" t="e">
        <f>VLOOKUP($B320,#REF!,MATCH(G$2,#REF!,0),0)</f>
        <v>#REF!</v>
      </c>
      <c r="H320" s="48">
        <v>1</v>
      </c>
      <c r="I320" s="48">
        <v>1</v>
      </c>
      <c r="J320" s="48">
        <v>1</v>
      </c>
      <c r="K320" s="48">
        <v>1</v>
      </c>
      <c r="L320" s="48"/>
      <c r="M320" s="48"/>
      <c r="N320" s="48"/>
      <c r="O320" s="48"/>
      <c r="P320" s="48"/>
      <c r="Q320" s="48">
        <v>4</v>
      </c>
      <c r="R320" s="150" t="e">
        <f t="shared" ref="R320:AA320" si="340">$G320*H320</f>
        <v>#REF!</v>
      </c>
      <c r="S320" s="150" t="e">
        <f t="shared" si="340"/>
        <v>#REF!</v>
      </c>
      <c r="T320" s="150" t="e">
        <f t="shared" si="340"/>
        <v>#REF!</v>
      </c>
      <c r="U320" s="150" t="e">
        <f t="shared" si="340"/>
        <v>#REF!</v>
      </c>
      <c r="V320" s="150" t="e">
        <f t="shared" si="340"/>
        <v>#REF!</v>
      </c>
      <c r="W320" s="150" t="e">
        <f t="shared" si="340"/>
        <v>#REF!</v>
      </c>
      <c r="X320" s="150" t="e">
        <f t="shared" si="340"/>
        <v>#REF!</v>
      </c>
      <c r="Y320" s="150" t="e">
        <f t="shared" si="340"/>
        <v>#REF!</v>
      </c>
      <c r="Z320" s="150" t="e">
        <f t="shared" si="340"/>
        <v>#REF!</v>
      </c>
      <c r="AA320" s="150" t="e">
        <f t="shared" si="340"/>
        <v>#REF!</v>
      </c>
      <c r="AB320" s="50"/>
    </row>
    <row r="321" s="28" customFormat="1" outlineLevel="3" spans="1:28">
      <c r="A321" s="52">
        <f>MAX($A$6:A320)+1</f>
        <v>282</v>
      </c>
      <c r="B321" s="51" t="s">
        <v>1975</v>
      </c>
      <c r="C321" s="51" t="e">
        <f>VLOOKUP($B321,#REF!,MATCH(C$2,#REF!,0),0)</f>
        <v>#REF!</v>
      </c>
      <c r="D321" s="83"/>
      <c r="E321" s="83"/>
      <c r="F321" s="136" t="e">
        <f>VLOOKUP($B321,#REF!,MATCH(F$2,#REF!,0),0)</f>
        <v>#REF!</v>
      </c>
      <c r="G321" s="137" t="e">
        <f>VLOOKUP($B321,#REF!,MATCH(G$2,#REF!,0),0)</f>
        <v>#REF!</v>
      </c>
      <c r="H321" s="48">
        <v>1</v>
      </c>
      <c r="I321" s="48">
        <v>1</v>
      </c>
      <c r="J321" s="48">
        <v>1</v>
      </c>
      <c r="K321" s="48">
        <v>1</v>
      </c>
      <c r="L321" s="48"/>
      <c r="M321" s="48"/>
      <c r="N321" s="48"/>
      <c r="O321" s="48"/>
      <c r="P321" s="48"/>
      <c r="Q321" s="48"/>
      <c r="R321" s="150" t="e">
        <f t="shared" ref="R321:AA321" si="341">$G321*H321</f>
        <v>#REF!</v>
      </c>
      <c r="S321" s="150" t="e">
        <f t="shared" si="341"/>
        <v>#REF!</v>
      </c>
      <c r="T321" s="150" t="e">
        <f t="shared" si="341"/>
        <v>#REF!</v>
      </c>
      <c r="U321" s="150" t="e">
        <f t="shared" si="341"/>
        <v>#REF!</v>
      </c>
      <c r="V321" s="150" t="e">
        <f t="shared" si="341"/>
        <v>#REF!</v>
      </c>
      <c r="W321" s="150" t="e">
        <f t="shared" si="341"/>
        <v>#REF!</v>
      </c>
      <c r="X321" s="150" t="e">
        <f t="shared" si="341"/>
        <v>#REF!</v>
      </c>
      <c r="Y321" s="150" t="e">
        <f t="shared" si="341"/>
        <v>#REF!</v>
      </c>
      <c r="Z321" s="150" t="e">
        <f t="shared" si="341"/>
        <v>#REF!</v>
      </c>
      <c r="AA321" s="150" t="e">
        <f t="shared" si="341"/>
        <v>#REF!</v>
      </c>
      <c r="AB321" s="50"/>
    </row>
    <row r="322" s="28" customFormat="1" outlineLevel="3" spans="1:28">
      <c r="A322" s="52">
        <f>MAX($A$6:A321)+1</f>
        <v>283</v>
      </c>
      <c r="B322" s="51" t="s">
        <v>1980</v>
      </c>
      <c r="C322" s="51" t="e">
        <f>VLOOKUP($B322,#REF!,MATCH(C$2,#REF!,0),0)</f>
        <v>#REF!</v>
      </c>
      <c r="D322" s="83"/>
      <c r="E322" s="83"/>
      <c r="F322" s="136" t="e">
        <f>VLOOKUP($B322,#REF!,MATCH(F$2,#REF!,0),0)</f>
        <v>#REF!</v>
      </c>
      <c r="G322" s="137" t="e">
        <f>VLOOKUP($B322,#REF!,MATCH(G$2,#REF!,0),0)</f>
        <v>#REF!</v>
      </c>
      <c r="H322" s="48"/>
      <c r="I322" s="48"/>
      <c r="J322" s="48"/>
      <c r="K322" s="48"/>
      <c r="L322" s="48"/>
      <c r="M322" s="48"/>
      <c r="N322" s="48"/>
      <c r="O322" s="48"/>
      <c r="P322" s="48"/>
      <c r="Q322" s="48">
        <v>2</v>
      </c>
      <c r="R322" s="150" t="e">
        <f t="shared" ref="R322:AA322" si="342">$G322*H322</f>
        <v>#REF!</v>
      </c>
      <c r="S322" s="150" t="e">
        <f t="shared" si="342"/>
        <v>#REF!</v>
      </c>
      <c r="T322" s="150" t="e">
        <f t="shared" si="342"/>
        <v>#REF!</v>
      </c>
      <c r="U322" s="150" t="e">
        <f t="shared" si="342"/>
        <v>#REF!</v>
      </c>
      <c r="V322" s="150" t="e">
        <f t="shared" si="342"/>
        <v>#REF!</v>
      </c>
      <c r="W322" s="150" t="e">
        <f t="shared" si="342"/>
        <v>#REF!</v>
      </c>
      <c r="X322" s="150" t="e">
        <f t="shared" si="342"/>
        <v>#REF!</v>
      </c>
      <c r="Y322" s="150" t="e">
        <f t="shared" si="342"/>
        <v>#REF!</v>
      </c>
      <c r="Z322" s="150" t="e">
        <f t="shared" si="342"/>
        <v>#REF!</v>
      </c>
      <c r="AA322" s="150" t="e">
        <f t="shared" si="342"/>
        <v>#REF!</v>
      </c>
      <c r="AB322" s="50"/>
    </row>
    <row r="323" s="28" customFormat="1" outlineLevel="3" spans="1:28">
      <c r="A323" s="52">
        <f>MAX($A$6:A322)+1</f>
        <v>284</v>
      </c>
      <c r="B323" s="51" t="s">
        <v>1979</v>
      </c>
      <c r="C323" s="51" t="e">
        <f>VLOOKUP($B323,#REF!,MATCH(C$2,#REF!,0),0)</f>
        <v>#REF!</v>
      </c>
      <c r="D323" s="83"/>
      <c r="E323" s="83"/>
      <c r="F323" s="136" t="e">
        <f>VLOOKUP($B323,#REF!,MATCH(F$2,#REF!,0),0)</f>
        <v>#REF!</v>
      </c>
      <c r="G323" s="137" t="e">
        <f>VLOOKUP($B323,#REF!,MATCH(G$2,#REF!,0),0)</f>
        <v>#REF!</v>
      </c>
      <c r="H323" s="48"/>
      <c r="I323" s="48"/>
      <c r="J323" s="48"/>
      <c r="K323" s="48"/>
      <c r="L323" s="48"/>
      <c r="M323" s="48"/>
      <c r="N323" s="48"/>
      <c r="O323" s="48"/>
      <c r="P323" s="48"/>
      <c r="Q323" s="48">
        <v>4</v>
      </c>
      <c r="R323" s="150" t="e">
        <f t="shared" ref="R323:AA323" si="343">$G323*H323</f>
        <v>#REF!</v>
      </c>
      <c r="S323" s="150" t="e">
        <f t="shared" si="343"/>
        <v>#REF!</v>
      </c>
      <c r="T323" s="150" t="e">
        <f t="shared" si="343"/>
        <v>#REF!</v>
      </c>
      <c r="U323" s="150" t="e">
        <f t="shared" si="343"/>
        <v>#REF!</v>
      </c>
      <c r="V323" s="150" t="e">
        <f t="shared" si="343"/>
        <v>#REF!</v>
      </c>
      <c r="W323" s="150" t="e">
        <f t="shared" si="343"/>
        <v>#REF!</v>
      </c>
      <c r="X323" s="150" t="e">
        <f t="shared" si="343"/>
        <v>#REF!</v>
      </c>
      <c r="Y323" s="150" t="e">
        <f t="shared" si="343"/>
        <v>#REF!</v>
      </c>
      <c r="Z323" s="150" t="e">
        <f t="shared" si="343"/>
        <v>#REF!</v>
      </c>
      <c r="AA323" s="150" t="e">
        <f t="shared" si="343"/>
        <v>#REF!</v>
      </c>
      <c r="AB323" s="50"/>
    </row>
    <row r="324" s="28" customFormat="1" outlineLevel="3" spans="1:28">
      <c r="A324" s="52">
        <f>MAX($A$6:A323)+1</f>
        <v>285</v>
      </c>
      <c r="B324" s="51" t="s">
        <v>1977</v>
      </c>
      <c r="C324" s="51" t="e">
        <f>VLOOKUP($B324,#REF!,MATCH(C$2,#REF!,0),0)</f>
        <v>#REF!</v>
      </c>
      <c r="D324" s="83"/>
      <c r="E324" s="83"/>
      <c r="F324" s="136" t="e">
        <f>VLOOKUP($B324,#REF!,MATCH(F$2,#REF!,0),0)</f>
        <v>#REF!</v>
      </c>
      <c r="G324" s="137" t="e">
        <f>VLOOKUP($B324,#REF!,MATCH(G$2,#REF!,0),0)</f>
        <v>#REF!</v>
      </c>
      <c r="H324" s="48"/>
      <c r="I324" s="48"/>
      <c r="J324" s="48"/>
      <c r="K324" s="48"/>
      <c r="L324" s="48"/>
      <c r="M324" s="48"/>
      <c r="N324" s="48"/>
      <c r="O324" s="48"/>
      <c r="P324" s="48"/>
      <c r="Q324" s="48">
        <v>2</v>
      </c>
      <c r="R324" s="150" t="e">
        <f t="shared" ref="R324:AA324" si="344">$G324*H324</f>
        <v>#REF!</v>
      </c>
      <c r="S324" s="150" t="e">
        <f t="shared" si="344"/>
        <v>#REF!</v>
      </c>
      <c r="T324" s="150" t="e">
        <f t="shared" si="344"/>
        <v>#REF!</v>
      </c>
      <c r="U324" s="150" t="e">
        <f t="shared" si="344"/>
        <v>#REF!</v>
      </c>
      <c r="V324" s="150" t="e">
        <f t="shared" si="344"/>
        <v>#REF!</v>
      </c>
      <c r="W324" s="150" t="e">
        <f t="shared" si="344"/>
        <v>#REF!</v>
      </c>
      <c r="X324" s="150" t="e">
        <f t="shared" si="344"/>
        <v>#REF!</v>
      </c>
      <c r="Y324" s="150" t="e">
        <f t="shared" si="344"/>
        <v>#REF!</v>
      </c>
      <c r="Z324" s="150" t="e">
        <f t="shared" si="344"/>
        <v>#REF!</v>
      </c>
      <c r="AA324" s="150" t="e">
        <f t="shared" si="344"/>
        <v>#REF!</v>
      </c>
      <c r="AB324" s="50"/>
    </row>
    <row r="325" s="28" customFormat="1" outlineLevel="3" spans="1:28">
      <c r="A325" s="52">
        <f>MAX($A$6:A324)+1</f>
        <v>286</v>
      </c>
      <c r="B325" s="51" t="s">
        <v>1983</v>
      </c>
      <c r="C325" s="51" t="e">
        <f>VLOOKUP($B325,#REF!,MATCH(C$2,#REF!,0),0)</f>
        <v>#REF!</v>
      </c>
      <c r="D325" s="83"/>
      <c r="E325" s="83"/>
      <c r="F325" s="136" t="e">
        <f>VLOOKUP($B325,#REF!,MATCH(F$2,#REF!,0),0)</f>
        <v>#REF!</v>
      </c>
      <c r="G325" s="137" t="e">
        <f>VLOOKUP($B325,#REF!,MATCH(G$2,#REF!,0),0)</f>
        <v>#REF!</v>
      </c>
      <c r="H325" s="48"/>
      <c r="I325" s="48"/>
      <c r="J325" s="48"/>
      <c r="K325" s="48"/>
      <c r="L325" s="48"/>
      <c r="M325" s="48"/>
      <c r="N325" s="48"/>
      <c r="O325" s="48"/>
      <c r="P325" s="48"/>
      <c r="Q325" s="48">
        <v>2</v>
      </c>
      <c r="R325" s="150" t="e">
        <f t="shared" ref="R325:AA325" si="345">$G325*H325</f>
        <v>#REF!</v>
      </c>
      <c r="S325" s="150" t="e">
        <f t="shared" si="345"/>
        <v>#REF!</v>
      </c>
      <c r="T325" s="150" t="e">
        <f t="shared" si="345"/>
        <v>#REF!</v>
      </c>
      <c r="U325" s="150" t="e">
        <f t="shared" si="345"/>
        <v>#REF!</v>
      </c>
      <c r="V325" s="150" t="e">
        <f t="shared" si="345"/>
        <v>#REF!</v>
      </c>
      <c r="W325" s="150" t="e">
        <f t="shared" si="345"/>
        <v>#REF!</v>
      </c>
      <c r="X325" s="150" t="e">
        <f t="shared" si="345"/>
        <v>#REF!</v>
      </c>
      <c r="Y325" s="150" t="e">
        <f t="shared" si="345"/>
        <v>#REF!</v>
      </c>
      <c r="Z325" s="150" t="e">
        <f t="shared" si="345"/>
        <v>#REF!</v>
      </c>
      <c r="AA325" s="150" t="e">
        <f t="shared" si="345"/>
        <v>#REF!</v>
      </c>
      <c r="AB325" s="50"/>
    </row>
    <row r="326" s="28" customFormat="1" outlineLevel="3" spans="1:28">
      <c r="A326" s="52">
        <f>MAX($A$6:A325)+1</f>
        <v>287</v>
      </c>
      <c r="B326" s="51" t="s">
        <v>1982</v>
      </c>
      <c r="C326" s="51" t="e">
        <f>VLOOKUP($B326,#REF!,MATCH(C$2,#REF!,0),0)</f>
        <v>#REF!</v>
      </c>
      <c r="D326" s="83"/>
      <c r="E326" s="83"/>
      <c r="F326" s="136" t="e">
        <f>VLOOKUP($B326,#REF!,MATCH(F$2,#REF!,0),0)</f>
        <v>#REF!</v>
      </c>
      <c r="G326" s="137" t="e">
        <f>VLOOKUP($B326,#REF!,MATCH(G$2,#REF!,0),0)</f>
        <v>#REF!</v>
      </c>
      <c r="H326" s="48"/>
      <c r="I326" s="48"/>
      <c r="J326" s="48"/>
      <c r="K326" s="48"/>
      <c r="L326" s="48"/>
      <c r="M326" s="48"/>
      <c r="N326" s="48"/>
      <c r="O326" s="48"/>
      <c r="P326" s="48"/>
      <c r="Q326" s="48">
        <v>2</v>
      </c>
      <c r="R326" s="150" t="e">
        <f t="shared" ref="R326:AA326" si="346">$G326*H326</f>
        <v>#REF!</v>
      </c>
      <c r="S326" s="150" t="e">
        <f t="shared" si="346"/>
        <v>#REF!</v>
      </c>
      <c r="T326" s="150" t="e">
        <f t="shared" si="346"/>
        <v>#REF!</v>
      </c>
      <c r="U326" s="150" t="e">
        <f t="shared" si="346"/>
        <v>#REF!</v>
      </c>
      <c r="V326" s="150" t="e">
        <f t="shared" si="346"/>
        <v>#REF!</v>
      </c>
      <c r="W326" s="150" t="e">
        <f t="shared" si="346"/>
        <v>#REF!</v>
      </c>
      <c r="X326" s="150" t="e">
        <f t="shared" si="346"/>
        <v>#REF!</v>
      </c>
      <c r="Y326" s="150" t="e">
        <f t="shared" si="346"/>
        <v>#REF!</v>
      </c>
      <c r="Z326" s="150" t="e">
        <f t="shared" si="346"/>
        <v>#REF!</v>
      </c>
      <c r="AA326" s="150" t="e">
        <f t="shared" si="346"/>
        <v>#REF!</v>
      </c>
      <c r="AB326" s="50"/>
    </row>
    <row r="327" s="28" customFormat="1" outlineLevel="3" spans="1:28">
      <c r="A327" s="52">
        <f>MAX($A$6:A326)+1</f>
        <v>288</v>
      </c>
      <c r="B327" s="159" t="s">
        <v>2082</v>
      </c>
      <c r="C327" s="51" t="e">
        <f>VLOOKUP($B327,#REF!,MATCH(C$2,#REF!,0),0)</f>
        <v>#REF!</v>
      </c>
      <c r="D327" s="83"/>
      <c r="E327" s="83"/>
      <c r="F327" s="136" t="e">
        <f>VLOOKUP($B327,#REF!,MATCH(F$2,#REF!,0),0)</f>
        <v>#REF!</v>
      </c>
      <c r="G327" s="137" t="e">
        <f>VLOOKUP($B327,#REF!,MATCH(G$2,#REF!,0),0)</f>
        <v>#REF!</v>
      </c>
      <c r="H327" s="48"/>
      <c r="I327" s="48"/>
      <c r="J327" s="48"/>
      <c r="K327" s="48"/>
      <c r="L327" s="48"/>
      <c r="M327" s="48"/>
      <c r="N327" s="48"/>
      <c r="O327" s="48"/>
      <c r="P327" s="48">
        <v>8</v>
      </c>
      <c r="Q327" s="48"/>
      <c r="R327" s="150" t="e">
        <f t="shared" ref="R327:AA327" si="347">$G327*H327</f>
        <v>#REF!</v>
      </c>
      <c r="S327" s="150" t="e">
        <f t="shared" si="347"/>
        <v>#REF!</v>
      </c>
      <c r="T327" s="150" t="e">
        <f t="shared" si="347"/>
        <v>#REF!</v>
      </c>
      <c r="U327" s="150" t="e">
        <f t="shared" si="347"/>
        <v>#REF!</v>
      </c>
      <c r="V327" s="150" t="e">
        <f t="shared" si="347"/>
        <v>#REF!</v>
      </c>
      <c r="W327" s="150" t="e">
        <f t="shared" si="347"/>
        <v>#REF!</v>
      </c>
      <c r="X327" s="150" t="e">
        <f t="shared" si="347"/>
        <v>#REF!</v>
      </c>
      <c r="Y327" s="150" t="e">
        <f t="shared" si="347"/>
        <v>#REF!</v>
      </c>
      <c r="Z327" s="150" t="e">
        <f t="shared" si="347"/>
        <v>#REF!</v>
      </c>
      <c r="AA327" s="150" t="e">
        <f t="shared" si="347"/>
        <v>#REF!</v>
      </c>
      <c r="AB327" s="50"/>
    </row>
    <row r="328" s="28" customFormat="1" outlineLevel="3" spans="1:28">
      <c r="A328" s="52">
        <f>MAX($A$6:A327)+1</f>
        <v>289</v>
      </c>
      <c r="B328" s="159" t="s">
        <v>2083</v>
      </c>
      <c r="C328" s="51" t="e">
        <f>VLOOKUP($B328,#REF!,MATCH(C$2,#REF!,0),0)</f>
        <v>#REF!</v>
      </c>
      <c r="D328" s="83"/>
      <c r="E328" s="83"/>
      <c r="F328" s="136" t="e">
        <f>VLOOKUP($B328,#REF!,MATCH(F$2,#REF!,0),0)</f>
        <v>#REF!</v>
      </c>
      <c r="G328" s="137" t="e">
        <f>VLOOKUP($B328,#REF!,MATCH(G$2,#REF!,0),0)</f>
        <v>#REF!</v>
      </c>
      <c r="H328" s="48"/>
      <c r="I328" s="48"/>
      <c r="J328" s="48"/>
      <c r="K328" s="48"/>
      <c r="L328" s="48"/>
      <c r="M328" s="48"/>
      <c r="N328" s="48"/>
      <c r="O328" s="48"/>
      <c r="P328" s="48">
        <v>3</v>
      </c>
      <c r="Q328" s="48"/>
      <c r="R328" s="150" t="e">
        <f t="shared" ref="R328:AA328" si="348">$G328*H328</f>
        <v>#REF!</v>
      </c>
      <c r="S328" s="150" t="e">
        <f t="shared" si="348"/>
        <v>#REF!</v>
      </c>
      <c r="T328" s="150" t="e">
        <f t="shared" si="348"/>
        <v>#REF!</v>
      </c>
      <c r="U328" s="150" t="e">
        <f t="shared" si="348"/>
        <v>#REF!</v>
      </c>
      <c r="V328" s="150" t="e">
        <f t="shared" si="348"/>
        <v>#REF!</v>
      </c>
      <c r="W328" s="150" t="e">
        <f t="shared" si="348"/>
        <v>#REF!</v>
      </c>
      <c r="X328" s="150" t="e">
        <f t="shared" si="348"/>
        <v>#REF!</v>
      </c>
      <c r="Y328" s="150" t="e">
        <f t="shared" si="348"/>
        <v>#REF!</v>
      </c>
      <c r="Z328" s="150" t="e">
        <f t="shared" si="348"/>
        <v>#REF!</v>
      </c>
      <c r="AA328" s="150" t="e">
        <f t="shared" si="348"/>
        <v>#REF!</v>
      </c>
      <c r="AB328" s="50"/>
    </row>
    <row r="329" s="28" customFormat="1" outlineLevel="3" spans="1:28">
      <c r="A329" s="52">
        <f>MAX($A$6:A328)+1</f>
        <v>290</v>
      </c>
      <c r="B329" s="159" t="s">
        <v>2084</v>
      </c>
      <c r="C329" s="51" t="e">
        <f>VLOOKUP($B329,#REF!,MATCH(C$2,#REF!,0),0)</f>
        <v>#REF!</v>
      </c>
      <c r="D329" s="83"/>
      <c r="E329" s="83"/>
      <c r="F329" s="136" t="e">
        <f>VLOOKUP($B329,#REF!,MATCH(F$2,#REF!,0),0)</f>
        <v>#REF!</v>
      </c>
      <c r="G329" s="137" t="e">
        <f>VLOOKUP($B329,#REF!,MATCH(G$2,#REF!,0),0)</f>
        <v>#REF!</v>
      </c>
      <c r="H329" s="48"/>
      <c r="I329" s="48"/>
      <c r="J329" s="48"/>
      <c r="K329" s="48"/>
      <c r="L329" s="48"/>
      <c r="M329" s="48"/>
      <c r="N329" s="48"/>
      <c r="O329" s="48"/>
      <c r="P329" s="48">
        <v>3</v>
      </c>
      <c r="Q329" s="48"/>
      <c r="R329" s="150" t="e">
        <f t="shared" ref="R329:AA329" si="349">$G329*H329</f>
        <v>#REF!</v>
      </c>
      <c r="S329" s="150" t="e">
        <f t="shared" si="349"/>
        <v>#REF!</v>
      </c>
      <c r="T329" s="150" t="e">
        <f t="shared" si="349"/>
        <v>#REF!</v>
      </c>
      <c r="U329" s="150" t="e">
        <f t="shared" si="349"/>
        <v>#REF!</v>
      </c>
      <c r="V329" s="150" t="e">
        <f t="shared" si="349"/>
        <v>#REF!</v>
      </c>
      <c r="W329" s="150" t="e">
        <f t="shared" si="349"/>
        <v>#REF!</v>
      </c>
      <c r="X329" s="150" t="e">
        <f t="shared" si="349"/>
        <v>#REF!</v>
      </c>
      <c r="Y329" s="150" t="e">
        <f t="shared" si="349"/>
        <v>#REF!</v>
      </c>
      <c r="Z329" s="150" t="e">
        <f t="shared" si="349"/>
        <v>#REF!</v>
      </c>
      <c r="AA329" s="150" t="e">
        <f t="shared" si="349"/>
        <v>#REF!</v>
      </c>
      <c r="AB329" s="50"/>
    </row>
    <row r="330" s="28" customFormat="1" outlineLevel="3" spans="1:28">
      <c r="A330" s="52">
        <f>MAX($A$6:A329)+1</f>
        <v>291</v>
      </c>
      <c r="B330" s="159" t="s">
        <v>2085</v>
      </c>
      <c r="C330" s="51" t="e">
        <f>VLOOKUP($B330,#REF!,MATCH(C$2,#REF!,0),0)</f>
        <v>#REF!</v>
      </c>
      <c r="D330" s="83"/>
      <c r="E330" s="83"/>
      <c r="F330" s="136" t="e">
        <f>VLOOKUP($B330,#REF!,MATCH(F$2,#REF!,0),0)</f>
        <v>#REF!</v>
      </c>
      <c r="G330" s="137" t="e">
        <f>VLOOKUP($B330,#REF!,MATCH(G$2,#REF!,0),0)</f>
        <v>#REF!</v>
      </c>
      <c r="H330" s="48"/>
      <c r="I330" s="48"/>
      <c r="J330" s="48"/>
      <c r="K330" s="48"/>
      <c r="L330" s="48"/>
      <c r="M330" s="48"/>
      <c r="N330" s="48"/>
      <c r="O330" s="48"/>
      <c r="P330" s="48">
        <v>3</v>
      </c>
      <c r="Q330" s="48"/>
      <c r="R330" s="150" t="e">
        <f t="shared" ref="R330:AA330" si="350">$G330*H330</f>
        <v>#REF!</v>
      </c>
      <c r="S330" s="150" t="e">
        <f t="shared" si="350"/>
        <v>#REF!</v>
      </c>
      <c r="T330" s="150" t="e">
        <f t="shared" si="350"/>
        <v>#REF!</v>
      </c>
      <c r="U330" s="150" t="e">
        <f t="shared" si="350"/>
        <v>#REF!</v>
      </c>
      <c r="V330" s="150" t="e">
        <f t="shared" si="350"/>
        <v>#REF!</v>
      </c>
      <c r="W330" s="150" t="e">
        <f t="shared" si="350"/>
        <v>#REF!</v>
      </c>
      <c r="X330" s="150" t="e">
        <f t="shared" si="350"/>
        <v>#REF!</v>
      </c>
      <c r="Y330" s="150" t="e">
        <f t="shared" si="350"/>
        <v>#REF!</v>
      </c>
      <c r="Z330" s="150" t="e">
        <f t="shared" si="350"/>
        <v>#REF!</v>
      </c>
      <c r="AA330" s="150" t="e">
        <f t="shared" si="350"/>
        <v>#REF!</v>
      </c>
      <c r="AB330" s="50"/>
    </row>
    <row r="331" s="28" customFormat="1" outlineLevel="3" spans="1:28">
      <c r="A331" s="52">
        <f>MAX($A$6:A330)+1</f>
        <v>292</v>
      </c>
      <c r="B331" s="159" t="s">
        <v>2086</v>
      </c>
      <c r="C331" s="51" t="e">
        <f>VLOOKUP($B331,#REF!,MATCH(C$2,#REF!,0),0)</f>
        <v>#REF!</v>
      </c>
      <c r="D331" s="83"/>
      <c r="E331" s="83"/>
      <c r="F331" s="136" t="e">
        <f>VLOOKUP($B331,#REF!,MATCH(F$2,#REF!,0),0)</f>
        <v>#REF!</v>
      </c>
      <c r="G331" s="137" t="e">
        <f>VLOOKUP($B331,#REF!,MATCH(G$2,#REF!,0),0)</f>
        <v>#REF!</v>
      </c>
      <c r="H331" s="48"/>
      <c r="I331" s="48"/>
      <c r="J331" s="48"/>
      <c r="K331" s="48"/>
      <c r="L331" s="48"/>
      <c r="M331" s="48"/>
      <c r="N331" s="48"/>
      <c r="O331" s="48"/>
      <c r="P331" s="48">
        <v>5</v>
      </c>
      <c r="Q331" s="48"/>
      <c r="R331" s="150" t="e">
        <f t="shared" ref="R331:AA331" si="351">$G331*H331</f>
        <v>#REF!</v>
      </c>
      <c r="S331" s="150" t="e">
        <f t="shared" si="351"/>
        <v>#REF!</v>
      </c>
      <c r="T331" s="150" t="e">
        <f t="shared" si="351"/>
        <v>#REF!</v>
      </c>
      <c r="U331" s="150" t="e">
        <f t="shared" si="351"/>
        <v>#REF!</v>
      </c>
      <c r="V331" s="150" t="e">
        <f t="shared" si="351"/>
        <v>#REF!</v>
      </c>
      <c r="W331" s="150" t="e">
        <f t="shared" si="351"/>
        <v>#REF!</v>
      </c>
      <c r="X331" s="150" t="e">
        <f t="shared" si="351"/>
        <v>#REF!</v>
      </c>
      <c r="Y331" s="150" t="e">
        <f t="shared" si="351"/>
        <v>#REF!</v>
      </c>
      <c r="Z331" s="150" t="e">
        <f t="shared" si="351"/>
        <v>#REF!</v>
      </c>
      <c r="AA331" s="150" t="e">
        <f t="shared" si="351"/>
        <v>#REF!</v>
      </c>
      <c r="AB331" s="50"/>
    </row>
    <row r="332" s="28" customFormat="1" outlineLevel="3" spans="1:28">
      <c r="A332" s="52">
        <f>MAX($A$6:A331)+1</f>
        <v>293</v>
      </c>
      <c r="B332" s="159" t="s">
        <v>2087</v>
      </c>
      <c r="C332" s="51" t="e">
        <f>VLOOKUP($B332,#REF!,MATCH(C$2,#REF!,0),0)</f>
        <v>#REF!</v>
      </c>
      <c r="D332" s="83"/>
      <c r="E332" s="83"/>
      <c r="F332" s="136" t="e">
        <f>VLOOKUP($B332,#REF!,MATCH(F$2,#REF!,0),0)</f>
        <v>#REF!</v>
      </c>
      <c r="G332" s="137" t="e">
        <f>VLOOKUP($B332,#REF!,MATCH(G$2,#REF!,0),0)</f>
        <v>#REF!</v>
      </c>
      <c r="H332" s="48"/>
      <c r="I332" s="48"/>
      <c r="J332" s="48"/>
      <c r="K332" s="48"/>
      <c r="L332" s="48"/>
      <c r="M332" s="48"/>
      <c r="N332" s="48"/>
      <c r="O332" s="48"/>
      <c r="P332" s="48">
        <v>3</v>
      </c>
      <c r="Q332" s="48"/>
      <c r="R332" s="150" t="e">
        <f t="shared" ref="R332:AA332" si="352">$G332*H332</f>
        <v>#REF!</v>
      </c>
      <c r="S332" s="150" t="e">
        <f t="shared" si="352"/>
        <v>#REF!</v>
      </c>
      <c r="T332" s="150" t="e">
        <f t="shared" si="352"/>
        <v>#REF!</v>
      </c>
      <c r="U332" s="150" t="e">
        <f t="shared" si="352"/>
        <v>#REF!</v>
      </c>
      <c r="V332" s="150" t="e">
        <f t="shared" si="352"/>
        <v>#REF!</v>
      </c>
      <c r="W332" s="150" t="e">
        <f t="shared" si="352"/>
        <v>#REF!</v>
      </c>
      <c r="X332" s="150" t="e">
        <f t="shared" si="352"/>
        <v>#REF!</v>
      </c>
      <c r="Y332" s="150" t="e">
        <f t="shared" si="352"/>
        <v>#REF!</v>
      </c>
      <c r="Z332" s="150" t="e">
        <f t="shared" si="352"/>
        <v>#REF!</v>
      </c>
      <c r="AA332" s="150" t="e">
        <f t="shared" si="352"/>
        <v>#REF!</v>
      </c>
      <c r="AB332" s="50"/>
    </row>
    <row r="333" s="28" customFormat="1" outlineLevel="3" spans="1:28">
      <c r="A333" s="52">
        <f>MAX($A$6:A332)+1</f>
        <v>294</v>
      </c>
      <c r="B333" s="159" t="s">
        <v>2088</v>
      </c>
      <c r="C333" s="51" t="e">
        <f>VLOOKUP($B333,#REF!,MATCH(C$2,#REF!,0),0)</f>
        <v>#REF!</v>
      </c>
      <c r="D333" s="83"/>
      <c r="E333" s="83"/>
      <c r="F333" s="136" t="e">
        <f>VLOOKUP($B333,#REF!,MATCH(F$2,#REF!,0),0)</f>
        <v>#REF!</v>
      </c>
      <c r="G333" s="137" t="e">
        <f>VLOOKUP($B333,#REF!,MATCH(G$2,#REF!,0),0)</f>
        <v>#REF!</v>
      </c>
      <c r="H333" s="48"/>
      <c r="I333" s="48"/>
      <c r="J333" s="48"/>
      <c r="K333" s="48"/>
      <c r="L333" s="48"/>
      <c r="M333" s="48"/>
      <c r="N333" s="48"/>
      <c r="O333" s="48"/>
      <c r="P333" s="48">
        <v>3</v>
      </c>
      <c r="Q333" s="48"/>
      <c r="R333" s="150" t="e">
        <f t="shared" ref="R333:AA333" si="353">$G333*H333</f>
        <v>#REF!</v>
      </c>
      <c r="S333" s="150" t="e">
        <f t="shared" si="353"/>
        <v>#REF!</v>
      </c>
      <c r="T333" s="150" t="e">
        <f t="shared" si="353"/>
        <v>#REF!</v>
      </c>
      <c r="U333" s="150" t="e">
        <f t="shared" si="353"/>
        <v>#REF!</v>
      </c>
      <c r="V333" s="150" t="e">
        <f t="shared" si="353"/>
        <v>#REF!</v>
      </c>
      <c r="W333" s="150" t="e">
        <f t="shared" si="353"/>
        <v>#REF!</v>
      </c>
      <c r="X333" s="150" t="e">
        <f t="shared" si="353"/>
        <v>#REF!</v>
      </c>
      <c r="Y333" s="150" t="e">
        <f t="shared" si="353"/>
        <v>#REF!</v>
      </c>
      <c r="Z333" s="150" t="e">
        <f t="shared" si="353"/>
        <v>#REF!</v>
      </c>
      <c r="AA333" s="150" t="e">
        <f t="shared" si="353"/>
        <v>#REF!</v>
      </c>
      <c r="AB333" s="50"/>
    </row>
    <row r="334" s="28" customFormat="1" ht="28.8" outlineLevel="3" spans="1:28">
      <c r="A334" s="52">
        <f>MAX($A$6:A333)+1</f>
        <v>295</v>
      </c>
      <c r="B334" s="51" t="s">
        <v>1822</v>
      </c>
      <c r="C334" s="51" t="e">
        <f>VLOOKUP($B334,#REF!,MATCH(C$2,#REF!,0),0)</f>
        <v>#REF!</v>
      </c>
      <c r="D334" s="83"/>
      <c r="E334" s="83"/>
      <c r="F334" s="136" t="e">
        <f>VLOOKUP($B334,#REF!,MATCH(F$2,#REF!,0),0)</f>
        <v>#REF!</v>
      </c>
      <c r="G334" s="137" t="e">
        <f>VLOOKUP($B334,#REF!,MATCH(G$2,#REF!,0),0)</f>
        <v>#REF!</v>
      </c>
      <c r="H334" s="48"/>
      <c r="I334" s="48"/>
      <c r="J334" s="48"/>
      <c r="K334" s="48"/>
      <c r="L334" s="48"/>
      <c r="M334" s="48"/>
      <c r="N334" s="48"/>
      <c r="O334" s="48"/>
      <c r="P334" s="48"/>
      <c r="Q334" s="48">
        <v>1</v>
      </c>
      <c r="R334" s="150" t="e">
        <f t="shared" ref="R334:AA334" si="354">$G334*H334</f>
        <v>#REF!</v>
      </c>
      <c r="S334" s="150" t="e">
        <f t="shared" si="354"/>
        <v>#REF!</v>
      </c>
      <c r="T334" s="150" t="e">
        <f t="shared" si="354"/>
        <v>#REF!</v>
      </c>
      <c r="U334" s="150" t="e">
        <f t="shared" si="354"/>
        <v>#REF!</v>
      </c>
      <c r="V334" s="150" t="e">
        <f t="shared" si="354"/>
        <v>#REF!</v>
      </c>
      <c r="W334" s="150" t="e">
        <f t="shared" si="354"/>
        <v>#REF!</v>
      </c>
      <c r="X334" s="150" t="e">
        <f t="shared" si="354"/>
        <v>#REF!</v>
      </c>
      <c r="Y334" s="150" t="e">
        <f t="shared" si="354"/>
        <v>#REF!</v>
      </c>
      <c r="Z334" s="150" t="e">
        <f t="shared" si="354"/>
        <v>#REF!</v>
      </c>
      <c r="AA334" s="150" t="e">
        <f t="shared" si="354"/>
        <v>#REF!</v>
      </c>
      <c r="AB334" s="50"/>
    </row>
    <row r="335" s="28" customFormat="1" ht="28.8" outlineLevel="3" spans="1:28">
      <c r="A335" s="52">
        <f>MAX($A$6:A334)+1</f>
        <v>296</v>
      </c>
      <c r="B335" s="51" t="s">
        <v>1821</v>
      </c>
      <c r="C335" s="51" t="e">
        <f>VLOOKUP($B335,#REF!,MATCH(C$2,#REF!,0),0)</f>
        <v>#REF!</v>
      </c>
      <c r="D335" s="83"/>
      <c r="E335" s="83"/>
      <c r="F335" s="136" t="e">
        <f>VLOOKUP($B335,#REF!,MATCH(F$2,#REF!,0),0)</f>
        <v>#REF!</v>
      </c>
      <c r="G335" s="137" t="e">
        <f>VLOOKUP($B335,#REF!,MATCH(G$2,#REF!,0),0)</f>
        <v>#REF!</v>
      </c>
      <c r="H335" s="48"/>
      <c r="I335" s="48"/>
      <c r="J335" s="48"/>
      <c r="K335" s="48"/>
      <c r="L335" s="48"/>
      <c r="M335" s="48"/>
      <c r="N335" s="48"/>
      <c r="O335" s="48"/>
      <c r="P335" s="48"/>
      <c r="Q335" s="48">
        <v>1</v>
      </c>
      <c r="R335" s="150" t="e">
        <f t="shared" ref="R335:AA335" si="355">$G335*H335</f>
        <v>#REF!</v>
      </c>
      <c r="S335" s="150" t="e">
        <f t="shared" si="355"/>
        <v>#REF!</v>
      </c>
      <c r="T335" s="150" t="e">
        <f t="shared" si="355"/>
        <v>#REF!</v>
      </c>
      <c r="U335" s="150" t="e">
        <f t="shared" si="355"/>
        <v>#REF!</v>
      </c>
      <c r="V335" s="150" t="e">
        <f t="shared" si="355"/>
        <v>#REF!</v>
      </c>
      <c r="W335" s="150" t="e">
        <f t="shared" si="355"/>
        <v>#REF!</v>
      </c>
      <c r="X335" s="150" t="e">
        <f t="shared" si="355"/>
        <v>#REF!</v>
      </c>
      <c r="Y335" s="150" t="e">
        <f t="shared" si="355"/>
        <v>#REF!</v>
      </c>
      <c r="Z335" s="150" t="e">
        <f t="shared" si="355"/>
        <v>#REF!</v>
      </c>
      <c r="AA335" s="150" t="e">
        <f t="shared" si="355"/>
        <v>#REF!</v>
      </c>
      <c r="AB335" s="50"/>
    </row>
    <row r="336" s="28" customFormat="1" ht="28.8" outlineLevel="3" spans="1:28">
      <c r="A336" s="52">
        <f>MAX($A$6:A335)+1</f>
        <v>297</v>
      </c>
      <c r="B336" s="51" t="s">
        <v>1855</v>
      </c>
      <c r="C336" s="51" t="e">
        <f>VLOOKUP($B336,#REF!,MATCH(C$2,#REF!,0),0)</f>
        <v>#REF!</v>
      </c>
      <c r="D336" s="83"/>
      <c r="E336" s="83"/>
      <c r="F336" s="136" t="e">
        <f>VLOOKUP($B336,#REF!,MATCH(F$2,#REF!,0),0)</f>
        <v>#REF!</v>
      </c>
      <c r="G336" s="137" t="e">
        <f>VLOOKUP($B336,#REF!,MATCH(G$2,#REF!,0),0)</f>
        <v>#REF!</v>
      </c>
      <c r="H336" s="48">
        <v>11</v>
      </c>
      <c r="I336" s="48">
        <v>1</v>
      </c>
      <c r="J336" s="48">
        <v>4</v>
      </c>
      <c r="K336" s="48">
        <v>4</v>
      </c>
      <c r="L336" s="48">
        <v>2</v>
      </c>
      <c r="M336" s="48"/>
      <c r="N336" s="48"/>
      <c r="O336" s="48"/>
      <c r="P336" s="48"/>
      <c r="Q336" s="48">
        <v>86</v>
      </c>
      <c r="R336" s="150" t="e">
        <f t="shared" ref="R336:AA336" si="356">$G336*H336</f>
        <v>#REF!</v>
      </c>
      <c r="S336" s="150" t="e">
        <f t="shared" si="356"/>
        <v>#REF!</v>
      </c>
      <c r="T336" s="150" t="e">
        <f t="shared" si="356"/>
        <v>#REF!</v>
      </c>
      <c r="U336" s="150" t="e">
        <f t="shared" si="356"/>
        <v>#REF!</v>
      </c>
      <c r="V336" s="150" t="e">
        <f t="shared" si="356"/>
        <v>#REF!</v>
      </c>
      <c r="W336" s="150" t="e">
        <f t="shared" si="356"/>
        <v>#REF!</v>
      </c>
      <c r="X336" s="150" t="e">
        <f t="shared" si="356"/>
        <v>#REF!</v>
      </c>
      <c r="Y336" s="150" t="e">
        <f t="shared" si="356"/>
        <v>#REF!</v>
      </c>
      <c r="Z336" s="150" t="e">
        <f t="shared" si="356"/>
        <v>#REF!</v>
      </c>
      <c r="AA336" s="150" t="e">
        <f t="shared" si="356"/>
        <v>#REF!</v>
      </c>
      <c r="AB336" s="50"/>
    </row>
    <row r="337" s="28" customFormat="1" ht="28.8" outlineLevel="3" spans="1:28">
      <c r="A337" s="52">
        <f>MAX($A$6:A336)+1</f>
        <v>298</v>
      </c>
      <c r="B337" s="51" t="s">
        <v>2089</v>
      </c>
      <c r="C337" s="51" t="e">
        <f>VLOOKUP($B337,#REF!,MATCH(C$2,#REF!,0),0)</f>
        <v>#REF!</v>
      </c>
      <c r="D337" s="83"/>
      <c r="E337" s="83"/>
      <c r="F337" s="136" t="e">
        <f>VLOOKUP($B337,#REF!,MATCH(F$2,#REF!,0),0)</f>
        <v>#REF!</v>
      </c>
      <c r="G337" s="137" t="e">
        <f>VLOOKUP($B337,#REF!,MATCH(G$2,#REF!,0),0)</f>
        <v>#REF!</v>
      </c>
      <c r="H337" s="48">
        <v>1</v>
      </c>
      <c r="I337" s="48">
        <v>1</v>
      </c>
      <c r="J337" s="48">
        <v>1</v>
      </c>
      <c r="K337" s="48">
        <v>1</v>
      </c>
      <c r="L337" s="48"/>
      <c r="M337" s="48"/>
      <c r="N337" s="48"/>
      <c r="O337" s="48"/>
      <c r="P337" s="48"/>
      <c r="Q337" s="48"/>
      <c r="R337" s="150" t="e">
        <f t="shared" ref="R337:AA337" si="357">$G337*H337</f>
        <v>#REF!</v>
      </c>
      <c r="S337" s="150" t="e">
        <f t="shared" si="357"/>
        <v>#REF!</v>
      </c>
      <c r="T337" s="150" t="e">
        <f t="shared" si="357"/>
        <v>#REF!</v>
      </c>
      <c r="U337" s="150" t="e">
        <f t="shared" si="357"/>
        <v>#REF!</v>
      </c>
      <c r="V337" s="150" t="e">
        <f t="shared" si="357"/>
        <v>#REF!</v>
      </c>
      <c r="W337" s="150" t="e">
        <f t="shared" si="357"/>
        <v>#REF!</v>
      </c>
      <c r="X337" s="150" t="e">
        <f t="shared" si="357"/>
        <v>#REF!</v>
      </c>
      <c r="Y337" s="150" t="e">
        <f t="shared" si="357"/>
        <v>#REF!</v>
      </c>
      <c r="Z337" s="150" t="e">
        <f t="shared" si="357"/>
        <v>#REF!</v>
      </c>
      <c r="AA337" s="150" t="e">
        <f t="shared" si="357"/>
        <v>#REF!</v>
      </c>
      <c r="AB337" s="50"/>
    </row>
    <row r="338" s="28" customFormat="1" ht="28.8" outlineLevel="3" spans="1:28">
      <c r="A338" s="52">
        <f>MAX($A$6:A337)+1</f>
        <v>299</v>
      </c>
      <c r="B338" s="51" t="s">
        <v>2090</v>
      </c>
      <c r="C338" s="51" t="e">
        <f>VLOOKUP($B338,#REF!,MATCH(C$2,#REF!,0),0)</f>
        <v>#REF!</v>
      </c>
      <c r="D338" s="83"/>
      <c r="E338" s="83"/>
      <c r="F338" s="136" t="e">
        <f>VLOOKUP($B338,#REF!,MATCH(F$2,#REF!,0),0)</f>
        <v>#REF!</v>
      </c>
      <c r="G338" s="137" t="e">
        <f>VLOOKUP($B338,#REF!,MATCH(G$2,#REF!,0),0)</f>
        <v>#REF!</v>
      </c>
      <c r="H338" s="48">
        <v>11</v>
      </c>
      <c r="I338" s="48">
        <v>1</v>
      </c>
      <c r="J338" s="48">
        <v>4</v>
      </c>
      <c r="K338" s="48">
        <v>4</v>
      </c>
      <c r="L338" s="48">
        <v>2</v>
      </c>
      <c r="M338" s="48"/>
      <c r="N338" s="48"/>
      <c r="O338" s="48"/>
      <c r="P338" s="48"/>
      <c r="Q338" s="48">
        <v>86</v>
      </c>
      <c r="R338" s="150" t="e">
        <f t="shared" ref="R338:AA338" si="358">$G338*H338</f>
        <v>#REF!</v>
      </c>
      <c r="S338" s="150" t="e">
        <f t="shared" si="358"/>
        <v>#REF!</v>
      </c>
      <c r="T338" s="150" t="e">
        <f t="shared" si="358"/>
        <v>#REF!</v>
      </c>
      <c r="U338" s="150" t="e">
        <f t="shared" si="358"/>
        <v>#REF!</v>
      </c>
      <c r="V338" s="150" t="e">
        <f t="shared" si="358"/>
        <v>#REF!</v>
      </c>
      <c r="W338" s="150" t="e">
        <f t="shared" si="358"/>
        <v>#REF!</v>
      </c>
      <c r="X338" s="150" t="e">
        <f t="shared" si="358"/>
        <v>#REF!</v>
      </c>
      <c r="Y338" s="150" t="e">
        <f t="shared" si="358"/>
        <v>#REF!</v>
      </c>
      <c r="Z338" s="150" t="e">
        <f t="shared" si="358"/>
        <v>#REF!</v>
      </c>
      <c r="AA338" s="150" t="e">
        <f t="shared" si="358"/>
        <v>#REF!</v>
      </c>
      <c r="AB338" s="50"/>
    </row>
    <row r="339" s="28" customFormat="1" ht="28.8" outlineLevel="3" spans="1:28">
      <c r="A339" s="52">
        <f>MAX($A$6:A338)+1</f>
        <v>300</v>
      </c>
      <c r="B339" s="51" t="s">
        <v>2091</v>
      </c>
      <c r="C339" s="51" t="e">
        <f>VLOOKUP($B339,#REF!,MATCH(C$2,#REF!,0),0)</f>
        <v>#REF!</v>
      </c>
      <c r="D339" s="83"/>
      <c r="E339" s="83"/>
      <c r="F339" s="136" t="e">
        <f>VLOOKUP($B339,#REF!,MATCH(F$2,#REF!,0),0)</f>
        <v>#REF!</v>
      </c>
      <c r="G339" s="137" t="e">
        <f>VLOOKUP($B339,#REF!,MATCH(G$2,#REF!,0),0)</f>
        <v>#REF!</v>
      </c>
      <c r="H339" s="48">
        <v>1</v>
      </c>
      <c r="I339" s="48">
        <v>1</v>
      </c>
      <c r="J339" s="48">
        <v>1</v>
      </c>
      <c r="K339" s="48">
        <v>1</v>
      </c>
      <c r="L339" s="48"/>
      <c r="M339" s="48"/>
      <c r="N339" s="48"/>
      <c r="O339" s="48"/>
      <c r="P339" s="48"/>
      <c r="Q339" s="48"/>
      <c r="R339" s="150" t="e">
        <f t="shared" ref="R339:AA339" si="359">$G339*H339</f>
        <v>#REF!</v>
      </c>
      <c r="S339" s="150" t="e">
        <f t="shared" si="359"/>
        <v>#REF!</v>
      </c>
      <c r="T339" s="150" t="e">
        <f t="shared" si="359"/>
        <v>#REF!</v>
      </c>
      <c r="U339" s="150" t="e">
        <f t="shared" si="359"/>
        <v>#REF!</v>
      </c>
      <c r="V339" s="150" t="e">
        <f t="shared" si="359"/>
        <v>#REF!</v>
      </c>
      <c r="W339" s="150" t="e">
        <f t="shared" si="359"/>
        <v>#REF!</v>
      </c>
      <c r="X339" s="150" t="e">
        <f t="shared" si="359"/>
        <v>#REF!</v>
      </c>
      <c r="Y339" s="150" t="e">
        <f t="shared" si="359"/>
        <v>#REF!</v>
      </c>
      <c r="Z339" s="150" t="e">
        <f t="shared" si="359"/>
        <v>#REF!</v>
      </c>
      <c r="AA339" s="150" t="e">
        <f t="shared" si="359"/>
        <v>#REF!</v>
      </c>
      <c r="AB339" s="50"/>
    </row>
    <row r="340" s="28" customFormat="1" outlineLevel="3" spans="1:28">
      <c r="A340" s="52">
        <f>MAX($A$6:A339)+1</f>
        <v>301</v>
      </c>
      <c r="B340" s="51" t="s">
        <v>2092</v>
      </c>
      <c r="C340" s="51" t="e">
        <f>VLOOKUP($B340,#REF!,MATCH(C$2,#REF!,0),0)</f>
        <v>#REF!</v>
      </c>
      <c r="D340" s="83"/>
      <c r="E340" s="83"/>
      <c r="F340" s="136" t="e">
        <f>VLOOKUP($B340,#REF!,MATCH(F$2,#REF!,0),0)</f>
        <v>#REF!</v>
      </c>
      <c r="G340" s="137" t="e">
        <f>VLOOKUP($B340,#REF!,MATCH(G$2,#REF!,0),0)</f>
        <v>#REF!</v>
      </c>
      <c r="H340" s="48">
        <v>12</v>
      </c>
      <c r="I340" s="48">
        <v>12</v>
      </c>
      <c r="J340" s="48">
        <v>6</v>
      </c>
      <c r="K340" s="48">
        <v>6</v>
      </c>
      <c r="L340" s="48"/>
      <c r="M340" s="48"/>
      <c r="N340" s="48"/>
      <c r="O340" s="48"/>
      <c r="P340" s="48"/>
      <c r="Q340" s="48">
        <v>76</v>
      </c>
      <c r="R340" s="150" t="e">
        <f t="shared" ref="R340:AA340" si="360">$G340*H340</f>
        <v>#REF!</v>
      </c>
      <c r="S340" s="150" t="e">
        <f t="shared" si="360"/>
        <v>#REF!</v>
      </c>
      <c r="T340" s="150" t="e">
        <f t="shared" si="360"/>
        <v>#REF!</v>
      </c>
      <c r="U340" s="150" t="e">
        <f t="shared" si="360"/>
        <v>#REF!</v>
      </c>
      <c r="V340" s="150" t="e">
        <f t="shared" si="360"/>
        <v>#REF!</v>
      </c>
      <c r="W340" s="150" t="e">
        <f t="shared" si="360"/>
        <v>#REF!</v>
      </c>
      <c r="X340" s="150" t="e">
        <f t="shared" si="360"/>
        <v>#REF!</v>
      </c>
      <c r="Y340" s="150" t="e">
        <f t="shared" si="360"/>
        <v>#REF!</v>
      </c>
      <c r="Z340" s="150" t="e">
        <f t="shared" si="360"/>
        <v>#REF!</v>
      </c>
      <c r="AA340" s="150" t="e">
        <f t="shared" si="360"/>
        <v>#REF!</v>
      </c>
      <c r="AB340" s="50"/>
    </row>
    <row r="341" s="28" customFormat="1" outlineLevel="3" spans="1:28">
      <c r="A341" s="52">
        <f>MAX($A$6:A340)+1</f>
        <v>302</v>
      </c>
      <c r="B341" s="51" t="s">
        <v>2093</v>
      </c>
      <c r="C341" s="51" t="e">
        <f>VLOOKUP($B341,#REF!,MATCH(C$2,#REF!,0),0)</f>
        <v>#REF!</v>
      </c>
      <c r="D341" s="83"/>
      <c r="E341" s="83"/>
      <c r="F341" s="136" t="e">
        <f>VLOOKUP($B341,#REF!,MATCH(F$2,#REF!,0),0)</f>
        <v>#REF!</v>
      </c>
      <c r="G341" s="137" t="e">
        <f>VLOOKUP($B341,#REF!,MATCH(G$2,#REF!,0),0)</f>
        <v>#REF!</v>
      </c>
      <c r="H341" s="48">
        <v>12</v>
      </c>
      <c r="I341" s="48">
        <v>12</v>
      </c>
      <c r="J341" s="48">
        <v>6</v>
      </c>
      <c r="K341" s="48">
        <v>6</v>
      </c>
      <c r="L341" s="48"/>
      <c r="M341" s="48"/>
      <c r="N341" s="48"/>
      <c r="O341" s="48"/>
      <c r="P341" s="48"/>
      <c r="Q341" s="48"/>
      <c r="R341" s="150" t="e">
        <f t="shared" ref="R341:AA341" si="361">$G341*H341</f>
        <v>#REF!</v>
      </c>
      <c r="S341" s="150" t="e">
        <f t="shared" si="361"/>
        <v>#REF!</v>
      </c>
      <c r="T341" s="150" t="e">
        <f t="shared" si="361"/>
        <v>#REF!</v>
      </c>
      <c r="U341" s="150" t="e">
        <f t="shared" si="361"/>
        <v>#REF!</v>
      </c>
      <c r="V341" s="150" t="e">
        <f t="shared" si="361"/>
        <v>#REF!</v>
      </c>
      <c r="W341" s="150" t="e">
        <f t="shared" si="361"/>
        <v>#REF!</v>
      </c>
      <c r="X341" s="150" t="e">
        <f t="shared" si="361"/>
        <v>#REF!</v>
      </c>
      <c r="Y341" s="150" t="e">
        <f t="shared" si="361"/>
        <v>#REF!</v>
      </c>
      <c r="Z341" s="150" t="e">
        <f t="shared" si="361"/>
        <v>#REF!</v>
      </c>
      <c r="AA341" s="150" t="e">
        <f t="shared" si="361"/>
        <v>#REF!</v>
      </c>
      <c r="AB341" s="50"/>
    </row>
    <row r="342" s="28" customFormat="1" outlineLevel="3" spans="1:28">
      <c r="A342" s="52">
        <f>MAX($A$6:A341)+1</f>
        <v>303</v>
      </c>
      <c r="B342" s="51" t="s">
        <v>2094</v>
      </c>
      <c r="C342" s="51" t="e">
        <f>VLOOKUP($B342,#REF!,MATCH(C$2,#REF!,0),0)</f>
        <v>#REF!</v>
      </c>
      <c r="D342" s="83"/>
      <c r="E342" s="83"/>
      <c r="F342" s="136" t="e">
        <f>VLOOKUP($B342,#REF!,MATCH(F$2,#REF!,0),0)</f>
        <v>#REF!</v>
      </c>
      <c r="G342" s="137" t="e">
        <f>VLOOKUP($B342,#REF!,MATCH(G$2,#REF!,0),0)</f>
        <v>#REF!</v>
      </c>
      <c r="H342" s="48"/>
      <c r="I342" s="48"/>
      <c r="J342" s="48"/>
      <c r="K342" s="48"/>
      <c r="L342" s="48"/>
      <c r="M342" s="48"/>
      <c r="N342" s="48"/>
      <c r="O342" s="48"/>
      <c r="P342" s="48"/>
      <c r="Q342" s="48">
        <v>13</v>
      </c>
      <c r="R342" s="150" t="e">
        <f t="shared" ref="R342:AA342" si="362">$G342*H342</f>
        <v>#REF!</v>
      </c>
      <c r="S342" s="150" t="e">
        <f t="shared" si="362"/>
        <v>#REF!</v>
      </c>
      <c r="T342" s="150" t="e">
        <f t="shared" si="362"/>
        <v>#REF!</v>
      </c>
      <c r="U342" s="150" t="e">
        <f t="shared" si="362"/>
        <v>#REF!</v>
      </c>
      <c r="V342" s="150" t="e">
        <f t="shared" si="362"/>
        <v>#REF!</v>
      </c>
      <c r="W342" s="150" t="e">
        <f t="shared" si="362"/>
        <v>#REF!</v>
      </c>
      <c r="X342" s="150" t="e">
        <f t="shared" si="362"/>
        <v>#REF!</v>
      </c>
      <c r="Y342" s="150" t="e">
        <f t="shared" si="362"/>
        <v>#REF!</v>
      </c>
      <c r="Z342" s="150" t="e">
        <f t="shared" si="362"/>
        <v>#REF!</v>
      </c>
      <c r="AA342" s="150" t="e">
        <f t="shared" si="362"/>
        <v>#REF!</v>
      </c>
      <c r="AB342" s="50"/>
    </row>
    <row r="343" s="28" customFormat="1" outlineLevel="3" spans="1:28">
      <c r="A343" s="52">
        <f>MAX($A$6:A342)+1</f>
        <v>304</v>
      </c>
      <c r="B343" s="51" t="s">
        <v>2022</v>
      </c>
      <c r="C343" s="51" t="e">
        <f>VLOOKUP($B343,#REF!,MATCH(C$2,#REF!,0),0)</f>
        <v>#REF!</v>
      </c>
      <c r="D343" s="83"/>
      <c r="E343" s="83"/>
      <c r="F343" s="136" t="e">
        <f>VLOOKUP($B343,#REF!,MATCH(F$2,#REF!,0),0)</f>
        <v>#REF!</v>
      </c>
      <c r="G343" s="137" t="e">
        <f>VLOOKUP($B343,#REF!,MATCH(G$2,#REF!,0),0)</f>
        <v>#REF!</v>
      </c>
      <c r="H343" s="48"/>
      <c r="I343" s="48"/>
      <c r="J343" s="48"/>
      <c r="K343" s="48"/>
      <c r="L343" s="48"/>
      <c r="M343" s="48"/>
      <c r="N343" s="48"/>
      <c r="O343" s="48"/>
      <c r="P343" s="48"/>
      <c r="Q343" s="48">
        <v>1</v>
      </c>
      <c r="R343" s="150" t="e">
        <f t="shared" ref="R343:AA343" si="363">$G343*H343</f>
        <v>#REF!</v>
      </c>
      <c r="S343" s="150" t="e">
        <f t="shared" si="363"/>
        <v>#REF!</v>
      </c>
      <c r="T343" s="150" t="e">
        <f t="shared" si="363"/>
        <v>#REF!</v>
      </c>
      <c r="U343" s="150" t="e">
        <f t="shared" si="363"/>
        <v>#REF!</v>
      </c>
      <c r="V343" s="150" t="e">
        <f t="shared" si="363"/>
        <v>#REF!</v>
      </c>
      <c r="W343" s="150" t="e">
        <f t="shared" si="363"/>
        <v>#REF!</v>
      </c>
      <c r="X343" s="150" t="e">
        <f t="shared" si="363"/>
        <v>#REF!</v>
      </c>
      <c r="Y343" s="150" t="e">
        <f t="shared" si="363"/>
        <v>#REF!</v>
      </c>
      <c r="Z343" s="150" t="e">
        <f t="shared" si="363"/>
        <v>#REF!</v>
      </c>
      <c r="AA343" s="150" t="e">
        <f t="shared" si="363"/>
        <v>#REF!</v>
      </c>
      <c r="AB343" s="50"/>
    </row>
    <row r="344" s="28" customFormat="1" outlineLevel="3" spans="1:28">
      <c r="A344" s="52">
        <f>MAX($A$6:A343)+1</f>
        <v>305</v>
      </c>
      <c r="B344" s="51" t="s">
        <v>2024</v>
      </c>
      <c r="C344" s="51" t="e">
        <f>VLOOKUP($B344,#REF!,MATCH(C$2,#REF!,0),0)</f>
        <v>#REF!</v>
      </c>
      <c r="D344" s="83"/>
      <c r="E344" s="83"/>
      <c r="F344" s="136" t="e">
        <f>VLOOKUP($B344,#REF!,MATCH(F$2,#REF!,0),0)</f>
        <v>#REF!</v>
      </c>
      <c r="G344" s="137" t="e">
        <f>VLOOKUP($B344,#REF!,MATCH(G$2,#REF!,0),0)</f>
        <v>#REF!</v>
      </c>
      <c r="H344" s="48"/>
      <c r="I344" s="48"/>
      <c r="J344" s="48"/>
      <c r="K344" s="48"/>
      <c r="L344" s="48"/>
      <c r="M344" s="48"/>
      <c r="N344" s="48"/>
      <c r="O344" s="48"/>
      <c r="P344" s="48"/>
      <c r="Q344" s="48">
        <v>2</v>
      </c>
      <c r="R344" s="150" t="e">
        <f t="shared" ref="R344:AA344" si="364">$G344*H344</f>
        <v>#REF!</v>
      </c>
      <c r="S344" s="150" t="e">
        <f t="shared" si="364"/>
        <v>#REF!</v>
      </c>
      <c r="T344" s="150" t="e">
        <f t="shared" si="364"/>
        <v>#REF!</v>
      </c>
      <c r="U344" s="150" t="e">
        <f t="shared" si="364"/>
        <v>#REF!</v>
      </c>
      <c r="V344" s="150" t="e">
        <f t="shared" si="364"/>
        <v>#REF!</v>
      </c>
      <c r="W344" s="150" t="e">
        <f t="shared" si="364"/>
        <v>#REF!</v>
      </c>
      <c r="X344" s="150" t="e">
        <f t="shared" si="364"/>
        <v>#REF!</v>
      </c>
      <c r="Y344" s="150" t="e">
        <f t="shared" si="364"/>
        <v>#REF!</v>
      </c>
      <c r="Z344" s="150" t="e">
        <f t="shared" si="364"/>
        <v>#REF!</v>
      </c>
      <c r="AA344" s="150" t="e">
        <f t="shared" si="364"/>
        <v>#REF!</v>
      </c>
      <c r="AB344" s="50"/>
    </row>
    <row r="345" s="28" customFormat="1" ht="28.8" outlineLevel="3" spans="1:28">
      <c r="A345" s="52">
        <f>MAX($A$6:A344)+1</f>
        <v>306</v>
      </c>
      <c r="B345" s="51" t="s">
        <v>2095</v>
      </c>
      <c r="C345" s="51" t="e">
        <f>VLOOKUP($B345,#REF!,MATCH(C$2,#REF!,0),0)</f>
        <v>#REF!</v>
      </c>
      <c r="D345" s="83"/>
      <c r="E345" s="83"/>
      <c r="F345" s="136" t="e">
        <f>VLOOKUP($B345,#REF!,MATCH(F$2,#REF!,0),0)</f>
        <v>#REF!</v>
      </c>
      <c r="G345" s="137" t="e">
        <f>VLOOKUP($B345,#REF!,MATCH(G$2,#REF!,0),0)</f>
        <v>#REF!</v>
      </c>
      <c r="H345" s="48"/>
      <c r="I345" s="48"/>
      <c r="J345" s="48"/>
      <c r="K345" s="48"/>
      <c r="L345" s="48"/>
      <c r="M345" s="48"/>
      <c r="N345" s="48"/>
      <c r="O345" s="48"/>
      <c r="P345" s="48"/>
      <c r="Q345" s="48">
        <v>2</v>
      </c>
      <c r="R345" s="150" t="e">
        <f t="shared" ref="R345:AA345" si="365">$G345*H345</f>
        <v>#REF!</v>
      </c>
      <c r="S345" s="150" t="e">
        <f t="shared" si="365"/>
        <v>#REF!</v>
      </c>
      <c r="T345" s="150" t="e">
        <f t="shared" si="365"/>
        <v>#REF!</v>
      </c>
      <c r="U345" s="150" t="e">
        <f t="shared" si="365"/>
        <v>#REF!</v>
      </c>
      <c r="V345" s="150" t="e">
        <f t="shared" si="365"/>
        <v>#REF!</v>
      </c>
      <c r="W345" s="150" t="e">
        <f t="shared" si="365"/>
        <v>#REF!</v>
      </c>
      <c r="X345" s="150" t="e">
        <f t="shared" si="365"/>
        <v>#REF!</v>
      </c>
      <c r="Y345" s="150" t="e">
        <f t="shared" si="365"/>
        <v>#REF!</v>
      </c>
      <c r="Z345" s="150" t="e">
        <f t="shared" si="365"/>
        <v>#REF!</v>
      </c>
      <c r="AA345" s="150" t="e">
        <f t="shared" si="365"/>
        <v>#REF!</v>
      </c>
      <c r="AB345" s="50"/>
    </row>
    <row r="346" s="28" customFormat="1" ht="28.8" outlineLevel="3" spans="1:28">
      <c r="A346" s="52">
        <f>MAX($A$6:A345)+1</f>
        <v>307</v>
      </c>
      <c r="B346" s="51" t="s">
        <v>2096</v>
      </c>
      <c r="C346" s="51" t="e">
        <f>VLOOKUP($B346,#REF!,MATCH(C$2,#REF!,0),0)</f>
        <v>#REF!</v>
      </c>
      <c r="D346" s="83"/>
      <c r="E346" s="83"/>
      <c r="F346" s="136" t="e">
        <f>VLOOKUP($B346,#REF!,MATCH(F$2,#REF!,0),0)</f>
        <v>#REF!</v>
      </c>
      <c r="G346" s="137" t="e">
        <f>VLOOKUP($B346,#REF!,MATCH(G$2,#REF!,0),0)</f>
        <v>#REF!</v>
      </c>
      <c r="H346" s="48"/>
      <c r="I346" s="48"/>
      <c r="J346" s="48"/>
      <c r="K346" s="48"/>
      <c r="L346" s="48"/>
      <c r="M346" s="48"/>
      <c r="N346" s="48"/>
      <c r="O346" s="48"/>
      <c r="P346" s="48"/>
      <c r="Q346" s="48">
        <v>1</v>
      </c>
      <c r="R346" s="150" t="e">
        <f t="shared" ref="R346:AA346" si="366">$G346*H346</f>
        <v>#REF!</v>
      </c>
      <c r="S346" s="150" t="e">
        <f t="shared" si="366"/>
        <v>#REF!</v>
      </c>
      <c r="T346" s="150" t="e">
        <f t="shared" si="366"/>
        <v>#REF!</v>
      </c>
      <c r="U346" s="150" t="e">
        <f t="shared" si="366"/>
        <v>#REF!</v>
      </c>
      <c r="V346" s="150" t="e">
        <f t="shared" si="366"/>
        <v>#REF!</v>
      </c>
      <c r="W346" s="150" t="e">
        <f t="shared" si="366"/>
        <v>#REF!</v>
      </c>
      <c r="X346" s="150" t="e">
        <f t="shared" si="366"/>
        <v>#REF!</v>
      </c>
      <c r="Y346" s="150" t="e">
        <f t="shared" si="366"/>
        <v>#REF!</v>
      </c>
      <c r="Z346" s="150" t="e">
        <f t="shared" si="366"/>
        <v>#REF!</v>
      </c>
      <c r="AA346" s="150" t="e">
        <f t="shared" si="366"/>
        <v>#REF!</v>
      </c>
      <c r="AB346" s="50"/>
    </row>
    <row r="347" s="28" customFormat="1" ht="28.8" outlineLevel="3" spans="1:28">
      <c r="A347" s="52">
        <f>MAX($A$6:A346)+1</f>
        <v>308</v>
      </c>
      <c r="B347" s="51" t="s">
        <v>2097</v>
      </c>
      <c r="C347" s="51" t="e">
        <f>VLOOKUP($B347,#REF!,MATCH(C$2,#REF!,0),0)</f>
        <v>#REF!</v>
      </c>
      <c r="D347" s="83"/>
      <c r="E347" s="83"/>
      <c r="F347" s="136" t="e">
        <f>VLOOKUP($B347,#REF!,MATCH(F$2,#REF!,0),0)</f>
        <v>#REF!</v>
      </c>
      <c r="G347" s="137" t="e">
        <f>VLOOKUP($B347,#REF!,MATCH(G$2,#REF!,0),0)</f>
        <v>#REF!</v>
      </c>
      <c r="H347" s="48"/>
      <c r="I347" s="48"/>
      <c r="J347" s="48"/>
      <c r="K347" s="48"/>
      <c r="L347" s="48"/>
      <c r="M347" s="48"/>
      <c r="N347" s="48"/>
      <c r="O347" s="48"/>
      <c r="P347" s="48"/>
      <c r="Q347" s="48">
        <v>1</v>
      </c>
      <c r="R347" s="150" t="e">
        <f t="shared" ref="R347:AA347" si="367">$G347*H347</f>
        <v>#REF!</v>
      </c>
      <c r="S347" s="150" t="e">
        <f t="shared" si="367"/>
        <v>#REF!</v>
      </c>
      <c r="T347" s="150" t="e">
        <f t="shared" si="367"/>
        <v>#REF!</v>
      </c>
      <c r="U347" s="150" t="e">
        <f t="shared" si="367"/>
        <v>#REF!</v>
      </c>
      <c r="V347" s="150" t="e">
        <f t="shared" si="367"/>
        <v>#REF!</v>
      </c>
      <c r="W347" s="150" t="e">
        <f t="shared" si="367"/>
        <v>#REF!</v>
      </c>
      <c r="X347" s="150" t="e">
        <f t="shared" si="367"/>
        <v>#REF!</v>
      </c>
      <c r="Y347" s="150" t="e">
        <f t="shared" si="367"/>
        <v>#REF!</v>
      </c>
      <c r="Z347" s="150" t="e">
        <f t="shared" si="367"/>
        <v>#REF!</v>
      </c>
      <c r="AA347" s="150" t="e">
        <f t="shared" si="367"/>
        <v>#REF!</v>
      </c>
      <c r="AB347" s="50"/>
    </row>
    <row r="348" s="28" customFormat="1" ht="28.8" outlineLevel="3" spans="1:28">
      <c r="A348" s="52">
        <f>MAX($A$6:A347)+1</f>
        <v>309</v>
      </c>
      <c r="B348" s="51" t="s">
        <v>2098</v>
      </c>
      <c r="C348" s="51" t="e">
        <f>VLOOKUP($B348,#REF!,MATCH(C$2,#REF!,0),0)</f>
        <v>#REF!</v>
      </c>
      <c r="D348" s="83"/>
      <c r="E348" s="83"/>
      <c r="F348" s="136" t="e">
        <f>VLOOKUP($B348,#REF!,MATCH(F$2,#REF!,0),0)</f>
        <v>#REF!</v>
      </c>
      <c r="G348" s="137" t="e">
        <f>VLOOKUP($B348,#REF!,MATCH(G$2,#REF!,0),0)</f>
        <v>#REF!</v>
      </c>
      <c r="H348" s="48">
        <v>3</v>
      </c>
      <c r="I348" s="48">
        <v>3</v>
      </c>
      <c r="J348" s="48">
        <v>1</v>
      </c>
      <c r="K348" s="48">
        <v>1</v>
      </c>
      <c r="L348" s="48"/>
      <c r="M348" s="48"/>
      <c r="N348" s="48"/>
      <c r="O348" s="48"/>
      <c r="P348" s="48"/>
      <c r="Q348" s="48"/>
      <c r="R348" s="150" t="e">
        <f t="shared" ref="R348:AA348" si="368">$G348*H348</f>
        <v>#REF!</v>
      </c>
      <c r="S348" s="150" t="e">
        <f t="shared" si="368"/>
        <v>#REF!</v>
      </c>
      <c r="T348" s="150" t="e">
        <f t="shared" si="368"/>
        <v>#REF!</v>
      </c>
      <c r="U348" s="150" t="e">
        <f t="shared" si="368"/>
        <v>#REF!</v>
      </c>
      <c r="V348" s="150" t="e">
        <f t="shared" si="368"/>
        <v>#REF!</v>
      </c>
      <c r="W348" s="150" t="e">
        <f t="shared" si="368"/>
        <v>#REF!</v>
      </c>
      <c r="X348" s="150" t="e">
        <f t="shared" si="368"/>
        <v>#REF!</v>
      </c>
      <c r="Y348" s="150" t="e">
        <f t="shared" si="368"/>
        <v>#REF!</v>
      </c>
      <c r="Z348" s="150" t="e">
        <f t="shared" si="368"/>
        <v>#REF!</v>
      </c>
      <c r="AA348" s="150" t="e">
        <f t="shared" si="368"/>
        <v>#REF!</v>
      </c>
      <c r="AB348" s="50"/>
    </row>
    <row r="349" s="28" customFormat="1" ht="28.8" outlineLevel="3" spans="1:28">
      <c r="A349" s="52">
        <f>MAX($A$6:A348)+1</f>
        <v>310</v>
      </c>
      <c r="B349" s="51" t="s">
        <v>2099</v>
      </c>
      <c r="C349" s="51" t="e">
        <f>VLOOKUP($B349,#REF!,MATCH(C$2,#REF!,0),0)</f>
        <v>#REF!</v>
      </c>
      <c r="D349" s="83"/>
      <c r="E349" s="83"/>
      <c r="F349" s="136" t="e">
        <f>VLOOKUP($B349,#REF!,MATCH(F$2,#REF!,0),0)</f>
        <v>#REF!</v>
      </c>
      <c r="G349" s="137" t="e">
        <f>VLOOKUP($B349,#REF!,MATCH(G$2,#REF!,0),0)</f>
        <v>#REF!</v>
      </c>
      <c r="H349" s="48">
        <v>3</v>
      </c>
      <c r="I349" s="48">
        <v>3</v>
      </c>
      <c r="J349" s="48">
        <v>2</v>
      </c>
      <c r="K349" s="48">
        <v>2</v>
      </c>
      <c r="L349" s="48"/>
      <c r="M349" s="48"/>
      <c r="N349" s="48"/>
      <c r="O349" s="48"/>
      <c r="P349" s="48"/>
      <c r="Q349" s="48"/>
      <c r="R349" s="150" t="e">
        <f t="shared" ref="R349:AA349" si="369">$G349*H349</f>
        <v>#REF!</v>
      </c>
      <c r="S349" s="150" t="e">
        <f t="shared" si="369"/>
        <v>#REF!</v>
      </c>
      <c r="T349" s="150" t="e">
        <f t="shared" si="369"/>
        <v>#REF!</v>
      </c>
      <c r="U349" s="150" t="e">
        <f t="shared" si="369"/>
        <v>#REF!</v>
      </c>
      <c r="V349" s="150" t="e">
        <f t="shared" si="369"/>
        <v>#REF!</v>
      </c>
      <c r="W349" s="150" t="e">
        <f t="shared" si="369"/>
        <v>#REF!</v>
      </c>
      <c r="X349" s="150" t="e">
        <f t="shared" si="369"/>
        <v>#REF!</v>
      </c>
      <c r="Y349" s="150" t="e">
        <f t="shared" si="369"/>
        <v>#REF!</v>
      </c>
      <c r="Z349" s="150" t="e">
        <f t="shared" si="369"/>
        <v>#REF!</v>
      </c>
      <c r="AA349" s="150" t="e">
        <f t="shared" si="369"/>
        <v>#REF!</v>
      </c>
      <c r="AB349" s="50"/>
    </row>
    <row r="350" s="28" customFormat="1" outlineLevel="3" spans="1:28">
      <c r="A350" s="52">
        <f>MAX($A$6:A349)+1</f>
        <v>311</v>
      </c>
      <c r="B350" s="51" t="s">
        <v>1875</v>
      </c>
      <c r="C350" s="51" t="e">
        <f>VLOOKUP($B350,#REF!,MATCH(C$2,#REF!,0),0)</f>
        <v>#REF!</v>
      </c>
      <c r="D350" s="83"/>
      <c r="E350" s="83"/>
      <c r="F350" s="136" t="e">
        <f>VLOOKUP($B350,#REF!,MATCH(F$2,#REF!,0),0)</f>
        <v>#REF!</v>
      </c>
      <c r="G350" s="137" t="e">
        <f>VLOOKUP($B350,#REF!,MATCH(G$2,#REF!,0),0)</f>
        <v>#REF!</v>
      </c>
      <c r="H350" s="48">
        <v>12</v>
      </c>
      <c r="I350" s="48">
        <v>12</v>
      </c>
      <c r="J350" s="48">
        <v>1</v>
      </c>
      <c r="K350" s="48">
        <v>1</v>
      </c>
      <c r="L350" s="48"/>
      <c r="M350" s="48"/>
      <c r="N350" s="48"/>
      <c r="O350" s="48"/>
      <c r="P350" s="48"/>
      <c r="Q350" s="48"/>
      <c r="R350" s="150" t="e">
        <f t="shared" ref="R350:AA350" si="370">$G350*H350</f>
        <v>#REF!</v>
      </c>
      <c r="S350" s="150" t="e">
        <f t="shared" si="370"/>
        <v>#REF!</v>
      </c>
      <c r="T350" s="150" t="e">
        <f t="shared" si="370"/>
        <v>#REF!</v>
      </c>
      <c r="U350" s="150" t="e">
        <f t="shared" si="370"/>
        <v>#REF!</v>
      </c>
      <c r="V350" s="150" t="e">
        <f t="shared" si="370"/>
        <v>#REF!</v>
      </c>
      <c r="W350" s="150" t="e">
        <f t="shared" si="370"/>
        <v>#REF!</v>
      </c>
      <c r="X350" s="150" t="e">
        <f t="shared" si="370"/>
        <v>#REF!</v>
      </c>
      <c r="Y350" s="150" t="e">
        <f t="shared" si="370"/>
        <v>#REF!</v>
      </c>
      <c r="Z350" s="150" t="e">
        <f t="shared" si="370"/>
        <v>#REF!</v>
      </c>
      <c r="AA350" s="150" t="e">
        <f t="shared" si="370"/>
        <v>#REF!</v>
      </c>
      <c r="AB350" s="50"/>
    </row>
    <row r="351" s="28" customFormat="1" outlineLevel="3" spans="1:28">
      <c r="A351" s="52">
        <f>MAX($A$6:A350)+1</f>
        <v>312</v>
      </c>
      <c r="B351" s="51" t="s">
        <v>1911</v>
      </c>
      <c r="C351" s="51" t="e">
        <f>VLOOKUP($B351,#REF!,MATCH(C$2,#REF!,0),0)</f>
        <v>#REF!</v>
      </c>
      <c r="D351" s="83"/>
      <c r="E351" s="83"/>
      <c r="F351" s="136" t="e">
        <f>VLOOKUP($B351,#REF!,MATCH(F$2,#REF!,0),0)</f>
        <v>#REF!</v>
      </c>
      <c r="G351" s="137" t="e">
        <f>VLOOKUP($B351,#REF!,MATCH(G$2,#REF!,0),0)</f>
        <v>#REF!</v>
      </c>
      <c r="H351" s="48">
        <v>12</v>
      </c>
      <c r="I351" s="48">
        <v>12</v>
      </c>
      <c r="J351" s="48">
        <v>8</v>
      </c>
      <c r="K351" s="48">
        <v>8</v>
      </c>
      <c r="L351" s="48"/>
      <c r="M351" s="48"/>
      <c r="N351" s="48"/>
      <c r="O351" s="48"/>
      <c r="P351" s="48"/>
      <c r="Q351" s="48"/>
      <c r="R351" s="150" t="e">
        <f t="shared" ref="R351:AA351" si="371">$G351*H351</f>
        <v>#REF!</v>
      </c>
      <c r="S351" s="150" t="e">
        <f t="shared" si="371"/>
        <v>#REF!</v>
      </c>
      <c r="T351" s="150" t="e">
        <f t="shared" si="371"/>
        <v>#REF!</v>
      </c>
      <c r="U351" s="150" t="e">
        <f t="shared" si="371"/>
        <v>#REF!</v>
      </c>
      <c r="V351" s="150" t="e">
        <f t="shared" si="371"/>
        <v>#REF!</v>
      </c>
      <c r="W351" s="150" t="e">
        <f t="shared" si="371"/>
        <v>#REF!</v>
      </c>
      <c r="X351" s="150" t="e">
        <f t="shared" si="371"/>
        <v>#REF!</v>
      </c>
      <c r="Y351" s="150" t="e">
        <f t="shared" si="371"/>
        <v>#REF!</v>
      </c>
      <c r="Z351" s="150" t="e">
        <f t="shared" si="371"/>
        <v>#REF!</v>
      </c>
      <c r="AA351" s="150" t="e">
        <f t="shared" si="371"/>
        <v>#REF!</v>
      </c>
      <c r="AB351" s="50"/>
    </row>
    <row r="352" s="28" customFormat="1" outlineLevel="3" spans="1:28">
      <c r="A352" s="52">
        <f>MAX($A$6:A351)+1</f>
        <v>313</v>
      </c>
      <c r="B352" s="51" t="s">
        <v>1912</v>
      </c>
      <c r="C352" s="51" t="e">
        <f>VLOOKUP($B352,#REF!,MATCH(C$2,#REF!,0),0)</f>
        <v>#REF!</v>
      </c>
      <c r="D352" s="83"/>
      <c r="E352" s="83"/>
      <c r="F352" s="136" t="e">
        <f>VLOOKUP($B352,#REF!,MATCH(F$2,#REF!,0),0)</f>
        <v>#REF!</v>
      </c>
      <c r="G352" s="137" t="e">
        <f>VLOOKUP($B352,#REF!,MATCH(G$2,#REF!,0),0)</f>
        <v>#REF!</v>
      </c>
      <c r="H352" s="48"/>
      <c r="I352" s="48"/>
      <c r="J352" s="48"/>
      <c r="K352" s="48"/>
      <c r="L352" s="48"/>
      <c r="M352" s="48"/>
      <c r="N352" s="48"/>
      <c r="O352" s="48"/>
      <c r="P352" s="48"/>
      <c r="Q352" s="48"/>
      <c r="R352" s="150" t="e">
        <f t="shared" ref="R352:AA352" si="372">$G352*H352</f>
        <v>#REF!</v>
      </c>
      <c r="S352" s="150" t="e">
        <f t="shared" si="372"/>
        <v>#REF!</v>
      </c>
      <c r="T352" s="150" t="e">
        <f t="shared" si="372"/>
        <v>#REF!</v>
      </c>
      <c r="U352" s="150" t="e">
        <f t="shared" si="372"/>
        <v>#REF!</v>
      </c>
      <c r="V352" s="150" t="e">
        <f t="shared" si="372"/>
        <v>#REF!</v>
      </c>
      <c r="W352" s="150" t="e">
        <f t="shared" si="372"/>
        <v>#REF!</v>
      </c>
      <c r="X352" s="150" t="e">
        <f t="shared" si="372"/>
        <v>#REF!</v>
      </c>
      <c r="Y352" s="150" t="e">
        <f t="shared" si="372"/>
        <v>#REF!</v>
      </c>
      <c r="Z352" s="150" t="e">
        <f t="shared" si="372"/>
        <v>#REF!</v>
      </c>
      <c r="AA352" s="150" t="e">
        <f t="shared" si="372"/>
        <v>#REF!</v>
      </c>
      <c r="AB352" s="50"/>
    </row>
    <row r="353" s="28" customFormat="1" ht="28.8" outlineLevel="3" spans="1:28">
      <c r="A353" s="52">
        <f>MAX($A$6:A352)+1</f>
        <v>314</v>
      </c>
      <c r="B353" s="51" t="s">
        <v>2100</v>
      </c>
      <c r="C353" s="51" t="e">
        <f>VLOOKUP($B353,#REF!,MATCH(C$2,#REF!,0),0)</f>
        <v>#REF!</v>
      </c>
      <c r="D353" s="83"/>
      <c r="E353" s="83"/>
      <c r="F353" s="136" t="e">
        <f>VLOOKUP($B353,#REF!,MATCH(F$2,#REF!,0),0)</f>
        <v>#REF!</v>
      </c>
      <c r="G353" s="137" t="e">
        <f>VLOOKUP($B353,#REF!,MATCH(G$2,#REF!,0),0)</f>
        <v>#REF!</v>
      </c>
      <c r="H353" s="48">
        <v>9</v>
      </c>
      <c r="I353" s="48">
        <v>9</v>
      </c>
      <c r="J353" s="48">
        <v>1</v>
      </c>
      <c r="K353" s="48">
        <v>1</v>
      </c>
      <c r="L353" s="48"/>
      <c r="M353" s="48"/>
      <c r="N353" s="48"/>
      <c r="O353" s="48"/>
      <c r="P353" s="48"/>
      <c r="Q353" s="48"/>
      <c r="R353" s="150" t="e">
        <f t="shared" ref="R353:AA353" si="373">$G353*H353</f>
        <v>#REF!</v>
      </c>
      <c r="S353" s="150" t="e">
        <f t="shared" si="373"/>
        <v>#REF!</v>
      </c>
      <c r="T353" s="150" t="e">
        <f t="shared" si="373"/>
        <v>#REF!</v>
      </c>
      <c r="U353" s="150" t="e">
        <f t="shared" si="373"/>
        <v>#REF!</v>
      </c>
      <c r="V353" s="150" t="e">
        <f t="shared" si="373"/>
        <v>#REF!</v>
      </c>
      <c r="W353" s="150" t="e">
        <f t="shared" si="373"/>
        <v>#REF!</v>
      </c>
      <c r="X353" s="150" t="e">
        <f t="shared" si="373"/>
        <v>#REF!</v>
      </c>
      <c r="Y353" s="150" t="e">
        <f t="shared" si="373"/>
        <v>#REF!</v>
      </c>
      <c r="Z353" s="150" t="e">
        <f t="shared" si="373"/>
        <v>#REF!</v>
      </c>
      <c r="AA353" s="150" t="e">
        <f t="shared" si="373"/>
        <v>#REF!</v>
      </c>
      <c r="AB353" s="50"/>
    </row>
    <row r="354" s="28" customFormat="1" ht="28.8" outlineLevel="3" spans="1:28">
      <c r="A354" s="52">
        <f>MAX($A$6:A353)+1</f>
        <v>315</v>
      </c>
      <c r="B354" s="51" t="s">
        <v>2101</v>
      </c>
      <c r="C354" s="51" t="e">
        <f>VLOOKUP($B354,#REF!,MATCH(C$2,#REF!,0),0)</f>
        <v>#REF!</v>
      </c>
      <c r="D354" s="83"/>
      <c r="E354" s="83"/>
      <c r="F354" s="136" t="e">
        <f>VLOOKUP($B354,#REF!,MATCH(F$2,#REF!,0),0)</f>
        <v>#REF!</v>
      </c>
      <c r="G354" s="137" t="e">
        <f>VLOOKUP($B354,#REF!,MATCH(G$2,#REF!,0),0)</f>
        <v>#REF!</v>
      </c>
      <c r="H354" s="48">
        <v>9</v>
      </c>
      <c r="I354" s="48">
        <v>9</v>
      </c>
      <c r="J354" s="48">
        <v>6</v>
      </c>
      <c r="K354" s="48">
        <v>6</v>
      </c>
      <c r="L354" s="48"/>
      <c r="M354" s="48"/>
      <c r="N354" s="48"/>
      <c r="O354" s="48"/>
      <c r="P354" s="48"/>
      <c r="Q354" s="48"/>
      <c r="R354" s="150" t="e">
        <f t="shared" ref="R354:AA354" si="374">$G354*H354</f>
        <v>#REF!</v>
      </c>
      <c r="S354" s="150" t="e">
        <f t="shared" si="374"/>
        <v>#REF!</v>
      </c>
      <c r="T354" s="150" t="e">
        <f t="shared" si="374"/>
        <v>#REF!</v>
      </c>
      <c r="U354" s="150" t="e">
        <f t="shared" si="374"/>
        <v>#REF!</v>
      </c>
      <c r="V354" s="150" t="e">
        <f t="shared" si="374"/>
        <v>#REF!</v>
      </c>
      <c r="W354" s="150" t="e">
        <f t="shared" si="374"/>
        <v>#REF!</v>
      </c>
      <c r="X354" s="150" t="e">
        <f t="shared" si="374"/>
        <v>#REF!</v>
      </c>
      <c r="Y354" s="150" t="e">
        <f t="shared" si="374"/>
        <v>#REF!</v>
      </c>
      <c r="Z354" s="150" t="e">
        <f t="shared" si="374"/>
        <v>#REF!</v>
      </c>
      <c r="AA354" s="150" t="e">
        <f t="shared" si="374"/>
        <v>#REF!</v>
      </c>
      <c r="AB354" s="50"/>
    </row>
    <row r="355" s="28" customFormat="1" outlineLevel="3" spans="1:28">
      <c r="A355" s="52">
        <f>MAX($A$6:A354)+1</f>
        <v>316</v>
      </c>
      <c r="B355" s="51" t="s">
        <v>1679</v>
      </c>
      <c r="C355" s="51" t="e">
        <f>VLOOKUP($B355,#REF!,MATCH(C$2,#REF!,0),0)</f>
        <v>#REF!</v>
      </c>
      <c r="D355" s="83"/>
      <c r="E355" s="83"/>
      <c r="F355" s="136" t="e">
        <f>VLOOKUP($B355,#REF!,MATCH(F$2,#REF!,0),0)</f>
        <v>#REF!</v>
      </c>
      <c r="G355" s="137" t="e">
        <f>VLOOKUP($B355,#REF!,MATCH(G$2,#REF!,0),0)</f>
        <v>#REF!</v>
      </c>
      <c r="H355" s="48"/>
      <c r="I355" s="48"/>
      <c r="J355" s="48"/>
      <c r="K355" s="48"/>
      <c r="L355" s="48"/>
      <c r="M355" s="48"/>
      <c r="N355" s="48"/>
      <c r="O355" s="48"/>
      <c r="P355" s="48"/>
      <c r="Q355" s="48">
        <v>28</v>
      </c>
      <c r="R355" s="150" t="e">
        <f t="shared" ref="R355:AA355" si="375">$G355*H355</f>
        <v>#REF!</v>
      </c>
      <c r="S355" s="150" t="e">
        <f t="shared" si="375"/>
        <v>#REF!</v>
      </c>
      <c r="T355" s="150" t="e">
        <f t="shared" si="375"/>
        <v>#REF!</v>
      </c>
      <c r="U355" s="150" t="e">
        <f t="shared" si="375"/>
        <v>#REF!</v>
      </c>
      <c r="V355" s="150" t="e">
        <f t="shared" si="375"/>
        <v>#REF!</v>
      </c>
      <c r="W355" s="150" t="e">
        <f t="shared" si="375"/>
        <v>#REF!</v>
      </c>
      <c r="X355" s="150" t="e">
        <f t="shared" si="375"/>
        <v>#REF!</v>
      </c>
      <c r="Y355" s="150" t="e">
        <f t="shared" si="375"/>
        <v>#REF!</v>
      </c>
      <c r="Z355" s="150" t="e">
        <f t="shared" si="375"/>
        <v>#REF!</v>
      </c>
      <c r="AA355" s="150" t="e">
        <f t="shared" si="375"/>
        <v>#REF!</v>
      </c>
      <c r="AB355" s="50"/>
    </row>
    <row r="356" s="28" customFormat="1" outlineLevel="3" spans="1:28">
      <c r="A356" s="52">
        <f>MAX($A$6:A355)+1</f>
        <v>317</v>
      </c>
      <c r="B356" s="51" t="s">
        <v>1680</v>
      </c>
      <c r="C356" s="51" t="e">
        <f>VLOOKUP($B356,#REF!,MATCH(C$2,#REF!,0),0)</f>
        <v>#REF!</v>
      </c>
      <c r="D356" s="83"/>
      <c r="E356" s="83"/>
      <c r="F356" s="136" t="e">
        <f>VLOOKUP($B356,#REF!,MATCH(F$2,#REF!,0),0)</f>
        <v>#REF!</v>
      </c>
      <c r="G356" s="137" t="e">
        <f>VLOOKUP($B356,#REF!,MATCH(G$2,#REF!,0),0)</f>
        <v>#REF!</v>
      </c>
      <c r="H356" s="48"/>
      <c r="I356" s="48"/>
      <c r="J356" s="48"/>
      <c r="K356" s="48"/>
      <c r="L356" s="48"/>
      <c r="M356" s="48"/>
      <c r="N356" s="48"/>
      <c r="O356" s="48"/>
      <c r="P356" s="48"/>
      <c r="Q356" s="48">
        <v>16</v>
      </c>
      <c r="R356" s="150" t="e">
        <f t="shared" ref="R356:AA356" si="376">$G356*H356</f>
        <v>#REF!</v>
      </c>
      <c r="S356" s="150" t="e">
        <f t="shared" si="376"/>
        <v>#REF!</v>
      </c>
      <c r="T356" s="150" t="e">
        <f t="shared" si="376"/>
        <v>#REF!</v>
      </c>
      <c r="U356" s="150" t="e">
        <f t="shared" si="376"/>
        <v>#REF!</v>
      </c>
      <c r="V356" s="150" t="e">
        <f t="shared" si="376"/>
        <v>#REF!</v>
      </c>
      <c r="W356" s="150" t="e">
        <f t="shared" si="376"/>
        <v>#REF!</v>
      </c>
      <c r="X356" s="150" t="e">
        <f t="shared" si="376"/>
        <v>#REF!</v>
      </c>
      <c r="Y356" s="150" t="e">
        <f t="shared" si="376"/>
        <v>#REF!</v>
      </c>
      <c r="Z356" s="150" t="e">
        <f t="shared" si="376"/>
        <v>#REF!</v>
      </c>
      <c r="AA356" s="150" t="e">
        <f t="shared" si="376"/>
        <v>#REF!</v>
      </c>
      <c r="AB356" s="50"/>
    </row>
    <row r="357" s="28" customFormat="1" outlineLevel="3" spans="1:28">
      <c r="A357" s="52">
        <f>MAX($A$6:A356)+1</f>
        <v>318</v>
      </c>
      <c r="B357" s="51" t="s">
        <v>1681</v>
      </c>
      <c r="C357" s="51" t="e">
        <f>VLOOKUP($B357,#REF!,MATCH(C$2,#REF!,0),0)</f>
        <v>#REF!</v>
      </c>
      <c r="D357" s="83"/>
      <c r="E357" s="83"/>
      <c r="F357" s="136" t="e">
        <f>VLOOKUP($B357,#REF!,MATCH(F$2,#REF!,0),0)</f>
        <v>#REF!</v>
      </c>
      <c r="G357" s="137" t="e">
        <f>VLOOKUP($B357,#REF!,MATCH(G$2,#REF!,0),0)</f>
        <v>#REF!</v>
      </c>
      <c r="H357" s="48"/>
      <c r="I357" s="48"/>
      <c r="J357" s="48"/>
      <c r="K357" s="48"/>
      <c r="L357" s="48"/>
      <c r="M357" s="48"/>
      <c r="N357" s="48"/>
      <c r="O357" s="48"/>
      <c r="P357" s="48"/>
      <c r="Q357" s="48">
        <v>4</v>
      </c>
      <c r="R357" s="150" t="e">
        <f t="shared" ref="R357:AA357" si="377">$G357*H357</f>
        <v>#REF!</v>
      </c>
      <c r="S357" s="150" t="e">
        <f t="shared" si="377"/>
        <v>#REF!</v>
      </c>
      <c r="T357" s="150" t="e">
        <f t="shared" si="377"/>
        <v>#REF!</v>
      </c>
      <c r="U357" s="150" t="e">
        <f t="shared" si="377"/>
        <v>#REF!</v>
      </c>
      <c r="V357" s="150" t="e">
        <f t="shared" si="377"/>
        <v>#REF!</v>
      </c>
      <c r="W357" s="150" t="e">
        <f t="shared" si="377"/>
        <v>#REF!</v>
      </c>
      <c r="X357" s="150" t="e">
        <f t="shared" si="377"/>
        <v>#REF!</v>
      </c>
      <c r="Y357" s="150" t="e">
        <f t="shared" si="377"/>
        <v>#REF!</v>
      </c>
      <c r="Z357" s="150" t="e">
        <f t="shared" si="377"/>
        <v>#REF!</v>
      </c>
      <c r="AA357" s="150" t="e">
        <f t="shared" si="377"/>
        <v>#REF!</v>
      </c>
      <c r="AB357" s="50"/>
    </row>
    <row r="358" s="28" customFormat="1" outlineLevel="3" spans="1:28">
      <c r="A358" s="52">
        <f>MAX($A$6:A357)+1</f>
        <v>319</v>
      </c>
      <c r="B358" s="51" t="s">
        <v>1682</v>
      </c>
      <c r="C358" s="51" t="e">
        <f>VLOOKUP($B358,#REF!,MATCH(C$2,#REF!,0),0)</f>
        <v>#REF!</v>
      </c>
      <c r="D358" s="83"/>
      <c r="E358" s="83"/>
      <c r="F358" s="136" t="e">
        <f>VLOOKUP($B358,#REF!,MATCH(F$2,#REF!,0),0)</f>
        <v>#REF!</v>
      </c>
      <c r="G358" s="137" t="e">
        <f>VLOOKUP($B358,#REF!,MATCH(G$2,#REF!,0),0)</f>
        <v>#REF!</v>
      </c>
      <c r="H358" s="48"/>
      <c r="I358" s="48"/>
      <c r="J358" s="48"/>
      <c r="K358" s="48"/>
      <c r="L358" s="48"/>
      <c r="M358" s="48"/>
      <c r="N358" s="48"/>
      <c r="O358" s="48"/>
      <c r="P358" s="48"/>
      <c r="Q358" s="48">
        <v>6</v>
      </c>
      <c r="R358" s="150" t="e">
        <f t="shared" ref="R358:AA358" si="378">$G358*H358</f>
        <v>#REF!</v>
      </c>
      <c r="S358" s="150" t="e">
        <f t="shared" si="378"/>
        <v>#REF!</v>
      </c>
      <c r="T358" s="150" t="e">
        <f t="shared" si="378"/>
        <v>#REF!</v>
      </c>
      <c r="U358" s="150" t="e">
        <f t="shared" si="378"/>
        <v>#REF!</v>
      </c>
      <c r="V358" s="150" t="e">
        <f t="shared" si="378"/>
        <v>#REF!</v>
      </c>
      <c r="W358" s="150" t="e">
        <f t="shared" si="378"/>
        <v>#REF!</v>
      </c>
      <c r="X358" s="150" t="e">
        <f t="shared" si="378"/>
        <v>#REF!</v>
      </c>
      <c r="Y358" s="150" t="e">
        <f t="shared" si="378"/>
        <v>#REF!</v>
      </c>
      <c r="Z358" s="150" t="e">
        <f t="shared" si="378"/>
        <v>#REF!</v>
      </c>
      <c r="AA358" s="150" t="e">
        <f t="shared" si="378"/>
        <v>#REF!</v>
      </c>
      <c r="AB358" s="50"/>
    </row>
    <row r="359" s="28" customFormat="1" outlineLevel="3" spans="1:28">
      <c r="A359" s="52">
        <f>MAX($A$6:A358)+1</f>
        <v>320</v>
      </c>
      <c r="B359" s="51" t="s">
        <v>1683</v>
      </c>
      <c r="C359" s="51" t="e">
        <f>VLOOKUP($B359,#REF!,MATCH(C$2,#REF!,0),0)</f>
        <v>#REF!</v>
      </c>
      <c r="D359" s="83"/>
      <c r="E359" s="83"/>
      <c r="F359" s="136" t="e">
        <f>VLOOKUP($B359,#REF!,MATCH(F$2,#REF!,0),0)</f>
        <v>#REF!</v>
      </c>
      <c r="G359" s="137" t="e">
        <f>VLOOKUP($B359,#REF!,MATCH(G$2,#REF!,0),0)</f>
        <v>#REF!</v>
      </c>
      <c r="H359" s="48"/>
      <c r="I359" s="48"/>
      <c r="J359" s="48"/>
      <c r="K359" s="48"/>
      <c r="L359" s="48"/>
      <c r="M359" s="48"/>
      <c r="N359" s="48"/>
      <c r="O359" s="48"/>
      <c r="P359" s="48"/>
      <c r="Q359" s="48">
        <v>4</v>
      </c>
      <c r="R359" s="150" t="e">
        <f t="shared" ref="R359:AA359" si="379">$G359*H359</f>
        <v>#REF!</v>
      </c>
      <c r="S359" s="150" t="e">
        <f t="shared" si="379"/>
        <v>#REF!</v>
      </c>
      <c r="T359" s="150" t="e">
        <f t="shared" si="379"/>
        <v>#REF!</v>
      </c>
      <c r="U359" s="150" t="e">
        <f t="shared" si="379"/>
        <v>#REF!</v>
      </c>
      <c r="V359" s="150" t="e">
        <f t="shared" si="379"/>
        <v>#REF!</v>
      </c>
      <c r="W359" s="150" t="e">
        <f t="shared" si="379"/>
        <v>#REF!</v>
      </c>
      <c r="X359" s="150" t="e">
        <f t="shared" si="379"/>
        <v>#REF!</v>
      </c>
      <c r="Y359" s="150" t="e">
        <f t="shared" si="379"/>
        <v>#REF!</v>
      </c>
      <c r="Z359" s="150" t="e">
        <f t="shared" si="379"/>
        <v>#REF!</v>
      </c>
      <c r="AA359" s="150" t="e">
        <f t="shared" si="379"/>
        <v>#REF!</v>
      </c>
      <c r="AB359" s="50"/>
    </row>
    <row r="360" s="28" customFormat="1" outlineLevel="3" spans="1:28">
      <c r="A360" s="52">
        <f>MAX($A$6:A359)+1</f>
        <v>321</v>
      </c>
      <c r="B360" s="51" t="s">
        <v>1690</v>
      </c>
      <c r="C360" s="51" t="e">
        <f>VLOOKUP($B360,#REF!,MATCH(C$2,#REF!,0),0)</f>
        <v>#REF!</v>
      </c>
      <c r="D360" s="83"/>
      <c r="E360" s="83"/>
      <c r="F360" s="136" t="e">
        <f>VLOOKUP($B360,#REF!,MATCH(F$2,#REF!,0),0)</f>
        <v>#REF!</v>
      </c>
      <c r="G360" s="137" t="e">
        <f>VLOOKUP($B360,#REF!,MATCH(G$2,#REF!,0),0)</f>
        <v>#REF!</v>
      </c>
      <c r="H360" s="48"/>
      <c r="I360" s="48"/>
      <c r="J360" s="48"/>
      <c r="K360" s="48"/>
      <c r="L360" s="48"/>
      <c r="M360" s="48"/>
      <c r="N360" s="48"/>
      <c r="O360" s="48"/>
      <c r="P360" s="48"/>
      <c r="Q360" s="48">
        <v>8</v>
      </c>
      <c r="R360" s="150" t="e">
        <f t="shared" ref="R360:AA360" si="380">$G360*H360</f>
        <v>#REF!</v>
      </c>
      <c r="S360" s="150" t="e">
        <f t="shared" si="380"/>
        <v>#REF!</v>
      </c>
      <c r="T360" s="150" t="e">
        <f t="shared" si="380"/>
        <v>#REF!</v>
      </c>
      <c r="U360" s="150" t="e">
        <f t="shared" si="380"/>
        <v>#REF!</v>
      </c>
      <c r="V360" s="150" t="e">
        <f t="shared" si="380"/>
        <v>#REF!</v>
      </c>
      <c r="W360" s="150" t="e">
        <f t="shared" si="380"/>
        <v>#REF!</v>
      </c>
      <c r="X360" s="150" t="e">
        <f t="shared" si="380"/>
        <v>#REF!</v>
      </c>
      <c r="Y360" s="150" t="e">
        <f t="shared" si="380"/>
        <v>#REF!</v>
      </c>
      <c r="Z360" s="150" t="e">
        <f t="shared" si="380"/>
        <v>#REF!</v>
      </c>
      <c r="AA360" s="150" t="e">
        <f t="shared" si="380"/>
        <v>#REF!</v>
      </c>
      <c r="AB360" s="50"/>
    </row>
    <row r="361" s="28" customFormat="1" outlineLevel="3" spans="1:28">
      <c r="A361" s="52">
        <f>MAX($A$6:A360)+1</f>
        <v>322</v>
      </c>
      <c r="B361" s="51" t="s">
        <v>1691</v>
      </c>
      <c r="C361" s="51" t="e">
        <f>VLOOKUP($B361,#REF!,MATCH(C$2,#REF!,0),0)</f>
        <v>#REF!</v>
      </c>
      <c r="D361" s="83"/>
      <c r="E361" s="83"/>
      <c r="F361" s="136" t="e">
        <f>VLOOKUP($B361,#REF!,MATCH(F$2,#REF!,0),0)</f>
        <v>#REF!</v>
      </c>
      <c r="G361" s="137" t="e">
        <f>VLOOKUP($B361,#REF!,MATCH(G$2,#REF!,0),0)</f>
        <v>#REF!</v>
      </c>
      <c r="H361" s="48"/>
      <c r="I361" s="48"/>
      <c r="J361" s="48"/>
      <c r="K361" s="48"/>
      <c r="L361" s="48"/>
      <c r="M361" s="48"/>
      <c r="N361" s="48"/>
      <c r="O361" s="48"/>
      <c r="P361" s="48"/>
      <c r="Q361" s="48">
        <v>8</v>
      </c>
      <c r="R361" s="150" t="e">
        <f t="shared" ref="R361:AA361" si="381">$G361*H361</f>
        <v>#REF!</v>
      </c>
      <c r="S361" s="150" t="e">
        <f t="shared" si="381"/>
        <v>#REF!</v>
      </c>
      <c r="T361" s="150" t="e">
        <f t="shared" si="381"/>
        <v>#REF!</v>
      </c>
      <c r="U361" s="150" t="e">
        <f t="shared" si="381"/>
        <v>#REF!</v>
      </c>
      <c r="V361" s="150" t="e">
        <f t="shared" si="381"/>
        <v>#REF!</v>
      </c>
      <c r="W361" s="150" t="e">
        <f t="shared" si="381"/>
        <v>#REF!</v>
      </c>
      <c r="X361" s="150" t="e">
        <f t="shared" si="381"/>
        <v>#REF!</v>
      </c>
      <c r="Y361" s="150" t="e">
        <f t="shared" si="381"/>
        <v>#REF!</v>
      </c>
      <c r="Z361" s="150" t="e">
        <f t="shared" si="381"/>
        <v>#REF!</v>
      </c>
      <c r="AA361" s="150" t="e">
        <f t="shared" si="381"/>
        <v>#REF!</v>
      </c>
      <c r="AB361" s="50"/>
    </row>
    <row r="362" s="28" customFormat="1" outlineLevel="3" spans="1:28">
      <c r="A362" s="52">
        <f>MAX($A$6:A361)+1</f>
        <v>323</v>
      </c>
      <c r="B362" s="51" t="s">
        <v>1692</v>
      </c>
      <c r="C362" s="51" t="e">
        <f>VLOOKUP($B362,#REF!,MATCH(C$2,#REF!,0),0)</f>
        <v>#REF!</v>
      </c>
      <c r="D362" s="83"/>
      <c r="E362" s="83"/>
      <c r="F362" s="136" t="e">
        <f>VLOOKUP($B362,#REF!,MATCH(F$2,#REF!,0),0)</f>
        <v>#REF!</v>
      </c>
      <c r="G362" s="137" t="e">
        <f>VLOOKUP($B362,#REF!,MATCH(G$2,#REF!,0),0)</f>
        <v>#REF!</v>
      </c>
      <c r="H362" s="48"/>
      <c r="I362" s="48"/>
      <c r="J362" s="48"/>
      <c r="K362" s="48"/>
      <c r="L362" s="48"/>
      <c r="M362" s="48"/>
      <c r="N362" s="48"/>
      <c r="O362" s="48"/>
      <c r="P362" s="48"/>
      <c r="Q362" s="48">
        <v>6</v>
      </c>
      <c r="R362" s="150" t="e">
        <f t="shared" ref="R362:AA362" si="382">$G362*H362</f>
        <v>#REF!</v>
      </c>
      <c r="S362" s="150" t="e">
        <f t="shared" si="382"/>
        <v>#REF!</v>
      </c>
      <c r="T362" s="150" t="e">
        <f t="shared" si="382"/>
        <v>#REF!</v>
      </c>
      <c r="U362" s="150" t="e">
        <f t="shared" si="382"/>
        <v>#REF!</v>
      </c>
      <c r="V362" s="150" t="e">
        <f t="shared" si="382"/>
        <v>#REF!</v>
      </c>
      <c r="W362" s="150" t="e">
        <f t="shared" si="382"/>
        <v>#REF!</v>
      </c>
      <c r="X362" s="150" t="e">
        <f t="shared" si="382"/>
        <v>#REF!</v>
      </c>
      <c r="Y362" s="150" t="e">
        <f t="shared" si="382"/>
        <v>#REF!</v>
      </c>
      <c r="Z362" s="150" t="e">
        <f t="shared" si="382"/>
        <v>#REF!</v>
      </c>
      <c r="AA362" s="150" t="e">
        <f t="shared" si="382"/>
        <v>#REF!</v>
      </c>
      <c r="AB362" s="50"/>
    </row>
    <row r="363" s="28" customFormat="1" outlineLevel="3" spans="1:28">
      <c r="A363" s="52">
        <f>MAX($A$6:A362)+1</f>
        <v>324</v>
      </c>
      <c r="B363" s="51" t="s">
        <v>1693</v>
      </c>
      <c r="C363" s="51" t="e">
        <f>VLOOKUP($B363,#REF!,MATCH(C$2,#REF!,0),0)</f>
        <v>#REF!</v>
      </c>
      <c r="D363" s="83"/>
      <c r="E363" s="83"/>
      <c r="F363" s="136" t="e">
        <f>VLOOKUP($B363,#REF!,MATCH(F$2,#REF!,0),0)</f>
        <v>#REF!</v>
      </c>
      <c r="G363" s="137" t="e">
        <f>VLOOKUP($B363,#REF!,MATCH(G$2,#REF!,0),0)</f>
        <v>#REF!</v>
      </c>
      <c r="H363" s="48"/>
      <c r="I363" s="48"/>
      <c r="J363" s="48"/>
      <c r="K363" s="48"/>
      <c r="L363" s="48"/>
      <c r="M363" s="48"/>
      <c r="N363" s="48"/>
      <c r="O363" s="48"/>
      <c r="P363" s="48"/>
      <c r="Q363" s="48">
        <v>8</v>
      </c>
      <c r="R363" s="150" t="e">
        <f t="shared" ref="R363:AA363" si="383">$G363*H363</f>
        <v>#REF!</v>
      </c>
      <c r="S363" s="150" t="e">
        <f t="shared" si="383"/>
        <v>#REF!</v>
      </c>
      <c r="T363" s="150" t="e">
        <f t="shared" si="383"/>
        <v>#REF!</v>
      </c>
      <c r="U363" s="150" t="e">
        <f t="shared" si="383"/>
        <v>#REF!</v>
      </c>
      <c r="V363" s="150" t="e">
        <f t="shared" si="383"/>
        <v>#REF!</v>
      </c>
      <c r="W363" s="150" t="e">
        <f t="shared" si="383"/>
        <v>#REF!</v>
      </c>
      <c r="X363" s="150" t="e">
        <f t="shared" si="383"/>
        <v>#REF!</v>
      </c>
      <c r="Y363" s="150" t="e">
        <f t="shared" si="383"/>
        <v>#REF!</v>
      </c>
      <c r="Z363" s="150" t="e">
        <f t="shared" si="383"/>
        <v>#REF!</v>
      </c>
      <c r="AA363" s="150" t="e">
        <f t="shared" si="383"/>
        <v>#REF!</v>
      </c>
      <c r="AB363" s="50"/>
    </row>
    <row r="364" s="28" customFormat="1" outlineLevel="3" spans="1:28">
      <c r="A364" s="52">
        <f>MAX($A$6:A363)+1</f>
        <v>325</v>
      </c>
      <c r="B364" s="51" t="s">
        <v>1694</v>
      </c>
      <c r="C364" s="51" t="e">
        <f>VLOOKUP($B364,#REF!,MATCH(C$2,#REF!,0),0)</f>
        <v>#REF!</v>
      </c>
      <c r="D364" s="83"/>
      <c r="E364" s="83"/>
      <c r="F364" s="136" t="e">
        <f>VLOOKUP($B364,#REF!,MATCH(F$2,#REF!,0),0)</f>
        <v>#REF!</v>
      </c>
      <c r="G364" s="137" t="e">
        <f>VLOOKUP($B364,#REF!,MATCH(G$2,#REF!,0),0)</f>
        <v>#REF!</v>
      </c>
      <c r="H364" s="48"/>
      <c r="I364" s="48"/>
      <c r="J364" s="48"/>
      <c r="K364" s="48"/>
      <c r="L364" s="48"/>
      <c r="M364" s="48"/>
      <c r="N364" s="48"/>
      <c r="O364" s="48"/>
      <c r="P364" s="48"/>
      <c r="Q364" s="48">
        <v>12</v>
      </c>
      <c r="R364" s="150" t="e">
        <f t="shared" ref="R364:AA364" si="384">$G364*H364</f>
        <v>#REF!</v>
      </c>
      <c r="S364" s="150" t="e">
        <f t="shared" si="384"/>
        <v>#REF!</v>
      </c>
      <c r="T364" s="150" t="e">
        <f t="shared" si="384"/>
        <v>#REF!</v>
      </c>
      <c r="U364" s="150" t="e">
        <f t="shared" si="384"/>
        <v>#REF!</v>
      </c>
      <c r="V364" s="150" t="e">
        <f t="shared" si="384"/>
        <v>#REF!</v>
      </c>
      <c r="W364" s="150" t="e">
        <f t="shared" si="384"/>
        <v>#REF!</v>
      </c>
      <c r="X364" s="150" t="e">
        <f t="shared" si="384"/>
        <v>#REF!</v>
      </c>
      <c r="Y364" s="150" t="e">
        <f t="shared" si="384"/>
        <v>#REF!</v>
      </c>
      <c r="Z364" s="150" t="e">
        <f t="shared" si="384"/>
        <v>#REF!</v>
      </c>
      <c r="AA364" s="150" t="e">
        <f t="shared" si="384"/>
        <v>#REF!</v>
      </c>
      <c r="AB364" s="50"/>
    </row>
    <row r="365" s="28" customFormat="1" outlineLevel="3" spans="1:28">
      <c r="A365" s="52">
        <f>MAX($A$6:A364)+1</f>
        <v>326</v>
      </c>
      <c r="B365" s="51" t="s">
        <v>1695</v>
      </c>
      <c r="C365" s="51" t="e">
        <f>VLOOKUP($B365,#REF!,MATCH(C$2,#REF!,0),0)</f>
        <v>#REF!</v>
      </c>
      <c r="D365" s="83"/>
      <c r="E365" s="83"/>
      <c r="F365" s="136" t="e">
        <f>VLOOKUP($B365,#REF!,MATCH(F$2,#REF!,0),0)</f>
        <v>#REF!</v>
      </c>
      <c r="G365" s="137" t="e">
        <f>VLOOKUP($B365,#REF!,MATCH(G$2,#REF!,0),0)</f>
        <v>#REF!</v>
      </c>
      <c r="H365" s="48"/>
      <c r="I365" s="48"/>
      <c r="J365" s="48"/>
      <c r="K365" s="48"/>
      <c r="L365" s="48"/>
      <c r="M365" s="48"/>
      <c r="N365" s="48"/>
      <c r="O365" s="48"/>
      <c r="P365" s="48"/>
      <c r="Q365" s="48">
        <v>8</v>
      </c>
      <c r="R365" s="150" t="e">
        <f t="shared" ref="R365:AA365" si="385">$G365*H365</f>
        <v>#REF!</v>
      </c>
      <c r="S365" s="150" t="e">
        <f t="shared" si="385"/>
        <v>#REF!</v>
      </c>
      <c r="T365" s="150" t="e">
        <f t="shared" si="385"/>
        <v>#REF!</v>
      </c>
      <c r="U365" s="150" t="e">
        <f t="shared" si="385"/>
        <v>#REF!</v>
      </c>
      <c r="V365" s="150" t="e">
        <f t="shared" si="385"/>
        <v>#REF!</v>
      </c>
      <c r="W365" s="150" t="e">
        <f t="shared" si="385"/>
        <v>#REF!</v>
      </c>
      <c r="X365" s="150" t="e">
        <f t="shared" si="385"/>
        <v>#REF!</v>
      </c>
      <c r="Y365" s="150" t="e">
        <f t="shared" si="385"/>
        <v>#REF!</v>
      </c>
      <c r="Z365" s="150" t="e">
        <f t="shared" si="385"/>
        <v>#REF!</v>
      </c>
      <c r="AA365" s="150" t="e">
        <f t="shared" si="385"/>
        <v>#REF!</v>
      </c>
      <c r="AB365" s="50"/>
    </row>
    <row r="366" s="28" customFormat="1" outlineLevel="3" spans="1:28">
      <c r="A366" s="52">
        <f>MAX($A$6:A365)+1</f>
        <v>327</v>
      </c>
      <c r="B366" s="51" t="s">
        <v>1714</v>
      </c>
      <c r="C366" s="51" t="e">
        <f>VLOOKUP($B366,#REF!,MATCH(C$2,#REF!,0),0)</f>
        <v>#REF!</v>
      </c>
      <c r="D366" s="83"/>
      <c r="E366" s="83"/>
      <c r="F366" s="136" t="e">
        <f>VLOOKUP($B366,#REF!,MATCH(F$2,#REF!,0),0)</f>
        <v>#REF!</v>
      </c>
      <c r="G366" s="137" t="e">
        <f>VLOOKUP($B366,#REF!,MATCH(G$2,#REF!,0),0)</f>
        <v>#REF!</v>
      </c>
      <c r="H366" s="48">
        <v>12</v>
      </c>
      <c r="I366" s="48">
        <v>12</v>
      </c>
      <c r="J366" s="48">
        <v>4</v>
      </c>
      <c r="K366" s="48">
        <v>4</v>
      </c>
      <c r="L366" s="48"/>
      <c r="M366" s="48"/>
      <c r="N366" s="48"/>
      <c r="O366" s="48"/>
      <c r="P366" s="48"/>
      <c r="Q366" s="48"/>
      <c r="R366" s="150" t="e">
        <f t="shared" ref="R366:AA366" si="386">$G366*H366</f>
        <v>#REF!</v>
      </c>
      <c r="S366" s="150" t="e">
        <f t="shared" si="386"/>
        <v>#REF!</v>
      </c>
      <c r="T366" s="150" t="e">
        <f t="shared" si="386"/>
        <v>#REF!</v>
      </c>
      <c r="U366" s="150" t="e">
        <f t="shared" si="386"/>
        <v>#REF!</v>
      </c>
      <c r="V366" s="150" t="e">
        <f t="shared" si="386"/>
        <v>#REF!</v>
      </c>
      <c r="W366" s="150" t="e">
        <f t="shared" si="386"/>
        <v>#REF!</v>
      </c>
      <c r="X366" s="150" t="e">
        <f t="shared" si="386"/>
        <v>#REF!</v>
      </c>
      <c r="Y366" s="150" t="e">
        <f t="shared" si="386"/>
        <v>#REF!</v>
      </c>
      <c r="Z366" s="150" t="e">
        <f t="shared" si="386"/>
        <v>#REF!</v>
      </c>
      <c r="AA366" s="150" t="e">
        <f t="shared" si="386"/>
        <v>#REF!</v>
      </c>
      <c r="AB366" s="50"/>
    </row>
    <row r="367" s="28" customFormat="1" outlineLevel="3" spans="1:28">
      <c r="A367" s="52">
        <f>MAX($A$6:A366)+1</f>
        <v>328</v>
      </c>
      <c r="B367" s="51" t="s">
        <v>2102</v>
      </c>
      <c r="C367" s="51" t="e">
        <f>VLOOKUP($B367,#REF!,MATCH(C$2,#REF!,0),0)</f>
        <v>#REF!</v>
      </c>
      <c r="D367" s="83"/>
      <c r="E367" s="83"/>
      <c r="F367" s="136" t="e">
        <f>VLOOKUP($B367,#REF!,MATCH(F$2,#REF!,0),0)</f>
        <v>#REF!</v>
      </c>
      <c r="G367" s="137" t="e">
        <f>VLOOKUP($B367,#REF!,MATCH(G$2,#REF!,0),0)</f>
        <v>#REF!</v>
      </c>
      <c r="H367" s="48">
        <v>30</v>
      </c>
      <c r="I367" s="48">
        <v>30</v>
      </c>
      <c r="J367" s="48">
        <v>10</v>
      </c>
      <c r="K367" s="48">
        <v>10</v>
      </c>
      <c r="L367" s="48"/>
      <c r="M367" s="48"/>
      <c r="N367" s="48"/>
      <c r="O367" s="48"/>
      <c r="P367" s="48"/>
      <c r="Q367" s="48"/>
      <c r="R367" s="150" t="e">
        <f t="shared" ref="R367:AA367" si="387">$G367*H367</f>
        <v>#REF!</v>
      </c>
      <c r="S367" s="150" t="e">
        <f t="shared" si="387"/>
        <v>#REF!</v>
      </c>
      <c r="T367" s="150" t="e">
        <f t="shared" si="387"/>
        <v>#REF!</v>
      </c>
      <c r="U367" s="150" t="e">
        <f t="shared" si="387"/>
        <v>#REF!</v>
      </c>
      <c r="V367" s="150" t="e">
        <f t="shared" si="387"/>
        <v>#REF!</v>
      </c>
      <c r="W367" s="150" t="e">
        <f t="shared" si="387"/>
        <v>#REF!</v>
      </c>
      <c r="X367" s="150" t="e">
        <f t="shared" si="387"/>
        <v>#REF!</v>
      </c>
      <c r="Y367" s="150" t="e">
        <f t="shared" si="387"/>
        <v>#REF!</v>
      </c>
      <c r="Z367" s="150" t="e">
        <f t="shared" si="387"/>
        <v>#REF!</v>
      </c>
      <c r="AA367" s="150" t="e">
        <f t="shared" si="387"/>
        <v>#REF!</v>
      </c>
      <c r="AB367" s="50"/>
    </row>
    <row r="368" s="122" customFormat="1" outlineLevel="1" spans="1:28">
      <c r="A368" s="130"/>
      <c r="B368" s="131" t="s">
        <v>2103</v>
      </c>
      <c r="C368" s="131"/>
      <c r="D368" s="153"/>
      <c r="E368" s="153"/>
      <c r="F368" s="154"/>
      <c r="G368" s="155"/>
      <c r="H368" s="134"/>
      <c r="I368" s="134"/>
      <c r="J368" s="134"/>
      <c r="K368" s="134"/>
      <c r="L368" s="134"/>
      <c r="M368" s="134"/>
      <c r="N368" s="134"/>
      <c r="O368" s="134"/>
      <c r="P368" s="134"/>
      <c r="Q368" s="134"/>
      <c r="R368" s="148" t="e">
        <f t="shared" ref="R368:AA368" si="388">SUM(R369:R370)</f>
        <v>#REF!</v>
      </c>
      <c r="S368" s="148" t="e">
        <f t="shared" si="388"/>
        <v>#REF!</v>
      </c>
      <c r="T368" s="148" t="e">
        <f t="shared" si="388"/>
        <v>#REF!</v>
      </c>
      <c r="U368" s="148" t="e">
        <f t="shared" si="388"/>
        <v>#REF!</v>
      </c>
      <c r="V368" s="148" t="e">
        <f t="shared" si="388"/>
        <v>#REF!</v>
      </c>
      <c r="W368" s="148" t="e">
        <f t="shared" si="388"/>
        <v>#REF!</v>
      </c>
      <c r="X368" s="148" t="e">
        <f t="shared" si="388"/>
        <v>#REF!</v>
      </c>
      <c r="Y368" s="148" t="e">
        <f t="shared" si="388"/>
        <v>#REF!</v>
      </c>
      <c r="Z368" s="148" t="e">
        <f t="shared" si="388"/>
        <v>#REF!</v>
      </c>
      <c r="AA368" s="148" t="e">
        <f t="shared" si="388"/>
        <v>#REF!</v>
      </c>
      <c r="AB368" s="130"/>
    </row>
    <row r="369" s="28" customFormat="1" outlineLevel="3" spans="1:28">
      <c r="A369" s="52">
        <f>MAX($A$6:A368)+1</f>
        <v>329</v>
      </c>
      <c r="B369" s="51" t="s">
        <v>1906</v>
      </c>
      <c r="C369" s="51" t="e">
        <f>VLOOKUP($B369,#REF!,MATCH(C$2,#REF!,0),0)</f>
        <v>#REF!</v>
      </c>
      <c r="D369" s="83"/>
      <c r="E369" s="83"/>
      <c r="F369" s="136" t="e">
        <f>VLOOKUP($B369,#REF!,MATCH(F$2,#REF!,0),0)</f>
        <v>#REF!</v>
      </c>
      <c r="G369" s="137" t="e">
        <f>VLOOKUP($B369,#REF!,MATCH(G$2,#REF!,0),0)</f>
        <v>#REF!</v>
      </c>
      <c r="H369" s="48">
        <v>5.77</v>
      </c>
      <c r="I369" s="48">
        <v>3.42</v>
      </c>
      <c r="J369" s="48">
        <v>1.62</v>
      </c>
      <c r="K369" s="48">
        <v>1.62</v>
      </c>
      <c r="L369" s="48">
        <v>0.587</v>
      </c>
      <c r="M369" s="48"/>
      <c r="N369" s="48"/>
      <c r="O369" s="48"/>
      <c r="P369" s="48"/>
      <c r="Q369" s="48">
        <v>72.97</v>
      </c>
      <c r="R369" s="150" t="e">
        <f t="shared" ref="R369:AA369" si="389">$G369*H369</f>
        <v>#REF!</v>
      </c>
      <c r="S369" s="150" t="e">
        <f t="shared" si="389"/>
        <v>#REF!</v>
      </c>
      <c r="T369" s="150" t="e">
        <f t="shared" si="389"/>
        <v>#REF!</v>
      </c>
      <c r="U369" s="150" t="e">
        <f t="shared" si="389"/>
        <v>#REF!</v>
      </c>
      <c r="V369" s="150" t="e">
        <f t="shared" si="389"/>
        <v>#REF!</v>
      </c>
      <c r="W369" s="150" t="e">
        <f t="shared" si="389"/>
        <v>#REF!</v>
      </c>
      <c r="X369" s="150" t="e">
        <f t="shared" si="389"/>
        <v>#REF!</v>
      </c>
      <c r="Y369" s="150" t="e">
        <f t="shared" si="389"/>
        <v>#REF!</v>
      </c>
      <c r="Z369" s="150" t="e">
        <f t="shared" si="389"/>
        <v>#REF!</v>
      </c>
      <c r="AA369" s="150" t="e">
        <f t="shared" si="389"/>
        <v>#REF!</v>
      </c>
      <c r="AB369" s="50"/>
    </row>
    <row r="370" s="28" customFormat="1" outlineLevel="3" spans="1:28">
      <c r="A370" s="52">
        <f>MAX($A$6:A369)+1</f>
        <v>330</v>
      </c>
      <c r="B370" s="51" t="s">
        <v>2104</v>
      </c>
      <c r="C370" s="51" t="e">
        <f>VLOOKUP($B370,#REF!,MATCH(C$2,#REF!,0),0)</f>
        <v>#REF!</v>
      </c>
      <c r="D370" s="83"/>
      <c r="E370" s="83"/>
      <c r="F370" s="136" t="e">
        <f>VLOOKUP($B370,#REF!,MATCH(F$2,#REF!,0),0)</f>
        <v>#REF!</v>
      </c>
      <c r="G370" s="137" t="e">
        <f>VLOOKUP($B370,#REF!,MATCH(G$2,#REF!,0),0)</f>
        <v>#REF!</v>
      </c>
      <c r="H370" s="48">
        <v>225.68</v>
      </c>
      <c r="I370" s="48">
        <v>133.86</v>
      </c>
      <c r="J370" s="48">
        <v>58.94</v>
      </c>
      <c r="K370" s="48">
        <v>58.94</v>
      </c>
      <c r="L370" s="48">
        <v>21.765</v>
      </c>
      <c r="M370" s="48"/>
      <c r="N370" s="48"/>
      <c r="O370" s="48"/>
      <c r="P370" s="48"/>
      <c r="Q370" s="48">
        <v>3146.01</v>
      </c>
      <c r="R370" s="150" t="e">
        <f t="shared" ref="R370:AA370" si="390">$G370*H370</f>
        <v>#REF!</v>
      </c>
      <c r="S370" s="150" t="e">
        <f t="shared" si="390"/>
        <v>#REF!</v>
      </c>
      <c r="T370" s="150" t="e">
        <f t="shared" si="390"/>
        <v>#REF!</v>
      </c>
      <c r="U370" s="150" t="e">
        <f t="shared" si="390"/>
        <v>#REF!</v>
      </c>
      <c r="V370" s="150" t="e">
        <f t="shared" si="390"/>
        <v>#REF!</v>
      </c>
      <c r="W370" s="150" t="e">
        <f t="shared" si="390"/>
        <v>#REF!</v>
      </c>
      <c r="X370" s="150" t="e">
        <f t="shared" si="390"/>
        <v>#REF!</v>
      </c>
      <c r="Y370" s="150" t="e">
        <f t="shared" si="390"/>
        <v>#REF!</v>
      </c>
      <c r="Z370" s="150" t="e">
        <f t="shared" si="390"/>
        <v>#REF!</v>
      </c>
      <c r="AA370" s="150" t="e">
        <f t="shared" si="390"/>
        <v>#REF!</v>
      </c>
      <c r="AB370" s="50"/>
    </row>
    <row r="371" s="123" customFormat="1" spans="1:28">
      <c r="A371" s="125"/>
      <c r="B371" s="126" t="s">
        <v>2105</v>
      </c>
      <c r="C371" s="126"/>
      <c r="D371" s="105"/>
      <c r="E371" s="105"/>
      <c r="F371" s="156"/>
      <c r="G371" s="157"/>
      <c r="H371" s="126"/>
      <c r="I371" s="126"/>
      <c r="J371" s="126"/>
      <c r="K371" s="126"/>
      <c r="L371" s="126"/>
      <c r="M371" s="126"/>
      <c r="N371" s="126"/>
      <c r="O371" s="126"/>
      <c r="P371" s="126"/>
      <c r="Q371" s="126"/>
      <c r="R371" s="158" t="e">
        <f t="shared" ref="R371:AA371" si="391">SUM(R372,R402,R414,R448,R451)</f>
        <v>#REF!</v>
      </c>
      <c r="S371" s="158" t="e">
        <f t="shared" si="391"/>
        <v>#REF!</v>
      </c>
      <c r="T371" s="158" t="e">
        <f t="shared" si="391"/>
        <v>#REF!</v>
      </c>
      <c r="U371" s="158" t="e">
        <f t="shared" si="391"/>
        <v>#REF!</v>
      </c>
      <c r="V371" s="158" t="e">
        <f t="shared" si="391"/>
        <v>#REF!</v>
      </c>
      <c r="W371" s="158" t="e">
        <f t="shared" si="391"/>
        <v>#REF!</v>
      </c>
      <c r="X371" s="158" t="e">
        <f t="shared" si="391"/>
        <v>#REF!</v>
      </c>
      <c r="Y371" s="158" t="e">
        <f t="shared" si="391"/>
        <v>#REF!</v>
      </c>
      <c r="Z371" s="158" t="e">
        <f t="shared" si="391"/>
        <v>#REF!</v>
      </c>
      <c r="AA371" s="158" t="e">
        <f t="shared" si="391"/>
        <v>#REF!</v>
      </c>
      <c r="AB371" s="126"/>
    </row>
    <row r="372" s="122" customFormat="1" outlineLevel="1" spans="1:28">
      <c r="A372" s="130"/>
      <c r="B372" s="131" t="s">
        <v>2106</v>
      </c>
      <c r="C372" s="131"/>
      <c r="D372" s="153"/>
      <c r="E372" s="153"/>
      <c r="F372" s="154"/>
      <c r="G372" s="155"/>
      <c r="H372" s="134"/>
      <c r="I372" s="134"/>
      <c r="J372" s="134"/>
      <c r="K372" s="134"/>
      <c r="L372" s="134"/>
      <c r="M372" s="134"/>
      <c r="N372" s="134"/>
      <c r="O372" s="134"/>
      <c r="P372" s="134"/>
      <c r="Q372" s="134"/>
      <c r="R372" s="148" t="e">
        <f t="shared" ref="R372:AA372" si="392">SUM(R373:R401)</f>
        <v>#REF!</v>
      </c>
      <c r="S372" s="148" t="e">
        <f t="shared" si="392"/>
        <v>#REF!</v>
      </c>
      <c r="T372" s="148" t="e">
        <f t="shared" si="392"/>
        <v>#REF!</v>
      </c>
      <c r="U372" s="148" t="e">
        <f t="shared" si="392"/>
        <v>#REF!</v>
      </c>
      <c r="V372" s="148" t="e">
        <f t="shared" si="392"/>
        <v>#REF!</v>
      </c>
      <c r="W372" s="148" t="e">
        <f t="shared" si="392"/>
        <v>#REF!</v>
      </c>
      <c r="X372" s="148" t="e">
        <f t="shared" si="392"/>
        <v>#REF!</v>
      </c>
      <c r="Y372" s="148" t="e">
        <f t="shared" si="392"/>
        <v>#REF!</v>
      </c>
      <c r="Z372" s="148" t="e">
        <f t="shared" si="392"/>
        <v>#REF!</v>
      </c>
      <c r="AA372" s="148" t="e">
        <f t="shared" si="392"/>
        <v>#REF!</v>
      </c>
      <c r="AB372" s="130"/>
    </row>
    <row r="373" s="28" customFormat="1" ht="28.8" outlineLevel="3" spans="1:28">
      <c r="A373" s="52">
        <f>MAX($A$6:A372)+1</f>
        <v>331</v>
      </c>
      <c r="B373" s="138" t="s">
        <v>2107</v>
      </c>
      <c r="C373" s="51" t="e">
        <f>VLOOKUP($B373,#REF!,MATCH(C$2,#REF!,0),0)</f>
        <v>#REF!</v>
      </c>
      <c r="D373" s="83"/>
      <c r="E373" s="83"/>
      <c r="F373" s="136" t="e">
        <f>VLOOKUP($B373,#REF!,MATCH(F$2,#REF!,0),0)</f>
        <v>#REF!</v>
      </c>
      <c r="G373" s="137" t="e">
        <f>VLOOKUP($B373,#REF!,MATCH(G$2,#REF!,0),0)</f>
        <v>#REF!</v>
      </c>
      <c r="H373" s="48">
        <v>1423.98</v>
      </c>
      <c r="I373" s="48">
        <v>1449.66</v>
      </c>
      <c r="J373" s="48">
        <v>1033.39</v>
      </c>
      <c r="K373" s="48">
        <v>1033.39</v>
      </c>
      <c r="L373" s="48">
        <v>692.793</v>
      </c>
      <c r="M373" s="48">
        <v>1</v>
      </c>
      <c r="N373" s="48">
        <v>1</v>
      </c>
      <c r="O373" s="48">
        <v>1</v>
      </c>
      <c r="P373" s="48"/>
      <c r="Q373" s="48"/>
      <c r="R373" s="150" t="e">
        <f t="shared" ref="R373:AA373" si="393">$G373*H373</f>
        <v>#REF!</v>
      </c>
      <c r="S373" s="150" t="e">
        <f t="shared" si="393"/>
        <v>#REF!</v>
      </c>
      <c r="T373" s="150" t="e">
        <f t="shared" si="393"/>
        <v>#REF!</v>
      </c>
      <c r="U373" s="150" t="e">
        <f t="shared" si="393"/>
        <v>#REF!</v>
      </c>
      <c r="V373" s="150" t="e">
        <f t="shared" si="393"/>
        <v>#REF!</v>
      </c>
      <c r="W373" s="150" t="e">
        <f t="shared" si="393"/>
        <v>#REF!</v>
      </c>
      <c r="X373" s="150" t="e">
        <f t="shared" si="393"/>
        <v>#REF!</v>
      </c>
      <c r="Y373" s="150" t="e">
        <f t="shared" si="393"/>
        <v>#REF!</v>
      </c>
      <c r="Z373" s="150" t="e">
        <f t="shared" si="393"/>
        <v>#REF!</v>
      </c>
      <c r="AA373" s="150" t="e">
        <f t="shared" si="393"/>
        <v>#REF!</v>
      </c>
      <c r="AB373" s="50"/>
    </row>
    <row r="374" s="28" customFormat="1" ht="28.8" outlineLevel="3" spans="1:28">
      <c r="A374" s="52">
        <f>MAX($A$6:A373)+1</f>
        <v>332</v>
      </c>
      <c r="B374" s="138" t="s">
        <v>2108</v>
      </c>
      <c r="C374" s="51" t="e">
        <f>VLOOKUP($B374,#REF!,MATCH(C$2,#REF!,0),0)</f>
        <v>#REF!</v>
      </c>
      <c r="D374" s="83"/>
      <c r="E374" s="83"/>
      <c r="F374" s="136" t="e">
        <f>VLOOKUP($B374,#REF!,MATCH(F$2,#REF!,0),0)</f>
        <v>#REF!</v>
      </c>
      <c r="G374" s="137" t="e">
        <f>VLOOKUP($B374,#REF!,MATCH(G$2,#REF!,0),0)</f>
        <v>#REF!</v>
      </c>
      <c r="H374" s="48">
        <v>2162.01</v>
      </c>
      <c r="I374" s="48">
        <v>9779.94</v>
      </c>
      <c r="J374" s="48">
        <v>5557.97</v>
      </c>
      <c r="K374" s="48">
        <v>5557.97</v>
      </c>
      <c r="L374" s="48">
        <v>435.49</v>
      </c>
      <c r="M374" s="48">
        <v>1028</v>
      </c>
      <c r="N374" s="48">
        <v>1028</v>
      </c>
      <c r="O374" s="48">
        <v>56.55</v>
      </c>
      <c r="P374" s="48"/>
      <c r="Q374" s="48"/>
      <c r="R374" s="150" t="e">
        <f t="shared" ref="R374:AA374" si="394">$G374*H374</f>
        <v>#REF!</v>
      </c>
      <c r="S374" s="150" t="e">
        <f t="shared" si="394"/>
        <v>#REF!</v>
      </c>
      <c r="T374" s="150" t="e">
        <f t="shared" si="394"/>
        <v>#REF!</v>
      </c>
      <c r="U374" s="150" t="e">
        <f t="shared" si="394"/>
        <v>#REF!</v>
      </c>
      <c r="V374" s="150" t="e">
        <f t="shared" si="394"/>
        <v>#REF!</v>
      </c>
      <c r="W374" s="150" t="e">
        <f t="shared" si="394"/>
        <v>#REF!</v>
      </c>
      <c r="X374" s="150" t="e">
        <f t="shared" si="394"/>
        <v>#REF!</v>
      </c>
      <c r="Y374" s="150" t="e">
        <f t="shared" si="394"/>
        <v>#REF!</v>
      </c>
      <c r="Z374" s="150" t="e">
        <f t="shared" si="394"/>
        <v>#REF!</v>
      </c>
      <c r="AA374" s="150" t="e">
        <f t="shared" si="394"/>
        <v>#REF!</v>
      </c>
      <c r="AB374" s="50"/>
    </row>
    <row r="375" s="28" customFormat="1" ht="28.8" outlineLevel="3" spans="1:28">
      <c r="A375" s="52">
        <f>MAX($A$6:A374)+1</f>
        <v>333</v>
      </c>
      <c r="B375" s="138" t="s">
        <v>2109</v>
      </c>
      <c r="C375" s="51" t="e">
        <f>VLOOKUP($B375,#REF!,MATCH(C$2,#REF!,0),0)</f>
        <v>#REF!</v>
      </c>
      <c r="D375" s="83"/>
      <c r="E375" s="83"/>
      <c r="F375" s="136" t="e">
        <f>VLOOKUP($B375,#REF!,MATCH(F$2,#REF!,0),0)</f>
        <v>#REF!</v>
      </c>
      <c r="G375" s="137" t="e">
        <f>VLOOKUP($B375,#REF!,MATCH(G$2,#REF!,0),0)</f>
        <v>#REF!</v>
      </c>
      <c r="H375" s="48"/>
      <c r="I375" s="48"/>
      <c r="J375" s="48"/>
      <c r="K375" s="48"/>
      <c r="L375" s="48"/>
      <c r="M375" s="48"/>
      <c r="N375" s="48"/>
      <c r="O375" s="48"/>
      <c r="P375" s="48"/>
      <c r="Q375" s="48"/>
      <c r="R375" s="150" t="e">
        <f t="shared" ref="R375:AA375" si="395">$G375*H375</f>
        <v>#REF!</v>
      </c>
      <c r="S375" s="150" t="e">
        <f t="shared" si="395"/>
        <v>#REF!</v>
      </c>
      <c r="T375" s="150" t="e">
        <f t="shared" si="395"/>
        <v>#REF!</v>
      </c>
      <c r="U375" s="150" t="e">
        <f t="shared" si="395"/>
        <v>#REF!</v>
      </c>
      <c r="V375" s="150" t="e">
        <f t="shared" si="395"/>
        <v>#REF!</v>
      </c>
      <c r="W375" s="150" t="e">
        <f t="shared" si="395"/>
        <v>#REF!</v>
      </c>
      <c r="X375" s="150" t="e">
        <f t="shared" si="395"/>
        <v>#REF!</v>
      </c>
      <c r="Y375" s="150" t="e">
        <f t="shared" si="395"/>
        <v>#REF!</v>
      </c>
      <c r="Z375" s="150" t="e">
        <f t="shared" si="395"/>
        <v>#REF!</v>
      </c>
      <c r="AA375" s="150" t="e">
        <f t="shared" si="395"/>
        <v>#REF!</v>
      </c>
      <c r="AB375" s="50"/>
    </row>
    <row r="376" s="28" customFormat="1" outlineLevel="3" spans="1:28">
      <c r="A376" s="52">
        <f>MAX($A$6:A375)+1</f>
        <v>334</v>
      </c>
      <c r="B376" s="159" t="s">
        <v>2110</v>
      </c>
      <c r="C376" s="51" t="e">
        <f>VLOOKUP($B376,#REF!,MATCH(C$2,#REF!,0),0)</f>
        <v>#REF!</v>
      </c>
      <c r="D376" s="83"/>
      <c r="E376" s="83"/>
      <c r="F376" s="136" t="e">
        <f>VLOOKUP($B376,#REF!,MATCH(F$2,#REF!,0),0)</f>
        <v>#REF!</v>
      </c>
      <c r="G376" s="137" t="e">
        <f>VLOOKUP($B376,#REF!,MATCH(G$2,#REF!,0),0)</f>
        <v>#REF!</v>
      </c>
      <c r="H376" s="48">
        <v>2162.01</v>
      </c>
      <c r="I376" s="48">
        <v>9779.94</v>
      </c>
      <c r="J376" s="48">
        <v>5557.97</v>
      </c>
      <c r="K376" s="48">
        <v>5557.97</v>
      </c>
      <c r="L376" s="48">
        <v>435.49</v>
      </c>
      <c r="M376" s="48">
        <v>1028</v>
      </c>
      <c r="N376" s="48">
        <v>1028</v>
      </c>
      <c r="O376" s="48">
        <v>56.55</v>
      </c>
      <c r="P376" s="48"/>
      <c r="Q376" s="48"/>
      <c r="R376" s="150" t="e">
        <f t="shared" ref="R376:AA376" si="396">$G376*H376</f>
        <v>#REF!</v>
      </c>
      <c r="S376" s="150" t="e">
        <f t="shared" si="396"/>
        <v>#REF!</v>
      </c>
      <c r="T376" s="150" t="e">
        <f t="shared" si="396"/>
        <v>#REF!</v>
      </c>
      <c r="U376" s="150" t="e">
        <f t="shared" si="396"/>
        <v>#REF!</v>
      </c>
      <c r="V376" s="150" t="e">
        <f t="shared" si="396"/>
        <v>#REF!</v>
      </c>
      <c r="W376" s="150" t="e">
        <f t="shared" si="396"/>
        <v>#REF!</v>
      </c>
      <c r="X376" s="150" t="e">
        <f t="shared" si="396"/>
        <v>#REF!</v>
      </c>
      <c r="Y376" s="150" t="e">
        <f t="shared" si="396"/>
        <v>#REF!</v>
      </c>
      <c r="Z376" s="150" t="e">
        <f t="shared" si="396"/>
        <v>#REF!</v>
      </c>
      <c r="AA376" s="150" t="e">
        <f t="shared" si="396"/>
        <v>#REF!</v>
      </c>
      <c r="AB376" s="50"/>
    </row>
    <row r="377" s="28" customFormat="1" outlineLevel="3" spans="1:28">
      <c r="A377" s="52">
        <f>MAX($A$6:A376)+1</f>
        <v>335</v>
      </c>
      <c r="B377" s="159" t="s">
        <v>2111</v>
      </c>
      <c r="C377" s="51" t="e">
        <f>VLOOKUP($B377,#REF!,MATCH(C$2,#REF!,0),0)</f>
        <v>#REF!</v>
      </c>
      <c r="D377" s="83"/>
      <c r="E377" s="83"/>
      <c r="F377" s="136" t="e">
        <f>VLOOKUP($B377,#REF!,MATCH(F$2,#REF!,0),0)</f>
        <v>#REF!</v>
      </c>
      <c r="G377" s="137" t="e">
        <f>VLOOKUP($B377,#REF!,MATCH(G$2,#REF!,0),0)</f>
        <v>#REF!</v>
      </c>
      <c r="H377" s="48">
        <v>2162.01</v>
      </c>
      <c r="I377" s="48">
        <v>9779.94</v>
      </c>
      <c r="J377" s="48">
        <v>5557.97</v>
      </c>
      <c r="K377" s="48">
        <v>5557.97</v>
      </c>
      <c r="L377" s="48">
        <v>435.49</v>
      </c>
      <c r="M377" s="48">
        <v>1028</v>
      </c>
      <c r="N377" s="48">
        <v>1028</v>
      </c>
      <c r="O377" s="48">
        <v>56.55</v>
      </c>
      <c r="P377" s="48"/>
      <c r="Q377" s="48"/>
      <c r="R377" s="150" t="e">
        <f t="shared" ref="R377:AA377" si="397">$G377*H377</f>
        <v>#REF!</v>
      </c>
      <c r="S377" s="150" t="e">
        <f t="shared" si="397"/>
        <v>#REF!</v>
      </c>
      <c r="T377" s="150" t="e">
        <f t="shared" si="397"/>
        <v>#REF!</v>
      </c>
      <c r="U377" s="150" t="e">
        <f t="shared" si="397"/>
        <v>#REF!</v>
      </c>
      <c r="V377" s="150" t="e">
        <f t="shared" si="397"/>
        <v>#REF!</v>
      </c>
      <c r="W377" s="150" t="e">
        <f t="shared" si="397"/>
        <v>#REF!</v>
      </c>
      <c r="X377" s="150" t="e">
        <f t="shared" si="397"/>
        <v>#REF!</v>
      </c>
      <c r="Y377" s="150" t="e">
        <f t="shared" si="397"/>
        <v>#REF!</v>
      </c>
      <c r="Z377" s="150" t="e">
        <f t="shared" si="397"/>
        <v>#REF!</v>
      </c>
      <c r="AA377" s="150" t="e">
        <f t="shared" si="397"/>
        <v>#REF!</v>
      </c>
      <c r="AB377" s="50"/>
    </row>
    <row r="378" s="28" customFormat="1" outlineLevel="3" spans="1:28">
      <c r="A378" s="52">
        <f>MAX($A$6:A377)+1</f>
        <v>336</v>
      </c>
      <c r="B378" s="159" t="s">
        <v>2112</v>
      </c>
      <c r="C378" s="51" t="e">
        <f>VLOOKUP($B378,#REF!,MATCH(C$2,#REF!,0),0)</f>
        <v>#REF!</v>
      </c>
      <c r="D378" s="83"/>
      <c r="E378" s="83"/>
      <c r="F378" s="136" t="e">
        <f>VLOOKUP($B378,#REF!,MATCH(F$2,#REF!,0),0)</f>
        <v>#REF!</v>
      </c>
      <c r="G378" s="137" t="e">
        <f>VLOOKUP($B378,#REF!,MATCH(G$2,#REF!,0),0)</f>
        <v>#REF!</v>
      </c>
      <c r="H378" s="48">
        <v>1</v>
      </c>
      <c r="I378" s="48"/>
      <c r="J378" s="48"/>
      <c r="K378" s="48"/>
      <c r="L378" s="48"/>
      <c r="M378" s="48"/>
      <c r="N378" s="48"/>
      <c r="O378" s="48"/>
      <c r="P378" s="48"/>
      <c r="Q378" s="48"/>
      <c r="R378" s="150" t="e">
        <f t="shared" ref="R378:AA378" si="398">$G378*H378</f>
        <v>#REF!</v>
      </c>
      <c r="S378" s="150" t="e">
        <f t="shared" si="398"/>
        <v>#REF!</v>
      </c>
      <c r="T378" s="150" t="e">
        <f t="shared" si="398"/>
        <v>#REF!</v>
      </c>
      <c r="U378" s="150" t="e">
        <f t="shared" si="398"/>
        <v>#REF!</v>
      </c>
      <c r="V378" s="150" t="e">
        <f t="shared" si="398"/>
        <v>#REF!</v>
      </c>
      <c r="W378" s="150" t="e">
        <f t="shared" si="398"/>
        <v>#REF!</v>
      </c>
      <c r="X378" s="150" t="e">
        <f t="shared" si="398"/>
        <v>#REF!</v>
      </c>
      <c r="Y378" s="150" t="e">
        <f t="shared" si="398"/>
        <v>#REF!</v>
      </c>
      <c r="Z378" s="150" t="e">
        <f t="shared" si="398"/>
        <v>#REF!</v>
      </c>
      <c r="AA378" s="150" t="e">
        <f t="shared" si="398"/>
        <v>#REF!</v>
      </c>
      <c r="AB378" s="50"/>
    </row>
    <row r="379" s="28" customFormat="1" outlineLevel="3" spans="1:28">
      <c r="A379" s="52">
        <f>MAX($A$6:A378)+1</f>
        <v>337</v>
      </c>
      <c r="B379" s="159" t="s">
        <v>2113</v>
      </c>
      <c r="C379" s="51" t="e">
        <f>VLOOKUP($B379,#REF!,MATCH(C$2,#REF!,0),0)</f>
        <v>#REF!</v>
      </c>
      <c r="D379" s="83"/>
      <c r="E379" s="83"/>
      <c r="F379" s="136" t="e">
        <f>VLOOKUP($B379,#REF!,MATCH(F$2,#REF!,0),0)</f>
        <v>#REF!</v>
      </c>
      <c r="G379" s="137" t="e">
        <f>VLOOKUP($B379,#REF!,MATCH(G$2,#REF!,0),0)</f>
        <v>#REF!</v>
      </c>
      <c r="H379" s="48">
        <v>2162.01</v>
      </c>
      <c r="I379" s="48">
        <v>9779.94</v>
      </c>
      <c r="J379" s="48">
        <v>5557.97</v>
      </c>
      <c r="K379" s="48">
        <v>5557.97</v>
      </c>
      <c r="L379" s="48">
        <v>435.49</v>
      </c>
      <c r="M379" s="48">
        <v>1028</v>
      </c>
      <c r="N379" s="48">
        <v>1028</v>
      </c>
      <c r="O379" s="48">
        <v>56.55</v>
      </c>
      <c r="P379" s="48"/>
      <c r="Q379" s="48"/>
      <c r="R379" s="150" t="e">
        <f t="shared" ref="R379:AA379" si="399">$G379*H379</f>
        <v>#REF!</v>
      </c>
      <c r="S379" s="150" t="e">
        <f t="shared" si="399"/>
        <v>#REF!</v>
      </c>
      <c r="T379" s="150" t="e">
        <f t="shared" si="399"/>
        <v>#REF!</v>
      </c>
      <c r="U379" s="150" t="e">
        <f t="shared" si="399"/>
        <v>#REF!</v>
      </c>
      <c r="V379" s="150" t="e">
        <f t="shared" si="399"/>
        <v>#REF!</v>
      </c>
      <c r="W379" s="150" t="e">
        <f t="shared" si="399"/>
        <v>#REF!</v>
      </c>
      <c r="X379" s="150" t="e">
        <f t="shared" si="399"/>
        <v>#REF!</v>
      </c>
      <c r="Y379" s="150" t="e">
        <f t="shared" si="399"/>
        <v>#REF!</v>
      </c>
      <c r="Z379" s="150" t="e">
        <f t="shared" si="399"/>
        <v>#REF!</v>
      </c>
      <c r="AA379" s="150" t="e">
        <f t="shared" si="399"/>
        <v>#REF!</v>
      </c>
      <c r="AB379" s="50"/>
    </row>
    <row r="380" s="28" customFormat="1" outlineLevel="3" spans="1:28">
      <c r="A380" s="52">
        <f>MAX($A$6:A379)+1</f>
        <v>338</v>
      </c>
      <c r="B380" s="159" t="s">
        <v>2114</v>
      </c>
      <c r="C380" s="51" t="e">
        <f>VLOOKUP($B380,#REF!,MATCH(C$2,#REF!,0),0)</f>
        <v>#REF!</v>
      </c>
      <c r="D380" s="83"/>
      <c r="E380" s="83"/>
      <c r="F380" s="136" t="e">
        <f>VLOOKUP($B380,#REF!,MATCH(F$2,#REF!,0),0)</f>
        <v>#REF!</v>
      </c>
      <c r="G380" s="137" t="e">
        <f>VLOOKUP($B380,#REF!,MATCH(G$2,#REF!,0),0)</f>
        <v>#REF!</v>
      </c>
      <c r="H380" s="48">
        <v>2162.01</v>
      </c>
      <c r="I380" s="48">
        <v>9779.94</v>
      </c>
      <c r="J380" s="48">
        <v>5557.97</v>
      </c>
      <c r="K380" s="48">
        <v>5557.97</v>
      </c>
      <c r="L380" s="48">
        <v>435.49</v>
      </c>
      <c r="M380" s="48">
        <v>1028</v>
      </c>
      <c r="N380" s="48">
        <v>1028</v>
      </c>
      <c r="O380" s="48">
        <v>56.55</v>
      </c>
      <c r="P380" s="48"/>
      <c r="Q380" s="48"/>
      <c r="R380" s="150" t="e">
        <f t="shared" ref="R380:AA380" si="400">$G380*H380</f>
        <v>#REF!</v>
      </c>
      <c r="S380" s="150" t="e">
        <f t="shared" si="400"/>
        <v>#REF!</v>
      </c>
      <c r="T380" s="150" t="e">
        <f t="shared" si="400"/>
        <v>#REF!</v>
      </c>
      <c r="U380" s="150" t="e">
        <f t="shared" si="400"/>
        <v>#REF!</v>
      </c>
      <c r="V380" s="150" t="e">
        <f t="shared" si="400"/>
        <v>#REF!</v>
      </c>
      <c r="W380" s="150" t="e">
        <f t="shared" si="400"/>
        <v>#REF!</v>
      </c>
      <c r="X380" s="150" t="e">
        <f t="shared" si="400"/>
        <v>#REF!</v>
      </c>
      <c r="Y380" s="150" t="e">
        <f t="shared" si="400"/>
        <v>#REF!</v>
      </c>
      <c r="Z380" s="150" t="e">
        <f t="shared" si="400"/>
        <v>#REF!</v>
      </c>
      <c r="AA380" s="150" t="e">
        <f t="shared" si="400"/>
        <v>#REF!</v>
      </c>
      <c r="AB380" s="50"/>
    </row>
    <row r="381" s="28" customFormat="1" ht="28.8" outlineLevel="3" spans="1:28">
      <c r="A381" s="52">
        <f>MAX($A$6:A380)+1</f>
        <v>339</v>
      </c>
      <c r="B381" s="138" t="s">
        <v>2115</v>
      </c>
      <c r="C381" s="51" t="e">
        <f>VLOOKUP($B381,#REF!,MATCH(C$2,#REF!,0),0)</f>
        <v>#REF!</v>
      </c>
      <c r="D381" s="83"/>
      <c r="E381" s="83"/>
      <c r="F381" s="136" t="e">
        <f>VLOOKUP($B381,#REF!,MATCH(F$2,#REF!,0),0)</f>
        <v>#REF!</v>
      </c>
      <c r="G381" s="137" t="e">
        <f>VLOOKUP($B381,#REF!,MATCH(G$2,#REF!,0),0)</f>
        <v>#REF!</v>
      </c>
      <c r="H381" s="48">
        <v>7560.01</v>
      </c>
      <c r="I381" s="48"/>
      <c r="J381" s="48"/>
      <c r="K381" s="48"/>
      <c r="L381" s="48">
        <v>3394.275</v>
      </c>
      <c r="M381" s="48"/>
      <c r="N381" s="48"/>
      <c r="O381" s="48">
        <v>735.15</v>
      </c>
      <c r="P381" s="48"/>
      <c r="Q381" s="48"/>
      <c r="R381" s="150" t="e">
        <f t="shared" ref="R381:AA381" si="401">$G381*H381</f>
        <v>#REF!</v>
      </c>
      <c r="S381" s="150" t="e">
        <f t="shared" si="401"/>
        <v>#REF!</v>
      </c>
      <c r="T381" s="150" t="e">
        <f t="shared" si="401"/>
        <v>#REF!</v>
      </c>
      <c r="U381" s="150" t="e">
        <f t="shared" si="401"/>
        <v>#REF!</v>
      </c>
      <c r="V381" s="150" t="e">
        <f t="shared" si="401"/>
        <v>#REF!</v>
      </c>
      <c r="W381" s="150" t="e">
        <f t="shared" si="401"/>
        <v>#REF!</v>
      </c>
      <c r="X381" s="150" t="e">
        <f t="shared" si="401"/>
        <v>#REF!</v>
      </c>
      <c r="Y381" s="150" t="e">
        <f t="shared" si="401"/>
        <v>#REF!</v>
      </c>
      <c r="Z381" s="150" t="e">
        <f t="shared" si="401"/>
        <v>#REF!</v>
      </c>
      <c r="AA381" s="150" t="e">
        <f t="shared" si="401"/>
        <v>#REF!</v>
      </c>
      <c r="AB381" s="50"/>
    </row>
    <row r="382" s="28" customFormat="1" ht="28.8" outlineLevel="3" spans="1:28">
      <c r="A382" s="52">
        <f>MAX($A$6:A381)+1</f>
        <v>340</v>
      </c>
      <c r="B382" s="138" t="s">
        <v>2116</v>
      </c>
      <c r="C382" s="51" t="e">
        <f>VLOOKUP($B382,#REF!,MATCH(C$2,#REF!,0),0)</f>
        <v>#REF!</v>
      </c>
      <c r="D382" s="83"/>
      <c r="E382" s="83"/>
      <c r="F382" s="136" t="e">
        <f>VLOOKUP($B382,#REF!,MATCH(F$2,#REF!,0),0)</f>
        <v>#REF!</v>
      </c>
      <c r="G382" s="137" t="e">
        <f>VLOOKUP($B382,#REF!,MATCH(G$2,#REF!,0),0)</f>
        <v>#REF!</v>
      </c>
      <c r="H382" s="48"/>
      <c r="I382" s="48"/>
      <c r="J382" s="48"/>
      <c r="K382" s="48"/>
      <c r="L382" s="48"/>
      <c r="M382" s="48"/>
      <c r="N382" s="48"/>
      <c r="O382" s="48"/>
      <c r="P382" s="48"/>
      <c r="Q382" s="48"/>
      <c r="R382" s="150" t="e">
        <f t="shared" ref="R382:AA382" si="402">$G382*H382</f>
        <v>#REF!</v>
      </c>
      <c r="S382" s="150" t="e">
        <f t="shared" si="402"/>
        <v>#REF!</v>
      </c>
      <c r="T382" s="150" t="e">
        <f t="shared" si="402"/>
        <v>#REF!</v>
      </c>
      <c r="U382" s="150" t="e">
        <f t="shared" si="402"/>
        <v>#REF!</v>
      </c>
      <c r="V382" s="150" t="e">
        <f t="shared" si="402"/>
        <v>#REF!</v>
      </c>
      <c r="W382" s="150" t="e">
        <f t="shared" si="402"/>
        <v>#REF!</v>
      </c>
      <c r="X382" s="150" t="e">
        <f t="shared" si="402"/>
        <v>#REF!</v>
      </c>
      <c r="Y382" s="150" t="e">
        <f t="shared" si="402"/>
        <v>#REF!</v>
      </c>
      <c r="Z382" s="150" t="e">
        <f t="shared" si="402"/>
        <v>#REF!</v>
      </c>
      <c r="AA382" s="150" t="e">
        <f t="shared" si="402"/>
        <v>#REF!</v>
      </c>
      <c r="AB382" s="50"/>
    </row>
    <row r="383" s="28" customFormat="1" outlineLevel="3" spans="1:28">
      <c r="A383" s="52">
        <f>MAX($A$6:A382)+1</f>
        <v>341</v>
      </c>
      <c r="B383" s="159" t="s">
        <v>2117</v>
      </c>
      <c r="C383" s="51" t="e">
        <f>VLOOKUP($B383,#REF!,MATCH(C$2,#REF!,0),0)</f>
        <v>#REF!</v>
      </c>
      <c r="D383" s="83"/>
      <c r="E383" s="83"/>
      <c r="F383" s="136" t="e">
        <f>VLOOKUP($B383,#REF!,MATCH(F$2,#REF!,0),0)</f>
        <v>#REF!</v>
      </c>
      <c r="G383" s="137" t="e">
        <f>VLOOKUP($B383,#REF!,MATCH(G$2,#REF!,0),0)</f>
        <v>#REF!</v>
      </c>
      <c r="H383" s="48">
        <v>1</v>
      </c>
      <c r="I383" s="48"/>
      <c r="J383" s="48"/>
      <c r="K383" s="48"/>
      <c r="L383" s="48"/>
      <c r="M383" s="48"/>
      <c r="N383" s="48"/>
      <c r="O383" s="48"/>
      <c r="P383" s="48"/>
      <c r="Q383" s="48"/>
      <c r="R383" s="150" t="e">
        <f t="shared" ref="R383:AA383" si="403">$G383*H383</f>
        <v>#REF!</v>
      </c>
      <c r="S383" s="150" t="e">
        <f t="shared" si="403"/>
        <v>#REF!</v>
      </c>
      <c r="T383" s="150" t="e">
        <f t="shared" si="403"/>
        <v>#REF!</v>
      </c>
      <c r="U383" s="150" t="e">
        <f t="shared" si="403"/>
        <v>#REF!</v>
      </c>
      <c r="V383" s="150" t="e">
        <f t="shared" si="403"/>
        <v>#REF!</v>
      </c>
      <c r="W383" s="150" t="e">
        <f t="shared" si="403"/>
        <v>#REF!</v>
      </c>
      <c r="X383" s="150" t="e">
        <f t="shared" si="403"/>
        <v>#REF!</v>
      </c>
      <c r="Y383" s="150" t="e">
        <f t="shared" si="403"/>
        <v>#REF!</v>
      </c>
      <c r="Z383" s="150" t="e">
        <f t="shared" si="403"/>
        <v>#REF!</v>
      </c>
      <c r="AA383" s="150" t="e">
        <f t="shared" si="403"/>
        <v>#REF!</v>
      </c>
      <c r="AB383" s="50"/>
    </row>
    <row r="384" s="28" customFormat="1" outlineLevel="3" spans="1:28">
      <c r="A384" s="52">
        <f>MAX($A$6:A383)+1</f>
        <v>342</v>
      </c>
      <c r="B384" s="159" t="s">
        <v>2118</v>
      </c>
      <c r="C384" s="51" t="e">
        <f>VLOOKUP($B384,#REF!,MATCH(C$2,#REF!,0),0)</f>
        <v>#REF!</v>
      </c>
      <c r="D384" s="83"/>
      <c r="E384" s="83"/>
      <c r="F384" s="136" t="e">
        <f>VLOOKUP($B384,#REF!,MATCH(F$2,#REF!,0),0)</f>
        <v>#REF!</v>
      </c>
      <c r="G384" s="137" t="e">
        <f>VLOOKUP($B384,#REF!,MATCH(G$2,#REF!,0),0)</f>
        <v>#REF!</v>
      </c>
      <c r="H384" s="48">
        <v>7538.01</v>
      </c>
      <c r="I384" s="48"/>
      <c r="J384" s="48"/>
      <c r="K384" s="48"/>
      <c r="L384" s="48">
        <v>3394.275</v>
      </c>
      <c r="M384" s="48"/>
      <c r="N384" s="48"/>
      <c r="O384" s="48">
        <v>735.15</v>
      </c>
      <c r="P384" s="48"/>
      <c r="Q384" s="48"/>
      <c r="R384" s="150" t="e">
        <f t="shared" ref="R384:AA384" si="404">$G384*H384</f>
        <v>#REF!</v>
      </c>
      <c r="S384" s="150" t="e">
        <f t="shared" si="404"/>
        <v>#REF!</v>
      </c>
      <c r="T384" s="150" t="e">
        <f t="shared" si="404"/>
        <v>#REF!</v>
      </c>
      <c r="U384" s="150" t="e">
        <f t="shared" si="404"/>
        <v>#REF!</v>
      </c>
      <c r="V384" s="150" t="e">
        <f t="shared" si="404"/>
        <v>#REF!</v>
      </c>
      <c r="W384" s="150" t="e">
        <f t="shared" si="404"/>
        <v>#REF!</v>
      </c>
      <c r="X384" s="150" t="e">
        <f t="shared" si="404"/>
        <v>#REF!</v>
      </c>
      <c r="Y384" s="150" t="e">
        <f t="shared" si="404"/>
        <v>#REF!</v>
      </c>
      <c r="Z384" s="150" t="e">
        <f t="shared" si="404"/>
        <v>#REF!</v>
      </c>
      <c r="AA384" s="150" t="e">
        <f t="shared" si="404"/>
        <v>#REF!</v>
      </c>
      <c r="AB384" s="50"/>
    </row>
    <row r="385" s="28" customFormat="1" outlineLevel="3" spans="1:28">
      <c r="A385" s="52">
        <f>MAX($A$6:A384)+1</f>
        <v>343</v>
      </c>
      <c r="B385" s="159" t="s">
        <v>2119</v>
      </c>
      <c r="C385" s="51" t="e">
        <f>VLOOKUP($B385,#REF!,MATCH(C$2,#REF!,0),0)</f>
        <v>#REF!</v>
      </c>
      <c r="D385" s="83"/>
      <c r="E385" s="83"/>
      <c r="F385" s="136" t="e">
        <f>VLOOKUP($B385,#REF!,MATCH(F$2,#REF!,0),0)</f>
        <v>#REF!</v>
      </c>
      <c r="G385" s="137" t="e">
        <f>VLOOKUP($B385,#REF!,MATCH(G$2,#REF!,0),0)</f>
        <v>#REF!</v>
      </c>
      <c r="H385" s="48">
        <v>7538.01</v>
      </c>
      <c r="I385" s="48"/>
      <c r="J385" s="48"/>
      <c r="K385" s="48"/>
      <c r="L385" s="48">
        <v>3394.275</v>
      </c>
      <c r="M385" s="48"/>
      <c r="N385" s="48"/>
      <c r="O385" s="48">
        <v>735.15</v>
      </c>
      <c r="P385" s="48"/>
      <c r="Q385" s="48"/>
      <c r="R385" s="150" t="e">
        <f t="shared" ref="R385:AA385" si="405">$G385*H385</f>
        <v>#REF!</v>
      </c>
      <c r="S385" s="150" t="e">
        <f t="shared" si="405"/>
        <v>#REF!</v>
      </c>
      <c r="T385" s="150" t="e">
        <f t="shared" si="405"/>
        <v>#REF!</v>
      </c>
      <c r="U385" s="150" t="e">
        <f t="shared" si="405"/>
        <v>#REF!</v>
      </c>
      <c r="V385" s="150" t="e">
        <f t="shared" si="405"/>
        <v>#REF!</v>
      </c>
      <c r="W385" s="150" t="e">
        <f t="shared" si="405"/>
        <v>#REF!</v>
      </c>
      <c r="X385" s="150" t="e">
        <f t="shared" si="405"/>
        <v>#REF!</v>
      </c>
      <c r="Y385" s="150" t="e">
        <f t="shared" si="405"/>
        <v>#REF!</v>
      </c>
      <c r="Z385" s="150" t="e">
        <f t="shared" si="405"/>
        <v>#REF!</v>
      </c>
      <c r="AA385" s="150" t="e">
        <f t="shared" si="405"/>
        <v>#REF!</v>
      </c>
      <c r="AB385" s="50"/>
    </row>
    <row r="386" s="28" customFormat="1" outlineLevel="3" spans="1:28">
      <c r="A386" s="52">
        <f>MAX($A$6:A385)+1</f>
        <v>344</v>
      </c>
      <c r="B386" s="159" t="s">
        <v>2120</v>
      </c>
      <c r="C386" s="51" t="e">
        <f>VLOOKUP($B386,#REF!,MATCH(C$2,#REF!,0),0)</f>
        <v>#REF!</v>
      </c>
      <c r="D386" s="83"/>
      <c r="E386" s="83"/>
      <c r="F386" s="136" t="e">
        <f>VLOOKUP($B386,#REF!,MATCH(F$2,#REF!,0),0)</f>
        <v>#REF!</v>
      </c>
      <c r="G386" s="137" t="e">
        <f>VLOOKUP($B386,#REF!,MATCH(G$2,#REF!,0),0)</f>
        <v>#REF!</v>
      </c>
      <c r="H386" s="48">
        <v>1</v>
      </c>
      <c r="I386" s="48"/>
      <c r="J386" s="48"/>
      <c r="K386" s="48"/>
      <c r="L386" s="48"/>
      <c r="M386" s="48"/>
      <c r="N386" s="48"/>
      <c r="O386" s="48"/>
      <c r="P386" s="48"/>
      <c r="Q386" s="48"/>
      <c r="R386" s="150" t="e">
        <f t="shared" ref="R386:AA386" si="406">$G386*H386</f>
        <v>#REF!</v>
      </c>
      <c r="S386" s="150" t="e">
        <f t="shared" si="406"/>
        <v>#REF!</v>
      </c>
      <c r="T386" s="150" t="e">
        <f t="shared" si="406"/>
        <v>#REF!</v>
      </c>
      <c r="U386" s="150" t="e">
        <f t="shared" si="406"/>
        <v>#REF!</v>
      </c>
      <c r="V386" s="150" t="e">
        <f t="shared" si="406"/>
        <v>#REF!</v>
      </c>
      <c r="W386" s="150" t="e">
        <f t="shared" si="406"/>
        <v>#REF!</v>
      </c>
      <c r="X386" s="150" t="e">
        <f t="shared" si="406"/>
        <v>#REF!</v>
      </c>
      <c r="Y386" s="150" t="e">
        <f t="shared" si="406"/>
        <v>#REF!</v>
      </c>
      <c r="Z386" s="150" t="e">
        <f t="shared" si="406"/>
        <v>#REF!</v>
      </c>
      <c r="AA386" s="150" t="e">
        <f t="shared" si="406"/>
        <v>#REF!</v>
      </c>
      <c r="AB386" s="50"/>
    </row>
    <row r="387" s="28" customFormat="1" outlineLevel="3" spans="1:28">
      <c r="A387" s="52">
        <f>MAX($A$6:A386)+1</f>
        <v>345</v>
      </c>
      <c r="B387" s="159" t="s">
        <v>2121</v>
      </c>
      <c r="C387" s="51" t="e">
        <f>VLOOKUP($B387,#REF!,MATCH(C$2,#REF!,0),0)</f>
        <v>#REF!</v>
      </c>
      <c r="D387" s="83"/>
      <c r="E387" s="83"/>
      <c r="F387" s="136" t="e">
        <f>VLOOKUP($B387,#REF!,MATCH(F$2,#REF!,0),0)</f>
        <v>#REF!</v>
      </c>
      <c r="G387" s="137" t="e">
        <f>VLOOKUP($B387,#REF!,MATCH(G$2,#REF!,0),0)</f>
        <v>#REF!</v>
      </c>
      <c r="H387" s="48">
        <v>7538.01</v>
      </c>
      <c r="I387" s="48"/>
      <c r="J387" s="48"/>
      <c r="K387" s="48"/>
      <c r="L387" s="48">
        <v>3394.275</v>
      </c>
      <c r="M387" s="48"/>
      <c r="N387" s="48"/>
      <c r="O387" s="48">
        <v>735.15</v>
      </c>
      <c r="P387" s="48"/>
      <c r="Q387" s="48"/>
      <c r="R387" s="150" t="e">
        <f t="shared" ref="R387:AA387" si="407">$G387*H387</f>
        <v>#REF!</v>
      </c>
      <c r="S387" s="150" t="e">
        <f t="shared" si="407"/>
        <v>#REF!</v>
      </c>
      <c r="T387" s="150" t="e">
        <f t="shared" si="407"/>
        <v>#REF!</v>
      </c>
      <c r="U387" s="150" t="e">
        <f t="shared" si="407"/>
        <v>#REF!</v>
      </c>
      <c r="V387" s="150" t="e">
        <f t="shared" si="407"/>
        <v>#REF!</v>
      </c>
      <c r="W387" s="150" t="e">
        <f t="shared" si="407"/>
        <v>#REF!</v>
      </c>
      <c r="X387" s="150" t="e">
        <f t="shared" si="407"/>
        <v>#REF!</v>
      </c>
      <c r="Y387" s="150" t="e">
        <f t="shared" si="407"/>
        <v>#REF!</v>
      </c>
      <c r="Z387" s="150" t="e">
        <f t="shared" si="407"/>
        <v>#REF!</v>
      </c>
      <c r="AA387" s="150" t="e">
        <f t="shared" si="407"/>
        <v>#REF!</v>
      </c>
      <c r="AB387" s="50"/>
    </row>
    <row r="388" s="28" customFormat="1" outlineLevel="3" spans="1:28">
      <c r="A388" s="52">
        <f>MAX($A$6:A387)+1</f>
        <v>346</v>
      </c>
      <c r="B388" s="159" t="s">
        <v>2122</v>
      </c>
      <c r="C388" s="51" t="e">
        <f>VLOOKUP($B388,#REF!,MATCH(C$2,#REF!,0),0)</f>
        <v>#REF!</v>
      </c>
      <c r="D388" s="83"/>
      <c r="E388" s="83"/>
      <c r="F388" s="136" t="e">
        <f>VLOOKUP($B388,#REF!,MATCH(F$2,#REF!,0),0)</f>
        <v>#REF!</v>
      </c>
      <c r="G388" s="137" t="e">
        <f>VLOOKUP($B388,#REF!,MATCH(G$2,#REF!,0),0)</f>
        <v>#REF!</v>
      </c>
      <c r="H388" s="48">
        <v>1</v>
      </c>
      <c r="I388" s="48"/>
      <c r="J388" s="48"/>
      <c r="K388" s="48"/>
      <c r="L388" s="48"/>
      <c r="M388" s="48"/>
      <c r="N388" s="48"/>
      <c r="O388" s="48"/>
      <c r="P388" s="48"/>
      <c r="Q388" s="48"/>
      <c r="R388" s="150" t="e">
        <f t="shared" ref="R388:AA388" si="408">$G388*H388</f>
        <v>#REF!</v>
      </c>
      <c r="S388" s="150" t="e">
        <f t="shared" si="408"/>
        <v>#REF!</v>
      </c>
      <c r="T388" s="150" t="e">
        <f t="shared" si="408"/>
        <v>#REF!</v>
      </c>
      <c r="U388" s="150" t="e">
        <f t="shared" si="408"/>
        <v>#REF!</v>
      </c>
      <c r="V388" s="150" t="e">
        <f t="shared" si="408"/>
        <v>#REF!</v>
      </c>
      <c r="W388" s="150" t="e">
        <f t="shared" si="408"/>
        <v>#REF!</v>
      </c>
      <c r="X388" s="150" t="e">
        <f t="shared" si="408"/>
        <v>#REF!</v>
      </c>
      <c r="Y388" s="150" t="e">
        <f t="shared" si="408"/>
        <v>#REF!</v>
      </c>
      <c r="Z388" s="150" t="e">
        <f t="shared" si="408"/>
        <v>#REF!</v>
      </c>
      <c r="AA388" s="150" t="e">
        <f t="shared" si="408"/>
        <v>#REF!</v>
      </c>
      <c r="AB388" s="50"/>
    </row>
    <row r="389" s="28" customFormat="1" outlineLevel="3" spans="1:28">
      <c r="A389" s="52">
        <f>MAX($A$6:A388)+1</f>
        <v>347</v>
      </c>
      <c r="B389" s="159" t="s">
        <v>2123</v>
      </c>
      <c r="C389" s="51" t="e">
        <f>VLOOKUP($B389,#REF!,MATCH(C$2,#REF!,0),0)</f>
        <v>#REF!</v>
      </c>
      <c r="D389" s="83"/>
      <c r="E389" s="83"/>
      <c r="F389" s="136" t="e">
        <f>VLOOKUP($B389,#REF!,MATCH(F$2,#REF!,0),0)</f>
        <v>#REF!</v>
      </c>
      <c r="G389" s="137" t="e">
        <f>VLOOKUP($B389,#REF!,MATCH(G$2,#REF!,0),0)</f>
        <v>#REF!</v>
      </c>
      <c r="H389" s="48">
        <v>1</v>
      </c>
      <c r="I389" s="48"/>
      <c r="J389" s="48"/>
      <c r="K389" s="48"/>
      <c r="L389" s="48"/>
      <c r="M389" s="48"/>
      <c r="N389" s="48"/>
      <c r="O389" s="48"/>
      <c r="P389" s="48"/>
      <c r="Q389" s="48"/>
      <c r="R389" s="150" t="e">
        <f t="shared" ref="R389:AA389" si="409">$G389*H389</f>
        <v>#REF!</v>
      </c>
      <c r="S389" s="150" t="e">
        <f t="shared" si="409"/>
        <v>#REF!</v>
      </c>
      <c r="T389" s="150" t="e">
        <f t="shared" si="409"/>
        <v>#REF!</v>
      </c>
      <c r="U389" s="150" t="e">
        <f t="shared" si="409"/>
        <v>#REF!</v>
      </c>
      <c r="V389" s="150" t="e">
        <f t="shared" si="409"/>
        <v>#REF!</v>
      </c>
      <c r="W389" s="150" t="e">
        <f t="shared" si="409"/>
        <v>#REF!</v>
      </c>
      <c r="X389" s="150" t="e">
        <f t="shared" si="409"/>
        <v>#REF!</v>
      </c>
      <c r="Y389" s="150" t="e">
        <f t="shared" si="409"/>
        <v>#REF!</v>
      </c>
      <c r="Z389" s="150" t="e">
        <f t="shared" si="409"/>
        <v>#REF!</v>
      </c>
      <c r="AA389" s="150" t="e">
        <f t="shared" si="409"/>
        <v>#REF!</v>
      </c>
      <c r="AB389" s="50"/>
    </row>
    <row r="390" s="28" customFormat="1" outlineLevel="3" spans="1:28">
      <c r="A390" s="52">
        <f>MAX($A$6:A389)+1</f>
        <v>348</v>
      </c>
      <c r="B390" s="159" t="s">
        <v>2124</v>
      </c>
      <c r="C390" s="51" t="e">
        <f>VLOOKUP($B390,#REF!,MATCH(C$2,#REF!,0),0)</f>
        <v>#REF!</v>
      </c>
      <c r="D390" s="83"/>
      <c r="E390" s="83"/>
      <c r="F390" s="136" t="e">
        <f>VLOOKUP($B390,#REF!,MATCH(F$2,#REF!,0),0)</f>
        <v>#REF!</v>
      </c>
      <c r="G390" s="137" t="e">
        <f>VLOOKUP($B390,#REF!,MATCH(G$2,#REF!,0),0)</f>
        <v>#REF!</v>
      </c>
      <c r="H390" s="48">
        <v>1</v>
      </c>
      <c r="I390" s="48"/>
      <c r="J390" s="48"/>
      <c r="K390" s="48"/>
      <c r="L390" s="48"/>
      <c r="M390" s="48"/>
      <c r="N390" s="48"/>
      <c r="O390" s="48"/>
      <c r="P390" s="48"/>
      <c r="Q390" s="48"/>
      <c r="R390" s="150" t="e">
        <f t="shared" ref="R390:AA390" si="410">$G390*H390</f>
        <v>#REF!</v>
      </c>
      <c r="S390" s="150" t="e">
        <f t="shared" si="410"/>
        <v>#REF!</v>
      </c>
      <c r="T390" s="150" t="e">
        <f t="shared" si="410"/>
        <v>#REF!</v>
      </c>
      <c r="U390" s="150" t="e">
        <f t="shared" si="410"/>
        <v>#REF!</v>
      </c>
      <c r="V390" s="150" t="e">
        <f t="shared" si="410"/>
        <v>#REF!</v>
      </c>
      <c r="W390" s="150" t="e">
        <f t="shared" si="410"/>
        <v>#REF!</v>
      </c>
      <c r="X390" s="150" t="e">
        <f t="shared" si="410"/>
        <v>#REF!</v>
      </c>
      <c r="Y390" s="150" t="e">
        <f t="shared" si="410"/>
        <v>#REF!</v>
      </c>
      <c r="Z390" s="150" t="e">
        <f t="shared" si="410"/>
        <v>#REF!</v>
      </c>
      <c r="AA390" s="150" t="e">
        <f t="shared" si="410"/>
        <v>#REF!</v>
      </c>
      <c r="AB390" s="50"/>
    </row>
    <row r="391" s="28" customFormat="1" ht="28.8" outlineLevel="3" spans="1:28">
      <c r="A391" s="52">
        <f>MAX($A$6:A390)+1</f>
        <v>349</v>
      </c>
      <c r="B391" s="138" t="s">
        <v>1849</v>
      </c>
      <c r="C391" s="51" t="e">
        <f>VLOOKUP($B391,#REF!,MATCH(C$2,#REF!,0),0)</f>
        <v>#REF!</v>
      </c>
      <c r="D391" s="83"/>
      <c r="E391" s="83"/>
      <c r="F391" s="136" t="e">
        <f>VLOOKUP($B391,#REF!,MATCH(F$2,#REF!,0),0)</f>
        <v>#REF!</v>
      </c>
      <c r="G391" s="137" t="e">
        <f>VLOOKUP($B391,#REF!,MATCH(G$2,#REF!,0),0)</f>
        <v>#REF!</v>
      </c>
      <c r="H391" s="48"/>
      <c r="I391" s="48"/>
      <c r="J391" s="48">
        <v>5557.97</v>
      </c>
      <c r="K391" s="48">
        <v>5557.97</v>
      </c>
      <c r="L391" s="48"/>
      <c r="M391" s="48"/>
      <c r="N391" s="48">
        <v>1028</v>
      </c>
      <c r="O391" s="48"/>
      <c r="P391" s="48"/>
      <c r="Q391" s="48"/>
      <c r="R391" s="150" t="e">
        <f t="shared" ref="R391:AA391" si="411">$G391*H391</f>
        <v>#REF!</v>
      </c>
      <c r="S391" s="150" t="e">
        <f t="shared" si="411"/>
        <v>#REF!</v>
      </c>
      <c r="T391" s="150" t="e">
        <f t="shared" si="411"/>
        <v>#REF!</v>
      </c>
      <c r="U391" s="150" t="e">
        <f t="shared" si="411"/>
        <v>#REF!</v>
      </c>
      <c r="V391" s="150" t="e">
        <f t="shared" si="411"/>
        <v>#REF!</v>
      </c>
      <c r="W391" s="150" t="e">
        <f t="shared" si="411"/>
        <v>#REF!</v>
      </c>
      <c r="X391" s="150" t="e">
        <f t="shared" si="411"/>
        <v>#REF!</v>
      </c>
      <c r="Y391" s="150" t="e">
        <f t="shared" si="411"/>
        <v>#REF!</v>
      </c>
      <c r="Z391" s="150" t="e">
        <f t="shared" si="411"/>
        <v>#REF!</v>
      </c>
      <c r="AA391" s="150" t="e">
        <f t="shared" si="411"/>
        <v>#REF!</v>
      </c>
      <c r="AB391" s="50"/>
    </row>
    <row r="392" s="28" customFormat="1" ht="28.8" outlineLevel="3" spans="1:28">
      <c r="A392" s="52">
        <f>MAX($A$6:A391)+1</f>
        <v>350</v>
      </c>
      <c r="B392" s="138" t="s">
        <v>1850</v>
      </c>
      <c r="C392" s="51" t="e">
        <f>VLOOKUP($B392,#REF!,MATCH(C$2,#REF!,0),0)</f>
        <v>#REF!</v>
      </c>
      <c r="D392" s="83"/>
      <c r="E392" s="83"/>
      <c r="F392" s="136" t="e">
        <f>VLOOKUP($B392,#REF!,MATCH(F$2,#REF!,0),0)</f>
        <v>#REF!</v>
      </c>
      <c r="G392" s="137" t="e">
        <f>VLOOKUP($B392,#REF!,MATCH(G$2,#REF!,0),0)</f>
        <v>#REF!</v>
      </c>
      <c r="H392" s="48"/>
      <c r="I392" s="48"/>
      <c r="J392" s="48">
        <v>1</v>
      </c>
      <c r="K392" s="48">
        <v>1</v>
      </c>
      <c r="L392" s="48"/>
      <c r="M392" s="48"/>
      <c r="N392" s="48">
        <v>1</v>
      </c>
      <c r="O392" s="48"/>
      <c r="P392" s="48"/>
      <c r="Q392" s="48"/>
      <c r="R392" s="150" t="e">
        <f t="shared" ref="R392:AA392" si="412">$G392*H392</f>
        <v>#REF!</v>
      </c>
      <c r="S392" s="150" t="e">
        <f t="shared" si="412"/>
        <v>#REF!</v>
      </c>
      <c r="T392" s="150" t="e">
        <f t="shared" si="412"/>
        <v>#REF!</v>
      </c>
      <c r="U392" s="150" t="e">
        <f t="shared" si="412"/>
        <v>#REF!</v>
      </c>
      <c r="V392" s="150" t="e">
        <f t="shared" si="412"/>
        <v>#REF!</v>
      </c>
      <c r="W392" s="150" t="e">
        <f t="shared" si="412"/>
        <v>#REF!</v>
      </c>
      <c r="X392" s="150" t="e">
        <f t="shared" si="412"/>
        <v>#REF!</v>
      </c>
      <c r="Y392" s="150" t="e">
        <f t="shared" si="412"/>
        <v>#REF!</v>
      </c>
      <c r="Z392" s="150" t="e">
        <f t="shared" si="412"/>
        <v>#REF!</v>
      </c>
      <c r="AA392" s="150" t="e">
        <f t="shared" si="412"/>
        <v>#REF!</v>
      </c>
      <c r="AB392" s="50"/>
    </row>
    <row r="393" s="28" customFormat="1" ht="28.8" outlineLevel="3" spans="1:28">
      <c r="A393" s="52">
        <f>MAX($A$6:A392)+1</f>
        <v>351</v>
      </c>
      <c r="B393" s="138" t="s">
        <v>1851</v>
      </c>
      <c r="C393" s="51" t="e">
        <f>VLOOKUP($B393,#REF!,MATCH(C$2,#REF!,0),0)</f>
        <v>#REF!</v>
      </c>
      <c r="D393" s="83"/>
      <c r="E393" s="83"/>
      <c r="F393" s="136" t="e">
        <f>VLOOKUP($B393,#REF!,MATCH(F$2,#REF!,0),0)</f>
        <v>#REF!</v>
      </c>
      <c r="G393" s="137" t="e">
        <f>VLOOKUP($B393,#REF!,MATCH(G$2,#REF!,0),0)</f>
        <v>#REF!</v>
      </c>
      <c r="H393" s="48"/>
      <c r="I393" s="48"/>
      <c r="J393" s="48">
        <v>1</v>
      </c>
      <c r="K393" s="48">
        <v>1</v>
      </c>
      <c r="L393" s="48"/>
      <c r="M393" s="48"/>
      <c r="N393" s="48">
        <v>1</v>
      </c>
      <c r="O393" s="48"/>
      <c r="P393" s="48"/>
      <c r="Q393" s="48"/>
      <c r="R393" s="150" t="e">
        <f t="shared" ref="R393:AA393" si="413">$G393*H393</f>
        <v>#REF!</v>
      </c>
      <c r="S393" s="150" t="e">
        <f t="shared" si="413"/>
        <v>#REF!</v>
      </c>
      <c r="T393" s="150" t="e">
        <f t="shared" si="413"/>
        <v>#REF!</v>
      </c>
      <c r="U393" s="150" t="e">
        <f t="shared" si="413"/>
        <v>#REF!</v>
      </c>
      <c r="V393" s="150" t="e">
        <f t="shared" si="413"/>
        <v>#REF!</v>
      </c>
      <c r="W393" s="150" t="e">
        <f t="shared" si="413"/>
        <v>#REF!</v>
      </c>
      <c r="X393" s="150" t="e">
        <f t="shared" si="413"/>
        <v>#REF!</v>
      </c>
      <c r="Y393" s="150" t="e">
        <f t="shared" si="413"/>
        <v>#REF!</v>
      </c>
      <c r="Z393" s="150" t="e">
        <f t="shared" si="413"/>
        <v>#REF!</v>
      </c>
      <c r="AA393" s="150" t="e">
        <f t="shared" si="413"/>
        <v>#REF!</v>
      </c>
      <c r="AB393" s="50"/>
    </row>
    <row r="394" outlineLevel="3" spans="1:28">
      <c r="A394" s="52">
        <f>MAX($A$6:A393)+1</f>
        <v>352</v>
      </c>
      <c r="B394" s="138" t="s">
        <v>2125</v>
      </c>
      <c r="C394" s="51" t="e">
        <f>VLOOKUP($B394,#REF!,MATCH(C$2,#REF!,0),0)</f>
        <v>#REF!</v>
      </c>
      <c r="D394" s="83"/>
      <c r="E394" s="83"/>
      <c r="F394" s="136" t="e">
        <f>VLOOKUP($B394,#REF!,MATCH(F$2,#REF!,0),0)</f>
        <v>#REF!</v>
      </c>
      <c r="G394" s="137" t="e">
        <f>VLOOKUP($B394,#REF!,MATCH(G$2,#REF!,0),0)</f>
        <v>#REF!</v>
      </c>
      <c r="H394" s="48">
        <v>1</v>
      </c>
      <c r="I394" s="48">
        <v>1</v>
      </c>
      <c r="J394" s="48">
        <v>0</v>
      </c>
      <c r="K394" s="48">
        <v>0</v>
      </c>
      <c r="L394" s="48"/>
      <c r="M394" s="48">
        <v>0</v>
      </c>
      <c r="N394" s="48">
        <v>0</v>
      </c>
      <c r="O394" s="48">
        <v>0</v>
      </c>
      <c r="P394" s="48"/>
      <c r="Q394" s="48"/>
      <c r="R394" s="150" t="e">
        <f t="shared" ref="R394:AA394" si="414">$G394*H394</f>
        <v>#REF!</v>
      </c>
      <c r="S394" s="150" t="e">
        <f t="shared" si="414"/>
        <v>#REF!</v>
      </c>
      <c r="T394" s="150" t="e">
        <f t="shared" si="414"/>
        <v>#REF!</v>
      </c>
      <c r="U394" s="150" t="e">
        <f t="shared" si="414"/>
        <v>#REF!</v>
      </c>
      <c r="V394" s="150" t="e">
        <f t="shared" si="414"/>
        <v>#REF!</v>
      </c>
      <c r="W394" s="150" t="e">
        <f t="shared" si="414"/>
        <v>#REF!</v>
      </c>
      <c r="X394" s="150" t="e">
        <f t="shared" si="414"/>
        <v>#REF!</v>
      </c>
      <c r="Y394" s="150" t="e">
        <f t="shared" si="414"/>
        <v>#REF!</v>
      </c>
      <c r="Z394" s="150" t="e">
        <f t="shared" si="414"/>
        <v>#REF!</v>
      </c>
      <c r="AA394" s="150" t="e">
        <f t="shared" si="414"/>
        <v>#REF!</v>
      </c>
      <c r="AB394" s="50"/>
    </row>
    <row r="395" s="28" customFormat="1" outlineLevel="3" spans="1:28">
      <c r="A395" s="52">
        <f>MAX($A$6:A394)+1</f>
        <v>353</v>
      </c>
      <c r="B395" s="138" t="s">
        <v>2126</v>
      </c>
      <c r="C395" s="51" t="e">
        <f>VLOOKUP($B395,#REF!,MATCH(C$2,#REF!,0),0)</f>
        <v>#REF!</v>
      </c>
      <c r="D395" s="83"/>
      <c r="E395" s="83"/>
      <c r="F395" s="136" t="e">
        <f>VLOOKUP($B395,#REF!,MATCH(F$2,#REF!,0),0)</f>
        <v>#REF!</v>
      </c>
      <c r="G395" s="137" t="e">
        <f>VLOOKUP($B395,#REF!,MATCH(G$2,#REF!,0),0)</f>
        <v>#REF!</v>
      </c>
      <c r="H395" s="48">
        <v>4</v>
      </c>
      <c r="I395" s="48">
        <v>4</v>
      </c>
      <c r="J395" s="48">
        <v>1</v>
      </c>
      <c r="K395" s="48">
        <v>1</v>
      </c>
      <c r="L395" s="48"/>
      <c r="M395" s="48">
        <v>7</v>
      </c>
      <c r="N395" s="48">
        <v>7</v>
      </c>
      <c r="O395" s="48">
        <v>7</v>
      </c>
      <c r="P395" s="48"/>
      <c r="Q395" s="48"/>
      <c r="R395" s="150" t="e">
        <f t="shared" ref="R395:AA395" si="415">$G395*H395</f>
        <v>#REF!</v>
      </c>
      <c r="S395" s="150" t="e">
        <f t="shared" si="415"/>
        <v>#REF!</v>
      </c>
      <c r="T395" s="150" t="e">
        <f t="shared" si="415"/>
        <v>#REF!</v>
      </c>
      <c r="U395" s="150" t="e">
        <f t="shared" si="415"/>
        <v>#REF!</v>
      </c>
      <c r="V395" s="150" t="e">
        <f t="shared" si="415"/>
        <v>#REF!</v>
      </c>
      <c r="W395" s="150" t="e">
        <f t="shared" si="415"/>
        <v>#REF!</v>
      </c>
      <c r="X395" s="150" t="e">
        <f t="shared" si="415"/>
        <v>#REF!</v>
      </c>
      <c r="Y395" s="150" t="e">
        <f t="shared" si="415"/>
        <v>#REF!</v>
      </c>
      <c r="Z395" s="150" t="e">
        <f t="shared" si="415"/>
        <v>#REF!</v>
      </c>
      <c r="AA395" s="150" t="e">
        <f t="shared" si="415"/>
        <v>#REF!</v>
      </c>
      <c r="AB395" s="50"/>
    </row>
    <row r="396" s="28" customFormat="1" outlineLevel="3" spans="1:28">
      <c r="A396" s="52">
        <f>MAX($A$6:A395)+1</f>
        <v>354</v>
      </c>
      <c r="B396" s="138" t="s">
        <v>2127</v>
      </c>
      <c r="C396" s="51" t="e">
        <f>VLOOKUP($B396,#REF!,MATCH(C$2,#REF!,0),0)</f>
        <v>#REF!</v>
      </c>
      <c r="D396" s="83"/>
      <c r="E396" s="83"/>
      <c r="F396" s="136" t="e">
        <f>VLOOKUP($B396,#REF!,MATCH(F$2,#REF!,0),0)</f>
        <v>#REF!</v>
      </c>
      <c r="G396" s="137" t="e">
        <f>VLOOKUP($B396,#REF!,MATCH(G$2,#REF!,0),0)</f>
        <v>#REF!</v>
      </c>
      <c r="H396" s="48">
        <v>104</v>
      </c>
      <c r="I396" s="48">
        <v>104</v>
      </c>
      <c r="J396" s="48">
        <v>1</v>
      </c>
      <c r="K396" s="48">
        <v>1</v>
      </c>
      <c r="L396" s="48"/>
      <c r="M396" s="48">
        <v>3</v>
      </c>
      <c r="N396" s="48">
        <v>3</v>
      </c>
      <c r="O396" s="48">
        <v>3</v>
      </c>
      <c r="P396" s="48"/>
      <c r="Q396" s="48"/>
      <c r="R396" s="150" t="e">
        <f t="shared" ref="R396:AA396" si="416">$G396*H396</f>
        <v>#REF!</v>
      </c>
      <c r="S396" s="150" t="e">
        <f t="shared" si="416"/>
        <v>#REF!</v>
      </c>
      <c r="T396" s="150" t="e">
        <f t="shared" si="416"/>
        <v>#REF!</v>
      </c>
      <c r="U396" s="150" t="e">
        <f t="shared" si="416"/>
        <v>#REF!</v>
      </c>
      <c r="V396" s="150" t="e">
        <f t="shared" si="416"/>
        <v>#REF!</v>
      </c>
      <c r="W396" s="150" t="e">
        <f t="shared" si="416"/>
        <v>#REF!</v>
      </c>
      <c r="X396" s="150" t="e">
        <f t="shared" si="416"/>
        <v>#REF!</v>
      </c>
      <c r="Y396" s="150" t="e">
        <f t="shared" si="416"/>
        <v>#REF!</v>
      </c>
      <c r="Z396" s="150" t="e">
        <f t="shared" si="416"/>
        <v>#REF!</v>
      </c>
      <c r="AA396" s="150" t="e">
        <f t="shared" si="416"/>
        <v>#REF!</v>
      </c>
      <c r="AB396" s="50"/>
    </row>
    <row r="397" s="28" customFormat="1" outlineLevel="3" spans="1:28">
      <c r="A397" s="52">
        <f>MAX($A$6:A396)+1</f>
        <v>355</v>
      </c>
      <c r="B397" s="138" t="s">
        <v>2128</v>
      </c>
      <c r="C397" s="51" t="e">
        <f>VLOOKUP($B397,#REF!,MATCH(C$2,#REF!,0),0)</f>
        <v>#REF!</v>
      </c>
      <c r="D397" s="83"/>
      <c r="E397" s="83"/>
      <c r="F397" s="136" t="e">
        <f>VLOOKUP($B397,#REF!,MATCH(F$2,#REF!,0),0)</f>
        <v>#REF!</v>
      </c>
      <c r="G397" s="137" t="e">
        <f>VLOOKUP($B397,#REF!,MATCH(G$2,#REF!,0),0)</f>
        <v>#REF!</v>
      </c>
      <c r="H397" s="48"/>
      <c r="I397" s="48"/>
      <c r="J397" s="48"/>
      <c r="K397" s="48"/>
      <c r="L397" s="48"/>
      <c r="M397" s="48">
        <v>1</v>
      </c>
      <c r="N397" s="48">
        <v>1</v>
      </c>
      <c r="O397" s="48">
        <v>1</v>
      </c>
      <c r="P397" s="48"/>
      <c r="Q397" s="48"/>
      <c r="R397" s="150" t="e">
        <f t="shared" ref="R397:AA397" si="417">$G397*H397</f>
        <v>#REF!</v>
      </c>
      <c r="S397" s="150" t="e">
        <f t="shared" si="417"/>
        <v>#REF!</v>
      </c>
      <c r="T397" s="150" t="e">
        <f t="shared" si="417"/>
        <v>#REF!</v>
      </c>
      <c r="U397" s="150" t="e">
        <f t="shared" si="417"/>
        <v>#REF!</v>
      </c>
      <c r="V397" s="150" t="e">
        <f t="shared" si="417"/>
        <v>#REF!</v>
      </c>
      <c r="W397" s="150" t="e">
        <f t="shared" si="417"/>
        <v>#REF!</v>
      </c>
      <c r="X397" s="150" t="e">
        <f t="shared" si="417"/>
        <v>#REF!</v>
      </c>
      <c r="Y397" s="150" t="e">
        <f t="shared" si="417"/>
        <v>#REF!</v>
      </c>
      <c r="Z397" s="150" t="e">
        <f t="shared" si="417"/>
        <v>#REF!</v>
      </c>
      <c r="AA397" s="150" t="e">
        <f t="shared" si="417"/>
        <v>#REF!</v>
      </c>
      <c r="AB397" s="50"/>
    </row>
    <row r="398" s="28" customFormat="1" outlineLevel="3" spans="1:28">
      <c r="A398" s="52">
        <f>MAX($A$6:A397)+1</f>
        <v>356</v>
      </c>
      <c r="B398" s="138" t="s">
        <v>2129</v>
      </c>
      <c r="C398" s="51" t="e">
        <f>VLOOKUP($B398,#REF!,MATCH(C$2,#REF!,0),0)</f>
        <v>#REF!</v>
      </c>
      <c r="D398" s="83"/>
      <c r="E398" s="83"/>
      <c r="F398" s="136" t="e">
        <f>VLOOKUP($B398,#REF!,MATCH(F$2,#REF!,0),0)</f>
        <v>#REF!</v>
      </c>
      <c r="G398" s="137" t="e">
        <f>VLOOKUP($B398,#REF!,MATCH(G$2,#REF!,0),0)</f>
        <v>#REF!</v>
      </c>
      <c r="H398" s="48"/>
      <c r="I398" s="48"/>
      <c r="J398" s="48">
        <v>44</v>
      </c>
      <c r="K398" s="48">
        <v>44</v>
      </c>
      <c r="L398" s="48">
        <v>1</v>
      </c>
      <c r="M398" s="48"/>
      <c r="N398" s="48"/>
      <c r="O398" s="48"/>
      <c r="P398" s="48"/>
      <c r="Q398" s="48"/>
      <c r="R398" s="150" t="e">
        <f t="shared" ref="R398:AA398" si="418">$G398*H398</f>
        <v>#REF!</v>
      </c>
      <c r="S398" s="150" t="e">
        <f t="shared" si="418"/>
        <v>#REF!</v>
      </c>
      <c r="T398" s="150" t="e">
        <f t="shared" si="418"/>
        <v>#REF!</v>
      </c>
      <c r="U398" s="150" t="e">
        <f t="shared" si="418"/>
        <v>#REF!</v>
      </c>
      <c r="V398" s="150" t="e">
        <f t="shared" si="418"/>
        <v>#REF!</v>
      </c>
      <c r="W398" s="150" t="e">
        <f t="shared" si="418"/>
        <v>#REF!</v>
      </c>
      <c r="X398" s="150" t="e">
        <f t="shared" si="418"/>
        <v>#REF!</v>
      </c>
      <c r="Y398" s="150" t="e">
        <f t="shared" si="418"/>
        <v>#REF!</v>
      </c>
      <c r="Z398" s="150" t="e">
        <f t="shared" si="418"/>
        <v>#REF!</v>
      </c>
      <c r="AA398" s="150" t="e">
        <f t="shared" si="418"/>
        <v>#REF!</v>
      </c>
      <c r="AB398" s="50"/>
    </row>
    <row r="399" s="28" customFormat="1" outlineLevel="3" spans="1:28">
      <c r="A399" s="52">
        <f>MAX($A$6:A398)+1</f>
        <v>357</v>
      </c>
      <c r="B399" s="138" t="s">
        <v>2130</v>
      </c>
      <c r="C399" s="51" t="e">
        <f>VLOOKUP($B399,#REF!,MATCH(C$2,#REF!,0),0)</f>
        <v>#REF!</v>
      </c>
      <c r="D399" s="83"/>
      <c r="E399" s="83"/>
      <c r="F399" s="136" t="e">
        <f>VLOOKUP($B399,#REF!,MATCH(F$2,#REF!,0),0)</f>
        <v>#REF!</v>
      </c>
      <c r="G399" s="137" t="e">
        <f>VLOOKUP($B399,#REF!,MATCH(G$2,#REF!,0),0)</f>
        <v>#REF!</v>
      </c>
      <c r="H399" s="48"/>
      <c r="I399" s="48"/>
      <c r="J399" s="48"/>
      <c r="K399" s="48"/>
      <c r="L399" s="48">
        <v>18</v>
      </c>
      <c r="M399" s="48"/>
      <c r="N399" s="48"/>
      <c r="O399" s="48"/>
      <c r="P399" s="48"/>
      <c r="Q399" s="48"/>
      <c r="R399" s="150" t="e">
        <f t="shared" ref="R399:AA399" si="419">$G399*H399</f>
        <v>#REF!</v>
      </c>
      <c r="S399" s="150" t="e">
        <f t="shared" si="419"/>
        <v>#REF!</v>
      </c>
      <c r="T399" s="150" t="e">
        <f t="shared" si="419"/>
        <v>#REF!</v>
      </c>
      <c r="U399" s="150" t="e">
        <f t="shared" si="419"/>
        <v>#REF!</v>
      </c>
      <c r="V399" s="150" t="e">
        <f t="shared" si="419"/>
        <v>#REF!</v>
      </c>
      <c r="W399" s="150" t="e">
        <f t="shared" si="419"/>
        <v>#REF!</v>
      </c>
      <c r="X399" s="150" t="e">
        <f t="shared" si="419"/>
        <v>#REF!</v>
      </c>
      <c r="Y399" s="150" t="e">
        <f t="shared" si="419"/>
        <v>#REF!</v>
      </c>
      <c r="Z399" s="150" t="e">
        <f t="shared" si="419"/>
        <v>#REF!</v>
      </c>
      <c r="AA399" s="150" t="e">
        <f t="shared" si="419"/>
        <v>#REF!</v>
      </c>
      <c r="AB399" s="50"/>
    </row>
    <row r="400" s="28" customFormat="1" outlineLevel="3" spans="1:28">
      <c r="A400" s="52">
        <f>MAX($A$6:A399)+1</f>
        <v>358</v>
      </c>
      <c r="B400" s="138" t="s">
        <v>2131</v>
      </c>
      <c r="C400" s="51" t="e">
        <f>VLOOKUP($B400,#REF!,MATCH(C$2,#REF!,0),0)</f>
        <v>#REF!</v>
      </c>
      <c r="D400" s="83"/>
      <c r="E400" s="83"/>
      <c r="F400" s="136" t="e">
        <f>VLOOKUP($B400,#REF!,MATCH(F$2,#REF!,0),0)</f>
        <v>#REF!</v>
      </c>
      <c r="G400" s="137" t="e">
        <f>VLOOKUP($B400,#REF!,MATCH(G$2,#REF!,0),0)</f>
        <v>#REF!</v>
      </c>
      <c r="H400" s="48"/>
      <c r="I400" s="48"/>
      <c r="J400" s="48"/>
      <c r="K400" s="48"/>
      <c r="L400" s="48"/>
      <c r="M400" s="48"/>
      <c r="N400" s="48"/>
      <c r="O400" s="48"/>
      <c r="P400" s="48"/>
      <c r="Q400" s="48"/>
      <c r="R400" s="150" t="e">
        <f t="shared" ref="R400:AA400" si="420">$G400*H400</f>
        <v>#REF!</v>
      </c>
      <c r="S400" s="150" t="e">
        <f t="shared" si="420"/>
        <v>#REF!</v>
      </c>
      <c r="T400" s="150" t="e">
        <f t="shared" si="420"/>
        <v>#REF!</v>
      </c>
      <c r="U400" s="150" t="e">
        <f t="shared" si="420"/>
        <v>#REF!</v>
      </c>
      <c r="V400" s="150" t="e">
        <f t="shared" si="420"/>
        <v>#REF!</v>
      </c>
      <c r="W400" s="150" t="e">
        <f t="shared" si="420"/>
        <v>#REF!</v>
      </c>
      <c r="X400" s="150" t="e">
        <f t="shared" si="420"/>
        <v>#REF!</v>
      </c>
      <c r="Y400" s="150" t="e">
        <f t="shared" si="420"/>
        <v>#REF!</v>
      </c>
      <c r="Z400" s="150" t="e">
        <f t="shared" si="420"/>
        <v>#REF!</v>
      </c>
      <c r="AA400" s="150" t="e">
        <f t="shared" si="420"/>
        <v>#REF!</v>
      </c>
      <c r="AB400" s="50"/>
    </row>
    <row r="401" s="28" customFormat="1" ht="28.8" outlineLevel="3" spans="1:28">
      <c r="A401" s="52">
        <f>MAX($A$6:A400)+1</f>
        <v>359</v>
      </c>
      <c r="B401" s="138" t="s">
        <v>2132</v>
      </c>
      <c r="C401" s="51" t="e">
        <f>VLOOKUP($B401,#REF!,MATCH(C$2,#REF!,0),0)</f>
        <v>#REF!</v>
      </c>
      <c r="D401" s="83"/>
      <c r="E401" s="83"/>
      <c r="F401" s="136" t="e">
        <f>VLOOKUP($B401,#REF!,MATCH(F$2,#REF!,0),0)</f>
        <v>#REF!</v>
      </c>
      <c r="G401" s="137" t="e">
        <f>VLOOKUP($B401,#REF!,MATCH(G$2,#REF!,0),0)</f>
        <v>#REF!</v>
      </c>
      <c r="H401" s="48">
        <v>324</v>
      </c>
      <c r="I401" s="48">
        <v>324</v>
      </c>
      <c r="J401" s="48">
        <v>132</v>
      </c>
      <c r="K401" s="48">
        <v>132</v>
      </c>
      <c r="L401" s="48">
        <v>56</v>
      </c>
      <c r="M401" s="48">
        <v>1</v>
      </c>
      <c r="N401" s="48">
        <v>1</v>
      </c>
      <c r="O401" s="48">
        <v>1</v>
      </c>
      <c r="P401" s="48"/>
      <c r="Q401" s="48"/>
      <c r="R401" s="150" t="e">
        <f t="shared" ref="R401:AA401" si="421">$G401*H401</f>
        <v>#REF!</v>
      </c>
      <c r="S401" s="150" t="e">
        <f t="shared" si="421"/>
        <v>#REF!</v>
      </c>
      <c r="T401" s="150" t="e">
        <f t="shared" si="421"/>
        <v>#REF!</v>
      </c>
      <c r="U401" s="150" t="e">
        <f t="shared" si="421"/>
        <v>#REF!</v>
      </c>
      <c r="V401" s="150" t="e">
        <f t="shared" si="421"/>
        <v>#REF!</v>
      </c>
      <c r="W401" s="150" t="e">
        <f t="shared" si="421"/>
        <v>#REF!</v>
      </c>
      <c r="X401" s="150" t="e">
        <f t="shared" si="421"/>
        <v>#REF!</v>
      </c>
      <c r="Y401" s="150" t="e">
        <f t="shared" si="421"/>
        <v>#REF!</v>
      </c>
      <c r="Z401" s="150" t="e">
        <f t="shared" si="421"/>
        <v>#REF!</v>
      </c>
      <c r="AA401" s="150" t="e">
        <f t="shared" si="421"/>
        <v>#REF!</v>
      </c>
      <c r="AB401" s="50"/>
    </row>
    <row r="402" s="122" customFormat="1" outlineLevel="1" spans="1:28">
      <c r="A402" s="130"/>
      <c r="B402" s="131" t="s">
        <v>2133</v>
      </c>
      <c r="C402" s="131"/>
      <c r="D402" s="153"/>
      <c r="E402" s="153"/>
      <c r="F402" s="154"/>
      <c r="G402" s="155"/>
      <c r="H402" s="134"/>
      <c r="I402" s="134"/>
      <c r="J402" s="134"/>
      <c r="K402" s="134"/>
      <c r="L402" s="134"/>
      <c r="M402" s="134"/>
      <c r="N402" s="134"/>
      <c r="O402" s="134"/>
      <c r="P402" s="134"/>
      <c r="Q402" s="134"/>
      <c r="R402" s="148" t="e">
        <f t="shared" ref="R402:AA402" si="422">SUM(R403:R413)</f>
        <v>#REF!</v>
      </c>
      <c r="S402" s="148" t="e">
        <f t="shared" si="422"/>
        <v>#REF!</v>
      </c>
      <c r="T402" s="148" t="e">
        <f t="shared" si="422"/>
        <v>#REF!</v>
      </c>
      <c r="U402" s="148" t="e">
        <f t="shared" si="422"/>
        <v>#REF!</v>
      </c>
      <c r="V402" s="148" t="e">
        <f t="shared" si="422"/>
        <v>#REF!</v>
      </c>
      <c r="W402" s="148" t="e">
        <f t="shared" si="422"/>
        <v>#REF!</v>
      </c>
      <c r="X402" s="148" t="e">
        <f t="shared" si="422"/>
        <v>#REF!</v>
      </c>
      <c r="Y402" s="148" t="e">
        <f t="shared" si="422"/>
        <v>#REF!</v>
      </c>
      <c r="Z402" s="148" t="e">
        <f t="shared" si="422"/>
        <v>#REF!</v>
      </c>
      <c r="AA402" s="148" t="e">
        <f t="shared" si="422"/>
        <v>#REF!</v>
      </c>
      <c r="AB402" s="130"/>
    </row>
    <row r="403" s="28" customFormat="1" ht="28.8" outlineLevel="3" spans="1:28">
      <c r="A403" s="52">
        <f>MAX($A$6:A402)+1</f>
        <v>360</v>
      </c>
      <c r="B403" s="138" t="s">
        <v>2068</v>
      </c>
      <c r="C403" s="51" t="e">
        <f>VLOOKUP($B403,#REF!,MATCH(C$2,#REF!,0),0)</f>
        <v>#REF!</v>
      </c>
      <c r="D403" s="83"/>
      <c r="E403" s="83"/>
      <c r="F403" s="136" t="e">
        <f>VLOOKUP($B403,#REF!,MATCH(F$2,#REF!,0),0)</f>
        <v>#REF!</v>
      </c>
      <c r="G403" s="137" t="e">
        <f>VLOOKUP($B403,#REF!,MATCH(G$2,#REF!,0),0)</f>
        <v>#REF!</v>
      </c>
      <c r="H403" s="48">
        <v>1</v>
      </c>
      <c r="I403" s="48">
        <v>1</v>
      </c>
      <c r="J403" s="48">
        <v>1</v>
      </c>
      <c r="K403" s="48">
        <v>1</v>
      </c>
      <c r="L403" s="48"/>
      <c r="M403" s="48">
        <v>5</v>
      </c>
      <c r="N403" s="48">
        <v>5</v>
      </c>
      <c r="O403" s="48">
        <v>5</v>
      </c>
      <c r="P403" s="48"/>
      <c r="Q403" s="48"/>
      <c r="R403" s="150" t="e">
        <f t="shared" ref="R403:AA403" si="423">$G403*H403</f>
        <v>#REF!</v>
      </c>
      <c r="S403" s="150" t="e">
        <f t="shared" si="423"/>
        <v>#REF!</v>
      </c>
      <c r="T403" s="150" t="e">
        <f t="shared" si="423"/>
        <v>#REF!</v>
      </c>
      <c r="U403" s="150" t="e">
        <f t="shared" si="423"/>
        <v>#REF!</v>
      </c>
      <c r="V403" s="150" t="e">
        <f t="shared" si="423"/>
        <v>#REF!</v>
      </c>
      <c r="W403" s="150" t="e">
        <f t="shared" si="423"/>
        <v>#REF!</v>
      </c>
      <c r="X403" s="150" t="e">
        <f t="shared" si="423"/>
        <v>#REF!</v>
      </c>
      <c r="Y403" s="150" t="e">
        <f t="shared" si="423"/>
        <v>#REF!</v>
      </c>
      <c r="Z403" s="150" t="e">
        <f t="shared" si="423"/>
        <v>#REF!</v>
      </c>
      <c r="AA403" s="150" t="e">
        <f t="shared" si="423"/>
        <v>#REF!</v>
      </c>
      <c r="AB403" s="50"/>
    </row>
    <row r="404" s="28" customFormat="1" ht="28.8" outlineLevel="3" spans="1:28">
      <c r="A404" s="52">
        <f>MAX($A$6:A403)+1</f>
        <v>361</v>
      </c>
      <c r="B404" s="138" t="s">
        <v>2069</v>
      </c>
      <c r="C404" s="51" t="e">
        <f>VLOOKUP($B404,#REF!,MATCH(C$2,#REF!,0),0)</f>
        <v>#REF!</v>
      </c>
      <c r="D404" s="83"/>
      <c r="E404" s="83"/>
      <c r="F404" s="136" t="e">
        <f>VLOOKUP($B404,#REF!,MATCH(F$2,#REF!,0),0)</f>
        <v>#REF!</v>
      </c>
      <c r="G404" s="137" t="e">
        <f>VLOOKUP($B404,#REF!,MATCH(G$2,#REF!,0),0)</f>
        <v>#REF!</v>
      </c>
      <c r="H404" s="48">
        <v>1</v>
      </c>
      <c r="I404" s="48">
        <v>1</v>
      </c>
      <c r="J404" s="48">
        <v>1</v>
      </c>
      <c r="K404" s="48">
        <v>1</v>
      </c>
      <c r="L404" s="48"/>
      <c r="M404" s="48">
        <v>2</v>
      </c>
      <c r="N404" s="48">
        <v>2</v>
      </c>
      <c r="O404" s="48">
        <v>2</v>
      </c>
      <c r="P404" s="48"/>
      <c r="Q404" s="48"/>
      <c r="R404" s="150" t="e">
        <f t="shared" ref="R404:AA404" si="424">$G404*H404</f>
        <v>#REF!</v>
      </c>
      <c r="S404" s="150" t="e">
        <f t="shared" si="424"/>
        <v>#REF!</v>
      </c>
      <c r="T404" s="150" t="e">
        <f t="shared" si="424"/>
        <v>#REF!</v>
      </c>
      <c r="U404" s="150" t="e">
        <f t="shared" si="424"/>
        <v>#REF!</v>
      </c>
      <c r="V404" s="150" t="e">
        <f t="shared" si="424"/>
        <v>#REF!</v>
      </c>
      <c r="W404" s="150" t="e">
        <f t="shared" si="424"/>
        <v>#REF!</v>
      </c>
      <c r="X404" s="150" t="e">
        <f t="shared" si="424"/>
        <v>#REF!</v>
      </c>
      <c r="Y404" s="150" t="e">
        <f t="shared" si="424"/>
        <v>#REF!</v>
      </c>
      <c r="Z404" s="150" t="e">
        <f t="shared" si="424"/>
        <v>#REF!</v>
      </c>
      <c r="AA404" s="150" t="e">
        <f t="shared" si="424"/>
        <v>#REF!</v>
      </c>
      <c r="AB404" s="50"/>
    </row>
    <row r="405" s="28" customFormat="1" ht="28.8" outlineLevel="3" spans="1:28">
      <c r="A405" s="52">
        <f>MAX($A$6:A404)+1</f>
        <v>362</v>
      </c>
      <c r="B405" s="138" t="s">
        <v>2070</v>
      </c>
      <c r="C405" s="51" t="e">
        <f>VLOOKUP($B405,#REF!,MATCH(C$2,#REF!,0),0)</f>
        <v>#REF!</v>
      </c>
      <c r="D405" s="83"/>
      <c r="E405" s="83"/>
      <c r="F405" s="136" t="e">
        <f>VLOOKUP($B405,#REF!,MATCH(F$2,#REF!,0),0)</f>
        <v>#REF!</v>
      </c>
      <c r="G405" s="137" t="e">
        <f>VLOOKUP($B405,#REF!,MATCH(G$2,#REF!,0),0)</f>
        <v>#REF!</v>
      </c>
      <c r="H405" s="48">
        <v>169.85</v>
      </c>
      <c r="I405" s="48">
        <v>169.85</v>
      </c>
      <c r="J405" s="48">
        <v>150.48</v>
      </c>
      <c r="K405" s="48">
        <v>150.48</v>
      </c>
      <c r="L405" s="48"/>
      <c r="M405" s="48">
        <v>163.38</v>
      </c>
      <c r="N405" s="48">
        <v>163.38</v>
      </c>
      <c r="O405" s="48">
        <v>163.38</v>
      </c>
      <c r="P405" s="48"/>
      <c r="Q405" s="48"/>
      <c r="R405" s="150" t="e">
        <f t="shared" ref="R405:AA405" si="425">$G405*H405</f>
        <v>#REF!</v>
      </c>
      <c r="S405" s="150" t="e">
        <f t="shared" si="425"/>
        <v>#REF!</v>
      </c>
      <c r="T405" s="150" t="e">
        <f t="shared" si="425"/>
        <v>#REF!</v>
      </c>
      <c r="U405" s="150" t="e">
        <f t="shared" si="425"/>
        <v>#REF!</v>
      </c>
      <c r="V405" s="150" t="e">
        <f t="shared" si="425"/>
        <v>#REF!</v>
      </c>
      <c r="W405" s="150" t="e">
        <f t="shared" si="425"/>
        <v>#REF!</v>
      </c>
      <c r="X405" s="150" t="e">
        <f t="shared" si="425"/>
        <v>#REF!</v>
      </c>
      <c r="Y405" s="150" t="e">
        <f t="shared" si="425"/>
        <v>#REF!</v>
      </c>
      <c r="Z405" s="150" t="e">
        <f t="shared" si="425"/>
        <v>#REF!</v>
      </c>
      <c r="AA405" s="150" t="e">
        <f t="shared" si="425"/>
        <v>#REF!</v>
      </c>
      <c r="AB405" s="50"/>
    </row>
    <row r="406" s="28" customFormat="1" ht="28.8" outlineLevel="3" spans="1:28">
      <c r="A406" s="52">
        <f>MAX($A$6:A405)+1</f>
        <v>363</v>
      </c>
      <c r="B406" s="138" t="s">
        <v>2071</v>
      </c>
      <c r="C406" s="51" t="e">
        <f>VLOOKUP($B406,#REF!,MATCH(C$2,#REF!,0),0)</f>
        <v>#REF!</v>
      </c>
      <c r="D406" s="83"/>
      <c r="E406" s="83"/>
      <c r="F406" s="136" t="e">
        <f>VLOOKUP($B406,#REF!,MATCH(F$2,#REF!,0),0)</f>
        <v>#REF!</v>
      </c>
      <c r="G406" s="137" t="e">
        <f>VLOOKUP($B406,#REF!,MATCH(G$2,#REF!,0),0)</f>
        <v>#REF!</v>
      </c>
      <c r="H406" s="48">
        <v>34.8</v>
      </c>
      <c r="I406" s="48">
        <v>34.8</v>
      </c>
      <c r="J406" s="48">
        <v>11.6</v>
      </c>
      <c r="K406" s="48">
        <v>11.6</v>
      </c>
      <c r="L406" s="48">
        <v>44.257</v>
      </c>
      <c r="M406" s="48">
        <v>60.87</v>
      </c>
      <c r="N406" s="48">
        <v>60.87</v>
      </c>
      <c r="O406" s="48">
        <v>60.87</v>
      </c>
      <c r="P406" s="48"/>
      <c r="Q406" s="48"/>
      <c r="R406" s="150" t="e">
        <f t="shared" ref="R406:AA406" si="426">$G406*H406</f>
        <v>#REF!</v>
      </c>
      <c r="S406" s="150" t="e">
        <f t="shared" si="426"/>
        <v>#REF!</v>
      </c>
      <c r="T406" s="150" t="e">
        <f t="shared" si="426"/>
        <v>#REF!</v>
      </c>
      <c r="U406" s="150" t="e">
        <f t="shared" si="426"/>
        <v>#REF!</v>
      </c>
      <c r="V406" s="150" t="e">
        <f t="shared" si="426"/>
        <v>#REF!</v>
      </c>
      <c r="W406" s="150" t="e">
        <f t="shared" si="426"/>
        <v>#REF!</v>
      </c>
      <c r="X406" s="150" t="e">
        <f t="shared" si="426"/>
        <v>#REF!</v>
      </c>
      <c r="Y406" s="150" t="e">
        <f t="shared" si="426"/>
        <v>#REF!</v>
      </c>
      <c r="Z406" s="150" t="e">
        <f t="shared" si="426"/>
        <v>#REF!</v>
      </c>
      <c r="AA406" s="150" t="e">
        <f t="shared" si="426"/>
        <v>#REF!</v>
      </c>
      <c r="AB406" s="50"/>
    </row>
    <row r="407" s="28" customFormat="1" ht="28.8" outlineLevel="3" spans="1:28">
      <c r="A407" s="52">
        <f>MAX($A$6:A406)+1</f>
        <v>364</v>
      </c>
      <c r="B407" s="138" t="s">
        <v>2072</v>
      </c>
      <c r="C407" s="51" t="e">
        <f>VLOOKUP($B407,#REF!,MATCH(C$2,#REF!,0),0)</f>
        <v>#REF!</v>
      </c>
      <c r="D407" s="83"/>
      <c r="E407" s="83"/>
      <c r="F407" s="136" t="e">
        <f>VLOOKUP($B407,#REF!,MATCH(F$2,#REF!,0),0)</f>
        <v>#REF!</v>
      </c>
      <c r="G407" s="137" t="e">
        <f>VLOOKUP($B407,#REF!,MATCH(G$2,#REF!,0),0)</f>
        <v>#REF!</v>
      </c>
      <c r="H407" s="48">
        <v>34.8</v>
      </c>
      <c r="I407" s="48">
        <v>34.8</v>
      </c>
      <c r="J407" s="48">
        <v>1</v>
      </c>
      <c r="K407" s="48">
        <v>1</v>
      </c>
      <c r="L407" s="48"/>
      <c r="M407" s="48">
        <v>23.4</v>
      </c>
      <c r="N407" s="48">
        <v>23.4</v>
      </c>
      <c r="O407" s="48">
        <v>23.4</v>
      </c>
      <c r="P407" s="48"/>
      <c r="Q407" s="48"/>
      <c r="R407" s="150" t="e">
        <f t="shared" ref="R407:AA407" si="427">$G407*H407</f>
        <v>#REF!</v>
      </c>
      <c r="S407" s="150" t="e">
        <f t="shared" si="427"/>
        <v>#REF!</v>
      </c>
      <c r="T407" s="150" t="e">
        <f t="shared" si="427"/>
        <v>#REF!</v>
      </c>
      <c r="U407" s="150" t="e">
        <f t="shared" si="427"/>
        <v>#REF!</v>
      </c>
      <c r="V407" s="150" t="e">
        <f t="shared" si="427"/>
        <v>#REF!</v>
      </c>
      <c r="W407" s="150" t="e">
        <f t="shared" si="427"/>
        <v>#REF!</v>
      </c>
      <c r="X407" s="150" t="e">
        <f t="shared" si="427"/>
        <v>#REF!</v>
      </c>
      <c r="Y407" s="150" t="e">
        <f t="shared" si="427"/>
        <v>#REF!</v>
      </c>
      <c r="Z407" s="150" t="e">
        <f t="shared" si="427"/>
        <v>#REF!</v>
      </c>
      <c r="AA407" s="150" t="e">
        <f t="shared" si="427"/>
        <v>#REF!</v>
      </c>
      <c r="AB407" s="50"/>
    </row>
    <row r="408" s="28" customFormat="1" ht="28.8" outlineLevel="3" spans="1:28">
      <c r="A408" s="52">
        <f>MAX($A$6:A407)+1</f>
        <v>365</v>
      </c>
      <c r="B408" s="138" t="s">
        <v>2073</v>
      </c>
      <c r="C408" s="51" t="e">
        <f>VLOOKUP($B408,#REF!,MATCH(C$2,#REF!,0),0)</f>
        <v>#REF!</v>
      </c>
      <c r="D408" s="83"/>
      <c r="E408" s="83"/>
      <c r="F408" s="136" t="e">
        <f>VLOOKUP($B408,#REF!,MATCH(F$2,#REF!,0),0)</f>
        <v>#REF!</v>
      </c>
      <c r="G408" s="137" t="e">
        <f>VLOOKUP($B408,#REF!,MATCH(G$2,#REF!,0),0)</f>
        <v>#REF!</v>
      </c>
      <c r="H408" s="48">
        <v>69.6</v>
      </c>
      <c r="I408" s="48">
        <v>69.6</v>
      </c>
      <c r="J408" s="48">
        <v>34.8</v>
      </c>
      <c r="K408" s="48">
        <v>34.8</v>
      </c>
      <c r="L408" s="48">
        <v>6.3</v>
      </c>
      <c r="M408" s="48">
        <v>13.6</v>
      </c>
      <c r="N408" s="48">
        <v>13.6</v>
      </c>
      <c r="O408" s="48">
        <v>13.6</v>
      </c>
      <c r="P408" s="48"/>
      <c r="Q408" s="48"/>
      <c r="R408" s="150" t="e">
        <f t="shared" ref="R408:AA408" si="428">$G408*H408</f>
        <v>#REF!</v>
      </c>
      <c r="S408" s="150" t="e">
        <f t="shared" si="428"/>
        <v>#REF!</v>
      </c>
      <c r="T408" s="150" t="e">
        <f t="shared" si="428"/>
        <v>#REF!</v>
      </c>
      <c r="U408" s="150" t="e">
        <f t="shared" si="428"/>
        <v>#REF!</v>
      </c>
      <c r="V408" s="150" t="e">
        <f t="shared" si="428"/>
        <v>#REF!</v>
      </c>
      <c r="W408" s="150" t="e">
        <f t="shared" si="428"/>
        <v>#REF!</v>
      </c>
      <c r="X408" s="150" t="e">
        <f t="shared" si="428"/>
        <v>#REF!</v>
      </c>
      <c r="Y408" s="150" t="e">
        <f t="shared" si="428"/>
        <v>#REF!</v>
      </c>
      <c r="Z408" s="150" t="e">
        <f t="shared" si="428"/>
        <v>#REF!</v>
      </c>
      <c r="AA408" s="150" t="e">
        <f t="shared" si="428"/>
        <v>#REF!</v>
      </c>
      <c r="AB408" s="50"/>
    </row>
    <row r="409" s="28" customFormat="1" ht="28.8" outlineLevel="3" spans="1:28">
      <c r="A409" s="52">
        <f>MAX($A$6:A408)+1</f>
        <v>366</v>
      </c>
      <c r="B409" s="138" t="s">
        <v>2074</v>
      </c>
      <c r="C409" s="51" t="e">
        <f>VLOOKUP($B409,#REF!,MATCH(C$2,#REF!,0),0)</f>
        <v>#REF!</v>
      </c>
      <c r="D409" s="83"/>
      <c r="E409" s="83"/>
      <c r="F409" s="136" t="e">
        <f>VLOOKUP($B409,#REF!,MATCH(F$2,#REF!,0),0)</f>
        <v>#REF!</v>
      </c>
      <c r="G409" s="137" t="e">
        <f>VLOOKUP($B409,#REF!,MATCH(G$2,#REF!,0),0)</f>
        <v>#REF!</v>
      </c>
      <c r="H409" s="48">
        <v>288.83</v>
      </c>
      <c r="I409" s="48">
        <v>288.83</v>
      </c>
      <c r="J409" s="48">
        <v>46.4</v>
      </c>
      <c r="K409" s="48">
        <v>46.4</v>
      </c>
      <c r="L409" s="48">
        <v>18.9</v>
      </c>
      <c r="M409" s="48">
        <v>27.8</v>
      </c>
      <c r="N409" s="48">
        <v>27.8</v>
      </c>
      <c r="O409" s="48">
        <v>27.8</v>
      </c>
      <c r="P409" s="48"/>
      <c r="Q409" s="48"/>
      <c r="R409" s="150" t="e">
        <f t="shared" ref="R409:AA409" si="429">$G409*H409</f>
        <v>#REF!</v>
      </c>
      <c r="S409" s="150" t="e">
        <f t="shared" si="429"/>
        <v>#REF!</v>
      </c>
      <c r="T409" s="150" t="e">
        <f t="shared" si="429"/>
        <v>#REF!</v>
      </c>
      <c r="U409" s="150" t="e">
        <f t="shared" si="429"/>
        <v>#REF!</v>
      </c>
      <c r="V409" s="150" t="e">
        <f t="shared" si="429"/>
        <v>#REF!</v>
      </c>
      <c r="W409" s="150" t="e">
        <f t="shared" si="429"/>
        <v>#REF!</v>
      </c>
      <c r="X409" s="150" t="e">
        <f t="shared" si="429"/>
        <v>#REF!</v>
      </c>
      <c r="Y409" s="150" t="e">
        <f t="shared" si="429"/>
        <v>#REF!</v>
      </c>
      <c r="Z409" s="150" t="e">
        <f t="shared" si="429"/>
        <v>#REF!</v>
      </c>
      <c r="AA409" s="150" t="e">
        <f t="shared" si="429"/>
        <v>#REF!</v>
      </c>
      <c r="AB409" s="50"/>
    </row>
    <row r="410" s="28" customFormat="1" ht="28.8" outlineLevel="3" spans="1:28">
      <c r="A410" s="52">
        <f>MAX($A$6:A409)+1</f>
        <v>367</v>
      </c>
      <c r="B410" s="138" t="s">
        <v>2075</v>
      </c>
      <c r="C410" s="51" t="e">
        <f>VLOOKUP($B410,#REF!,MATCH(C$2,#REF!,0),0)</f>
        <v>#REF!</v>
      </c>
      <c r="D410" s="83"/>
      <c r="E410" s="83"/>
      <c r="F410" s="136" t="e">
        <f>VLOOKUP($B410,#REF!,MATCH(F$2,#REF!,0),0)</f>
        <v>#REF!</v>
      </c>
      <c r="G410" s="137" t="e">
        <f>VLOOKUP($B410,#REF!,MATCH(G$2,#REF!,0),0)</f>
        <v>#REF!</v>
      </c>
      <c r="H410" s="48">
        <v>60</v>
      </c>
      <c r="I410" s="48">
        <v>60</v>
      </c>
      <c r="J410" s="48">
        <v>28.8</v>
      </c>
      <c r="K410" s="48">
        <v>28.8</v>
      </c>
      <c r="L410" s="48">
        <v>28.8</v>
      </c>
      <c r="M410" s="48">
        <v>1</v>
      </c>
      <c r="N410" s="48">
        <v>1</v>
      </c>
      <c r="O410" s="48">
        <v>1</v>
      </c>
      <c r="P410" s="48"/>
      <c r="Q410" s="48"/>
      <c r="R410" s="150" t="e">
        <f t="shared" ref="R410:AA410" si="430">$G410*H410</f>
        <v>#REF!</v>
      </c>
      <c r="S410" s="150" t="e">
        <f t="shared" si="430"/>
        <v>#REF!</v>
      </c>
      <c r="T410" s="150" t="e">
        <f t="shared" si="430"/>
        <v>#REF!</v>
      </c>
      <c r="U410" s="150" t="e">
        <f t="shared" si="430"/>
        <v>#REF!</v>
      </c>
      <c r="V410" s="150" t="e">
        <f t="shared" si="430"/>
        <v>#REF!</v>
      </c>
      <c r="W410" s="150" t="e">
        <f t="shared" si="430"/>
        <v>#REF!</v>
      </c>
      <c r="X410" s="150" t="e">
        <f t="shared" si="430"/>
        <v>#REF!</v>
      </c>
      <c r="Y410" s="150" t="e">
        <f t="shared" si="430"/>
        <v>#REF!</v>
      </c>
      <c r="Z410" s="150" t="e">
        <f t="shared" si="430"/>
        <v>#REF!</v>
      </c>
      <c r="AA410" s="150" t="e">
        <f t="shared" si="430"/>
        <v>#REF!</v>
      </c>
      <c r="AB410" s="50"/>
    </row>
    <row r="411" s="28" customFormat="1" ht="28.8" outlineLevel="3" spans="1:28">
      <c r="A411" s="52">
        <f>MAX($A$6:A410)+1</f>
        <v>368</v>
      </c>
      <c r="B411" s="51" t="s">
        <v>2076</v>
      </c>
      <c r="C411" s="51" t="e">
        <f>VLOOKUP($B411,#REF!,MATCH(C$2,#REF!,0),0)</f>
        <v>#REF!</v>
      </c>
      <c r="D411" s="83"/>
      <c r="E411" s="83"/>
      <c r="F411" s="136" t="e">
        <f>VLOOKUP($B411,#REF!,MATCH(F$2,#REF!,0),0)</f>
        <v>#REF!</v>
      </c>
      <c r="G411" s="137" t="e">
        <f>VLOOKUP($B411,#REF!,MATCH(G$2,#REF!,0),0)</f>
        <v>#REF!</v>
      </c>
      <c r="H411" s="48"/>
      <c r="I411" s="48"/>
      <c r="J411" s="48"/>
      <c r="K411" s="48"/>
      <c r="L411" s="48"/>
      <c r="M411" s="48"/>
      <c r="N411" s="48"/>
      <c r="O411" s="48"/>
      <c r="P411" s="48"/>
      <c r="Q411" s="48"/>
      <c r="R411" s="150" t="e">
        <f t="shared" ref="R411:AA411" si="431">$G411*H411</f>
        <v>#REF!</v>
      </c>
      <c r="S411" s="150" t="e">
        <f t="shared" si="431"/>
        <v>#REF!</v>
      </c>
      <c r="T411" s="150" t="e">
        <f t="shared" si="431"/>
        <v>#REF!</v>
      </c>
      <c r="U411" s="150" t="e">
        <f t="shared" si="431"/>
        <v>#REF!</v>
      </c>
      <c r="V411" s="150" t="e">
        <f t="shared" si="431"/>
        <v>#REF!</v>
      </c>
      <c r="W411" s="150" t="e">
        <f t="shared" si="431"/>
        <v>#REF!</v>
      </c>
      <c r="X411" s="150" t="e">
        <f t="shared" si="431"/>
        <v>#REF!</v>
      </c>
      <c r="Y411" s="150" t="e">
        <f t="shared" si="431"/>
        <v>#REF!</v>
      </c>
      <c r="Z411" s="150" t="e">
        <f t="shared" si="431"/>
        <v>#REF!</v>
      </c>
      <c r="AA411" s="150" t="e">
        <f t="shared" si="431"/>
        <v>#REF!</v>
      </c>
      <c r="AB411" s="50"/>
    </row>
    <row r="412" s="28" customFormat="1" ht="28.8" outlineLevel="3" spans="1:28">
      <c r="A412" s="52">
        <f>MAX($A$6:A411)+1</f>
        <v>369</v>
      </c>
      <c r="B412" s="138" t="s">
        <v>2134</v>
      </c>
      <c r="C412" s="51" t="e">
        <f>VLOOKUP($B412,#REF!,MATCH(C$2,#REF!,0),0)</f>
        <v>#REF!</v>
      </c>
      <c r="D412" s="83"/>
      <c r="E412" s="83"/>
      <c r="F412" s="136" t="e">
        <f>VLOOKUP($B412,#REF!,MATCH(F$2,#REF!,0),0)</f>
        <v>#REF!</v>
      </c>
      <c r="G412" s="137" t="e">
        <f>VLOOKUP($B412,#REF!,MATCH(G$2,#REF!,0),0)</f>
        <v>#REF!</v>
      </c>
      <c r="H412" s="48"/>
      <c r="I412" s="48"/>
      <c r="J412" s="48"/>
      <c r="K412" s="48"/>
      <c r="L412" s="48"/>
      <c r="M412" s="48"/>
      <c r="N412" s="48"/>
      <c r="O412" s="48"/>
      <c r="P412" s="48"/>
      <c r="Q412" s="48"/>
      <c r="R412" s="150" t="e">
        <f t="shared" ref="R412:AA412" si="432">$G412*H412</f>
        <v>#REF!</v>
      </c>
      <c r="S412" s="150" t="e">
        <f t="shared" si="432"/>
        <v>#REF!</v>
      </c>
      <c r="T412" s="150" t="e">
        <f t="shared" si="432"/>
        <v>#REF!</v>
      </c>
      <c r="U412" s="150" t="e">
        <f t="shared" si="432"/>
        <v>#REF!</v>
      </c>
      <c r="V412" s="150" t="e">
        <f t="shared" si="432"/>
        <v>#REF!</v>
      </c>
      <c r="W412" s="150" t="e">
        <f t="shared" si="432"/>
        <v>#REF!</v>
      </c>
      <c r="X412" s="150" t="e">
        <f t="shared" si="432"/>
        <v>#REF!</v>
      </c>
      <c r="Y412" s="150" t="e">
        <f t="shared" si="432"/>
        <v>#REF!</v>
      </c>
      <c r="Z412" s="150" t="e">
        <f t="shared" si="432"/>
        <v>#REF!</v>
      </c>
      <c r="AA412" s="150" t="e">
        <f t="shared" si="432"/>
        <v>#REF!</v>
      </c>
      <c r="AB412" s="50"/>
    </row>
    <row r="413" s="28" customFormat="1" ht="28.8" outlineLevel="3" spans="1:28">
      <c r="A413" s="52">
        <f>MAX($A$6:A412)+1</f>
        <v>370</v>
      </c>
      <c r="B413" s="138" t="s">
        <v>2107</v>
      </c>
      <c r="C413" s="51" t="e">
        <f>VLOOKUP($B413,#REF!,MATCH(C$2,#REF!,0),0)</f>
        <v>#REF!</v>
      </c>
      <c r="D413" s="83"/>
      <c r="E413" s="83"/>
      <c r="F413" s="136" t="e">
        <f>VLOOKUP($B413,#REF!,MATCH(F$2,#REF!,0),0)</f>
        <v>#REF!</v>
      </c>
      <c r="G413" s="137" t="e">
        <f>VLOOKUP($B413,#REF!,MATCH(G$2,#REF!,0),0)</f>
        <v>#REF!</v>
      </c>
      <c r="H413" s="48">
        <v>471.94</v>
      </c>
      <c r="I413" s="48">
        <v>470.68</v>
      </c>
      <c r="J413" s="48">
        <v>80.39</v>
      </c>
      <c r="K413" s="48">
        <v>80.39</v>
      </c>
      <c r="L413" s="48">
        <v>61.319</v>
      </c>
      <c r="M413" s="48">
        <v>1</v>
      </c>
      <c r="N413" s="48">
        <v>1</v>
      </c>
      <c r="O413" s="48">
        <v>1</v>
      </c>
      <c r="P413" s="48"/>
      <c r="Q413" s="48"/>
      <c r="R413" s="150" t="e">
        <f t="shared" ref="R413:AA413" si="433">$G413*H413</f>
        <v>#REF!</v>
      </c>
      <c r="S413" s="150" t="e">
        <f t="shared" si="433"/>
        <v>#REF!</v>
      </c>
      <c r="T413" s="150" t="e">
        <f t="shared" si="433"/>
        <v>#REF!</v>
      </c>
      <c r="U413" s="150" t="e">
        <f t="shared" si="433"/>
        <v>#REF!</v>
      </c>
      <c r="V413" s="150" t="e">
        <f t="shared" si="433"/>
        <v>#REF!</v>
      </c>
      <c r="W413" s="150" t="e">
        <f t="shared" si="433"/>
        <v>#REF!</v>
      </c>
      <c r="X413" s="150" t="e">
        <f t="shared" si="433"/>
        <v>#REF!</v>
      </c>
      <c r="Y413" s="150" t="e">
        <f t="shared" si="433"/>
        <v>#REF!</v>
      </c>
      <c r="Z413" s="150" t="e">
        <f t="shared" si="433"/>
        <v>#REF!</v>
      </c>
      <c r="AA413" s="150" t="e">
        <f t="shared" si="433"/>
        <v>#REF!</v>
      </c>
      <c r="AB413" s="50"/>
    </row>
    <row r="414" s="122" customFormat="1" outlineLevel="1" spans="1:28">
      <c r="A414" s="130"/>
      <c r="B414" s="131" t="s">
        <v>2135</v>
      </c>
      <c r="C414" s="131"/>
      <c r="D414" s="153"/>
      <c r="E414" s="153"/>
      <c r="F414" s="154"/>
      <c r="G414" s="155"/>
      <c r="H414" s="134"/>
      <c r="I414" s="134"/>
      <c r="J414" s="134"/>
      <c r="K414" s="134"/>
      <c r="L414" s="134"/>
      <c r="M414" s="134"/>
      <c r="N414" s="134"/>
      <c r="O414" s="134"/>
      <c r="P414" s="134"/>
      <c r="Q414" s="134"/>
      <c r="R414" s="148" t="e">
        <f t="shared" ref="R414:AA414" si="434">SUM(R415:R447)</f>
        <v>#REF!</v>
      </c>
      <c r="S414" s="148" t="e">
        <f t="shared" si="434"/>
        <v>#REF!</v>
      </c>
      <c r="T414" s="148" t="e">
        <f t="shared" si="434"/>
        <v>#REF!</v>
      </c>
      <c r="U414" s="148" t="e">
        <f t="shared" si="434"/>
        <v>#REF!</v>
      </c>
      <c r="V414" s="148" t="e">
        <f t="shared" si="434"/>
        <v>#REF!</v>
      </c>
      <c r="W414" s="148" t="e">
        <f t="shared" si="434"/>
        <v>#REF!</v>
      </c>
      <c r="X414" s="148" t="e">
        <f t="shared" si="434"/>
        <v>#REF!</v>
      </c>
      <c r="Y414" s="148" t="e">
        <f t="shared" si="434"/>
        <v>#REF!</v>
      </c>
      <c r="Z414" s="148" t="e">
        <f t="shared" si="434"/>
        <v>#REF!</v>
      </c>
      <c r="AA414" s="148" t="e">
        <f t="shared" si="434"/>
        <v>#REF!</v>
      </c>
      <c r="AB414" s="130"/>
    </row>
    <row r="415" s="28" customFormat="1" ht="28.8" outlineLevel="3" spans="1:28">
      <c r="A415" s="52">
        <f>MAX($A$6:A414)+1</f>
        <v>371</v>
      </c>
      <c r="B415" s="138" t="s">
        <v>1855</v>
      </c>
      <c r="C415" s="51" t="e">
        <f>VLOOKUP($B415,#REF!,MATCH(C$2,#REF!,0),0)</f>
        <v>#REF!</v>
      </c>
      <c r="D415" s="83"/>
      <c r="E415" s="83"/>
      <c r="F415" s="136" t="e">
        <f>VLOOKUP($B415,#REF!,MATCH(F$2,#REF!,0),0)</f>
        <v>#REF!</v>
      </c>
      <c r="G415" s="137" t="e">
        <f>VLOOKUP($B415,#REF!,MATCH(G$2,#REF!,0),0)</f>
        <v>#REF!</v>
      </c>
      <c r="H415" s="48">
        <v>12</v>
      </c>
      <c r="I415" s="48">
        <v>12</v>
      </c>
      <c r="J415" s="48">
        <v>4</v>
      </c>
      <c r="K415" s="48">
        <v>4</v>
      </c>
      <c r="L415" s="48">
        <v>2</v>
      </c>
      <c r="M415" s="48">
        <v>10</v>
      </c>
      <c r="N415" s="48">
        <v>10</v>
      </c>
      <c r="O415" s="48">
        <v>10</v>
      </c>
      <c r="P415" s="48"/>
      <c r="Q415" s="48"/>
      <c r="R415" s="150" t="e">
        <f t="shared" ref="R415:AA415" si="435">$G415*H415</f>
        <v>#REF!</v>
      </c>
      <c r="S415" s="150" t="e">
        <f t="shared" si="435"/>
        <v>#REF!</v>
      </c>
      <c r="T415" s="150" t="e">
        <f t="shared" si="435"/>
        <v>#REF!</v>
      </c>
      <c r="U415" s="150" t="e">
        <f t="shared" si="435"/>
        <v>#REF!</v>
      </c>
      <c r="V415" s="150" t="e">
        <f t="shared" si="435"/>
        <v>#REF!</v>
      </c>
      <c r="W415" s="150" t="e">
        <f t="shared" si="435"/>
        <v>#REF!</v>
      </c>
      <c r="X415" s="150" t="e">
        <f t="shared" si="435"/>
        <v>#REF!</v>
      </c>
      <c r="Y415" s="150" t="e">
        <f t="shared" si="435"/>
        <v>#REF!</v>
      </c>
      <c r="Z415" s="150" t="e">
        <f t="shared" si="435"/>
        <v>#REF!</v>
      </c>
      <c r="AA415" s="150" t="e">
        <f t="shared" si="435"/>
        <v>#REF!</v>
      </c>
      <c r="AB415" s="50"/>
    </row>
    <row r="416" s="28" customFormat="1" ht="28.8" outlineLevel="3" spans="1:28">
      <c r="A416" s="52">
        <f>MAX($A$6:A415)+1</f>
        <v>372</v>
      </c>
      <c r="B416" s="138" t="s">
        <v>2090</v>
      </c>
      <c r="C416" s="51" t="e">
        <f>VLOOKUP($B416,#REF!,MATCH(C$2,#REF!,0),0)</f>
        <v>#REF!</v>
      </c>
      <c r="D416" s="83"/>
      <c r="E416" s="83"/>
      <c r="F416" s="136" t="e">
        <f>VLOOKUP($B416,#REF!,MATCH(F$2,#REF!,0),0)</f>
        <v>#REF!</v>
      </c>
      <c r="G416" s="137" t="e">
        <f>VLOOKUP($B416,#REF!,MATCH(G$2,#REF!,0),0)</f>
        <v>#REF!</v>
      </c>
      <c r="H416" s="48">
        <v>12</v>
      </c>
      <c r="I416" s="48">
        <v>12</v>
      </c>
      <c r="J416" s="48">
        <v>4</v>
      </c>
      <c r="K416" s="48">
        <v>4</v>
      </c>
      <c r="L416" s="48">
        <v>2</v>
      </c>
      <c r="M416" s="48">
        <v>10</v>
      </c>
      <c r="N416" s="48">
        <v>10</v>
      </c>
      <c r="O416" s="48">
        <v>10</v>
      </c>
      <c r="P416" s="48"/>
      <c r="Q416" s="48"/>
      <c r="R416" s="150" t="e">
        <f t="shared" ref="R416:AA416" si="436">$G416*H416</f>
        <v>#REF!</v>
      </c>
      <c r="S416" s="150" t="e">
        <f t="shared" si="436"/>
        <v>#REF!</v>
      </c>
      <c r="T416" s="150" t="e">
        <f t="shared" si="436"/>
        <v>#REF!</v>
      </c>
      <c r="U416" s="150" t="e">
        <f t="shared" si="436"/>
        <v>#REF!</v>
      </c>
      <c r="V416" s="150" t="e">
        <f t="shared" si="436"/>
        <v>#REF!</v>
      </c>
      <c r="W416" s="150" t="e">
        <f t="shared" si="436"/>
        <v>#REF!</v>
      </c>
      <c r="X416" s="150" t="e">
        <f t="shared" si="436"/>
        <v>#REF!</v>
      </c>
      <c r="Y416" s="150" t="e">
        <f t="shared" si="436"/>
        <v>#REF!</v>
      </c>
      <c r="Z416" s="150" t="e">
        <f t="shared" si="436"/>
        <v>#REF!</v>
      </c>
      <c r="AA416" s="150" t="e">
        <f t="shared" si="436"/>
        <v>#REF!</v>
      </c>
      <c r="AB416" s="50"/>
    </row>
    <row r="417" s="28" customFormat="1" ht="28.8" outlineLevel="3" spans="1:28">
      <c r="A417" s="52">
        <f>MAX($A$6:A416)+1</f>
        <v>373</v>
      </c>
      <c r="B417" s="138" t="s">
        <v>2136</v>
      </c>
      <c r="C417" s="51" t="e">
        <f>VLOOKUP($B417,#REF!,MATCH(C$2,#REF!,0),0)</f>
        <v>#REF!</v>
      </c>
      <c r="D417" s="83"/>
      <c r="E417" s="83"/>
      <c r="F417" s="136" t="e">
        <f>VLOOKUP($B417,#REF!,MATCH(F$2,#REF!,0),0)</f>
        <v>#REF!</v>
      </c>
      <c r="G417" s="137" t="e">
        <f>VLOOKUP($B417,#REF!,MATCH(G$2,#REF!,0),0)</f>
        <v>#REF!</v>
      </c>
      <c r="H417" s="48">
        <v>108</v>
      </c>
      <c r="I417" s="48">
        <v>108</v>
      </c>
      <c r="J417" s="48">
        <v>44</v>
      </c>
      <c r="K417" s="48">
        <v>44</v>
      </c>
      <c r="L417" s="48">
        <v>19</v>
      </c>
      <c r="M417" s="48">
        <v>10</v>
      </c>
      <c r="N417" s="48">
        <v>10</v>
      </c>
      <c r="O417" s="48">
        <v>10</v>
      </c>
      <c r="P417" s="48"/>
      <c r="Q417" s="48"/>
      <c r="R417" s="150" t="e">
        <f t="shared" ref="R417:AA417" si="437">$G417*H417</f>
        <v>#REF!</v>
      </c>
      <c r="S417" s="150" t="e">
        <f t="shared" si="437"/>
        <v>#REF!</v>
      </c>
      <c r="T417" s="150" t="e">
        <f t="shared" si="437"/>
        <v>#REF!</v>
      </c>
      <c r="U417" s="150" t="e">
        <f t="shared" si="437"/>
        <v>#REF!</v>
      </c>
      <c r="V417" s="150" t="e">
        <f t="shared" si="437"/>
        <v>#REF!</v>
      </c>
      <c r="W417" s="150" t="e">
        <f t="shared" si="437"/>
        <v>#REF!</v>
      </c>
      <c r="X417" s="150" t="e">
        <f t="shared" si="437"/>
        <v>#REF!</v>
      </c>
      <c r="Y417" s="150" t="e">
        <f t="shared" si="437"/>
        <v>#REF!</v>
      </c>
      <c r="Z417" s="150" t="e">
        <f t="shared" si="437"/>
        <v>#REF!</v>
      </c>
      <c r="AA417" s="150" t="e">
        <f t="shared" si="437"/>
        <v>#REF!</v>
      </c>
      <c r="AB417" s="50"/>
    </row>
    <row r="418" s="28" customFormat="1" ht="28.8" outlineLevel="3" spans="1:28">
      <c r="A418" s="52">
        <f>MAX($A$6:A417)+1</f>
        <v>374</v>
      </c>
      <c r="B418" s="138" t="s">
        <v>2137</v>
      </c>
      <c r="C418" s="51" t="e">
        <f>VLOOKUP($B418,#REF!,MATCH(C$2,#REF!,0),0)</f>
        <v>#REF!</v>
      </c>
      <c r="D418" s="83"/>
      <c r="E418" s="83"/>
      <c r="F418" s="136" t="e">
        <f>VLOOKUP($B418,#REF!,MATCH(F$2,#REF!,0),0)</f>
        <v>#REF!</v>
      </c>
      <c r="G418" s="137" t="e">
        <f>VLOOKUP($B418,#REF!,MATCH(G$2,#REF!,0),0)</f>
        <v>#REF!</v>
      </c>
      <c r="H418" s="48"/>
      <c r="I418" s="48"/>
      <c r="J418" s="48"/>
      <c r="K418" s="48"/>
      <c r="L418" s="48"/>
      <c r="M418" s="48">
        <v>3</v>
      </c>
      <c r="N418" s="48">
        <v>3</v>
      </c>
      <c r="O418" s="48">
        <v>3</v>
      </c>
      <c r="P418" s="48"/>
      <c r="Q418" s="48"/>
      <c r="R418" s="150" t="e">
        <f t="shared" ref="R418:AA418" si="438">$G418*H418</f>
        <v>#REF!</v>
      </c>
      <c r="S418" s="150" t="e">
        <f t="shared" si="438"/>
        <v>#REF!</v>
      </c>
      <c r="T418" s="150" t="e">
        <f t="shared" si="438"/>
        <v>#REF!</v>
      </c>
      <c r="U418" s="150" t="e">
        <f t="shared" si="438"/>
        <v>#REF!</v>
      </c>
      <c r="V418" s="150" t="e">
        <f t="shared" si="438"/>
        <v>#REF!</v>
      </c>
      <c r="W418" s="150" t="e">
        <f t="shared" si="438"/>
        <v>#REF!</v>
      </c>
      <c r="X418" s="150" t="e">
        <f t="shared" si="438"/>
        <v>#REF!</v>
      </c>
      <c r="Y418" s="150" t="e">
        <f t="shared" si="438"/>
        <v>#REF!</v>
      </c>
      <c r="Z418" s="150" t="e">
        <f t="shared" si="438"/>
        <v>#REF!</v>
      </c>
      <c r="AA418" s="150" t="e">
        <f t="shared" si="438"/>
        <v>#REF!</v>
      </c>
      <c r="AB418" s="50"/>
    </row>
    <row r="419" s="28" customFormat="1" ht="28.8" outlineLevel="3" spans="1:28">
      <c r="A419" s="52">
        <f>MAX($A$6:A418)+1</f>
        <v>375</v>
      </c>
      <c r="B419" s="138" t="s">
        <v>2138</v>
      </c>
      <c r="C419" s="51" t="e">
        <f>VLOOKUP($B419,#REF!,MATCH(C$2,#REF!,0),0)</f>
        <v>#REF!</v>
      </c>
      <c r="D419" s="83"/>
      <c r="E419" s="83"/>
      <c r="F419" s="136" t="e">
        <f>VLOOKUP($B419,#REF!,MATCH(F$2,#REF!,0),0)</f>
        <v>#REF!</v>
      </c>
      <c r="G419" s="137" t="e">
        <f>VLOOKUP($B419,#REF!,MATCH(G$2,#REF!,0),0)</f>
        <v>#REF!</v>
      </c>
      <c r="H419" s="48"/>
      <c r="I419" s="48"/>
      <c r="J419" s="48"/>
      <c r="K419" s="48"/>
      <c r="L419" s="48"/>
      <c r="M419" s="48">
        <v>1</v>
      </c>
      <c r="N419" s="48">
        <v>1</v>
      </c>
      <c r="O419" s="48">
        <v>1</v>
      </c>
      <c r="P419" s="48"/>
      <c r="Q419" s="48"/>
      <c r="R419" s="150" t="e">
        <f t="shared" ref="R419:AA419" si="439">$G419*H419</f>
        <v>#REF!</v>
      </c>
      <c r="S419" s="150" t="e">
        <f t="shared" si="439"/>
        <v>#REF!</v>
      </c>
      <c r="T419" s="150" t="e">
        <f t="shared" si="439"/>
        <v>#REF!</v>
      </c>
      <c r="U419" s="150" t="e">
        <f t="shared" si="439"/>
        <v>#REF!</v>
      </c>
      <c r="V419" s="150" t="e">
        <f t="shared" si="439"/>
        <v>#REF!</v>
      </c>
      <c r="W419" s="150" t="e">
        <f t="shared" si="439"/>
        <v>#REF!</v>
      </c>
      <c r="X419" s="150" t="e">
        <f t="shared" si="439"/>
        <v>#REF!</v>
      </c>
      <c r="Y419" s="150" t="e">
        <f t="shared" si="439"/>
        <v>#REF!</v>
      </c>
      <c r="Z419" s="150" t="e">
        <f t="shared" si="439"/>
        <v>#REF!</v>
      </c>
      <c r="AA419" s="150" t="e">
        <f t="shared" si="439"/>
        <v>#REF!</v>
      </c>
      <c r="AB419" s="50"/>
    </row>
    <row r="420" s="28" customFormat="1" outlineLevel="3" spans="1:28">
      <c r="A420" s="52">
        <f>MAX($A$6:A419)+1</f>
        <v>376</v>
      </c>
      <c r="B420" s="138" t="s">
        <v>2021</v>
      </c>
      <c r="C420" s="51" t="e">
        <f>VLOOKUP($B420,#REF!,MATCH(C$2,#REF!,0),0)</f>
        <v>#REF!</v>
      </c>
      <c r="D420" s="83"/>
      <c r="E420" s="83"/>
      <c r="F420" s="136" t="e">
        <f>VLOOKUP($B420,#REF!,MATCH(F$2,#REF!,0),0)</f>
        <v>#REF!</v>
      </c>
      <c r="G420" s="137" t="e">
        <f>VLOOKUP($B420,#REF!,MATCH(G$2,#REF!,0),0)</f>
        <v>#REF!</v>
      </c>
      <c r="H420" s="48"/>
      <c r="I420" s="48"/>
      <c r="J420" s="48"/>
      <c r="K420" s="48"/>
      <c r="L420" s="48"/>
      <c r="M420" s="48">
        <v>10</v>
      </c>
      <c r="N420" s="48">
        <v>10</v>
      </c>
      <c r="O420" s="48">
        <v>10</v>
      </c>
      <c r="P420" s="48"/>
      <c r="Q420" s="48"/>
      <c r="R420" s="150" t="e">
        <f t="shared" ref="R420:AA420" si="440">$G420*H420</f>
        <v>#REF!</v>
      </c>
      <c r="S420" s="150" t="e">
        <f t="shared" si="440"/>
        <v>#REF!</v>
      </c>
      <c r="T420" s="150" t="e">
        <f t="shared" si="440"/>
        <v>#REF!</v>
      </c>
      <c r="U420" s="150" t="e">
        <f t="shared" si="440"/>
        <v>#REF!</v>
      </c>
      <c r="V420" s="150" t="e">
        <f t="shared" si="440"/>
        <v>#REF!</v>
      </c>
      <c r="W420" s="150" t="e">
        <f t="shared" si="440"/>
        <v>#REF!</v>
      </c>
      <c r="X420" s="150" t="e">
        <f t="shared" si="440"/>
        <v>#REF!</v>
      </c>
      <c r="Y420" s="150" t="e">
        <f t="shared" si="440"/>
        <v>#REF!</v>
      </c>
      <c r="Z420" s="150" t="e">
        <f t="shared" si="440"/>
        <v>#REF!</v>
      </c>
      <c r="AA420" s="150" t="e">
        <f t="shared" si="440"/>
        <v>#REF!</v>
      </c>
      <c r="AB420" s="50"/>
    </row>
    <row r="421" s="28" customFormat="1" outlineLevel="3" spans="1:28">
      <c r="A421" s="52">
        <f>MAX($A$6:A420)+1</f>
        <v>377</v>
      </c>
      <c r="B421" s="138" t="s">
        <v>1858</v>
      </c>
      <c r="C421" s="51" t="e">
        <f>VLOOKUP($B421,#REF!,MATCH(C$2,#REF!,0),0)</f>
        <v>#REF!</v>
      </c>
      <c r="D421" s="83"/>
      <c r="E421" s="83"/>
      <c r="F421" s="136" t="e">
        <f>VLOOKUP($B421,#REF!,MATCH(F$2,#REF!,0),0)</f>
        <v>#REF!</v>
      </c>
      <c r="G421" s="137" t="e">
        <f>VLOOKUP($B421,#REF!,MATCH(G$2,#REF!,0),0)</f>
        <v>#REF!</v>
      </c>
      <c r="H421" s="48"/>
      <c r="I421" s="48"/>
      <c r="J421" s="48"/>
      <c r="K421" s="48"/>
      <c r="L421" s="48"/>
      <c r="M421" s="48">
        <v>3</v>
      </c>
      <c r="N421" s="48">
        <v>3</v>
      </c>
      <c r="O421" s="48">
        <v>3</v>
      </c>
      <c r="P421" s="48"/>
      <c r="Q421" s="48"/>
      <c r="R421" s="150" t="e">
        <f t="shared" ref="R421:AA421" si="441">$G421*H421</f>
        <v>#REF!</v>
      </c>
      <c r="S421" s="150" t="e">
        <f t="shared" si="441"/>
        <v>#REF!</v>
      </c>
      <c r="T421" s="150" t="e">
        <f t="shared" si="441"/>
        <v>#REF!</v>
      </c>
      <c r="U421" s="150" t="e">
        <f t="shared" si="441"/>
        <v>#REF!</v>
      </c>
      <c r="V421" s="150" t="e">
        <f t="shared" si="441"/>
        <v>#REF!</v>
      </c>
      <c r="W421" s="150" t="e">
        <f t="shared" si="441"/>
        <v>#REF!</v>
      </c>
      <c r="X421" s="150" t="e">
        <f t="shared" si="441"/>
        <v>#REF!</v>
      </c>
      <c r="Y421" s="150" t="e">
        <f t="shared" si="441"/>
        <v>#REF!</v>
      </c>
      <c r="Z421" s="150" t="e">
        <f t="shared" si="441"/>
        <v>#REF!</v>
      </c>
      <c r="AA421" s="150" t="e">
        <f t="shared" si="441"/>
        <v>#REF!</v>
      </c>
      <c r="AB421" s="50"/>
    </row>
    <row r="422" s="28" customFormat="1" outlineLevel="3" spans="1:28">
      <c r="A422" s="52">
        <f>MAX($A$6:A421)+1</f>
        <v>378</v>
      </c>
      <c r="B422" s="138" t="s">
        <v>2022</v>
      </c>
      <c r="C422" s="51" t="e">
        <f>VLOOKUP($B422,#REF!,MATCH(C$2,#REF!,0),0)</f>
        <v>#REF!</v>
      </c>
      <c r="D422" s="83"/>
      <c r="E422" s="83"/>
      <c r="F422" s="136" t="e">
        <f>VLOOKUP($B422,#REF!,MATCH(F$2,#REF!,0),0)</f>
        <v>#REF!</v>
      </c>
      <c r="G422" s="137" t="e">
        <f>VLOOKUP($B422,#REF!,MATCH(G$2,#REF!,0),0)</f>
        <v>#REF!</v>
      </c>
      <c r="H422" s="48"/>
      <c r="I422" s="48"/>
      <c r="J422" s="48"/>
      <c r="K422" s="48"/>
      <c r="L422" s="48"/>
      <c r="M422" s="48">
        <v>1</v>
      </c>
      <c r="N422" s="48">
        <v>1</v>
      </c>
      <c r="O422" s="48">
        <v>1</v>
      </c>
      <c r="P422" s="48"/>
      <c r="Q422" s="48"/>
      <c r="R422" s="150" t="e">
        <f t="shared" ref="R422:AA422" si="442">$G422*H422</f>
        <v>#REF!</v>
      </c>
      <c r="S422" s="150" t="e">
        <f t="shared" si="442"/>
        <v>#REF!</v>
      </c>
      <c r="T422" s="150" t="e">
        <f t="shared" si="442"/>
        <v>#REF!</v>
      </c>
      <c r="U422" s="150" t="e">
        <f t="shared" si="442"/>
        <v>#REF!</v>
      </c>
      <c r="V422" s="150" t="e">
        <f t="shared" si="442"/>
        <v>#REF!</v>
      </c>
      <c r="W422" s="150" t="e">
        <f t="shared" si="442"/>
        <v>#REF!</v>
      </c>
      <c r="X422" s="150" t="e">
        <f t="shared" si="442"/>
        <v>#REF!</v>
      </c>
      <c r="Y422" s="150" t="e">
        <f t="shared" si="442"/>
        <v>#REF!</v>
      </c>
      <c r="Z422" s="150" t="e">
        <f t="shared" si="442"/>
        <v>#REF!</v>
      </c>
      <c r="AA422" s="150" t="e">
        <f t="shared" si="442"/>
        <v>#REF!</v>
      </c>
      <c r="AB422" s="50"/>
    </row>
    <row r="423" s="28" customFormat="1" outlineLevel="3" spans="1:28">
      <c r="A423" s="52">
        <f>MAX($A$6:A422)+1</f>
        <v>379</v>
      </c>
      <c r="B423" s="138" t="s">
        <v>2024</v>
      </c>
      <c r="C423" s="51" t="e">
        <f>VLOOKUP($B423,#REF!,MATCH(C$2,#REF!,0),0)</f>
        <v>#REF!</v>
      </c>
      <c r="D423" s="83"/>
      <c r="E423" s="83"/>
      <c r="F423" s="136" t="e">
        <f>VLOOKUP($B423,#REF!,MATCH(F$2,#REF!,0),0)</f>
        <v>#REF!</v>
      </c>
      <c r="G423" s="137" t="e">
        <f>VLOOKUP($B423,#REF!,MATCH(G$2,#REF!,0),0)</f>
        <v>#REF!</v>
      </c>
      <c r="H423" s="48">
        <v>1</v>
      </c>
      <c r="I423" s="48">
        <v>1</v>
      </c>
      <c r="J423" s="48">
        <v>1</v>
      </c>
      <c r="K423" s="48">
        <v>1</v>
      </c>
      <c r="L423" s="48"/>
      <c r="M423" s="48"/>
      <c r="N423" s="48"/>
      <c r="O423" s="48"/>
      <c r="P423" s="48"/>
      <c r="Q423" s="48"/>
      <c r="R423" s="150" t="e">
        <f t="shared" ref="R423:AA423" si="443">$G423*H423</f>
        <v>#REF!</v>
      </c>
      <c r="S423" s="150" t="e">
        <f t="shared" si="443"/>
        <v>#REF!</v>
      </c>
      <c r="T423" s="150" t="e">
        <f t="shared" si="443"/>
        <v>#REF!</v>
      </c>
      <c r="U423" s="150" t="e">
        <f t="shared" si="443"/>
        <v>#REF!</v>
      </c>
      <c r="V423" s="150" t="e">
        <f t="shared" si="443"/>
        <v>#REF!</v>
      </c>
      <c r="W423" s="150" t="e">
        <f t="shared" si="443"/>
        <v>#REF!</v>
      </c>
      <c r="X423" s="150" t="e">
        <f t="shared" si="443"/>
        <v>#REF!</v>
      </c>
      <c r="Y423" s="150" t="e">
        <f t="shared" si="443"/>
        <v>#REF!</v>
      </c>
      <c r="Z423" s="150" t="e">
        <f t="shared" si="443"/>
        <v>#REF!</v>
      </c>
      <c r="AA423" s="150" t="e">
        <f t="shared" si="443"/>
        <v>#REF!</v>
      </c>
      <c r="AB423" s="50"/>
    </row>
    <row r="424" s="28" customFormat="1" outlineLevel="3" spans="1:28">
      <c r="A424" s="52">
        <f>MAX($A$6:A423)+1</f>
        <v>380</v>
      </c>
      <c r="B424" s="138" t="s">
        <v>2025</v>
      </c>
      <c r="C424" s="51" t="e">
        <f>VLOOKUP($B424,#REF!,MATCH(C$2,#REF!,0),0)</f>
        <v>#REF!</v>
      </c>
      <c r="D424" s="83"/>
      <c r="E424" s="83"/>
      <c r="F424" s="136" t="e">
        <f>VLOOKUP($B424,#REF!,MATCH(F$2,#REF!,0),0)</f>
        <v>#REF!</v>
      </c>
      <c r="G424" s="137" t="e">
        <f>VLOOKUP($B424,#REF!,MATCH(G$2,#REF!,0),0)</f>
        <v>#REF!</v>
      </c>
      <c r="H424" s="48">
        <v>108</v>
      </c>
      <c r="I424" s="48">
        <v>108</v>
      </c>
      <c r="J424" s="48">
        <v>44</v>
      </c>
      <c r="K424" s="48">
        <v>44</v>
      </c>
      <c r="L424" s="48">
        <v>19</v>
      </c>
      <c r="M424" s="48">
        <v>10</v>
      </c>
      <c r="N424" s="48">
        <v>10</v>
      </c>
      <c r="O424" s="48">
        <v>10</v>
      </c>
      <c r="P424" s="48"/>
      <c r="Q424" s="48"/>
      <c r="R424" s="150" t="e">
        <f t="shared" ref="R424:AA424" si="444">$G424*H424</f>
        <v>#REF!</v>
      </c>
      <c r="S424" s="150" t="e">
        <f t="shared" si="444"/>
        <v>#REF!</v>
      </c>
      <c r="T424" s="150" t="e">
        <f t="shared" si="444"/>
        <v>#REF!</v>
      </c>
      <c r="U424" s="150" t="e">
        <f t="shared" si="444"/>
        <v>#REF!</v>
      </c>
      <c r="V424" s="150" t="e">
        <f t="shared" si="444"/>
        <v>#REF!</v>
      </c>
      <c r="W424" s="150" t="e">
        <f t="shared" si="444"/>
        <v>#REF!</v>
      </c>
      <c r="X424" s="150" t="e">
        <f t="shared" si="444"/>
        <v>#REF!</v>
      </c>
      <c r="Y424" s="150" t="e">
        <f t="shared" si="444"/>
        <v>#REF!</v>
      </c>
      <c r="Z424" s="150" t="e">
        <f t="shared" si="444"/>
        <v>#REF!</v>
      </c>
      <c r="AA424" s="150" t="e">
        <f t="shared" si="444"/>
        <v>#REF!</v>
      </c>
      <c r="AB424" s="50"/>
    </row>
    <row r="425" s="28" customFormat="1" ht="28.8" outlineLevel="3" spans="1:28">
      <c r="A425" s="22">
        <f>MAX($A$6:A424)+1</f>
        <v>381</v>
      </c>
      <c r="B425" s="138" t="s">
        <v>2139</v>
      </c>
      <c r="C425" s="51" t="e">
        <f>VLOOKUP($B425,#REF!,MATCH(C$2,#REF!,0),0)</f>
        <v>#REF!</v>
      </c>
      <c r="D425" s="83"/>
      <c r="E425" s="83"/>
      <c r="F425" s="136" t="e">
        <f>VLOOKUP($B425,#REF!,MATCH(F$2,#REF!,0),0)</f>
        <v>#REF!</v>
      </c>
      <c r="G425" s="137" t="e">
        <f>VLOOKUP($B425,#REF!,MATCH(G$2,#REF!,0),0)</f>
        <v>#REF!</v>
      </c>
      <c r="H425" s="48"/>
      <c r="I425" s="48"/>
      <c r="J425" s="48"/>
      <c r="K425" s="48"/>
      <c r="L425" s="48"/>
      <c r="M425" s="48"/>
      <c r="N425" s="48"/>
      <c r="O425" s="48"/>
      <c r="P425" s="48"/>
      <c r="Q425" s="48"/>
      <c r="R425" s="150" t="e">
        <f t="shared" ref="R425:Z425" si="445">$G425*H425</f>
        <v>#REF!</v>
      </c>
      <c r="S425" s="150" t="e">
        <f t="shared" si="445"/>
        <v>#REF!</v>
      </c>
      <c r="T425" s="150" t="e">
        <f t="shared" si="445"/>
        <v>#REF!</v>
      </c>
      <c r="U425" s="150" t="e">
        <f t="shared" si="445"/>
        <v>#REF!</v>
      </c>
      <c r="V425" s="150" t="e">
        <f t="shared" si="445"/>
        <v>#REF!</v>
      </c>
      <c r="W425" s="150" t="e">
        <f t="shared" si="445"/>
        <v>#REF!</v>
      </c>
      <c r="X425" s="150" t="e">
        <f t="shared" si="445"/>
        <v>#REF!</v>
      </c>
      <c r="Y425" s="150" t="e">
        <f t="shared" si="445"/>
        <v>#REF!</v>
      </c>
      <c r="Z425" s="150" t="e">
        <f t="shared" si="445"/>
        <v>#REF!</v>
      </c>
      <c r="AA425" s="150"/>
      <c r="AB425" s="50"/>
    </row>
    <row r="426" s="28" customFormat="1" ht="28.8" outlineLevel="3" spans="1:28">
      <c r="A426" s="22">
        <f>MAX($A$6:A425)+1</f>
        <v>382</v>
      </c>
      <c r="B426" s="138" t="s">
        <v>2140</v>
      </c>
      <c r="C426" s="51" t="e">
        <f>VLOOKUP($B426,#REF!,MATCH(C$2,#REF!,0),0)</f>
        <v>#REF!</v>
      </c>
      <c r="D426" s="83"/>
      <c r="E426" s="83"/>
      <c r="F426" s="136" t="e">
        <f>VLOOKUP($B426,#REF!,MATCH(F$2,#REF!,0),0)</f>
        <v>#REF!</v>
      </c>
      <c r="G426" s="137" t="e">
        <f>VLOOKUP($B426,#REF!,MATCH(G$2,#REF!,0),0)</f>
        <v>#REF!</v>
      </c>
      <c r="H426" s="48">
        <v>216</v>
      </c>
      <c r="I426" s="48">
        <v>216</v>
      </c>
      <c r="J426" s="48">
        <v>88</v>
      </c>
      <c r="K426" s="48">
        <v>88</v>
      </c>
      <c r="L426" s="48">
        <v>38</v>
      </c>
      <c r="M426" s="48"/>
      <c r="N426" s="48"/>
      <c r="O426" s="48"/>
      <c r="P426" s="48"/>
      <c r="Q426" s="48"/>
      <c r="R426" s="150" t="e">
        <f t="shared" ref="R426:AA426" si="446">$G426*H426</f>
        <v>#REF!</v>
      </c>
      <c r="S426" s="150" t="e">
        <f t="shared" si="446"/>
        <v>#REF!</v>
      </c>
      <c r="T426" s="150" t="e">
        <f t="shared" si="446"/>
        <v>#REF!</v>
      </c>
      <c r="U426" s="150" t="e">
        <f t="shared" si="446"/>
        <v>#REF!</v>
      </c>
      <c r="V426" s="150" t="e">
        <f t="shared" si="446"/>
        <v>#REF!</v>
      </c>
      <c r="W426" s="150" t="e">
        <f t="shared" si="446"/>
        <v>#REF!</v>
      </c>
      <c r="X426" s="150" t="e">
        <f t="shared" si="446"/>
        <v>#REF!</v>
      </c>
      <c r="Y426" s="150" t="e">
        <f t="shared" si="446"/>
        <v>#REF!</v>
      </c>
      <c r="Z426" s="150" t="e">
        <f t="shared" si="446"/>
        <v>#REF!</v>
      </c>
      <c r="AA426" s="150" t="e">
        <f t="shared" si="446"/>
        <v>#REF!</v>
      </c>
      <c r="AB426" s="50"/>
    </row>
    <row r="427" s="28" customFormat="1" ht="28.8" outlineLevel="3" spans="1:28">
      <c r="A427" s="22">
        <f>MAX($A$6:A426)+1</f>
        <v>383</v>
      </c>
      <c r="B427" s="138" t="s">
        <v>2028</v>
      </c>
      <c r="C427" s="51" t="e">
        <f>VLOOKUP($B427,#REF!,MATCH(C$2,#REF!,0),0)</f>
        <v>#REF!</v>
      </c>
      <c r="D427" s="83"/>
      <c r="E427" s="83"/>
      <c r="F427" s="136" t="e">
        <f>VLOOKUP($B427,#REF!,MATCH(F$2,#REF!,0),0)</f>
        <v>#REF!</v>
      </c>
      <c r="G427" s="137" t="e">
        <f>VLOOKUP($B427,#REF!,MATCH(G$2,#REF!,0),0)</f>
        <v>#REF!</v>
      </c>
      <c r="H427" s="48"/>
      <c r="I427" s="48"/>
      <c r="J427" s="48"/>
      <c r="K427" s="48"/>
      <c r="L427" s="48"/>
      <c r="M427" s="48"/>
      <c r="N427" s="48"/>
      <c r="O427" s="48"/>
      <c r="P427" s="48"/>
      <c r="Q427" s="48"/>
      <c r="R427" s="150" t="e">
        <f t="shared" ref="R427:AA427" si="447">$G427*H427</f>
        <v>#REF!</v>
      </c>
      <c r="S427" s="150" t="e">
        <f t="shared" si="447"/>
        <v>#REF!</v>
      </c>
      <c r="T427" s="150" t="e">
        <f t="shared" si="447"/>
        <v>#REF!</v>
      </c>
      <c r="U427" s="150" t="e">
        <f t="shared" si="447"/>
        <v>#REF!</v>
      </c>
      <c r="V427" s="150" t="e">
        <f t="shared" si="447"/>
        <v>#REF!</v>
      </c>
      <c r="W427" s="150" t="e">
        <f t="shared" si="447"/>
        <v>#REF!</v>
      </c>
      <c r="X427" s="150" t="e">
        <f t="shared" si="447"/>
        <v>#REF!</v>
      </c>
      <c r="Y427" s="150" t="e">
        <f t="shared" si="447"/>
        <v>#REF!</v>
      </c>
      <c r="Z427" s="150" t="e">
        <f t="shared" si="447"/>
        <v>#REF!</v>
      </c>
      <c r="AA427" s="150" t="e">
        <f t="shared" si="447"/>
        <v>#REF!</v>
      </c>
      <c r="AB427" s="50"/>
    </row>
    <row r="428" s="28" customFormat="1" ht="28.8" outlineLevel="3" spans="1:28">
      <c r="A428" s="22">
        <f>MAX($A$6:A427)+1</f>
        <v>384</v>
      </c>
      <c r="B428" s="138" t="s">
        <v>2029</v>
      </c>
      <c r="C428" s="51" t="e">
        <f>VLOOKUP($B428,#REF!,MATCH(C$2,#REF!,0),0)</f>
        <v>#REF!</v>
      </c>
      <c r="D428" s="83"/>
      <c r="E428" s="83"/>
      <c r="F428" s="136" t="e">
        <f>VLOOKUP($B428,#REF!,MATCH(F$2,#REF!,0),0)</f>
        <v>#REF!</v>
      </c>
      <c r="G428" s="137" t="e">
        <f>VLOOKUP($B428,#REF!,MATCH(G$2,#REF!,0),0)</f>
        <v>#REF!</v>
      </c>
      <c r="H428" s="48">
        <v>108</v>
      </c>
      <c r="I428" s="48">
        <v>108</v>
      </c>
      <c r="J428" s="48">
        <v>44</v>
      </c>
      <c r="K428" s="48">
        <v>44</v>
      </c>
      <c r="L428" s="48">
        <v>19</v>
      </c>
      <c r="M428" s="48">
        <v>10</v>
      </c>
      <c r="N428" s="48">
        <v>10</v>
      </c>
      <c r="O428" s="48">
        <v>10</v>
      </c>
      <c r="P428" s="48"/>
      <c r="Q428" s="48"/>
      <c r="R428" s="150" t="e">
        <f t="shared" ref="R428:AA428" si="448">$G428*H428</f>
        <v>#REF!</v>
      </c>
      <c r="S428" s="150" t="e">
        <f t="shared" si="448"/>
        <v>#REF!</v>
      </c>
      <c r="T428" s="150" t="e">
        <f t="shared" si="448"/>
        <v>#REF!</v>
      </c>
      <c r="U428" s="150" t="e">
        <f t="shared" si="448"/>
        <v>#REF!</v>
      </c>
      <c r="V428" s="150" t="e">
        <f t="shared" si="448"/>
        <v>#REF!</v>
      </c>
      <c r="W428" s="150" t="e">
        <f t="shared" si="448"/>
        <v>#REF!</v>
      </c>
      <c r="X428" s="150" t="e">
        <f t="shared" si="448"/>
        <v>#REF!</v>
      </c>
      <c r="Y428" s="150" t="e">
        <f t="shared" si="448"/>
        <v>#REF!</v>
      </c>
      <c r="Z428" s="150" t="e">
        <f t="shared" si="448"/>
        <v>#REF!</v>
      </c>
      <c r="AA428" s="150" t="e">
        <f t="shared" si="448"/>
        <v>#REF!</v>
      </c>
      <c r="AB428" s="50"/>
    </row>
    <row r="429" s="28" customFormat="1" ht="28.8" outlineLevel="3" spans="1:28">
      <c r="A429" s="22">
        <f>MAX($A$6:A428)+1</f>
        <v>385</v>
      </c>
      <c r="B429" s="138" t="s">
        <v>2100</v>
      </c>
      <c r="C429" s="51" t="e">
        <f>VLOOKUP($B429,#REF!,MATCH(C$2,#REF!,0),0)</f>
        <v>#REF!</v>
      </c>
      <c r="D429" s="83"/>
      <c r="E429" s="83"/>
      <c r="F429" s="136" t="e">
        <f>VLOOKUP($B429,#REF!,MATCH(F$2,#REF!,0),0)</f>
        <v>#REF!</v>
      </c>
      <c r="G429" s="137" t="e">
        <f>VLOOKUP($B429,#REF!,MATCH(G$2,#REF!,0),0)</f>
        <v>#REF!</v>
      </c>
      <c r="H429" s="48"/>
      <c r="I429" s="48"/>
      <c r="J429" s="48"/>
      <c r="K429" s="48"/>
      <c r="L429" s="48"/>
      <c r="M429" s="48">
        <v>4</v>
      </c>
      <c r="N429" s="48">
        <v>4</v>
      </c>
      <c r="O429" s="48">
        <v>4</v>
      </c>
      <c r="P429" s="48"/>
      <c r="Q429" s="48"/>
      <c r="R429" s="150" t="e">
        <f t="shared" ref="R429:AA429" si="449">$G429*H429</f>
        <v>#REF!</v>
      </c>
      <c r="S429" s="150" t="e">
        <f t="shared" si="449"/>
        <v>#REF!</v>
      </c>
      <c r="T429" s="150" t="e">
        <f t="shared" si="449"/>
        <v>#REF!</v>
      </c>
      <c r="U429" s="150" t="e">
        <f t="shared" si="449"/>
        <v>#REF!</v>
      </c>
      <c r="V429" s="150" t="e">
        <f t="shared" si="449"/>
        <v>#REF!</v>
      </c>
      <c r="W429" s="150" t="e">
        <f t="shared" si="449"/>
        <v>#REF!</v>
      </c>
      <c r="X429" s="150" t="e">
        <f t="shared" si="449"/>
        <v>#REF!</v>
      </c>
      <c r="Y429" s="150" t="e">
        <f t="shared" si="449"/>
        <v>#REF!</v>
      </c>
      <c r="Z429" s="150" t="e">
        <f t="shared" si="449"/>
        <v>#REF!</v>
      </c>
      <c r="AA429" s="150" t="e">
        <f t="shared" si="449"/>
        <v>#REF!</v>
      </c>
      <c r="AB429" s="50"/>
    </row>
    <row r="430" s="28" customFormat="1" ht="28.8" outlineLevel="3" spans="1:28">
      <c r="A430" s="22">
        <f>MAX($A$6:A429)+1</f>
        <v>386</v>
      </c>
      <c r="B430" s="138" t="s">
        <v>2095</v>
      </c>
      <c r="C430" s="51" t="e">
        <f>VLOOKUP($B430,#REF!,MATCH(C$2,#REF!,0),0)</f>
        <v>#REF!</v>
      </c>
      <c r="D430" s="83"/>
      <c r="E430" s="83"/>
      <c r="F430" s="136" t="e">
        <f>VLOOKUP($B430,#REF!,MATCH(F$2,#REF!,0),0)</f>
        <v>#REF!</v>
      </c>
      <c r="G430" s="137" t="e">
        <f>VLOOKUP($B430,#REF!,MATCH(G$2,#REF!,0),0)</f>
        <v>#REF!</v>
      </c>
      <c r="H430" s="48"/>
      <c r="I430" s="48"/>
      <c r="J430" s="48"/>
      <c r="K430" s="48"/>
      <c r="L430" s="48"/>
      <c r="M430" s="48"/>
      <c r="N430" s="48"/>
      <c r="O430" s="48"/>
      <c r="P430" s="48"/>
      <c r="Q430" s="48"/>
      <c r="R430" s="150" t="e">
        <f t="shared" ref="R430:AA430" si="450">$G430*H430</f>
        <v>#REF!</v>
      </c>
      <c r="S430" s="150" t="e">
        <f t="shared" si="450"/>
        <v>#REF!</v>
      </c>
      <c r="T430" s="150" t="e">
        <f t="shared" si="450"/>
        <v>#REF!</v>
      </c>
      <c r="U430" s="150" t="e">
        <f t="shared" si="450"/>
        <v>#REF!</v>
      </c>
      <c r="V430" s="150" t="e">
        <f t="shared" si="450"/>
        <v>#REF!</v>
      </c>
      <c r="W430" s="150" t="e">
        <f t="shared" si="450"/>
        <v>#REF!</v>
      </c>
      <c r="X430" s="150" t="e">
        <f t="shared" si="450"/>
        <v>#REF!</v>
      </c>
      <c r="Y430" s="150" t="e">
        <f t="shared" si="450"/>
        <v>#REF!</v>
      </c>
      <c r="Z430" s="150" t="e">
        <f t="shared" si="450"/>
        <v>#REF!</v>
      </c>
      <c r="AA430" s="150" t="e">
        <f t="shared" si="450"/>
        <v>#REF!</v>
      </c>
      <c r="AB430" s="50"/>
    </row>
    <row r="431" s="28" customFormat="1" ht="28.8" outlineLevel="3" spans="1:28">
      <c r="A431" s="52">
        <f>MAX($A$6:A430)+1</f>
        <v>387</v>
      </c>
      <c r="B431" s="138" t="s">
        <v>2141</v>
      </c>
      <c r="C431" s="51" t="e">
        <f>VLOOKUP($B431,#REF!,MATCH(C$2,#REF!,0),0)</f>
        <v>#REF!</v>
      </c>
      <c r="D431" s="83"/>
      <c r="E431" s="83"/>
      <c r="F431" s="136" t="e">
        <f>VLOOKUP($B431,#REF!,MATCH(F$2,#REF!,0),0)</f>
        <v>#REF!</v>
      </c>
      <c r="G431" s="137" t="e">
        <f>VLOOKUP($B431,#REF!,MATCH(G$2,#REF!,0),0)</f>
        <v>#REF!</v>
      </c>
      <c r="H431" s="48">
        <v>108</v>
      </c>
      <c r="I431" s="48">
        <v>108</v>
      </c>
      <c r="J431" s="48">
        <v>44</v>
      </c>
      <c r="K431" s="48">
        <v>44</v>
      </c>
      <c r="L431" s="48">
        <v>19</v>
      </c>
      <c r="M431" s="48"/>
      <c r="N431" s="48"/>
      <c r="O431" s="48"/>
      <c r="P431" s="48"/>
      <c r="Q431" s="48"/>
      <c r="R431" s="150" t="e">
        <f t="shared" ref="R431:AA431" si="451">$G431*H431</f>
        <v>#REF!</v>
      </c>
      <c r="S431" s="150" t="e">
        <f t="shared" si="451"/>
        <v>#REF!</v>
      </c>
      <c r="T431" s="150" t="e">
        <f t="shared" si="451"/>
        <v>#REF!</v>
      </c>
      <c r="U431" s="150" t="e">
        <f t="shared" si="451"/>
        <v>#REF!</v>
      </c>
      <c r="V431" s="150" t="e">
        <f t="shared" si="451"/>
        <v>#REF!</v>
      </c>
      <c r="W431" s="150" t="e">
        <f t="shared" si="451"/>
        <v>#REF!</v>
      </c>
      <c r="X431" s="150" t="e">
        <f t="shared" si="451"/>
        <v>#REF!</v>
      </c>
      <c r="Y431" s="150" t="e">
        <f t="shared" si="451"/>
        <v>#REF!</v>
      </c>
      <c r="Z431" s="150" t="e">
        <f t="shared" si="451"/>
        <v>#REF!</v>
      </c>
      <c r="AA431" s="150" t="e">
        <f t="shared" si="451"/>
        <v>#REF!</v>
      </c>
      <c r="AB431" s="50"/>
    </row>
    <row r="432" s="28" customFormat="1" ht="28.8" outlineLevel="3" spans="1:28">
      <c r="A432" s="52">
        <f>MAX($A$6:A431)+1</f>
        <v>388</v>
      </c>
      <c r="B432" s="138" t="s">
        <v>2098</v>
      </c>
      <c r="C432" s="51" t="e">
        <f>VLOOKUP($B432,#REF!,MATCH(C$2,#REF!,0),0)</f>
        <v>#REF!</v>
      </c>
      <c r="D432" s="83"/>
      <c r="E432" s="83"/>
      <c r="F432" s="136" t="e">
        <f>VLOOKUP($B432,#REF!,MATCH(F$2,#REF!,0),0)</f>
        <v>#REF!</v>
      </c>
      <c r="G432" s="137" t="e">
        <f>VLOOKUP($B432,#REF!,MATCH(G$2,#REF!,0),0)</f>
        <v>#REF!</v>
      </c>
      <c r="H432" s="48"/>
      <c r="I432" s="48"/>
      <c r="J432" s="48"/>
      <c r="K432" s="48"/>
      <c r="L432" s="48"/>
      <c r="M432" s="48">
        <v>1</v>
      </c>
      <c r="N432" s="48">
        <v>1</v>
      </c>
      <c r="O432" s="48">
        <v>1</v>
      </c>
      <c r="P432" s="48"/>
      <c r="Q432" s="48"/>
      <c r="R432" s="150" t="e">
        <f t="shared" ref="R432:AA432" si="452">$G432*H432</f>
        <v>#REF!</v>
      </c>
      <c r="S432" s="150" t="e">
        <f t="shared" si="452"/>
        <v>#REF!</v>
      </c>
      <c r="T432" s="150" t="e">
        <f t="shared" si="452"/>
        <v>#REF!</v>
      </c>
      <c r="U432" s="150" t="e">
        <f t="shared" si="452"/>
        <v>#REF!</v>
      </c>
      <c r="V432" s="150" t="e">
        <f t="shared" si="452"/>
        <v>#REF!</v>
      </c>
      <c r="W432" s="150" t="e">
        <f t="shared" si="452"/>
        <v>#REF!</v>
      </c>
      <c r="X432" s="150" t="e">
        <f t="shared" si="452"/>
        <v>#REF!</v>
      </c>
      <c r="Y432" s="150" t="e">
        <f t="shared" si="452"/>
        <v>#REF!</v>
      </c>
      <c r="Z432" s="150" t="e">
        <f t="shared" si="452"/>
        <v>#REF!</v>
      </c>
      <c r="AA432" s="150" t="e">
        <f t="shared" si="452"/>
        <v>#REF!</v>
      </c>
      <c r="AB432" s="50"/>
    </row>
    <row r="433" s="28" customFormat="1" ht="28.8" outlineLevel="3" spans="1:28">
      <c r="A433" s="52">
        <f>MAX($A$6:A432)+1</f>
        <v>389</v>
      </c>
      <c r="B433" s="138" t="s">
        <v>2142</v>
      </c>
      <c r="C433" s="51" t="e">
        <f>VLOOKUP($B433,#REF!,MATCH(C$2,#REF!,0),0)</f>
        <v>#REF!</v>
      </c>
      <c r="D433" s="83"/>
      <c r="E433" s="83"/>
      <c r="F433" s="136" t="e">
        <f>VLOOKUP($B433,#REF!,MATCH(F$2,#REF!,0),0)</f>
        <v>#REF!</v>
      </c>
      <c r="G433" s="137" t="e">
        <f>VLOOKUP($B433,#REF!,MATCH(G$2,#REF!,0),0)</f>
        <v>#REF!</v>
      </c>
      <c r="H433" s="48">
        <v>1</v>
      </c>
      <c r="I433" s="48">
        <v>1</v>
      </c>
      <c r="J433" s="48">
        <v>1</v>
      </c>
      <c r="K433" s="48">
        <v>1</v>
      </c>
      <c r="L433" s="48"/>
      <c r="M433" s="48"/>
      <c r="N433" s="48"/>
      <c r="O433" s="48"/>
      <c r="P433" s="48"/>
      <c r="Q433" s="48"/>
      <c r="R433" s="150" t="e">
        <f t="shared" ref="R433:AA433" si="453">$G433*H433</f>
        <v>#REF!</v>
      </c>
      <c r="S433" s="150" t="e">
        <f t="shared" si="453"/>
        <v>#REF!</v>
      </c>
      <c r="T433" s="150" t="e">
        <f t="shared" si="453"/>
        <v>#REF!</v>
      </c>
      <c r="U433" s="150" t="e">
        <f t="shared" si="453"/>
        <v>#REF!</v>
      </c>
      <c r="V433" s="150" t="e">
        <f t="shared" si="453"/>
        <v>#REF!</v>
      </c>
      <c r="W433" s="150" t="e">
        <f t="shared" si="453"/>
        <v>#REF!</v>
      </c>
      <c r="X433" s="150" t="e">
        <f t="shared" si="453"/>
        <v>#REF!</v>
      </c>
      <c r="Y433" s="150" t="e">
        <f t="shared" si="453"/>
        <v>#REF!</v>
      </c>
      <c r="Z433" s="150" t="e">
        <f t="shared" si="453"/>
        <v>#REF!</v>
      </c>
      <c r="AA433" s="150" t="e">
        <f t="shared" si="453"/>
        <v>#REF!</v>
      </c>
      <c r="AB433" s="50"/>
    </row>
    <row r="434" s="28" customFormat="1" ht="28.8" outlineLevel="3" spans="1:28">
      <c r="A434" s="52">
        <f>MAX($A$6:A433)+1</f>
        <v>390</v>
      </c>
      <c r="B434" s="138" t="s">
        <v>2143</v>
      </c>
      <c r="C434" s="51" t="e">
        <f>VLOOKUP($B434,#REF!,MATCH(C$2,#REF!,0),0)</f>
        <v>#REF!</v>
      </c>
      <c r="D434" s="83"/>
      <c r="E434" s="83"/>
      <c r="F434" s="136" t="e">
        <f>VLOOKUP($B434,#REF!,MATCH(F$2,#REF!,0),0)</f>
        <v>#REF!</v>
      </c>
      <c r="G434" s="137" t="e">
        <f>VLOOKUP($B434,#REF!,MATCH(G$2,#REF!,0),0)</f>
        <v>#REF!</v>
      </c>
      <c r="H434" s="48">
        <v>108</v>
      </c>
      <c r="I434" s="48">
        <v>108</v>
      </c>
      <c r="J434" s="48">
        <v>44</v>
      </c>
      <c r="K434" s="48">
        <v>44</v>
      </c>
      <c r="L434" s="48">
        <v>19</v>
      </c>
      <c r="M434" s="48">
        <v>10</v>
      </c>
      <c r="N434" s="48">
        <v>10</v>
      </c>
      <c r="O434" s="48">
        <v>10</v>
      </c>
      <c r="P434" s="48"/>
      <c r="Q434" s="48"/>
      <c r="R434" s="150" t="e">
        <f t="shared" ref="R434:AA434" si="454">$G434*H434</f>
        <v>#REF!</v>
      </c>
      <c r="S434" s="150" t="e">
        <f t="shared" si="454"/>
        <v>#REF!</v>
      </c>
      <c r="T434" s="150" t="e">
        <f t="shared" si="454"/>
        <v>#REF!</v>
      </c>
      <c r="U434" s="150" t="e">
        <f t="shared" si="454"/>
        <v>#REF!</v>
      </c>
      <c r="V434" s="150" t="e">
        <f t="shared" si="454"/>
        <v>#REF!</v>
      </c>
      <c r="W434" s="150" t="e">
        <f t="shared" si="454"/>
        <v>#REF!</v>
      </c>
      <c r="X434" s="150" t="e">
        <f t="shared" si="454"/>
        <v>#REF!</v>
      </c>
      <c r="Y434" s="150" t="e">
        <f t="shared" si="454"/>
        <v>#REF!</v>
      </c>
      <c r="Z434" s="150" t="e">
        <f t="shared" si="454"/>
        <v>#REF!</v>
      </c>
      <c r="AA434" s="150" t="e">
        <f t="shared" si="454"/>
        <v>#REF!</v>
      </c>
      <c r="AB434" s="50"/>
    </row>
    <row r="435" s="28" customFormat="1" ht="28.8" outlineLevel="3" spans="1:28">
      <c r="A435" s="52">
        <f>MAX($A$6:A434)+1</f>
        <v>391</v>
      </c>
      <c r="B435" s="138" t="s">
        <v>2144</v>
      </c>
      <c r="C435" s="51" t="e">
        <f>VLOOKUP($B435,#REF!,MATCH(C$2,#REF!,0),0)</f>
        <v>#REF!</v>
      </c>
      <c r="D435" s="83"/>
      <c r="E435" s="83"/>
      <c r="F435" s="136" t="e">
        <f>VLOOKUP($B435,#REF!,MATCH(F$2,#REF!,0),0)</f>
        <v>#REF!</v>
      </c>
      <c r="G435" s="137" t="e">
        <f>VLOOKUP($B435,#REF!,MATCH(G$2,#REF!,0),0)</f>
        <v>#REF!</v>
      </c>
      <c r="H435" s="48"/>
      <c r="I435" s="48"/>
      <c r="J435" s="48"/>
      <c r="K435" s="48"/>
      <c r="L435" s="48"/>
      <c r="M435" s="48">
        <v>2</v>
      </c>
      <c r="N435" s="48">
        <v>2</v>
      </c>
      <c r="O435" s="48">
        <v>2</v>
      </c>
      <c r="P435" s="48"/>
      <c r="Q435" s="48"/>
      <c r="R435" s="150" t="e">
        <f t="shared" ref="R435:AA435" si="455">$G435*H435</f>
        <v>#REF!</v>
      </c>
      <c r="S435" s="150" t="e">
        <f t="shared" si="455"/>
        <v>#REF!</v>
      </c>
      <c r="T435" s="150" t="e">
        <f t="shared" si="455"/>
        <v>#REF!</v>
      </c>
      <c r="U435" s="150" t="e">
        <f t="shared" si="455"/>
        <v>#REF!</v>
      </c>
      <c r="V435" s="150" t="e">
        <f t="shared" si="455"/>
        <v>#REF!</v>
      </c>
      <c r="W435" s="150" t="e">
        <f t="shared" si="455"/>
        <v>#REF!</v>
      </c>
      <c r="X435" s="150" t="e">
        <f t="shared" si="455"/>
        <v>#REF!</v>
      </c>
      <c r="Y435" s="150" t="e">
        <f t="shared" si="455"/>
        <v>#REF!</v>
      </c>
      <c r="Z435" s="150" t="e">
        <f t="shared" si="455"/>
        <v>#REF!</v>
      </c>
      <c r="AA435" s="150" t="e">
        <f t="shared" si="455"/>
        <v>#REF!</v>
      </c>
      <c r="AB435" s="50"/>
    </row>
    <row r="436" s="28" customFormat="1" outlineLevel="3" spans="1:28">
      <c r="A436" s="52">
        <f>MAX($A$6:A435)+1</f>
        <v>392</v>
      </c>
      <c r="B436" s="138" t="s">
        <v>2145</v>
      </c>
      <c r="C436" s="51" t="e">
        <f>VLOOKUP($B436,#REF!,MATCH(C$2,#REF!,0),0)</f>
        <v>#REF!</v>
      </c>
      <c r="D436" s="83"/>
      <c r="E436" s="83"/>
      <c r="F436" s="136" t="e">
        <f>VLOOKUP($B436,#REF!,MATCH(F$2,#REF!,0),0)</f>
        <v>#REF!</v>
      </c>
      <c r="G436" s="137" t="e">
        <f>VLOOKUP($B436,#REF!,MATCH(G$2,#REF!,0),0)</f>
        <v>#REF!</v>
      </c>
      <c r="H436" s="48"/>
      <c r="I436" s="48"/>
      <c r="J436" s="48"/>
      <c r="K436" s="48"/>
      <c r="L436" s="48"/>
      <c r="M436" s="48">
        <v>1</v>
      </c>
      <c r="N436" s="48">
        <v>1</v>
      </c>
      <c r="O436" s="48">
        <v>1</v>
      </c>
      <c r="P436" s="48"/>
      <c r="Q436" s="48"/>
      <c r="R436" s="150" t="e">
        <f t="shared" ref="R436:AA436" si="456">$G436*H436</f>
        <v>#REF!</v>
      </c>
      <c r="S436" s="150" t="e">
        <f t="shared" si="456"/>
        <v>#REF!</v>
      </c>
      <c r="T436" s="150" t="e">
        <f t="shared" si="456"/>
        <v>#REF!</v>
      </c>
      <c r="U436" s="150" t="e">
        <f t="shared" si="456"/>
        <v>#REF!</v>
      </c>
      <c r="V436" s="150" t="e">
        <f t="shared" si="456"/>
        <v>#REF!</v>
      </c>
      <c r="W436" s="150" t="e">
        <f t="shared" si="456"/>
        <v>#REF!</v>
      </c>
      <c r="X436" s="150" t="e">
        <f t="shared" si="456"/>
        <v>#REF!</v>
      </c>
      <c r="Y436" s="150" t="e">
        <f t="shared" si="456"/>
        <v>#REF!</v>
      </c>
      <c r="Z436" s="150" t="e">
        <f t="shared" si="456"/>
        <v>#REF!</v>
      </c>
      <c r="AA436" s="150" t="e">
        <f t="shared" si="456"/>
        <v>#REF!</v>
      </c>
      <c r="AB436" s="50"/>
    </row>
    <row r="437" s="28" customFormat="1" outlineLevel="3" spans="1:28">
      <c r="A437" s="52">
        <f>MAX($A$6:A436)+1</f>
        <v>393</v>
      </c>
      <c r="B437" s="138" t="s">
        <v>1690</v>
      </c>
      <c r="C437" s="51" t="e">
        <f>VLOOKUP($B437,#REF!,MATCH(C$2,#REF!,0),0)</f>
        <v>#REF!</v>
      </c>
      <c r="D437" s="83"/>
      <c r="E437" s="83"/>
      <c r="F437" s="136" t="e">
        <f>VLOOKUP($B437,#REF!,MATCH(F$2,#REF!,0),0)</f>
        <v>#REF!</v>
      </c>
      <c r="G437" s="137" t="e">
        <f>VLOOKUP($B437,#REF!,MATCH(G$2,#REF!,0),0)</f>
        <v>#REF!</v>
      </c>
      <c r="H437" s="48">
        <v>6</v>
      </c>
      <c r="I437" s="48">
        <v>6</v>
      </c>
      <c r="J437" s="48">
        <v>1</v>
      </c>
      <c r="K437" s="48">
        <v>1</v>
      </c>
      <c r="L437" s="48"/>
      <c r="M437" s="48">
        <v>1</v>
      </c>
      <c r="N437" s="48">
        <v>1</v>
      </c>
      <c r="O437" s="48">
        <v>1</v>
      </c>
      <c r="P437" s="48"/>
      <c r="Q437" s="48"/>
      <c r="R437" s="150" t="e">
        <f t="shared" ref="R437:AA437" si="457">$G437*H437</f>
        <v>#REF!</v>
      </c>
      <c r="S437" s="150" t="e">
        <f t="shared" si="457"/>
        <v>#REF!</v>
      </c>
      <c r="T437" s="150" t="e">
        <f t="shared" si="457"/>
        <v>#REF!</v>
      </c>
      <c r="U437" s="150" t="e">
        <f t="shared" si="457"/>
        <v>#REF!</v>
      </c>
      <c r="V437" s="150" t="e">
        <f t="shared" si="457"/>
        <v>#REF!</v>
      </c>
      <c r="W437" s="150" t="e">
        <f t="shared" si="457"/>
        <v>#REF!</v>
      </c>
      <c r="X437" s="150" t="e">
        <f t="shared" si="457"/>
        <v>#REF!</v>
      </c>
      <c r="Y437" s="150" t="e">
        <f t="shared" si="457"/>
        <v>#REF!</v>
      </c>
      <c r="Z437" s="150" t="e">
        <f t="shared" si="457"/>
        <v>#REF!</v>
      </c>
      <c r="AA437" s="150" t="e">
        <f t="shared" si="457"/>
        <v>#REF!</v>
      </c>
      <c r="AB437" s="50"/>
    </row>
    <row r="438" s="28" customFormat="1" outlineLevel="3" spans="1:28">
      <c r="A438" s="52">
        <f>MAX($A$6:A437)+1</f>
        <v>394</v>
      </c>
      <c r="B438" s="138" t="s">
        <v>1691</v>
      </c>
      <c r="C438" s="51" t="e">
        <f>VLOOKUP($B438,#REF!,MATCH(C$2,#REF!,0),0)</f>
        <v>#REF!</v>
      </c>
      <c r="D438" s="83"/>
      <c r="E438" s="83"/>
      <c r="F438" s="136" t="e">
        <f>VLOOKUP($B438,#REF!,MATCH(F$2,#REF!,0),0)</f>
        <v>#REF!</v>
      </c>
      <c r="G438" s="137" t="e">
        <f>VLOOKUP($B438,#REF!,MATCH(G$2,#REF!,0),0)</f>
        <v>#REF!</v>
      </c>
      <c r="H438" s="48"/>
      <c r="I438" s="48"/>
      <c r="J438" s="48"/>
      <c r="K438" s="48"/>
      <c r="L438" s="48"/>
      <c r="M438" s="48"/>
      <c r="N438" s="48"/>
      <c r="O438" s="48"/>
      <c r="P438" s="48"/>
      <c r="Q438" s="48"/>
      <c r="R438" s="150" t="e">
        <f t="shared" ref="R438:AA438" si="458">$G438*H438</f>
        <v>#REF!</v>
      </c>
      <c r="S438" s="150" t="e">
        <f t="shared" si="458"/>
        <v>#REF!</v>
      </c>
      <c r="T438" s="150" t="e">
        <f t="shared" si="458"/>
        <v>#REF!</v>
      </c>
      <c r="U438" s="150" t="e">
        <f t="shared" si="458"/>
        <v>#REF!</v>
      </c>
      <c r="V438" s="150" t="e">
        <f t="shared" si="458"/>
        <v>#REF!</v>
      </c>
      <c r="W438" s="150" t="e">
        <f t="shared" si="458"/>
        <v>#REF!</v>
      </c>
      <c r="X438" s="150" t="e">
        <f t="shared" si="458"/>
        <v>#REF!</v>
      </c>
      <c r="Y438" s="150" t="e">
        <f t="shared" si="458"/>
        <v>#REF!</v>
      </c>
      <c r="Z438" s="150" t="e">
        <f t="shared" si="458"/>
        <v>#REF!</v>
      </c>
      <c r="AA438" s="150" t="e">
        <f t="shared" si="458"/>
        <v>#REF!</v>
      </c>
      <c r="AB438" s="50"/>
    </row>
    <row r="439" s="28" customFormat="1" outlineLevel="3" spans="1:28">
      <c r="A439" s="52">
        <f>MAX($A$6:A438)+1</f>
        <v>395</v>
      </c>
      <c r="B439" s="138" t="s">
        <v>1692</v>
      </c>
      <c r="C439" s="51" t="e">
        <f>VLOOKUP($B439,#REF!,MATCH(C$2,#REF!,0),0)</f>
        <v>#REF!</v>
      </c>
      <c r="D439" s="83"/>
      <c r="E439" s="83"/>
      <c r="F439" s="136" t="e">
        <f>VLOOKUP($B439,#REF!,MATCH(F$2,#REF!,0),0)</f>
        <v>#REF!</v>
      </c>
      <c r="G439" s="137" t="e">
        <f>VLOOKUP($B439,#REF!,MATCH(G$2,#REF!,0),0)</f>
        <v>#REF!</v>
      </c>
      <c r="H439" s="48"/>
      <c r="I439" s="48"/>
      <c r="J439" s="48"/>
      <c r="K439" s="48"/>
      <c r="L439" s="48"/>
      <c r="M439" s="48"/>
      <c r="N439" s="48"/>
      <c r="O439" s="48"/>
      <c r="P439" s="48"/>
      <c r="Q439" s="48"/>
      <c r="R439" s="150" t="e">
        <f t="shared" ref="R439:AA439" si="459">$G439*H439</f>
        <v>#REF!</v>
      </c>
      <c r="S439" s="150" t="e">
        <f t="shared" si="459"/>
        <v>#REF!</v>
      </c>
      <c r="T439" s="150" t="e">
        <f t="shared" si="459"/>
        <v>#REF!</v>
      </c>
      <c r="U439" s="150" t="e">
        <f t="shared" si="459"/>
        <v>#REF!</v>
      </c>
      <c r="V439" s="150" t="e">
        <f t="shared" si="459"/>
        <v>#REF!</v>
      </c>
      <c r="W439" s="150" t="e">
        <f t="shared" si="459"/>
        <v>#REF!</v>
      </c>
      <c r="X439" s="150" t="e">
        <f t="shared" si="459"/>
        <v>#REF!</v>
      </c>
      <c r="Y439" s="150" t="e">
        <f t="shared" si="459"/>
        <v>#REF!</v>
      </c>
      <c r="Z439" s="150" t="e">
        <f t="shared" si="459"/>
        <v>#REF!</v>
      </c>
      <c r="AA439" s="150" t="e">
        <f t="shared" si="459"/>
        <v>#REF!</v>
      </c>
      <c r="AB439" s="50"/>
    </row>
    <row r="440" s="28" customFormat="1" outlineLevel="3" spans="1:28">
      <c r="A440" s="52">
        <f>MAX($A$6:A439)+1</f>
        <v>396</v>
      </c>
      <c r="B440" s="138" t="s">
        <v>1875</v>
      </c>
      <c r="C440" s="51" t="e">
        <f>VLOOKUP($B440,#REF!,MATCH(C$2,#REF!,0),0)</f>
        <v>#REF!</v>
      </c>
      <c r="D440" s="83"/>
      <c r="E440" s="83"/>
      <c r="F440" s="136" t="e">
        <f>VLOOKUP($B440,#REF!,MATCH(F$2,#REF!,0),0)</f>
        <v>#REF!</v>
      </c>
      <c r="G440" s="137" t="e">
        <f>VLOOKUP($B440,#REF!,MATCH(G$2,#REF!,0),0)</f>
        <v>#REF!</v>
      </c>
      <c r="H440" s="48"/>
      <c r="I440" s="48"/>
      <c r="J440" s="48"/>
      <c r="K440" s="48"/>
      <c r="L440" s="48"/>
      <c r="M440" s="48">
        <v>4</v>
      </c>
      <c r="N440" s="48">
        <v>4</v>
      </c>
      <c r="O440" s="48">
        <v>4</v>
      </c>
      <c r="P440" s="48"/>
      <c r="Q440" s="48"/>
      <c r="R440" s="150" t="e">
        <f t="shared" ref="R440:AA440" si="460">$G440*H440</f>
        <v>#REF!</v>
      </c>
      <c r="S440" s="150" t="e">
        <f t="shared" si="460"/>
        <v>#REF!</v>
      </c>
      <c r="T440" s="150" t="e">
        <f t="shared" si="460"/>
        <v>#REF!</v>
      </c>
      <c r="U440" s="150" t="e">
        <f t="shared" si="460"/>
        <v>#REF!</v>
      </c>
      <c r="V440" s="150" t="e">
        <f t="shared" si="460"/>
        <v>#REF!</v>
      </c>
      <c r="W440" s="150" t="e">
        <f t="shared" si="460"/>
        <v>#REF!</v>
      </c>
      <c r="X440" s="150" t="e">
        <f t="shared" si="460"/>
        <v>#REF!</v>
      </c>
      <c r="Y440" s="150" t="e">
        <f t="shared" si="460"/>
        <v>#REF!</v>
      </c>
      <c r="Z440" s="150" t="e">
        <f t="shared" si="460"/>
        <v>#REF!</v>
      </c>
      <c r="AA440" s="150" t="e">
        <f t="shared" si="460"/>
        <v>#REF!</v>
      </c>
      <c r="AB440" s="50"/>
    </row>
    <row r="441" s="28" customFormat="1" outlineLevel="3" spans="1:28">
      <c r="A441" s="52">
        <f>MAX($A$6:A440)+1</f>
        <v>397</v>
      </c>
      <c r="B441" s="138" t="s">
        <v>1704</v>
      </c>
      <c r="C441" s="51" t="e">
        <f>VLOOKUP($B441,#REF!,MATCH(C$2,#REF!,0),0)</f>
        <v>#REF!</v>
      </c>
      <c r="D441" s="83"/>
      <c r="E441" s="83"/>
      <c r="F441" s="136" t="e">
        <f>VLOOKUP($B441,#REF!,MATCH(F$2,#REF!,0),0)</f>
        <v>#REF!</v>
      </c>
      <c r="G441" s="137" t="e">
        <f>VLOOKUP($B441,#REF!,MATCH(G$2,#REF!,0),0)</f>
        <v>#REF!</v>
      </c>
      <c r="H441" s="48">
        <v>108</v>
      </c>
      <c r="I441" s="48">
        <v>108</v>
      </c>
      <c r="J441" s="48">
        <v>44</v>
      </c>
      <c r="K441" s="48">
        <v>44</v>
      </c>
      <c r="L441" s="48">
        <v>19</v>
      </c>
      <c r="M441" s="48">
        <v>1</v>
      </c>
      <c r="N441" s="48">
        <v>1</v>
      </c>
      <c r="O441" s="48">
        <v>1</v>
      </c>
      <c r="P441" s="48"/>
      <c r="Q441" s="48"/>
      <c r="R441" s="150" t="e">
        <f t="shared" ref="R441:AA441" si="461">$G441*H441</f>
        <v>#REF!</v>
      </c>
      <c r="S441" s="150" t="e">
        <f t="shared" si="461"/>
        <v>#REF!</v>
      </c>
      <c r="T441" s="150" t="e">
        <f t="shared" si="461"/>
        <v>#REF!</v>
      </c>
      <c r="U441" s="150" t="e">
        <f t="shared" si="461"/>
        <v>#REF!</v>
      </c>
      <c r="V441" s="150" t="e">
        <f t="shared" si="461"/>
        <v>#REF!</v>
      </c>
      <c r="W441" s="150" t="e">
        <f t="shared" si="461"/>
        <v>#REF!</v>
      </c>
      <c r="X441" s="150" t="e">
        <f t="shared" si="461"/>
        <v>#REF!</v>
      </c>
      <c r="Y441" s="150" t="e">
        <f t="shared" si="461"/>
        <v>#REF!</v>
      </c>
      <c r="Z441" s="150" t="e">
        <f t="shared" si="461"/>
        <v>#REF!</v>
      </c>
      <c r="AA441" s="150" t="e">
        <f t="shared" si="461"/>
        <v>#REF!</v>
      </c>
      <c r="AB441" s="50"/>
    </row>
    <row r="442" s="28" customFormat="1" outlineLevel="3" spans="1:28">
      <c r="A442" s="52">
        <f>MAX($A$6:A441)+1</f>
        <v>398</v>
      </c>
      <c r="B442" s="138" t="s">
        <v>1703</v>
      </c>
      <c r="C442" s="51" t="e">
        <f>VLOOKUP($B442,#REF!,MATCH(C$2,#REF!,0),0)</f>
        <v>#REF!</v>
      </c>
      <c r="D442" s="83"/>
      <c r="E442" s="83"/>
      <c r="F442" s="136" t="e">
        <f>VLOOKUP($B442,#REF!,MATCH(F$2,#REF!,0),0)</f>
        <v>#REF!</v>
      </c>
      <c r="G442" s="137" t="e">
        <f>VLOOKUP($B442,#REF!,MATCH(G$2,#REF!,0),0)</f>
        <v>#REF!</v>
      </c>
      <c r="H442" s="48">
        <v>1</v>
      </c>
      <c r="I442" s="48">
        <v>1</v>
      </c>
      <c r="J442" s="48">
        <v>1</v>
      </c>
      <c r="K442" s="48">
        <v>1</v>
      </c>
      <c r="L442" s="48"/>
      <c r="M442" s="48">
        <v>1</v>
      </c>
      <c r="N442" s="48">
        <v>1</v>
      </c>
      <c r="O442" s="48">
        <v>1</v>
      </c>
      <c r="P442" s="48"/>
      <c r="Q442" s="48"/>
      <c r="R442" s="150" t="e">
        <f t="shared" ref="R442:AA442" si="462">$G442*H442</f>
        <v>#REF!</v>
      </c>
      <c r="S442" s="150" t="e">
        <f t="shared" si="462"/>
        <v>#REF!</v>
      </c>
      <c r="T442" s="150" t="e">
        <f t="shared" si="462"/>
        <v>#REF!</v>
      </c>
      <c r="U442" s="150" t="e">
        <f t="shared" si="462"/>
        <v>#REF!</v>
      </c>
      <c r="V442" s="150" t="e">
        <f t="shared" si="462"/>
        <v>#REF!</v>
      </c>
      <c r="W442" s="150" t="e">
        <f t="shared" si="462"/>
        <v>#REF!</v>
      </c>
      <c r="X442" s="150" t="e">
        <f t="shared" si="462"/>
        <v>#REF!</v>
      </c>
      <c r="Y442" s="150" t="e">
        <f t="shared" si="462"/>
        <v>#REF!</v>
      </c>
      <c r="Z442" s="150" t="e">
        <f t="shared" si="462"/>
        <v>#REF!</v>
      </c>
      <c r="AA442" s="150" t="e">
        <f t="shared" si="462"/>
        <v>#REF!</v>
      </c>
      <c r="AB442" s="50"/>
    </row>
    <row r="443" s="28" customFormat="1" outlineLevel="3" spans="1:28">
      <c r="A443" s="52">
        <f>MAX($A$6:A442)+1</f>
        <v>399</v>
      </c>
      <c r="B443" s="138" t="s">
        <v>1714</v>
      </c>
      <c r="C443" s="51" t="e">
        <f>VLOOKUP($B443,#REF!,MATCH(C$2,#REF!,0),0)</f>
        <v>#REF!</v>
      </c>
      <c r="D443" s="83"/>
      <c r="E443" s="83"/>
      <c r="F443" s="136" t="e">
        <f>VLOOKUP($B443,#REF!,MATCH(F$2,#REF!,0),0)</f>
        <v>#REF!</v>
      </c>
      <c r="G443" s="137" t="e">
        <f>VLOOKUP($B443,#REF!,MATCH(G$2,#REF!,0),0)</f>
        <v>#REF!</v>
      </c>
      <c r="H443" s="48"/>
      <c r="I443" s="48"/>
      <c r="J443" s="48"/>
      <c r="K443" s="48"/>
      <c r="L443" s="48"/>
      <c r="M443" s="48">
        <v>1</v>
      </c>
      <c r="N443" s="48">
        <v>1</v>
      </c>
      <c r="O443" s="48">
        <v>1</v>
      </c>
      <c r="P443" s="48"/>
      <c r="Q443" s="48"/>
      <c r="R443" s="150" t="e">
        <f t="shared" ref="R443:AA443" si="463">$G443*H443</f>
        <v>#REF!</v>
      </c>
      <c r="S443" s="150" t="e">
        <f t="shared" si="463"/>
        <v>#REF!</v>
      </c>
      <c r="T443" s="150" t="e">
        <f t="shared" si="463"/>
        <v>#REF!</v>
      </c>
      <c r="U443" s="150" t="e">
        <f t="shared" si="463"/>
        <v>#REF!</v>
      </c>
      <c r="V443" s="150" t="e">
        <f t="shared" si="463"/>
        <v>#REF!</v>
      </c>
      <c r="W443" s="150" t="e">
        <f t="shared" si="463"/>
        <v>#REF!</v>
      </c>
      <c r="X443" s="150" t="e">
        <f t="shared" si="463"/>
        <v>#REF!</v>
      </c>
      <c r="Y443" s="150" t="e">
        <f t="shared" si="463"/>
        <v>#REF!</v>
      </c>
      <c r="Z443" s="150" t="e">
        <f t="shared" si="463"/>
        <v>#REF!</v>
      </c>
      <c r="AA443" s="150" t="e">
        <f t="shared" si="463"/>
        <v>#REF!</v>
      </c>
      <c r="AB443" s="50"/>
    </row>
    <row r="444" s="28" customFormat="1" outlineLevel="3" spans="1:28">
      <c r="A444" s="52">
        <f>MAX($A$6:A443)+1</f>
        <v>400</v>
      </c>
      <c r="B444" s="138" t="s">
        <v>2102</v>
      </c>
      <c r="C444" s="51" t="e">
        <f>VLOOKUP($B444,#REF!,MATCH(C$2,#REF!,0),0)</f>
        <v>#REF!</v>
      </c>
      <c r="D444" s="83"/>
      <c r="E444" s="83"/>
      <c r="F444" s="136" t="e">
        <f>VLOOKUP($B444,#REF!,MATCH(F$2,#REF!,0),0)</f>
        <v>#REF!</v>
      </c>
      <c r="G444" s="137" t="e">
        <f>VLOOKUP($B444,#REF!,MATCH(G$2,#REF!,0),0)</f>
        <v>#REF!</v>
      </c>
      <c r="H444" s="48"/>
      <c r="I444" s="48"/>
      <c r="J444" s="48"/>
      <c r="K444" s="48"/>
      <c r="L444" s="48"/>
      <c r="M444" s="48">
        <v>5</v>
      </c>
      <c r="N444" s="48">
        <v>5</v>
      </c>
      <c r="O444" s="48">
        <v>5</v>
      </c>
      <c r="P444" s="48"/>
      <c r="Q444" s="48"/>
      <c r="R444" s="150" t="e">
        <f t="shared" ref="R444:AA444" si="464">$G444*H444</f>
        <v>#REF!</v>
      </c>
      <c r="S444" s="150" t="e">
        <f t="shared" si="464"/>
        <v>#REF!</v>
      </c>
      <c r="T444" s="150" t="e">
        <f t="shared" si="464"/>
        <v>#REF!</v>
      </c>
      <c r="U444" s="150" t="e">
        <f t="shared" si="464"/>
        <v>#REF!</v>
      </c>
      <c r="V444" s="150" t="e">
        <f t="shared" si="464"/>
        <v>#REF!</v>
      </c>
      <c r="W444" s="150" t="e">
        <f t="shared" si="464"/>
        <v>#REF!</v>
      </c>
      <c r="X444" s="150" t="e">
        <f t="shared" si="464"/>
        <v>#REF!</v>
      </c>
      <c r="Y444" s="150" t="e">
        <f t="shared" si="464"/>
        <v>#REF!</v>
      </c>
      <c r="Z444" s="150" t="e">
        <f t="shared" si="464"/>
        <v>#REF!</v>
      </c>
      <c r="AA444" s="150" t="e">
        <f t="shared" si="464"/>
        <v>#REF!</v>
      </c>
      <c r="AB444" s="50"/>
    </row>
    <row r="445" s="28" customFormat="1" outlineLevel="3" spans="1:28">
      <c r="A445" s="52">
        <f>MAX($A$6:A444)+1</f>
        <v>401</v>
      </c>
      <c r="B445" s="138" t="s">
        <v>2146</v>
      </c>
      <c r="C445" s="51" t="e">
        <f>VLOOKUP($B445,#REF!,MATCH(C$2,#REF!,0),0)</f>
        <v>#REF!</v>
      </c>
      <c r="D445" s="83"/>
      <c r="E445" s="83"/>
      <c r="F445" s="136" t="e">
        <f>VLOOKUP($B445,#REF!,MATCH(F$2,#REF!,0),0)</f>
        <v>#REF!</v>
      </c>
      <c r="G445" s="137" t="e">
        <f>VLOOKUP($B445,#REF!,MATCH(G$2,#REF!,0),0)</f>
        <v>#REF!</v>
      </c>
      <c r="H445" s="48">
        <v>3</v>
      </c>
      <c r="I445" s="48">
        <v>3</v>
      </c>
      <c r="J445" s="48">
        <v>1</v>
      </c>
      <c r="K445" s="48">
        <v>1</v>
      </c>
      <c r="L445" s="48">
        <v>1</v>
      </c>
      <c r="M445" s="48"/>
      <c r="N445" s="48"/>
      <c r="O445" s="48"/>
      <c r="P445" s="48"/>
      <c r="Q445" s="48"/>
      <c r="R445" s="150" t="e">
        <f t="shared" ref="R445:AA445" si="465">$G445*H445</f>
        <v>#REF!</v>
      </c>
      <c r="S445" s="150" t="e">
        <f t="shared" si="465"/>
        <v>#REF!</v>
      </c>
      <c r="T445" s="150" t="e">
        <f t="shared" si="465"/>
        <v>#REF!</v>
      </c>
      <c r="U445" s="150" t="e">
        <f t="shared" si="465"/>
        <v>#REF!</v>
      </c>
      <c r="V445" s="150" t="e">
        <f t="shared" si="465"/>
        <v>#REF!</v>
      </c>
      <c r="W445" s="150" t="e">
        <f t="shared" si="465"/>
        <v>#REF!</v>
      </c>
      <c r="X445" s="150" t="e">
        <f t="shared" si="465"/>
        <v>#REF!</v>
      </c>
      <c r="Y445" s="150" t="e">
        <f t="shared" si="465"/>
        <v>#REF!</v>
      </c>
      <c r="Z445" s="150" t="e">
        <f t="shared" si="465"/>
        <v>#REF!</v>
      </c>
      <c r="AA445" s="150" t="e">
        <f t="shared" si="465"/>
        <v>#REF!</v>
      </c>
      <c r="AB445" s="50"/>
    </row>
    <row r="446" s="28" customFormat="1" outlineLevel="3" spans="1:28">
      <c r="A446" s="52">
        <f>MAX($A$6:A445)+1</f>
        <v>402</v>
      </c>
      <c r="B446" s="138" t="s">
        <v>2056</v>
      </c>
      <c r="C446" s="51" t="e">
        <f>VLOOKUP($B446,#REF!,MATCH(C$2,#REF!,0),0)</f>
        <v>#REF!</v>
      </c>
      <c r="D446" s="83"/>
      <c r="E446" s="83"/>
      <c r="F446" s="136" t="e">
        <f>VLOOKUP($B446,#REF!,MATCH(F$2,#REF!,0),0)</f>
        <v>#REF!</v>
      </c>
      <c r="G446" s="137" t="e">
        <f>VLOOKUP($B446,#REF!,MATCH(G$2,#REF!,0),0)</f>
        <v>#REF!</v>
      </c>
      <c r="H446" s="48"/>
      <c r="I446" s="48"/>
      <c r="J446" s="48"/>
      <c r="K446" s="48"/>
      <c r="L446" s="48"/>
      <c r="M446" s="48"/>
      <c r="N446" s="48">
        <v>1</v>
      </c>
      <c r="O446" s="48"/>
      <c r="P446" s="48"/>
      <c r="Q446" s="48"/>
      <c r="R446" s="150" t="e">
        <f t="shared" ref="R446:AA446" si="466">$G446*H446</f>
        <v>#REF!</v>
      </c>
      <c r="S446" s="150" t="e">
        <f t="shared" si="466"/>
        <v>#REF!</v>
      </c>
      <c r="T446" s="150" t="e">
        <f t="shared" si="466"/>
        <v>#REF!</v>
      </c>
      <c r="U446" s="150" t="e">
        <f t="shared" si="466"/>
        <v>#REF!</v>
      </c>
      <c r="V446" s="150" t="e">
        <f t="shared" si="466"/>
        <v>#REF!</v>
      </c>
      <c r="W446" s="150" t="e">
        <f t="shared" si="466"/>
        <v>#REF!</v>
      </c>
      <c r="X446" s="150" t="e">
        <f t="shared" si="466"/>
        <v>#REF!</v>
      </c>
      <c r="Y446" s="150" t="e">
        <f t="shared" si="466"/>
        <v>#REF!</v>
      </c>
      <c r="Z446" s="150" t="e">
        <f t="shared" si="466"/>
        <v>#REF!</v>
      </c>
      <c r="AA446" s="150" t="e">
        <f t="shared" si="466"/>
        <v>#REF!</v>
      </c>
      <c r="AB446" s="50"/>
    </row>
    <row r="447" s="28" customFormat="1" outlineLevel="3" spans="1:28">
      <c r="A447" s="52">
        <f>MAX($A$6:A446)+1</f>
        <v>403</v>
      </c>
      <c r="B447" s="138" t="s">
        <v>1975</v>
      </c>
      <c r="C447" s="51" t="e">
        <f>VLOOKUP($B447,#REF!,MATCH(C$2,#REF!,0),0)</f>
        <v>#REF!</v>
      </c>
      <c r="D447" s="83"/>
      <c r="E447" s="83"/>
      <c r="F447" s="136" t="e">
        <f>VLOOKUP($B447,#REF!,MATCH(F$2,#REF!,0),0)</f>
        <v>#REF!</v>
      </c>
      <c r="G447" s="137" t="e">
        <f>VLOOKUP($B447,#REF!,MATCH(G$2,#REF!,0),0)</f>
        <v>#REF!</v>
      </c>
      <c r="H447" s="48"/>
      <c r="I447" s="48"/>
      <c r="J447" s="48"/>
      <c r="K447" s="48"/>
      <c r="L447" s="48"/>
      <c r="M447" s="48"/>
      <c r="N447" s="48">
        <v>1</v>
      </c>
      <c r="O447" s="48"/>
      <c r="P447" s="48"/>
      <c r="Q447" s="48"/>
      <c r="R447" s="150" t="e">
        <f t="shared" ref="R447:AA447" si="467">$G447*H447</f>
        <v>#REF!</v>
      </c>
      <c r="S447" s="150" t="e">
        <f t="shared" si="467"/>
        <v>#REF!</v>
      </c>
      <c r="T447" s="150" t="e">
        <f t="shared" si="467"/>
        <v>#REF!</v>
      </c>
      <c r="U447" s="150" t="e">
        <f t="shared" si="467"/>
        <v>#REF!</v>
      </c>
      <c r="V447" s="150" t="e">
        <f t="shared" si="467"/>
        <v>#REF!</v>
      </c>
      <c r="W447" s="150" t="e">
        <f t="shared" si="467"/>
        <v>#REF!</v>
      </c>
      <c r="X447" s="150" t="e">
        <f t="shared" si="467"/>
        <v>#REF!</v>
      </c>
      <c r="Y447" s="150" t="e">
        <f t="shared" si="467"/>
        <v>#REF!</v>
      </c>
      <c r="Z447" s="150" t="e">
        <f t="shared" si="467"/>
        <v>#REF!</v>
      </c>
      <c r="AA447" s="150" t="e">
        <f t="shared" si="467"/>
        <v>#REF!</v>
      </c>
      <c r="AB447" s="50"/>
    </row>
    <row r="448" s="122" customFormat="1" outlineLevel="1" spans="1:28">
      <c r="A448" s="130"/>
      <c r="B448" s="131" t="s">
        <v>2147</v>
      </c>
      <c r="C448" s="131"/>
      <c r="D448" s="153"/>
      <c r="E448" s="153"/>
      <c r="F448" s="154"/>
      <c r="G448" s="155"/>
      <c r="H448" s="134"/>
      <c r="I448" s="134"/>
      <c r="J448" s="134"/>
      <c r="K448" s="134"/>
      <c r="L448" s="134"/>
      <c r="M448" s="134"/>
      <c r="N448" s="134"/>
      <c r="O448" s="134"/>
      <c r="P448" s="134"/>
      <c r="Q448" s="134"/>
      <c r="R448" s="148" t="e">
        <f t="shared" ref="R448:AA448" si="468">SUM(R449:R450)</f>
        <v>#REF!</v>
      </c>
      <c r="S448" s="148" t="e">
        <f t="shared" si="468"/>
        <v>#REF!</v>
      </c>
      <c r="T448" s="148" t="e">
        <f t="shared" si="468"/>
        <v>#REF!</v>
      </c>
      <c r="U448" s="148" t="e">
        <f t="shared" si="468"/>
        <v>#REF!</v>
      </c>
      <c r="V448" s="148" t="e">
        <f t="shared" si="468"/>
        <v>#REF!</v>
      </c>
      <c r="W448" s="148" t="e">
        <f t="shared" si="468"/>
        <v>#REF!</v>
      </c>
      <c r="X448" s="148" t="e">
        <f t="shared" si="468"/>
        <v>#REF!</v>
      </c>
      <c r="Y448" s="148" t="e">
        <f t="shared" si="468"/>
        <v>#REF!</v>
      </c>
      <c r="Z448" s="148" t="e">
        <f t="shared" si="468"/>
        <v>#REF!</v>
      </c>
      <c r="AA448" s="148" t="e">
        <f t="shared" si="468"/>
        <v>#REF!</v>
      </c>
      <c r="AB448" s="130"/>
    </row>
    <row r="449" s="28" customFormat="1" outlineLevel="3" spans="1:28">
      <c r="A449" s="52">
        <f>MAX($A$6:A448)+1</f>
        <v>404</v>
      </c>
      <c r="B449" s="138" t="s">
        <v>1906</v>
      </c>
      <c r="C449" s="51" t="e">
        <f>VLOOKUP($B449,#REF!,MATCH(C$2,#REF!,0),0)</f>
        <v>#REF!</v>
      </c>
      <c r="D449" s="83"/>
      <c r="E449" s="83"/>
      <c r="F449" s="136" t="e">
        <f>VLOOKUP($B449,#REF!,MATCH(F$2,#REF!,0),0)</f>
        <v>#REF!</v>
      </c>
      <c r="G449" s="137" t="e">
        <f>VLOOKUP($B449,#REF!,MATCH(G$2,#REF!,0),0)</f>
        <v>#REF!</v>
      </c>
      <c r="H449" s="48">
        <v>8.14</v>
      </c>
      <c r="I449" s="48">
        <v>8.29</v>
      </c>
      <c r="J449" s="48">
        <v>3.01</v>
      </c>
      <c r="K449" s="48">
        <v>3.01</v>
      </c>
      <c r="L449" s="48">
        <v>1.295</v>
      </c>
      <c r="M449" s="48">
        <v>0.06</v>
      </c>
      <c r="N449" s="48">
        <v>0.06</v>
      </c>
      <c r="O449" s="48">
        <v>0.06</v>
      </c>
      <c r="P449" s="48"/>
      <c r="Q449" s="48"/>
      <c r="R449" s="150" t="e">
        <f t="shared" ref="R449:AA449" si="469">$G449*H449</f>
        <v>#REF!</v>
      </c>
      <c r="S449" s="150" t="e">
        <f t="shared" si="469"/>
        <v>#REF!</v>
      </c>
      <c r="T449" s="150" t="e">
        <f t="shared" si="469"/>
        <v>#REF!</v>
      </c>
      <c r="U449" s="150" t="e">
        <f t="shared" si="469"/>
        <v>#REF!</v>
      </c>
      <c r="V449" s="150" t="e">
        <f t="shared" si="469"/>
        <v>#REF!</v>
      </c>
      <c r="W449" s="150" t="e">
        <f t="shared" si="469"/>
        <v>#REF!</v>
      </c>
      <c r="X449" s="150" t="e">
        <f t="shared" si="469"/>
        <v>#REF!</v>
      </c>
      <c r="Y449" s="150" t="e">
        <f t="shared" si="469"/>
        <v>#REF!</v>
      </c>
      <c r="Z449" s="150" t="e">
        <f t="shared" si="469"/>
        <v>#REF!</v>
      </c>
      <c r="AA449" s="150" t="e">
        <f t="shared" si="469"/>
        <v>#REF!</v>
      </c>
      <c r="AB449" s="50"/>
    </row>
    <row r="450" s="28" customFormat="1" outlineLevel="3" spans="1:28">
      <c r="A450" s="52">
        <f>MAX($A$6:A449)+1</f>
        <v>405</v>
      </c>
      <c r="B450" s="138" t="s">
        <v>2104</v>
      </c>
      <c r="C450" s="51" t="e">
        <f>VLOOKUP($B450,#REF!,MATCH(C$2,#REF!,0),0)</f>
        <v>#REF!</v>
      </c>
      <c r="D450" s="83"/>
      <c r="E450" s="83"/>
      <c r="F450" s="136" t="e">
        <f>VLOOKUP($B450,#REF!,MATCH(F$2,#REF!,0),0)</f>
        <v>#REF!</v>
      </c>
      <c r="G450" s="137" t="e">
        <f>VLOOKUP($B450,#REF!,MATCH(G$2,#REF!,0),0)</f>
        <v>#REF!</v>
      </c>
      <c r="H450" s="48">
        <v>227.45</v>
      </c>
      <c r="I450" s="48">
        <v>227.45</v>
      </c>
      <c r="J450" s="48">
        <v>57.37</v>
      </c>
      <c r="K450" s="48">
        <v>57.37</v>
      </c>
      <c r="L450" s="48">
        <v>29.367</v>
      </c>
      <c r="M450" s="48">
        <v>1</v>
      </c>
      <c r="N450" s="48">
        <v>1</v>
      </c>
      <c r="O450" s="48">
        <v>1</v>
      </c>
      <c r="P450" s="48"/>
      <c r="Q450" s="48"/>
      <c r="R450" s="150" t="e">
        <f t="shared" ref="R450:AA450" si="470">$G450*H450</f>
        <v>#REF!</v>
      </c>
      <c r="S450" s="150" t="e">
        <f t="shared" si="470"/>
        <v>#REF!</v>
      </c>
      <c r="T450" s="150" t="e">
        <f t="shared" si="470"/>
        <v>#REF!</v>
      </c>
      <c r="U450" s="150" t="e">
        <f t="shared" si="470"/>
        <v>#REF!</v>
      </c>
      <c r="V450" s="150" t="e">
        <f t="shared" si="470"/>
        <v>#REF!</v>
      </c>
      <c r="W450" s="150" t="e">
        <f t="shared" si="470"/>
        <v>#REF!</v>
      </c>
      <c r="X450" s="150" t="e">
        <f t="shared" si="470"/>
        <v>#REF!</v>
      </c>
      <c r="Y450" s="150" t="e">
        <f t="shared" si="470"/>
        <v>#REF!</v>
      </c>
      <c r="Z450" s="150" t="e">
        <f t="shared" si="470"/>
        <v>#REF!</v>
      </c>
      <c r="AA450" s="150" t="e">
        <f t="shared" si="470"/>
        <v>#REF!</v>
      </c>
      <c r="AB450" s="50"/>
    </row>
    <row r="451" s="122" customFormat="1" outlineLevel="1" spans="1:28">
      <c r="A451" s="130"/>
      <c r="B451" s="131" t="s">
        <v>2148</v>
      </c>
      <c r="C451" s="131"/>
      <c r="D451" s="153"/>
      <c r="E451" s="153"/>
      <c r="F451" s="154"/>
      <c r="G451" s="155"/>
      <c r="H451" s="134"/>
      <c r="I451" s="134"/>
      <c r="J451" s="134"/>
      <c r="K451" s="134"/>
      <c r="L451" s="134"/>
      <c r="M451" s="134"/>
      <c r="N451" s="134"/>
      <c r="O451" s="134"/>
      <c r="P451" s="134"/>
      <c r="Q451" s="134"/>
      <c r="R451" s="148" t="e">
        <f t="shared" ref="R451:AA451" si="471">SUM(R452)</f>
        <v>#REF!</v>
      </c>
      <c r="S451" s="148" t="e">
        <f t="shared" si="471"/>
        <v>#REF!</v>
      </c>
      <c r="T451" s="148" t="e">
        <f t="shared" si="471"/>
        <v>#REF!</v>
      </c>
      <c r="U451" s="148" t="e">
        <f t="shared" si="471"/>
        <v>#REF!</v>
      </c>
      <c r="V451" s="148" t="e">
        <f t="shared" si="471"/>
        <v>#REF!</v>
      </c>
      <c r="W451" s="148" t="e">
        <f t="shared" si="471"/>
        <v>#REF!</v>
      </c>
      <c r="X451" s="148" t="e">
        <f t="shared" si="471"/>
        <v>#REF!</v>
      </c>
      <c r="Y451" s="148" t="e">
        <f t="shared" si="471"/>
        <v>#REF!</v>
      </c>
      <c r="Z451" s="148" t="e">
        <f t="shared" si="471"/>
        <v>#REF!</v>
      </c>
      <c r="AA451" s="148" t="e">
        <f t="shared" si="471"/>
        <v>#REF!</v>
      </c>
      <c r="AB451" s="130"/>
    </row>
    <row r="452" s="1" customFormat="1" outlineLevel="3" spans="1:28">
      <c r="A452" s="52">
        <f>MAX($A$6:A451)+1</f>
        <v>406</v>
      </c>
      <c r="B452" s="138" t="s">
        <v>2149</v>
      </c>
      <c r="C452" s="51" t="e">
        <f>VLOOKUP($B452,#REF!,MATCH(C$2,#REF!,0),0)</f>
        <v>#REF!</v>
      </c>
      <c r="D452" s="83"/>
      <c r="E452" s="83"/>
      <c r="F452" s="136" t="e">
        <f>VLOOKUP($B452,#REF!,MATCH(F$2,#REF!,0),0)</f>
        <v>#REF!</v>
      </c>
      <c r="G452" s="137" t="e">
        <f>VLOOKUP($B452,#REF!,MATCH(G$2,#REF!,0),0)</f>
        <v>#REF!</v>
      </c>
      <c r="H452" s="139">
        <v>13926.21</v>
      </c>
      <c r="I452" s="139">
        <v>13924.48</v>
      </c>
      <c r="J452" s="139">
        <v>7844.72</v>
      </c>
      <c r="K452" s="139">
        <v>7844.72</v>
      </c>
      <c r="L452" s="139">
        <v>5017.48</v>
      </c>
      <c r="M452" s="139">
        <v>1313.8</v>
      </c>
      <c r="N452" s="139">
        <v>1313.8</v>
      </c>
      <c r="O452" s="139">
        <v>1313.8</v>
      </c>
      <c r="P452" s="139"/>
      <c r="Q452" s="139"/>
      <c r="R452" s="150" t="e">
        <f t="shared" ref="R452:AA452" si="472">$G452*H452</f>
        <v>#REF!</v>
      </c>
      <c r="S452" s="150" t="e">
        <f t="shared" si="472"/>
        <v>#REF!</v>
      </c>
      <c r="T452" s="150" t="e">
        <f t="shared" si="472"/>
        <v>#REF!</v>
      </c>
      <c r="U452" s="150" t="e">
        <f t="shared" si="472"/>
        <v>#REF!</v>
      </c>
      <c r="V452" s="150" t="e">
        <f t="shared" si="472"/>
        <v>#REF!</v>
      </c>
      <c r="W452" s="150" t="e">
        <f t="shared" si="472"/>
        <v>#REF!</v>
      </c>
      <c r="X452" s="150" t="e">
        <f t="shared" si="472"/>
        <v>#REF!</v>
      </c>
      <c r="Y452" s="150" t="e">
        <f t="shared" si="472"/>
        <v>#REF!</v>
      </c>
      <c r="Z452" s="150" t="e">
        <f t="shared" si="472"/>
        <v>#REF!</v>
      </c>
      <c r="AA452" s="150" t="e">
        <f t="shared" si="472"/>
        <v>#REF!</v>
      </c>
      <c r="AB452" s="26"/>
    </row>
    <row r="453" s="123" customFormat="1" spans="1:28">
      <c r="A453" s="125"/>
      <c r="B453" s="126" t="s">
        <v>2150</v>
      </c>
      <c r="C453" s="126"/>
      <c r="D453" s="105"/>
      <c r="E453" s="105"/>
      <c r="F453" s="156"/>
      <c r="G453" s="157"/>
      <c r="H453" s="129"/>
      <c r="I453" s="129"/>
      <c r="J453" s="129"/>
      <c r="K453" s="129"/>
      <c r="L453" s="129"/>
      <c r="M453" s="129"/>
      <c r="N453" s="129"/>
      <c r="O453" s="129"/>
      <c r="P453" s="129"/>
      <c r="Q453" s="129"/>
      <c r="R453" s="147" t="e">
        <f t="shared" ref="R453:AA453" si="473">SUM(R454,R662,R685)</f>
        <v>#REF!</v>
      </c>
      <c r="S453" s="147" t="e">
        <f t="shared" si="473"/>
        <v>#REF!</v>
      </c>
      <c r="T453" s="147" t="e">
        <f t="shared" si="473"/>
        <v>#REF!</v>
      </c>
      <c r="U453" s="147" t="e">
        <f t="shared" si="473"/>
        <v>#REF!</v>
      </c>
      <c r="V453" s="147" t="e">
        <f t="shared" si="473"/>
        <v>#REF!</v>
      </c>
      <c r="W453" s="147" t="e">
        <f t="shared" si="473"/>
        <v>#REF!</v>
      </c>
      <c r="X453" s="147" t="e">
        <f t="shared" si="473"/>
        <v>#REF!</v>
      </c>
      <c r="Y453" s="147" t="e">
        <f t="shared" si="473"/>
        <v>#REF!</v>
      </c>
      <c r="Z453" s="147" t="e">
        <f t="shared" si="473"/>
        <v>#REF!</v>
      </c>
      <c r="AA453" s="147" t="e">
        <f t="shared" si="473"/>
        <v>#REF!</v>
      </c>
      <c r="AB453" s="125"/>
    </row>
    <row r="454" s="122" customFormat="1" outlineLevel="1" spans="1:28">
      <c r="A454" s="130"/>
      <c r="B454" s="131" t="s">
        <v>2151</v>
      </c>
      <c r="C454" s="131"/>
      <c r="D454" s="153"/>
      <c r="E454" s="153"/>
      <c r="F454" s="154"/>
      <c r="G454" s="155"/>
      <c r="H454" s="134"/>
      <c r="I454" s="134"/>
      <c r="J454" s="134"/>
      <c r="K454" s="134"/>
      <c r="L454" s="134"/>
      <c r="M454" s="134"/>
      <c r="N454" s="134"/>
      <c r="O454" s="134"/>
      <c r="P454" s="134"/>
      <c r="Q454" s="134"/>
      <c r="R454" s="148" t="e">
        <f t="shared" ref="R454:AA454" si="474">SUM(R455,R470,R509,R586,R622,R645)</f>
        <v>#REF!</v>
      </c>
      <c r="S454" s="148" t="e">
        <f t="shared" si="474"/>
        <v>#REF!</v>
      </c>
      <c r="T454" s="148" t="e">
        <f t="shared" si="474"/>
        <v>#REF!</v>
      </c>
      <c r="U454" s="148" t="e">
        <f t="shared" si="474"/>
        <v>#REF!</v>
      </c>
      <c r="V454" s="148" t="e">
        <f t="shared" si="474"/>
        <v>#REF!</v>
      </c>
      <c r="W454" s="148" t="e">
        <f t="shared" si="474"/>
        <v>#REF!</v>
      </c>
      <c r="X454" s="148" t="e">
        <f t="shared" si="474"/>
        <v>#REF!</v>
      </c>
      <c r="Y454" s="148" t="e">
        <f t="shared" si="474"/>
        <v>#REF!</v>
      </c>
      <c r="Z454" s="148" t="e">
        <f t="shared" si="474"/>
        <v>#REF!</v>
      </c>
      <c r="AA454" s="148" t="e">
        <f t="shared" si="474"/>
        <v>#REF!</v>
      </c>
      <c r="AB454" s="130"/>
    </row>
    <row r="455" s="29" customFormat="1" outlineLevel="2" spans="1:28">
      <c r="A455" s="40"/>
      <c r="B455" s="41" t="s">
        <v>2152</v>
      </c>
      <c r="C455" s="41"/>
      <c r="D455" s="140"/>
      <c r="E455" s="140"/>
      <c r="F455" s="141"/>
      <c r="G455" s="142"/>
      <c r="H455" s="43"/>
      <c r="I455" s="43"/>
      <c r="J455" s="43"/>
      <c r="K455" s="43"/>
      <c r="L455" s="43"/>
      <c r="M455" s="43"/>
      <c r="N455" s="43"/>
      <c r="O455" s="43"/>
      <c r="P455" s="43"/>
      <c r="Q455" s="43"/>
      <c r="R455" s="149" t="e">
        <f t="shared" ref="R455:AA455" si="475">SUM(R456:R469)</f>
        <v>#REF!</v>
      </c>
      <c r="S455" s="149" t="e">
        <f t="shared" si="475"/>
        <v>#REF!</v>
      </c>
      <c r="T455" s="149" t="e">
        <f t="shared" si="475"/>
        <v>#REF!</v>
      </c>
      <c r="U455" s="149" t="e">
        <f t="shared" si="475"/>
        <v>#REF!</v>
      </c>
      <c r="V455" s="149" t="e">
        <f t="shared" si="475"/>
        <v>#REF!</v>
      </c>
      <c r="W455" s="149" t="e">
        <f t="shared" si="475"/>
        <v>#REF!</v>
      </c>
      <c r="X455" s="149" t="e">
        <f t="shared" si="475"/>
        <v>#REF!</v>
      </c>
      <c r="Y455" s="149" t="e">
        <f t="shared" si="475"/>
        <v>#REF!</v>
      </c>
      <c r="Z455" s="149" t="e">
        <f t="shared" si="475"/>
        <v>#REF!</v>
      </c>
      <c r="AA455" s="149" t="e">
        <f t="shared" si="475"/>
        <v>#REF!</v>
      </c>
      <c r="AB455" s="40"/>
    </row>
    <row r="456" s="28" customFormat="1" outlineLevel="3" spans="1:28">
      <c r="A456" s="52">
        <f>MAX($A$6:A455)+1</f>
        <v>407</v>
      </c>
      <c r="B456" s="138" t="s">
        <v>1203</v>
      </c>
      <c r="C456" s="51" t="e">
        <f>VLOOKUP($B456,#REF!,MATCH(C$2,#REF!,0),0)</f>
        <v>#REF!</v>
      </c>
      <c r="D456" s="83"/>
      <c r="E456" s="83"/>
      <c r="F456" s="136" t="e">
        <f>VLOOKUP($B456,#REF!,MATCH(F$2,#REF!,0),0)</f>
        <v>#REF!</v>
      </c>
      <c r="G456" s="137" t="e">
        <f>VLOOKUP($B456,#REF!,MATCH(G$2,#REF!,0),0)</f>
        <v>#REF!</v>
      </c>
      <c r="H456" s="48">
        <v>1</v>
      </c>
      <c r="I456" s="48">
        <v>1</v>
      </c>
      <c r="J456" s="48">
        <v>2</v>
      </c>
      <c r="K456" s="48">
        <v>2</v>
      </c>
      <c r="L456" s="48">
        <v>2</v>
      </c>
      <c r="M456" s="48">
        <v>1</v>
      </c>
      <c r="N456" s="48">
        <v>1</v>
      </c>
      <c r="O456" s="48">
        <v>1</v>
      </c>
      <c r="P456" s="48"/>
      <c r="Q456" s="48"/>
      <c r="R456" s="150" t="e">
        <f t="shared" ref="R456:AA456" si="476">$G456*H456</f>
        <v>#REF!</v>
      </c>
      <c r="S456" s="150" t="e">
        <f t="shared" si="476"/>
        <v>#REF!</v>
      </c>
      <c r="T456" s="150" t="e">
        <f t="shared" si="476"/>
        <v>#REF!</v>
      </c>
      <c r="U456" s="150" t="e">
        <f t="shared" si="476"/>
        <v>#REF!</v>
      </c>
      <c r="V456" s="150" t="e">
        <f t="shared" si="476"/>
        <v>#REF!</v>
      </c>
      <c r="W456" s="150" t="e">
        <f t="shared" si="476"/>
        <v>#REF!</v>
      </c>
      <c r="X456" s="150" t="e">
        <f t="shared" si="476"/>
        <v>#REF!</v>
      </c>
      <c r="Y456" s="150" t="e">
        <f t="shared" si="476"/>
        <v>#REF!</v>
      </c>
      <c r="Z456" s="150" t="e">
        <f t="shared" si="476"/>
        <v>#REF!</v>
      </c>
      <c r="AA456" s="150" t="e">
        <f t="shared" si="476"/>
        <v>#REF!</v>
      </c>
      <c r="AB456" s="50"/>
    </row>
    <row r="457" s="28" customFormat="1" ht="28.8" outlineLevel="3" spans="1:28">
      <c r="A457" s="52">
        <f>MAX($A$6:A456)+1</f>
        <v>408</v>
      </c>
      <c r="B457" s="138" t="s">
        <v>1208</v>
      </c>
      <c r="C457" s="51" t="e">
        <f>VLOOKUP($B457,#REF!,MATCH(C$2,#REF!,0),0)</f>
        <v>#REF!</v>
      </c>
      <c r="D457" s="83"/>
      <c r="E457" s="83"/>
      <c r="F457" s="136" t="e">
        <f>VLOOKUP($B457,#REF!,MATCH(F$2,#REF!,0),0)</f>
        <v>#REF!</v>
      </c>
      <c r="G457" s="137" t="e">
        <f>VLOOKUP($B457,#REF!,MATCH(G$2,#REF!,0),0)</f>
        <v>#REF!</v>
      </c>
      <c r="H457" s="48">
        <v>1</v>
      </c>
      <c r="I457" s="48">
        <v>1</v>
      </c>
      <c r="J457" s="48">
        <v>1</v>
      </c>
      <c r="K457" s="48">
        <v>1</v>
      </c>
      <c r="L457" s="48"/>
      <c r="M457" s="48">
        <v>1</v>
      </c>
      <c r="N457" s="48">
        <v>1</v>
      </c>
      <c r="O457" s="48">
        <v>1</v>
      </c>
      <c r="P457" s="48">
        <v>1</v>
      </c>
      <c r="Q457" s="48"/>
      <c r="R457" s="150" t="e">
        <f t="shared" ref="R457:AA457" si="477">$G457*H457</f>
        <v>#REF!</v>
      </c>
      <c r="S457" s="150" t="e">
        <f t="shared" si="477"/>
        <v>#REF!</v>
      </c>
      <c r="T457" s="150" t="e">
        <f t="shared" si="477"/>
        <v>#REF!</v>
      </c>
      <c r="U457" s="150" t="e">
        <f t="shared" si="477"/>
        <v>#REF!</v>
      </c>
      <c r="V457" s="150" t="e">
        <f t="shared" si="477"/>
        <v>#REF!</v>
      </c>
      <c r="W457" s="150" t="e">
        <f t="shared" si="477"/>
        <v>#REF!</v>
      </c>
      <c r="X457" s="150" t="e">
        <f t="shared" si="477"/>
        <v>#REF!</v>
      </c>
      <c r="Y457" s="150" t="e">
        <f t="shared" si="477"/>
        <v>#REF!</v>
      </c>
      <c r="Z457" s="150" t="e">
        <f t="shared" si="477"/>
        <v>#REF!</v>
      </c>
      <c r="AA457" s="150" t="e">
        <f t="shared" si="477"/>
        <v>#REF!</v>
      </c>
      <c r="AB457" s="50"/>
    </row>
    <row r="458" s="28" customFormat="1" ht="28.8" outlineLevel="3" spans="1:28">
      <c r="A458" s="52">
        <f>MAX($A$6:A457)+1</f>
        <v>409</v>
      </c>
      <c r="B458" s="138" t="s">
        <v>1209</v>
      </c>
      <c r="C458" s="51" t="e">
        <f>VLOOKUP($B458,#REF!,MATCH(C$2,#REF!,0),0)</f>
        <v>#REF!</v>
      </c>
      <c r="D458" s="83"/>
      <c r="E458" s="83"/>
      <c r="F458" s="136" t="e">
        <f>VLOOKUP($B458,#REF!,MATCH(F$2,#REF!,0),0)</f>
        <v>#REF!</v>
      </c>
      <c r="G458" s="137" t="e">
        <f>VLOOKUP($B458,#REF!,MATCH(G$2,#REF!,0),0)</f>
        <v>#REF!</v>
      </c>
      <c r="H458" s="48">
        <v>1</v>
      </c>
      <c r="I458" s="48">
        <v>1</v>
      </c>
      <c r="J458" s="48">
        <v>1</v>
      </c>
      <c r="K458" s="48">
        <v>1</v>
      </c>
      <c r="L458" s="48">
        <v>1</v>
      </c>
      <c r="M458" s="48"/>
      <c r="N458" s="48"/>
      <c r="O458" s="48"/>
      <c r="P458" s="48">
        <v>1</v>
      </c>
      <c r="Q458" s="48"/>
      <c r="R458" s="150" t="e">
        <f t="shared" ref="R458:AA458" si="478">$G458*H458</f>
        <v>#REF!</v>
      </c>
      <c r="S458" s="150" t="e">
        <f t="shared" si="478"/>
        <v>#REF!</v>
      </c>
      <c r="T458" s="150" t="e">
        <f t="shared" si="478"/>
        <v>#REF!</v>
      </c>
      <c r="U458" s="150" t="e">
        <f t="shared" si="478"/>
        <v>#REF!</v>
      </c>
      <c r="V458" s="150" t="e">
        <f t="shared" si="478"/>
        <v>#REF!</v>
      </c>
      <c r="W458" s="150" t="e">
        <f t="shared" si="478"/>
        <v>#REF!</v>
      </c>
      <c r="X458" s="150" t="e">
        <f t="shared" si="478"/>
        <v>#REF!</v>
      </c>
      <c r="Y458" s="150" t="e">
        <f t="shared" si="478"/>
        <v>#REF!</v>
      </c>
      <c r="Z458" s="150" t="e">
        <f t="shared" si="478"/>
        <v>#REF!</v>
      </c>
      <c r="AA458" s="150" t="e">
        <f t="shared" si="478"/>
        <v>#REF!</v>
      </c>
      <c r="AB458" s="50"/>
    </row>
    <row r="459" s="28" customFormat="1" ht="28.8" outlineLevel="3" spans="1:28">
      <c r="A459" s="52">
        <f>MAX($A$6:A458)+1</f>
        <v>410</v>
      </c>
      <c r="B459" s="138" t="s">
        <v>1210</v>
      </c>
      <c r="C459" s="51" t="e">
        <f>VLOOKUP($B459,#REF!,MATCH(C$2,#REF!,0),0)</f>
        <v>#REF!</v>
      </c>
      <c r="D459" s="83"/>
      <c r="E459" s="83"/>
      <c r="F459" s="136" t="e">
        <f>VLOOKUP($B459,#REF!,MATCH(F$2,#REF!,0),0)</f>
        <v>#REF!</v>
      </c>
      <c r="G459" s="137" t="e">
        <f>VLOOKUP($B459,#REF!,MATCH(G$2,#REF!,0),0)</f>
        <v>#REF!</v>
      </c>
      <c r="H459" s="48"/>
      <c r="I459" s="48"/>
      <c r="J459" s="48">
        <v>2</v>
      </c>
      <c r="K459" s="48">
        <v>2</v>
      </c>
      <c r="L459" s="48">
        <v>1</v>
      </c>
      <c r="M459" s="48"/>
      <c r="N459" s="48"/>
      <c r="O459" s="48"/>
      <c r="P459" s="48"/>
      <c r="Q459" s="48"/>
      <c r="R459" s="150" t="e">
        <f t="shared" ref="R459:AA459" si="479">$G459*H459</f>
        <v>#REF!</v>
      </c>
      <c r="S459" s="150" t="e">
        <f t="shared" si="479"/>
        <v>#REF!</v>
      </c>
      <c r="T459" s="150" t="e">
        <f t="shared" si="479"/>
        <v>#REF!</v>
      </c>
      <c r="U459" s="150" t="e">
        <f t="shared" si="479"/>
        <v>#REF!</v>
      </c>
      <c r="V459" s="150" t="e">
        <f t="shared" si="479"/>
        <v>#REF!</v>
      </c>
      <c r="W459" s="150" t="e">
        <f t="shared" si="479"/>
        <v>#REF!</v>
      </c>
      <c r="X459" s="150" t="e">
        <f t="shared" si="479"/>
        <v>#REF!</v>
      </c>
      <c r="Y459" s="150" t="e">
        <f t="shared" si="479"/>
        <v>#REF!</v>
      </c>
      <c r="Z459" s="150" t="e">
        <f t="shared" si="479"/>
        <v>#REF!</v>
      </c>
      <c r="AA459" s="150" t="e">
        <f t="shared" si="479"/>
        <v>#REF!</v>
      </c>
      <c r="AB459" s="50"/>
    </row>
    <row r="460" s="28" customFormat="1" ht="28.8" outlineLevel="3" spans="1:28">
      <c r="A460" s="52">
        <f>MAX($A$6:A459)+1</f>
        <v>411</v>
      </c>
      <c r="B460" s="138" t="s">
        <v>1211</v>
      </c>
      <c r="C460" s="51" t="e">
        <f>VLOOKUP($B460,#REF!,MATCH(C$2,#REF!,0),0)</f>
        <v>#REF!</v>
      </c>
      <c r="D460" s="83"/>
      <c r="E460" s="83"/>
      <c r="F460" s="136" t="e">
        <f>VLOOKUP($B460,#REF!,MATCH(F$2,#REF!,0),0)</f>
        <v>#REF!</v>
      </c>
      <c r="G460" s="137" t="e">
        <f>VLOOKUP($B460,#REF!,MATCH(G$2,#REF!,0),0)</f>
        <v>#REF!</v>
      </c>
      <c r="H460" s="48"/>
      <c r="I460" s="48"/>
      <c r="J460" s="48"/>
      <c r="K460" s="48"/>
      <c r="L460" s="48">
        <v>1</v>
      </c>
      <c r="M460" s="48"/>
      <c r="N460" s="48"/>
      <c r="O460" s="48"/>
      <c r="P460" s="48"/>
      <c r="Q460" s="48"/>
      <c r="R460" s="150" t="e">
        <f t="shared" ref="R460:AA460" si="480">$G460*H460</f>
        <v>#REF!</v>
      </c>
      <c r="S460" s="150" t="e">
        <f t="shared" si="480"/>
        <v>#REF!</v>
      </c>
      <c r="T460" s="150" t="e">
        <f t="shared" si="480"/>
        <v>#REF!</v>
      </c>
      <c r="U460" s="150" t="e">
        <f t="shared" si="480"/>
        <v>#REF!</v>
      </c>
      <c r="V460" s="150" t="e">
        <f t="shared" si="480"/>
        <v>#REF!</v>
      </c>
      <c r="W460" s="150" t="e">
        <f t="shared" si="480"/>
        <v>#REF!</v>
      </c>
      <c r="X460" s="150" t="e">
        <f t="shared" si="480"/>
        <v>#REF!</v>
      </c>
      <c r="Y460" s="150" t="e">
        <f t="shared" si="480"/>
        <v>#REF!</v>
      </c>
      <c r="Z460" s="150" t="e">
        <f t="shared" si="480"/>
        <v>#REF!</v>
      </c>
      <c r="AA460" s="150" t="e">
        <f t="shared" si="480"/>
        <v>#REF!</v>
      </c>
      <c r="AB460" s="50"/>
    </row>
    <row r="461" s="28" customFormat="1" outlineLevel="3" spans="1:28">
      <c r="A461" s="52">
        <f>MAX($A$6:A460)+1</f>
        <v>412</v>
      </c>
      <c r="B461" s="138" t="s">
        <v>1207</v>
      </c>
      <c r="C461" s="51" t="e">
        <f>VLOOKUP($B461,#REF!,MATCH(C$2,#REF!,0),0)</f>
        <v>#REF!</v>
      </c>
      <c r="D461" s="83"/>
      <c r="E461" s="83"/>
      <c r="F461" s="136" t="e">
        <f>VLOOKUP($B461,#REF!,MATCH(F$2,#REF!,0),0)</f>
        <v>#REF!</v>
      </c>
      <c r="G461" s="137" t="e">
        <f>VLOOKUP($B461,#REF!,MATCH(G$2,#REF!,0),0)</f>
        <v>#REF!</v>
      </c>
      <c r="H461" s="48">
        <v>2</v>
      </c>
      <c r="I461" s="48">
        <v>2</v>
      </c>
      <c r="J461" s="48">
        <v>2</v>
      </c>
      <c r="K461" s="48">
        <v>2</v>
      </c>
      <c r="L461" s="48">
        <v>3</v>
      </c>
      <c r="M461" s="48"/>
      <c r="N461" s="48"/>
      <c r="O461" s="48"/>
      <c r="P461" s="48">
        <v>2</v>
      </c>
      <c r="Q461" s="48">
        <v>2</v>
      </c>
      <c r="R461" s="150" t="e">
        <f t="shared" ref="R461:AA461" si="481">$G461*H461</f>
        <v>#REF!</v>
      </c>
      <c r="S461" s="150" t="e">
        <f t="shared" si="481"/>
        <v>#REF!</v>
      </c>
      <c r="T461" s="150" t="e">
        <f t="shared" si="481"/>
        <v>#REF!</v>
      </c>
      <c r="U461" s="150" t="e">
        <f t="shared" si="481"/>
        <v>#REF!</v>
      </c>
      <c r="V461" s="150" t="e">
        <f t="shared" si="481"/>
        <v>#REF!</v>
      </c>
      <c r="W461" s="150" t="e">
        <f t="shared" si="481"/>
        <v>#REF!</v>
      </c>
      <c r="X461" s="150" t="e">
        <f t="shared" si="481"/>
        <v>#REF!</v>
      </c>
      <c r="Y461" s="150" t="e">
        <f t="shared" si="481"/>
        <v>#REF!</v>
      </c>
      <c r="Z461" s="150" t="e">
        <f t="shared" si="481"/>
        <v>#REF!</v>
      </c>
      <c r="AA461" s="150" t="e">
        <f t="shared" si="481"/>
        <v>#REF!</v>
      </c>
      <c r="AB461" s="50"/>
    </row>
    <row r="462" s="28" customFormat="1" ht="28.8" outlineLevel="3" spans="1:28">
      <c r="A462" s="52">
        <f>MAX($A$6:A461)+1</f>
        <v>413</v>
      </c>
      <c r="B462" s="138" t="s">
        <v>1212</v>
      </c>
      <c r="C462" s="51" t="e">
        <f>VLOOKUP($B462,#REF!,MATCH(C$2,#REF!,0),0)</f>
        <v>#REF!</v>
      </c>
      <c r="D462" s="83"/>
      <c r="E462" s="83"/>
      <c r="F462" s="136" t="e">
        <f>VLOOKUP($B462,#REF!,MATCH(F$2,#REF!,0),0)</f>
        <v>#REF!</v>
      </c>
      <c r="G462" s="137" t="e">
        <f>VLOOKUP($B462,#REF!,MATCH(G$2,#REF!,0),0)</f>
        <v>#REF!</v>
      </c>
      <c r="H462" s="48">
        <v>6</v>
      </c>
      <c r="I462" s="48">
        <v>6</v>
      </c>
      <c r="J462" s="48">
        <v>4</v>
      </c>
      <c r="K462" s="48">
        <v>4</v>
      </c>
      <c r="L462" s="48"/>
      <c r="M462" s="48"/>
      <c r="N462" s="48"/>
      <c r="O462" s="48"/>
      <c r="P462" s="48"/>
      <c r="Q462" s="48"/>
      <c r="R462" s="150" t="e">
        <f t="shared" ref="R462:AA462" si="482">$G462*H462</f>
        <v>#REF!</v>
      </c>
      <c r="S462" s="150" t="e">
        <f t="shared" si="482"/>
        <v>#REF!</v>
      </c>
      <c r="T462" s="150" t="e">
        <f t="shared" si="482"/>
        <v>#REF!</v>
      </c>
      <c r="U462" s="150" t="e">
        <f t="shared" si="482"/>
        <v>#REF!</v>
      </c>
      <c r="V462" s="150" t="e">
        <f t="shared" si="482"/>
        <v>#REF!</v>
      </c>
      <c r="W462" s="150" t="e">
        <f t="shared" si="482"/>
        <v>#REF!</v>
      </c>
      <c r="X462" s="150" t="e">
        <f t="shared" si="482"/>
        <v>#REF!</v>
      </c>
      <c r="Y462" s="150" t="e">
        <f t="shared" si="482"/>
        <v>#REF!</v>
      </c>
      <c r="Z462" s="150" t="e">
        <f t="shared" si="482"/>
        <v>#REF!</v>
      </c>
      <c r="AA462" s="150" t="e">
        <f t="shared" si="482"/>
        <v>#REF!</v>
      </c>
      <c r="AB462" s="50"/>
    </row>
    <row r="463" s="28" customFormat="1" ht="28.8" outlineLevel="3" spans="1:28">
      <c r="A463" s="52">
        <f>MAX($A$6:A462)+1</f>
        <v>414</v>
      </c>
      <c r="B463" s="138" t="s">
        <v>1213</v>
      </c>
      <c r="C463" s="51" t="e">
        <f>VLOOKUP($B463,#REF!,MATCH(C$2,#REF!,0),0)</f>
        <v>#REF!</v>
      </c>
      <c r="D463" s="83"/>
      <c r="E463" s="83"/>
      <c r="F463" s="136" t="e">
        <f>VLOOKUP($B463,#REF!,MATCH(F$2,#REF!,0),0)</f>
        <v>#REF!</v>
      </c>
      <c r="G463" s="137" t="e">
        <f>VLOOKUP($B463,#REF!,MATCH(G$2,#REF!,0),0)</f>
        <v>#REF!</v>
      </c>
      <c r="H463" s="48">
        <v>1</v>
      </c>
      <c r="I463" s="48">
        <v>1</v>
      </c>
      <c r="J463" s="48">
        <v>1</v>
      </c>
      <c r="K463" s="48">
        <v>1</v>
      </c>
      <c r="L463" s="48"/>
      <c r="M463" s="48">
        <v>2</v>
      </c>
      <c r="N463" s="48">
        <v>2</v>
      </c>
      <c r="O463" s="48">
        <v>2</v>
      </c>
      <c r="P463" s="48">
        <v>7</v>
      </c>
      <c r="Q463" s="48">
        <v>16</v>
      </c>
      <c r="R463" s="150" t="e">
        <f t="shared" ref="R463:AA463" si="483">$G463*H463</f>
        <v>#REF!</v>
      </c>
      <c r="S463" s="150" t="e">
        <f t="shared" si="483"/>
        <v>#REF!</v>
      </c>
      <c r="T463" s="150" t="e">
        <f t="shared" si="483"/>
        <v>#REF!</v>
      </c>
      <c r="U463" s="150" t="e">
        <f t="shared" si="483"/>
        <v>#REF!</v>
      </c>
      <c r="V463" s="150" t="e">
        <f t="shared" si="483"/>
        <v>#REF!</v>
      </c>
      <c r="W463" s="150" t="e">
        <f t="shared" si="483"/>
        <v>#REF!</v>
      </c>
      <c r="X463" s="150" t="e">
        <f t="shared" si="483"/>
        <v>#REF!</v>
      </c>
      <c r="Y463" s="150" t="e">
        <f t="shared" si="483"/>
        <v>#REF!</v>
      </c>
      <c r="Z463" s="150" t="e">
        <f t="shared" si="483"/>
        <v>#REF!</v>
      </c>
      <c r="AA463" s="150" t="e">
        <f t="shared" si="483"/>
        <v>#REF!</v>
      </c>
      <c r="AB463" s="50"/>
    </row>
    <row r="464" s="28" customFormat="1" ht="28.8" outlineLevel="3" spans="1:28">
      <c r="A464" s="52">
        <f>MAX($A$6:A463)+1</f>
        <v>415</v>
      </c>
      <c r="B464" s="138" t="s">
        <v>1214</v>
      </c>
      <c r="C464" s="51" t="e">
        <f>VLOOKUP($B464,#REF!,MATCH(C$2,#REF!,0),0)</f>
        <v>#REF!</v>
      </c>
      <c r="D464" s="83"/>
      <c r="E464" s="83"/>
      <c r="F464" s="136" t="e">
        <f>VLOOKUP($B464,#REF!,MATCH(F$2,#REF!,0),0)</f>
        <v>#REF!</v>
      </c>
      <c r="G464" s="137" t="e">
        <f>VLOOKUP($B464,#REF!,MATCH(G$2,#REF!,0),0)</f>
        <v>#REF!</v>
      </c>
      <c r="H464" s="48">
        <v>1</v>
      </c>
      <c r="I464" s="48">
        <v>1</v>
      </c>
      <c r="J464" s="48">
        <v>1</v>
      </c>
      <c r="K464" s="48">
        <v>1</v>
      </c>
      <c r="L464" s="48"/>
      <c r="M464" s="48"/>
      <c r="N464" s="48"/>
      <c r="O464" s="48"/>
      <c r="P464" s="48">
        <v>1</v>
      </c>
      <c r="Q464" s="48">
        <v>1</v>
      </c>
      <c r="R464" s="150" t="e">
        <f t="shared" ref="R464:AA464" si="484">$G464*H464</f>
        <v>#REF!</v>
      </c>
      <c r="S464" s="150" t="e">
        <f t="shared" si="484"/>
        <v>#REF!</v>
      </c>
      <c r="T464" s="150" t="e">
        <f t="shared" si="484"/>
        <v>#REF!</v>
      </c>
      <c r="U464" s="150" t="e">
        <f t="shared" si="484"/>
        <v>#REF!</v>
      </c>
      <c r="V464" s="150" t="e">
        <f t="shared" si="484"/>
        <v>#REF!</v>
      </c>
      <c r="W464" s="150" t="e">
        <f t="shared" si="484"/>
        <v>#REF!</v>
      </c>
      <c r="X464" s="150" t="e">
        <f t="shared" si="484"/>
        <v>#REF!</v>
      </c>
      <c r="Y464" s="150" t="e">
        <f t="shared" si="484"/>
        <v>#REF!</v>
      </c>
      <c r="Z464" s="150" t="e">
        <f t="shared" si="484"/>
        <v>#REF!</v>
      </c>
      <c r="AA464" s="150" t="e">
        <f t="shared" si="484"/>
        <v>#REF!</v>
      </c>
      <c r="AB464" s="50"/>
    </row>
    <row r="465" s="28" customFormat="1" ht="28.8" outlineLevel="3" spans="1:28">
      <c r="A465" s="52">
        <f>MAX($A$6:A464)+1</f>
        <v>416</v>
      </c>
      <c r="B465" s="138" t="s">
        <v>1215</v>
      </c>
      <c r="C465" s="51" t="e">
        <f>VLOOKUP($B465,#REF!,MATCH(C$2,#REF!,0),0)</f>
        <v>#REF!</v>
      </c>
      <c r="D465" s="83"/>
      <c r="E465" s="83"/>
      <c r="F465" s="136" t="e">
        <f>VLOOKUP($B465,#REF!,MATCH(F$2,#REF!,0),0)</f>
        <v>#REF!</v>
      </c>
      <c r="G465" s="137" t="e">
        <f>VLOOKUP($B465,#REF!,MATCH(G$2,#REF!,0),0)</f>
        <v>#REF!</v>
      </c>
      <c r="H465" s="48">
        <v>1</v>
      </c>
      <c r="I465" s="48">
        <v>1</v>
      </c>
      <c r="J465" s="48">
        <v>1</v>
      </c>
      <c r="K465" s="48">
        <v>1</v>
      </c>
      <c r="L465" s="48"/>
      <c r="M465" s="48"/>
      <c r="N465" s="48"/>
      <c r="O465" s="48"/>
      <c r="P465" s="48"/>
      <c r="Q465" s="48"/>
      <c r="R465" s="150" t="e">
        <f t="shared" ref="R465:AA465" si="485">$G465*H465</f>
        <v>#REF!</v>
      </c>
      <c r="S465" s="150" t="e">
        <f t="shared" si="485"/>
        <v>#REF!</v>
      </c>
      <c r="T465" s="150" t="e">
        <f t="shared" si="485"/>
        <v>#REF!</v>
      </c>
      <c r="U465" s="150" t="e">
        <f t="shared" si="485"/>
        <v>#REF!</v>
      </c>
      <c r="V465" s="150" t="e">
        <f t="shared" si="485"/>
        <v>#REF!</v>
      </c>
      <c r="W465" s="150" t="e">
        <f t="shared" si="485"/>
        <v>#REF!</v>
      </c>
      <c r="X465" s="150" t="e">
        <f t="shared" si="485"/>
        <v>#REF!</v>
      </c>
      <c r="Y465" s="150" t="e">
        <f t="shared" si="485"/>
        <v>#REF!</v>
      </c>
      <c r="Z465" s="150" t="e">
        <f t="shared" si="485"/>
        <v>#REF!</v>
      </c>
      <c r="AA465" s="150" t="e">
        <f t="shared" si="485"/>
        <v>#REF!</v>
      </c>
      <c r="AB465" s="50"/>
    </row>
    <row r="466" s="28" customFormat="1" ht="28.8" outlineLevel="3" spans="1:28">
      <c r="A466" s="52">
        <f>MAX($A$6:A465)+1</f>
        <v>417</v>
      </c>
      <c r="B466" s="138" t="s">
        <v>1206</v>
      </c>
      <c r="C466" s="51" t="e">
        <f>VLOOKUP($B466,#REF!,MATCH(C$2,#REF!,0),0)</f>
        <v>#REF!</v>
      </c>
      <c r="D466" s="83"/>
      <c r="E466" s="83"/>
      <c r="F466" s="136" t="e">
        <f>VLOOKUP($B466,#REF!,MATCH(F$2,#REF!,0),0)</f>
        <v>#REF!</v>
      </c>
      <c r="G466" s="137" t="e">
        <f>VLOOKUP($B466,#REF!,MATCH(G$2,#REF!,0),0)</f>
        <v>#REF!</v>
      </c>
      <c r="H466" s="48"/>
      <c r="I466" s="48"/>
      <c r="J466" s="48"/>
      <c r="K466" s="48"/>
      <c r="L466" s="48"/>
      <c r="M466" s="48">
        <v>1</v>
      </c>
      <c r="N466" s="48">
        <v>1</v>
      </c>
      <c r="O466" s="48">
        <v>1</v>
      </c>
      <c r="P466" s="48"/>
      <c r="Q466" s="48"/>
      <c r="R466" s="150" t="e">
        <f t="shared" ref="R466:AA466" si="486">$G466*H466</f>
        <v>#REF!</v>
      </c>
      <c r="S466" s="150" t="e">
        <f t="shared" si="486"/>
        <v>#REF!</v>
      </c>
      <c r="T466" s="150" t="e">
        <f t="shared" si="486"/>
        <v>#REF!</v>
      </c>
      <c r="U466" s="150" t="e">
        <f t="shared" si="486"/>
        <v>#REF!</v>
      </c>
      <c r="V466" s="150" t="e">
        <f t="shared" si="486"/>
        <v>#REF!</v>
      </c>
      <c r="W466" s="150" t="e">
        <f t="shared" si="486"/>
        <v>#REF!</v>
      </c>
      <c r="X466" s="150" t="e">
        <f t="shared" si="486"/>
        <v>#REF!</v>
      </c>
      <c r="Y466" s="150" t="e">
        <f t="shared" si="486"/>
        <v>#REF!</v>
      </c>
      <c r="Z466" s="150" t="e">
        <f t="shared" si="486"/>
        <v>#REF!</v>
      </c>
      <c r="AA466" s="150" t="e">
        <f t="shared" si="486"/>
        <v>#REF!</v>
      </c>
      <c r="AB466" s="50"/>
    </row>
    <row r="467" s="28" customFormat="1" ht="28.8" outlineLevel="3" spans="1:28">
      <c r="A467" s="52">
        <f>MAX($A$6:A466)+1</f>
        <v>418</v>
      </c>
      <c r="B467" s="138" t="s">
        <v>1222</v>
      </c>
      <c r="C467" s="51" t="e">
        <f>VLOOKUP($B467,#REF!,MATCH(C$2,#REF!,0),0)</f>
        <v>#REF!</v>
      </c>
      <c r="D467" s="83"/>
      <c r="E467" s="83"/>
      <c r="F467" s="136" t="e">
        <f>VLOOKUP($B467,#REF!,MATCH(F$2,#REF!,0),0)</f>
        <v>#REF!</v>
      </c>
      <c r="G467" s="137" t="e">
        <f>VLOOKUP($B467,#REF!,MATCH(G$2,#REF!,0),0)</f>
        <v>#REF!</v>
      </c>
      <c r="H467" s="48">
        <v>1</v>
      </c>
      <c r="I467" s="48">
        <v>1</v>
      </c>
      <c r="J467" s="48">
        <v>1</v>
      </c>
      <c r="K467" s="48">
        <v>1</v>
      </c>
      <c r="L467" s="48"/>
      <c r="M467" s="48"/>
      <c r="N467" s="48"/>
      <c r="O467" s="48"/>
      <c r="P467" s="48">
        <v>1</v>
      </c>
      <c r="Q467" s="48">
        <v>1</v>
      </c>
      <c r="R467" s="150" t="e">
        <f t="shared" ref="R467:AA467" si="487">$G467*H467</f>
        <v>#REF!</v>
      </c>
      <c r="S467" s="150" t="e">
        <f t="shared" si="487"/>
        <v>#REF!</v>
      </c>
      <c r="T467" s="150" t="e">
        <f t="shared" si="487"/>
        <v>#REF!</v>
      </c>
      <c r="U467" s="150" t="e">
        <f t="shared" si="487"/>
        <v>#REF!</v>
      </c>
      <c r="V467" s="150" t="e">
        <f t="shared" si="487"/>
        <v>#REF!</v>
      </c>
      <c r="W467" s="150" t="e">
        <f t="shared" si="487"/>
        <v>#REF!</v>
      </c>
      <c r="X467" s="150" t="e">
        <f t="shared" si="487"/>
        <v>#REF!</v>
      </c>
      <c r="Y467" s="150" t="e">
        <f t="shared" si="487"/>
        <v>#REF!</v>
      </c>
      <c r="Z467" s="150" t="e">
        <f t="shared" si="487"/>
        <v>#REF!</v>
      </c>
      <c r="AA467" s="150" t="e">
        <f t="shared" si="487"/>
        <v>#REF!</v>
      </c>
      <c r="AB467" s="50"/>
    </row>
    <row r="468" s="28" customFormat="1" ht="28.8" outlineLevel="3" spans="1:28">
      <c r="A468" s="52">
        <f>MAX($A$6:A467)+1</f>
        <v>419</v>
      </c>
      <c r="B468" s="138" t="s">
        <v>2153</v>
      </c>
      <c r="C468" s="51" t="e">
        <f>VLOOKUP($B468,#REF!,MATCH(C$2,#REF!,0),0)</f>
        <v>#REF!</v>
      </c>
      <c r="D468" s="83"/>
      <c r="E468" s="83"/>
      <c r="F468" s="136" t="e">
        <f>VLOOKUP($B468,#REF!,MATCH(F$2,#REF!,0),0)</f>
        <v>#REF!</v>
      </c>
      <c r="G468" s="137" t="e">
        <f>VLOOKUP($B468,#REF!,MATCH(G$2,#REF!,0),0)</f>
        <v>#REF!</v>
      </c>
      <c r="H468" s="48">
        <v>7</v>
      </c>
      <c r="I468" s="48">
        <v>7</v>
      </c>
      <c r="J468" s="48">
        <v>5</v>
      </c>
      <c r="K468" s="48">
        <v>5</v>
      </c>
      <c r="L468" s="48">
        <v>2</v>
      </c>
      <c r="M468" s="48">
        <v>2</v>
      </c>
      <c r="N468" s="48">
        <v>2</v>
      </c>
      <c r="O468" s="48">
        <v>2</v>
      </c>
      <c r="P468" s="48">
        <v>17</v>
      </c>
      <c r="Q468" s="48">
        <v>78</v>
      </c>
      <c r="R468" s="150" t="e">
        <f t="shared" ref="R468:AA468" si="488">$G468*H468</f>
        <v>#REF!</v>
      </c>
      <c r="S468" s="150" t="e">
        <f t="shared" si="488"/>
        <v>#REF!</v>
      </c>
      <c r="T468" s="150" t="e">
        <f t="shared" si="488"/>
        <v>#REF!</v>
      </c>
      <c r="U468" s="150" t="e">
        <f t="shared" si="488"/>
        <v>#REF!</v>
      </c>
      <c r="V468" s="150" t="e">
        <f t="shared" si="488"/>
        <v>#REF!</v>
      </c>
      <c r="W468" s="150" t="e">
        <f t="shared" si="488"/>
        <v>#REF!</v>
      </c>
      <c r="X468" s="150" t="e">
        <f t="shared" si="488"/>
        <v>#REF!</v>
      </c>
      <c r="Y468" s="150" t="e">
        <f t="shared" si="488"/>
        <v>#REF!</v>
      </c>
      <c r="Z468" s="150" t="e">
        <f t="shared" si="488"/>
        <v>#REF!</v>
      </c>
      <c r="AA468" s="150" t="e">
        <f t="shared" si="488"/>
        <v>#REF!</v>
      </c>
      <c r="AB468" s="50"/>
    </row>
    <row r="469" s="28" customFormat="1" outlineLevel="3" spans="1:28">
      <c r="A469" s="52">
        <f>MAX($A$6:A468)+1</f>
        <v>420</v>
      </c>
      <c r="B469" s="138" t="s">
        <v>1495</v>
      </c>
      <c r="C469" s="51" t="e">
        <f>VLOOKUP($B469,#REF!,MATCH(C$2,#REF!,0),0)</f>
        <v>#REF!</v>
      </c>
      <c r="D469" s="83"/>
      <c r="E469" s="83"/>
      <c r="F469" s="136" t="e">
        <f>VLOOKUP($B469,#REF!,MATCH(F$2,#REF!,0),0)</f>
        <v>#REF!</v>
      </c>
      <c r="G469" s="137" t="e">
        <f>VLOOKUP($B469,#REF!,MATCH(G$2,#REF!,0),0)</f>
        <v>#REF!</v>
      </c>
      <c r="H469" s="48">
        <v>1</v>
      </c>
      <c r="I469" s="48">
        <v>1</v>
      </c>
      <c r="J469" s="48">
        <v>1</v>
      </c>
      <c r="K469" s="48">
        <v>1</v>
      </c>
      <c r="L469" s="48">
        <v>1</v>
      </c>
      <c r="M469" s="48">
        <v>1</v>
      </c>
      <c r="N469" s="48">
        <v>1</v>
      </c>
      <c r="O469" s="48">
        <v>1</v>
      </c>
      <c r="P469" s="48">
        <v>6</v>
      </c>
      <c r="Q469" s="48">
        <v>18</v>
      </c>
      <c r="R469" s="150" t="e">
        <f t="shared" ref="R469:AA469" si="489">$G469*H469</f>
        <v>#REF!</v>
      </c>
      <c r="S469" s="150" t="e">
        <f t="shared" si="489"/>
        <v>#REF!</v>
      </c>
      <c r="T469" s="150" t="e">
        <f t="shared" si="489"/>
        <v>#REF!</v>
      </c>
      <c r="U469" s="150" t="e">
        <f t="shared" si="489"/>
        <v>#REF!</v>
      </c>
      <c r="V469" s="150" t="e">
        <f t="shared" si="489"/>
        <v>#REF!</v>
      </c>
      <c r="W469" s="150" t="e">
        <f t="shared" si="489"/>
        <v>#REF!</v>
      </c>
      <c r="X469" s="150" t="e">
        <f t="shared" si="489"/>
        <v>#REF!</v>
      </c>
      <c r="Y469" s="150" t="e">
        <f t="shared" si="489"/>
        <v>#REF!</v>
      </c>
      <c r="Z469" s="150" t="e">
        <f t="shared" si="489"/>
        <v>#REF!</v>
      </c>
      <c r="AA469" s="150" t="e">
        <f t="shared" si="489"/>
        <v>#REF!</v>
      </c>
      <c r="AB469" s="50"/>
    </row>
    <row r="470" s="29" customFormat="1" outlineLevel="2" spans="1:28">
      <c r="A470" s="40"/>
      <c r="B470" s="41" t="s">
        <v>2154</v>
      </c>
      <c r="C470" s="41"/>
      <c r="D470" s="140"/>
      <c r="E470" s="140"/>
      <c r="F470" s="141"/>
      <c r="G470" s="142"/>
      <c r="H470" s="43"/>
      <c r="I470" s="43"/>
      <c r="J470" s="43"/>
      <c r="K470" s="43"/>
      <c r="L470" s="43"/>
      <c r="M470" s="43"/>
      <c r="N470" s="43"/>
      <c r="O470" s="43"/>
      <c r="P470" s="43"/>
      <c r="Q470" s="43"/>
      <c r="R470" s="149" t="e">
        <f t="shared" ref="R470:AA470" si="490">SUM(R471:R508)</f>
        <v>#REF!</v>
      </c>
      <c r="S470" s="149" t="e">
        <f t="shared" si="490"/>
        <v>#REF!</v>
      </c>
      <c r="T470" s="149" t="e">
        <f t="shared" si="490"/>
        <v>#REF!</v>
      </c>
      <c r="U470" s="149" t="e">
        <f t="shared" si="490"/>
        <v>#REF!</v>
      </c>
      <c r="V470" s="149" t="e">
        <f t="shared" si="490"/>
        <v>#REF!</v>
      </c>
      <c r="W470" s="149" t="e">
        <f t="shared" si="490"/>
        <v>#REF!</v>
      </c>
      <c r="X470" s="149" t="e">
        <f t="shared" si="490"/>
        <v>#REF!</v>
      </c>
      <c r="Y470" s="149" t="e">
        <f t="shared" si="490"/>
        <v>#REF!</v>
      </c>
      <c r="Z470" s="149" t="e">
        <f t="shared" si="490"/>
        <v>#REF!</v>
      </c>
      <c r="AA470" s="149" t="e">
        <f t="shared" si="490"/>
        <v>#REF!</v>
      </c>
      <c r="AB470" s="40"/>
    </row>
    <row r="471" s="28" customFormat="1" outlineLevel="3" spans="1:28">
      <c r="A471" s="52">
        <f>MAX($A$6:A470)+1</f>
        <v>421</v>
      </c>
      <c r="B471" s="138" t="s">
        <v>1240</v>
      </c>
      <c r="C471" s="51" t="e">
        <f>VLOOKUP($B471,#REF!,MATCH(C$2,#REF!,0),0)</f>
        <v>#REF!</v>
      </c>
      <c r="D471" s="83"/>
      <c r="E471" s="83"/>
      <c r="F471" s="136" t="e">
        <f>VLOOKUP($B471,#REF!,MATCH(F$2,#REF!,0),0)</f>
        <v>#REF!</v>
      </c>
      <c r="G471" s="137" t="e">
        <f>VLOOKUP($B471,#REF!,MATCH(G$2,#REF!,0),0)</f>
        <v>#REF!</v>
      </c>
      <c r="H471" s="48"/>
      <c r="I471" s="48"/>
      <c r="J471" s="48"/>
      <c r="K471" s="48"/>
      <c r="L471" s="48"/>
      <c r="M471" s="48"/>
      <c r="N471" s="48"/>
      <c r="O471" s="48"/>
      <c r="P471" s="48"/>
      <c r="Q471" s="48">
        <v>24.91</v>
      </c>
      <c r="R471" s="150" t="e">
        <f t="shared" ref="R471:AA471" si="491">$G471*H471</f>
        <v>#REF!</v>
      </c>
      <c r="S471" s="150" t="e">
        <f t="shared" si="491"/>
        <v>#REF!</v>
      </c>
      <c r="T471" s="150" t="e">
        <f t="shared" si="491"/>
        <v>#REF!</v>
      </c>
      <c r="U471" s="150" t="e">
        <f t="shared" si="491"/>
        <v>#REF!</v>
      </c>
      <c r="V471" s="150" t="e">
        <f t="shared" si="491"/>
        <v>#REF!</v>
      </c>
      <c r="W471" s="150" t="e">
        <f t="shared" si="491"/>
        <v>#REF!</v>
      </c>
      <c r="X471" s="150" t="e">
        <f t="shared" si="491"/>
        <v>#REF!</v>
      </c>
      <c r="Y471" s="150" t="e">
        <f t="shared" si="491"/>
        <v>#REF!</v>
      </c>
      <c r="Z471" s="150" t="e">
        <f t="shared" si="491"/>
        <v>#REF!</v>
      </c>
      <c r="AA471" s="150" t="e">
        <f t="shared" si="491"/>
        <v>#REF!</v>
      </c>
      <c r="AB471" s="50"/>
    </row>
    <row r="472" s="28" customFormat="1" outlineLevel="3" spans="1:28">
      <c r="A472" s="52">
        <f>MAX($A$6:A471)+1</f>
        <v>422</v>
      </c>
      <c r="B472" s="138" t="s">
        <v>1238</v>
      </c>
      <c r="C472" s="51" t="e">
        <f>VLOOKUP($B472,#REF!,MATCH(C$2,#REF!,0),0)</f>
        <v>#REF!</v>
      </c>
      <c r="D472" s="83"/>
      <c r="E472" s="83"/>
      <c r="F472" s="136" t="e">
        <f>VLOOKUP($B472,#REF!,MATCH(F$2,#REF!,0),0)</f>
        <v>#REF!</v>
      </c>
      <c r="G472" s="137" t="e">
        <f>VLOOKUP($B472,#REF!,MATCH(G$2,#REF!,0),0)</f>
        <v>#REF!</v>
      </c>
      <c r="H472" s="48"/>
      <c r="I472" s="48">
        <v>9.49</v>
      </c>
      <c r="J472" s="48"/>
      <c r="K472" s="48"/>
      <c r="L472" s="48"/>
      <c r="M472" s="48"/>
      <c r="N472" s="48"/>
      <c r="O472" s="48"/>
      <c r="P472" s="48"/>
      <c r="Q472" s="48"/>
      <c r="R472" s="150" t="e">
        <f t="shared" ref="R472:AA472" si="492">$G472*H472</f>
        <v>#REF!</v>
      </c>
      <c r="S472" s="150" t="e">
        <f t="shared" si="492"/>
        <v>#REF!</v>
      </c>
      <c r="T472" s="150" t="e">
        <f t="shared" si="492"/>
        <v>#REF!</v>
      </c>
      <c r="U472" s="150" t="e">
        <f t="shared" si="492"/>
        <v>#REF!</v>
      </c>
      <c r="V472" s="150" t="e">
        <f t="shared" si="492"/>
        <v>#REF!</v>
      </c>
      <c r="W472" s="150" t="e">
        <f t="shared" si="492"/>
        <v>#REF!</v>
      </c>
      <c r="X472" s="150" t="e">
        <f t="shared" si="492"/>
        <v>#REF!</v>
      </c>
      <c r="Y472" s="150" t="e">
        <f t="shared" si="492"/>
        <v>#REF!</v>
      </c>
      <c r="Z472" s="150" t="e">
        <f t="shared" si="492"/>
        <v>#REF!</v>
      </c>
      <c r="AA472" s="150" t="e">
        <f t="shared" si="492"/>
        <v>#REF!</v>
      </c>
      <c r="AB472" s="50"/>
    </row>
    <row r="473" s="28" customFormat="1" outlineLevel="3" spans="1:28">
      <c r="A473" s="52">
        <f>MAX($A$6:A472)+1</f>
        <v>423</v>
      </c>
      <c r="B473" s="138" t="s">
        <v>1239</v>
      </c>
      <c r="C473" s="51" t="e">
        <f>VLOOKUP($B473,#REF!,MATCH(C$2,#REF!,0),0)</f>
        <v>#REF!</v>
      </c>
      <c r="D473" s="83"/>
      <c r="E473" s="83"/>
      <c r="F473" s="136" t="e">
        <f>VLOOKUP($B473,#REF!,MATCH(F$2,#REF!,0),0)</f>
        <v>#REF!</v>
      </c>
      <c r="G473" s="137" t="e">
        <f>VLOOKUP($B473,#REF!,MATCH(G$2,#REF!,0),0)</f>
        <v>#REF!</v>
      </c>
      <c r="H473" s="48"/>
      <c r="I473" s="48"/>
      <c r="J473" s="48"/>
      <c r="K473" s="48"/>
      <c r="L473" s="48"/>
      <c r="M473" s="48"/>
      <c r="N473" s="48"/>
      <c r="O473" s="48"/>
      <c r="P473" s="48"/>
      <c r="Q473" s="48">
        <v>34.52</v>
      </c>
      <c r="R473" s="150" t="e">
        <f t="shared" ref="R473:AA473" si="493">$G473*H473</f>
        <v>#REF!</v>
      </c>
      <c r="S473" s="150" t="e">
        <f t="shared" si="493"/>
        <v>#REF!</v>
      </c>
      <c r="T473" s="150" t="e">
        <f t="shared" si="493"/>
        <v>#REF!</v>
      </c>
      <c r="U473" s="150" t="e">
        <f t="shared" si="493"/>
        <v>#REF!</v>
      </c>
      <c r="V473" s="150" t="e">
        <f t="shared" si="493"/>
        <v>#REF!</v>
      </c>
      <c r="W473" s="150" t="e">
        <f t="shared" si="493"/>
        <v>#REF!</v>
      </c>
      <c r="X473" s="150" t="e">
        <f t="shared" si="493"/>
        <v>#REF!</v>
      </c>
      <c r="Y473" s="150" t="e">
        <f t="shared" si="493"/>
        <v>#REF!</v>
      </c>
      <c r="Z473" s="150" t="e">
        <f t="shared" si="493"/>
        <v>#REF!</v>
      </c>
      <c r="AA473" s="150" t="e">
        <f t="shared" si="493"/>
        <v>#REF!</v>
      </c>
      <c r="AB473" s="50"/>
    </row>
    <row r="474" s="28" customFormat="1" outlineLevel="3" spans="1:28">
      <c r="A474" s="52">
        <f>MAX($A$6:A473)+1</f>
        <v>424</v>
      </c>
      <c r="B474" s="138" t="s">
        <v>1237</v>
      </c>
      <c r="C474" s="51" t="e">
        <f>VLOOKUP($B474,#REF!,MATCH(C$2,#REF!,0),0)</f>
        <v>#REF!</v>
      </c>
      <c r="D474" s="83"/>
      <c r="E474" s="83"/>
      <c r="F474" s="136" t="e">
        <f>VLOOKUP($B474,#REF!,MATCH(F$2,#REF!,0),0)</f>
        <v>#REF!</v>
      </c>
      <c r="G474" s="137" t="e">
        <f>VLOOKUP($B474,#REF!,MATCH(G$2,#REF!,0),0)</f>
        <v>#REF!</v>
      </c>
      <c r="H474" s="48"/>
      <c r="I474" s="48"/>
      <c r="J474" s="48"/>
      <c r="K474" s="48"/>
      <c r="L474" s="48"/>
      <c r="M474" s="48"/>
      <c r="N474" s="48"/>
      <c r="O474" s="48"/>
      <c r="P474" s="48"/>
      <c r="Q474" s="48">
        <v>120.17</v>
      </c>
      <c r="R474" s="150" t="e">
        <f t="shared" ref="R474:AA474" si="494">$G474*H474</f>
        <v>#REF!</v>
      </c>
      <c r="S474" s="150" t="e">
        <f t="shared" si="494"/>
        <v>#REF!</v>
      </c>
      <c r="T474" s="150" t="e">
        <f t="shared" si="494"/>
        <v>#REF!</v>
      </c>
      <c r="U474" s="150" t="e">
        <f t="shared" si="494"/>
        <v>#REF!</v>
      </c>
      <c r="V474" s="150" t="e">
        <f t="shared" si="494"/>
        <v>#REF!</v>
      </c>
      <c r="W474" s="150" t="e">
        <f t="shared" si="494"/>
        <v>#REF!</v>
      </c>
      <c r="X474" s="150" t="e">
        <f t="shared" si="494"/>
        <v>#REF!</v>
      </c>
      <c r="Y474" s="150" t="e">
        <f t="shared" si="494"/>
        <v>#REF!</v>
      </c>
      <c r="Z474" s="150" t="e">
        <f t="shared" si="494"/>
        <v>#REF!</v>
      </c>
      <c r="AA474" s="150" t="e">
        <f t="shared" si="494"/>
        <v>#REF!</v>
      </c>
      <c r="AB474" s="50"/>
    </row>
    <row r="475" s="28" customFormat="1" outlineLevel="3" spans="1:28">
      <c r="A475" s="52">
        <f>MAX($A$6:A474)+1</f>
        <v>425</v>
      </c>
      <c r="B475" s="138" t="s">
        <v>1236</v>
      </c>
      <c r="C475" s="51" t="e">
        <f>VLOOKUP($B475,#REF!,MATCH(C$2,#REF!,0),0)</f>
        <v>#REF!</v>
      </c>
      <c r="D475" s="83"/>
      <c r="E475" s="83"/>
      <c r="F475" s="136" t="e">
        <f>VLOOKUP($B475,#REF!,MATCH(F$2,#REF!,0),0)</f>
        <v>#REF!</v>
      </c>
      <c r="G475" s="137" t="e">
        <f>VLOOKUP($B475,#REF!,MATCH(G$2,#REF!,0),0)</f>
        <v>#REF!</v>
      </c>
      <c r="H475" s="48">
        <v>12.99</v>
      </c>
      <c r="I475" s="48">
        <v>1</v>
      </c>
      <c r="J475" s="48">
        <v>1</v>
      </c>
      <c r="K475" s="48">
        <v>1</v>
      </c>
      <c r="L475" s="48"/>
      <c r="M475" s="48">
        <v>1</v>
      </c>
      <c r="N475" s="48">
        <v>1</v>
      </c>
      <c r="O475" s="48">
        <v>1</v>
      </c>
      <c r="P475" s="48"/>
      <c r="Q475" s="48">
        <f>6.23+96.28</f>
        <v>102.51</v>
      </c>
      <c r="R475" s="150" t="e">
        <f t="shared" ref="R475:AA475" si="495">$G475*H475</f>
        <v>#REF!</v>
      </c>
      <c r="S475" s="150" t="e">
        <f t="shared" si="495"/>
        <v>#REF!</v>
      </c>
      <c r="T475" s="150" t="e">
        <f t="shared" si="495"/>
        <v>#REF!</v>
      </c>
      <c r="U475" s="150" t="e">
        <f t="shared" si="495"/>
        <v>#REF!</v>
      </c>
      <c r="V475" s="150" t="e">
        <f t="shared" si="495"/>
        <v>#REF!</v>
      </c>
      <c r="W475" s="150" t="e">
        <f t="shared" si="495"/>
        <v>#REF!</v>
      </c>
      <c r="X475" s="150" t="e">
        <f t="shared" si="495"/>
        <v>#REF!</v>
      </c>
      <c r="Y475" s="150" t="e">
        <f t="shared" si="495"/>
        <v>#REF!</v>
      </c>
      <c r="Z475" s="150" t="e">
        <f t="shared" si="495"/>
        <v>#REF!</v>
      </c>
      <c r="AA475" s="150" t="e">
        <f t="shared" si="495"/>
        <v>#REF!</v>
      </c>
      <c r="AB475" s="50"/>
    </row>
    <row r="476" s="28" customFormat="1" outlineLevel="3" spans="1:28">
      <c r="A476" s="52">
        <f>MAX($A$6:A475)+1</f>
        <v>426</v>
      </c>
      <c r="B476" s="138" t="s">
        <v>1234</v>
      </c>
      <c r="C476" s="51" t="e">
        <f>VLOOKUP($B476,#REF!,MATCH(C$2,#REF!,0),0)</f>
        <v>#REF!</v>
      </c>
      <c r="D476" s="83"/>
      <c r="E476" s="83"/>
      <c r="F476" s="136" t="e">
        <f>VLOOKUP($B476,#REF!,MATCH(F$2,#REF!,0),0)</f>
        <v>#REF!</v>
      </c>
      <c r="G476" s="137" t="e">
        <f>VLOOKUP($B476,#REF!,MATCH(G$2,#REF!,0),0)</f>
        <v>#REF!</v>
      </c>
      <c r="H476" s="48"/>
      <c r="I476" s="48"/>
      <c r="J476" s="48"/>
      <c r="K476" s="48"/>
      <c r="L476" s="48"/>
      <c r="M476" s="48"/>
      <c r="N476" s="48"/>
      <c r="O476" s="48"/>
      <c r="P476" s="48">
        <v>68.99</v>
      </c>
      <c r="Q476" s="48">
        <v>197.3</v>
      </c>
      <c r="R476" s="150" t="e">
        <f t="shared" ref="R476:AA476" si="496">$G476*H476</f>
        <v>#REF!</v>
      </c>
      <c r="S476" s="150" t="e">
        <f t="shared" si="496"/>
        <v>#REF!</v>
      </c>
      <c r="T476" s="150" t="e">
        <f t="shared" si="496"/>
        <v>#REF!</v>
      </c>
      <c r="U476" s="150" t="e">
        <f t="shared" si="496"/>
        <v>#REF!</v>
      </c>
      <c r="V476" s="150" t="e">
        <f t="shared" si="496"/>
        <v>#REF!</v>
      </c>
      <c r="W476" s="150" t="e">
        <f t="shared" si="496"/>
        <v>#REF!</v>
      </c>
      <c r="X476" s="150" t="e">
        <f t="shared" si="496"/>
        <v>#REF!</v>
      </c>
      <c r="Y476" s="150" t="e">
        <f t="shared" si="496"/>
        <v>#REF!</v>
      </c>
      <c r="Z476" s="150" t="e">
        <f t="shared" si="496"/>
        <v>#REF!</v>
      </c>
      <c r="AA476" s="150" t="e">
        <f t="shared" si="496"/>
        <v>#REF!</v>
      </c>
      <c r="AB476" s="50"/>
    </row>
    <row r="477" s="28" customFormat="1" outlineLevel="3" spans="1:28">
      <c r="A477" s="52">
        <f>MAX($A$6:A476)+1</f>
        <v>427</v>
      </c>
      <c r="B477" s="138" t="s">
        <v>1233</v>
      </c>
      <c r="C477" s="51" t="e">
        <f>VLOOKUP($B477,#REF!,MATCH(C$2,#REF!,0),0)</f>
        <v>#REF!</v>
      </c>
      <c r="D477" s="83"/>
      <c r="E477" s="83"/>
      <c r="F477" s="136" t="e">
        <f>VLOOKUP($B477,#REF!,MATCH(F$2,#REF!,0),0)</f>
        <v>#REF!</v>
      </c>
      <c r="G477" s="137" t="e">
        <f>VLOOKUP($B477,#REF!,MATCH(G$2,#REF!,0),0)</f>
        <v>#REF!</v>
      </c>
      <c r="H477" s="48">
        <v>14.05</v>
      </c>
      <c r="I477" s="48">
        <v>1</v>
      </c>
      <c r="J477" s="48">
        <v>1</v>
      </c>
      <c r="K477" s="48">
        <v>1</v>
      </c>
      <c r="L477" s="48"/>
      <c r="M477" s="48">
        <v>1</v>
      </c>
      <c r="N477" s="48">
        <v>1</v>
      </c>
      <c r="O477" s="48">
        <v>1</v>
      </c>
      <c r="P477" s="48">
        <v>150.63</v>
      </c>
      <c r="Q477" s="48">
        <v>333.46</v>
      </c>
      <c r="R477" s="150" t="e">
        <f t="shared" ref="R477:AA477" si="497">$G477*H477</f>
        <v>#REF!</v>
      </c>
      <c r="S477" s="150" t="e">
        <f t="shared" si="497"/>
        <v>#REF!</v>
      </c>
      <c r="T477" s="150" t="e">
        <f t="shared" si="497"/>
        <v>#REF!</v>
      </c>
      <c r="U477" s="150" t="e">
        <f t="shared" si="497"/>
        <v>#REF!</v>
      </c>
      <c r="V477" s="150" t="e">
        <f t="shared" si="497"/>
        <v>#REF!</v>
      </c>
      <c r="W477" s="150" t="e">
        <f t="shared" si="497"/>
        <v>#REF!</v>
      </c>
      <c r="X477" s="150" t="e">
        <f t="shared" si="497"/>
        <v>#REF!</v>
      </c>
      <c r="Y477" s="150" t="e">
        <f t="shared" si="497"/>
        <v>#REF!</v>
      </c>
      <c r="Z477" s="150" t="e">
        <f t="shared" si="497"/>
        <v>#REF!</v>
      </c>
      <c r="AA477" s="150" t="e">
        <f t="shared" si="497"/>
        <v>#REF!</v>
      </c>
      <c r="AB477" s="50"/>
    </row>
    <row r="478" s="28" customFormat="1" outlineLevel="3" spans="1:28">
      <c r="A478" s="52">
        <f>MAX($A$6:A477)+1</f>
        <v>428</v>
      </c>
      <c r="B478" s="138" t="s">
        <v>1232</v>
      </c>
      <c r="C478" s="51" t="e">
        <f>VLOOKUP($B478,#REF!,MATCH(C$2,#REF!,0),0)</f>
        <v>#REF!</v>
      </c>
      <c r="D478" s="83"/>
      <c r="E478" s="83"/>
      <c r="F478" s="136" t="e">
        <f>VLOOKUP($B478,#REF!,MATCH(F$2,#REF!,0),0)</f>
        <v>#REF!</v>
      </c>
      <c r="G478" s="137" t="e">
        <f>VLOOKUP($B478,#REF!,MATCH(G$2,#REF!,0),0)</f>
        <v>#REF!</v>
      </c>
      <c r="H478" s="48">
        <v>6.35</v>
      </c>
      <c r="I478" s="48">
        <v>53.23</v>
      </c>
      <c r="J478" s="48"/>
      <c r="K478" s="48"/>
      <c r="L478" s="48">
        <v>11.202</v>
      </c>
      <c r="M478" s="48">
        <v>1</v>
      </c>
      <c r="N478" s="48">
        <v>1</v>
      </c>
      <c r="O478" s="48">
        <v>1</v>
      </c>
      <c r="P478" s="48"/>
      <c r="Q478" s="48">
        <v>9.38</v>
      </c>
      <c r="R478" s="150" t="e">
        <f t="shared" ref="R478:AA478" si="498">$G478*H478</f>
        <v>#REF!</v>
      </c>
      <c r="S478" s="150" t="e">
        <f t="shared" si="498"/>
        <v>#REF!</v>
      </c>
      <c r="T478" s="150" t="e">
        <f t="shared" si="498"/>
        <v>#REF!</v>
      </c>
      <c r="U478" s="150" t="e">
        <f t="shared" si="498"/>
        <v>#REF!</v>
      </c>
      <c r="V478" s="150" t="e">
        <f t="shared" si="498"/>
        <v>#REF!</v>
      </c>
      <c r="W478" s="150" t="e">
        <f t="shared" si="498"/>
        <v>#REF!</v>
      </c>
      <c r="X478" s="150" t="e">
        <f t="shared" si="498"/>
        <v>#REF!</v>
      </c>
      <c r="Y478" s="150" t="e">
        <f t="shared" si="498"/>
        <v>#REF!</v>
      </c>
      <c r="Z478" s="150" t="e">
        <f t="shared" si="498"/>
        <v>#REF!</v>
      </c>
      <c r="AA478" s="150" t="e">
        <f t="shared" si="498"/>
        <v>#REF!</v>
      </c>
      <c r="AB478" s="50"/>
    </row>
    <row r="479" s="28" customFormat="1" outlineLevel="3" spans="1:28">
      <c r="A479" s="52">
        <f>MAX($A$6:A478)+1</f>
        <v>429</v>
      </c>
      <c r="B479" s="138" t="s">
        <v>1231</v>
      </c>
      <c r="C479" s="51" t="e">
        <f>VLOOKUP($B479,#REF!,MATCH(C$2,#REF!,0),0)</f>
        <v>#REF!</v>
      </c>
      <c r="D479" s="83"/>
      <c r="E479" s="83"/>
      <c r="F479" s="136" t="e">
        <f>VLOOKUP($B479,#REF!,MATCH(F$2,#REF!,0),0)</f>
        <v>#REF!</v>
      </c>
      <c r="G479" s="137" t="e">
        <f>VLOOKUP($B479,#REF!,MATCH(G$2,#REF!,0),0)</f>
        <v>#REF!</v>
      </c>
      <c r="H479" s="48"/>
      <c r="I479" s="48"/>
      <c r="J479" s="48">
        <v>27.5</v>
      </c>
      <c r="K479" s="48">
        <v>27.5</v>
      </c>
      <c r="L479" s="48">
        <v>11.772</v>
      </c>
      <c r="M479" s="48"/>
      <c r="N479" s="48"/>
      <c r="O479" s="48"/>
      <c r="P479" s="48">
        <v>80</v>
      </c>
      <c r="Q479" s="48">
        <v>13.66</v>
      </c>
      <c r="R479" s="150" t="e">
        <f t="shared" ref="R479:AA479" si="499">$G479*H479</f>
        <v>#REF!</v>
      </c>
      <c r="S479" s="150" t="e">
        <f t="shared" si="499"/>
        <v>#REF!</v>
      </c>
      <c r="T479" s="150" t="e">
        <f t="shared" si="499"/>
        <v>#REF!</v>
      </c>
      <c r="U479" s="150" t="e">
        <f t="shared" si="499"/>
        <v>#REF!</v>
      </c>
      <c r="V479" s="150" t="e">
        <f t="shared" si="499"/>
        <v>#REF!</v>
      </c>
      <c r="W479" s="150" t="e">
        <f t="shared" si="499"/>
        <v>#REF!</v>
      </c>
      <c r="X479" s="150" t="e">
        <f t="shared" si="499"/>
        <v>#REF!</v>
      </c>
      <c r="Y479" s="150" t="e">
        <f t="shared" si="499"/>
        <v>#REF!</v>
      </c>
      <c r="Z479" s="150" t="e">
        <f t="shared" si="499"/>
        <v>#REF!</v>
      </c>
      <c r="AA479" s="150" t="e">
        <f t="shared" si="499"/>
        <v>#REF!</v>
      </c>
      <c r="AB479" s="50"/>
    </row>
    <row r="480" s="28" customFormat="1" outlineLevel="3" spans="1:28">
      <c r="A480" s="52">
        <f>MAX($A$6:A479)+1</f>
        <v>430</v>
      </c>
      <c r="B480" s="138" t="s">
        <v>1230</v>
      </c>
      <c r="C480" s="51" t="e">
        <f>VLOOKUP($B480,#REF!,MATCH(C$2,#REF!,0),0)</f>
        <v>#REF!</v>
      </c>
      <c r="D480" s="83"/>
      <c r="E480" s="83"/>
      <c r="F480" s="136" t="e">
        <f>VLOOKUP($B480,#REF!,MATCH(F$2,#REF!,0),0)</f>
        <v>#REF!</v>
      </c>
      <c r="G480" s="137" t="e">
        <f>VLOOKUP($B480,#REF!,MATCH(G$2,#REF!,0),0)</f>
        <v>#REF!</v>
      </c>
      <c r="H480" s="48"/>
      <c r="I480" s="48"/>
      <c r="J480" s="48"/>
      <c r="K480" s="48"/>
      <c r="L480" s="48"/>
      <c r="M480" s="48"/>
      <c r="N480" s="48"/>
      <c r="O480" s="48"/>
      <c r="P480" s="48"/>
      <c r="Q480" s="48">
        <v>137.06</v>
      </c>
      <c r="R480" s="150" t="e">
        <f t="shared" ref="R480:AA480" si="500">$G480*H480</f>
        <v>#REF!</v>
      </c>
      <c r="S480" s="150" t="e">
        <f t="shared" si="500"/>
        <v>#REF!</v>
      </c>
      <c r="T480" s="150" t="e">
        <f t="shared" si="500"/>
        <v>#REF!</v>
      </c>
      <c r="U480" s="150" t="e">
        <f t="shared" si="500"/>
        <v>#REF!</v>
      </c>
      <c r="V480" s="150" t="e">
        <f t="shared" si="500"/>
        <v>#REF!</v>
      </c>
      <c r="W480" s="150" t="e">
        <f t="shared" si="500"/>
        <v>#REF!</v>
      </c>
      <c r="X480" s="150" t="e">
        <f t="shared" si="500"/>
        <v>#REF!</v>
      </c>
      <c r="Y480" s="150" t="e">
        <f t="shared" si="500"/>
        <v>#REF!</v>
      </c>
      <c r="Z480" s="150" t="e">
        <f t="shared" si="500"/>
        <v>#REF!</v>
      </c>
      <c r="AA480" s="150" t="e">
        <f t="shared" si="500"/>
        <v>#REF!</v>
      </c>
      <c r="AB480" s="50"/>
    </row>
    <row r="481" s="28" customFormat="1" outlineLevel="3" spans="1:28">
      <c r="A481" s="52">
        <f>MAX($A$6:A480)+1</f>
        <v>431</v>
      </c>
      <c r="B481" s="138" t="s">
        <v>1227</v>
      </c>
      <c r="C481" s="51" t="e">
        <f>VLOOKUP($B481,#REF!,MATCH(C$2,#REF!,0),0)</f>
        <v>#REF!</v>
      </c>
      <c r="D481" s="83"/>
      <c r="E481" s="83"/>
      <c r="F481" s="136" t="e">
        <f>VLOOKUP($B481,#REF!,MATCH(F$2,#REF!,0),0)</f>
        <v>#REF!</v>
      </c>
      <c r="G481" s="137" t="e">
        <f>VLOOKUP($B481,#REF!,MATCH(G$2,#REF!,0),0)</f>
        <v>#REF!</v>
      </c>
      <c r="H481" s="48"/>
      <c r="I481" s="48"/>
      <c r="J481" s="48">
        <v>33.82</v>
      </c>
      <c r="K481" s="48">
        <v>33.82</v>
      </c>
      <c r="L481" s="48">
        <f>2.4+12.8</f>
        <v>15.2</v>
      </c>
      <c r="M481" s="48"/>
      <c r="N481" s="48"/>
      <c r="O481" s="48"/>
      <c r="P481" s="48"/>
      <c r="Q481" s="48">
        <v>187.84</v>
      </c>
      <c r="R481" s="150" t="e">
        <f t="shared" ref="R481:AA481" si="501">$G481*H481</f>
        <v>#REF!</v>
      </c>
      <c r="S481" s="150" t="e">
        <f t="shared" si="501"/>
        <v>#REF!</v>
      </c>
      <c r="T481" s="150" t="e">
        <f t="shared" si="501"/>
        <v>#REF!</v>
      </c>
      <c r="U481" s="150" t="e">
        <f t="shared" si="501"/>
        <v>#REF!</v>
      </c>
      <c r="V481" s="150" t="e">
        <f t="shared" si="501"/>
        <v>#REF!</v>
      </c>
      <c r="W481" s="150" t="e">
        <f t="shared" si="501"/>
        <v>#REF!</v>
      </c>
      <c r="X481" s="150" t="e">
        <f t="shared" si="501"/>
        <v>#REF!</v>
      </c>
      <c r="Y481" s="150" t="e">
        <f t="shared" si="501"/>
        <v>#REF!</v>
      </c>
      <c r="Z481" s="150" t="e">
        <f t="shared" si="501"/>
        <v>#REF!</v>
      </c>
      <c r="AA481" s="150" t="e">
        <f t="shared" si="501"/>
        <v>#REF!</v>
      </c>
      <c r="AB481" s="50"/>
    </row>
    <row r="482" s="28" customFormat="1" outlineLevel="3" spans="1:28">
      <c r="A482" s="52">
        <f>MAX($A$6:A481)+1</f>
        <v>432</v>
      </c>
      <c r="B482" s="138" t="s">
        <v>1229</v>
      </c>
      <c r="C482" s="51" t="e">
        <f>VLOOKUP($B482,#REF!,MATCH(C$2,#REF!,0),0)</f>
        <v>#REF!</v>
      </c>
      <c r="D482" s="83"/>
      <c r="E482" s="83"/>
      <c r="F482" s="136" t="e">
        <f>VLOOKUP($B482,#REF!,MATCH(F$2,#REF!,0),0)</f>
        <v>#REF!</v>
      </c>
      <c r="G482" s="137" t="e">
        <f>VLOOKUP($B482,#REF!,MATCH(G$2,#REF!,0),0)</f>
        <v>#REF!</v>
      </c>
      <c r="H482" s="48"/>
      <c r="I482" s="48"/>
      <c r="J482" s="48"/>
      <c r="K482" s="48"/>
      <c r="L482" s="48"/>
      <c r="M482" s="48"/>
      <c r="N482" s="48"/>
      <c r="O482" s="48"/>
      <c r="P482" s="48"/>
      <c r="Q482" s="48">
        <v>32.21</v>
      </c>
      <c r="R482" s="150" t="e">
        <f t="shared" ref="R482:AA482" si="502">$G482*H482</f>
        <v>#REF!</v>
      </c>
      <c r="S482" s="150" t="e">
        <f t="shared" si="502"/>
        <v>#REF!</v>
      </c>
      <c r="T482" s="150" t="e">
        <f t="shared" si="502"/>
        <v>#REF!</v>
      </c>
      <c r="U482" s="150" t="e">
        <f t="shared" si="502"/>
        <v>#REF!</v>
      </c>
      <c r="V482" s="150" t="e">
        <f t="shared" si="502"/>
        <v>#REF!</v>
      </c>
      <c r="W482" s="150" t="e">
        <f t="shared" si="502"/>
        <v>#REF!</v>
      </c>
      <c r="X482" s="150" t="e">
        <f t="shared" si="502"/>
        <v>#REF!</v>
      </c>
      <c r="Y482" s="150" t="e">
        <f t="shared" si="502"/>
        <v>#REF!</v>
      </c>
      <c r="Z482" s="150" t="e">
        <f t="shared" si="502"/>
        <v>#REF!</v>
      </c>
      <c r="AA482" s="150" t="e">
        <f t="shared" si="502"/>
        <v>#REF!</v>
      </c>
      <c r="AB482" s="50"/>
    </row>
    <row r="483" s="28" customFormat="1" outlineLevel="3" spans="1:28">
      <c r="A483" s="52">
        <f>MAX($A$6:A482)+1</f>
        <v>433</v>
      </c>
      <c r="B483" s="138" t="s">
        <v>1228</v>
      </c>
      <c r="C483" s="51" t="e">
        <f>VLOOKUP($B483,#REF!,MATCH(C$2,#REF!,0),0)</f>
        <v>#REF!</v>
      </c>
      <c r="D483" s="83"/>
      <c r="E483" s="83"/>
      <c r="F483" s="136" t="e">
        <f>VLOOKUP($B483,#REF!,MATCH(F$2,#REF!,0),0)</f>
        <v>#REF!</v>
      </c>
      <c r="G483" s="137" t="e">
        <f>VLOOKUP($B483,#REF!,MATCH(G$2,#REF!,0),0)</f>
        <v>#REF!</v>
      </c>
      <c r="H483" s="48"/>
      <c r="I483" s="48"/>
      <c r="J483" s="48"/>
      <c r="K483" s="48"/>
      <c r="L483" s="48"/>
      <c r="M483" s="48"/>
      <c r="N483" s="48"/>
      <c r="O483" s="48"/>
      <c r="P483" s="48"/>
      <c r="Q483" s="48">
        <v>525.78</v>
      </c>
      <c r="R483" s="150" t="e">
        <f t="shared" ref="R483:AA483" si="503">$G483*H483</f>
        <v>#REF!</v>
      </c>
      <c r="S483" s="150" t="e">
        <f t="shared" si="503"/>
        <v>#REF!</v>
      </c>
      <c r="T483" s="150" t="e">
        <f t="shared" si="503"/>
        <v>#REF!</v>
      </c>
      <c r="U483" s="150" t="e">
        <f t="shared" si="503"/>
        <v>#REF!</v>
      </c>
      <c r="V483" s="150" t="e">
        <f t="shared" si="503"/>
        <v>#REF!</v>
      </c>
      <c r="W483" s="150" t="e">
        <f t="shared" si="503"/>
        <v>#REF!</v>
      </c>
      <c r="X483" s="150" t="e">
        <f t="shared" si="503"/>
        <v>#REF!</v>
      </c>
      <c r="Y483" s="150" t="e">
        <f t="shared" si="503"/>
        <v>#REF!</v>
      </c>
      <c r="Z483" s="150" t="e">
        <f t="shared" si="503"/>
        <v>#REF!</v>
      </c>
      <c r="AA483" s="150" t="e">
        <f t="shared" si="503"/>
        <v>#REF!</v>
      </c>
      <c r="AB483" s="50"/>
    </row>
    <row r="484" s="28" customFormat="1" outlineLevel="3" spans="1:28">
      <c r="A484" s="52">
        <f>MAX($A$6:A483)+1</f>
        <v>434</v>
      </c>
      <c r="B484" s="138" t="s">
        <v>1226</v>
      </c>
      <c r="C484" s="51" t="e">
        <f>VLOOKUP($B484,#REF!,MATCH(C$2,#REF!,0),0)</f>
        <v>#REF!</v>
      </c>
      <c r="D484" s="83"/>
      <c r="E484" s="83"/>
      <c r="F484" s="136" t="e">
        <f>VLOOKUP($B484,#REF!,MATCH(F$2,#REF!,0),0)</f>
        <v>#REF!</v>
      </c>
      <c r="G484" s="137" t="e">
        <f>VLOOKUP($B484,#REF!,MATCH(G$2,#REF!,0),0)</f>
        <v>#REF!</v>
      </c>
      <c r="H484" s="48"/>
      <c r="I484" s="48"/>
      <c r="J484" s="48"/>
      <c r="K484" s="48"/>
      <c r="L484" s="48"/>
      <c r="M484" s="48"/>
      <c r="N484" s="48"/>
      <c r="O484" s="48"/>
      <c r="P484" s="48">
        <v>177.49</v>
      </c>
      <c r="Q484" s="48">
        <v>242.94</v>
      </c>
      <c r="R484" s="150" t="e">
        <f t="shared" ref="R484:AA484" si="504">$G484*H484</f>
        <v>#REF!</v>
      </c>
      <c r="S484" s="150" t="e">
        <f t="shared" si="504"/>
        <v>#REF!</v>
      </c>
      <c r="T484" s="150" t="e">
        <f t="shared" si="504"/>
        <v>#REF!</v>
      </c>
      <c r="U484" s="150" t="e">
        <f t="shared" si="504"/>
        <v>#REF!</v>
      </c>
      <c r="V484" s="150" t="e">
        <f t="shared" si="504"/>
        <v>#REF!</v>
      </c>
      <c r="W484" s="150" t="e">
        <f t="shared" si="504"/>
        <v>#REF!</v>
      </c>
      <c r="X484" s="150" t="e">
        <f t="shared" si="504"/>
        <v>#REF!</v>
      </c>
      <c r="Y484" s="150" t="e">
        <f t="shared" si="504"/>
        <v>#REF!</v>
      </c>
      <c r="Z484" s="150" t="e">
        <f t="shared" si="504"/>
        <v>#REF!</v>
      </c>
      <c r="AA484" s="150" t="e">
        <f t="shared" si="504"/>
        <v>#REF!</v>
      </c>
      <c r="AB484" s="50"/>
    </row>
    <row r="485" s="28" customFormat="1" outlineLevel="3" spans="1:28">
      <c r="A485" s="52">
        <f>MAX($A$6:A484)+1</f>
        <v>435</v>
      </c>
      <c r="B485" s="138" t="s">
        <v>1225</v>
      </c>
      <c r="C485" s="51" t="e">
        <f>VLOOKUP($B485,#REF!,MATCH(C$2,#REF!,0),0)</f>
        <v>#REF!</v>
      </c>
      <c r="D485" s="83"/>
      <c r="E485" s="83"/>
      <c r="F485" s="136" t="e">
        <f>VLOOKUP($B485,#REF!,MATCH(F$2,#REF!,0),0)</f>
        <v>#REF!</v>
      </c>
      <c r="G485" s="137" t="e">
        <f>VLOOKUP($B485,#REF!,MATCH(G$2,#REF!,0),0)</f>
        <v>#REF!</v>
      </c>
      <c r="H485" s="48">
        <v>6.05</v>
      </c>
      <c r="I485" s="48">
        <v>1</v>
      </c>
      <c r="J485" s="48">
        <v>14.46</v>
      </c>
      <c r="K485" s="48">
        <v>14.46</v>
      </c>
      <c r="L485" s="48">
        <v>11.074</v>
      </c>
      <c r="M485" s="48">
        <v>1</v>
      </c>
      <c r="N485" s="48">
        <v>1</v>
      </c>
      <c r="O485" s="48">
        <v>1</v>
      </c>
      <c r="P485" s="48">
        <v>128.62</v>
      </c>
      <c r="Q485" s="48">
        <v>539.39</v>
      </c>
      <c r="R485" s="150" t="e">
        <f t="shared" ref="R485:AA485" si="505">$G485*H485</f>
        <v>#REF!</v>
      </c>
      <c r="S485" s="150" t="e">
        <f t="shared" si="505"/>
        <v>#REF!</v>
      </c>
      <c r="T485" s="150" t="e">
        <f t="shared" si="505"/>
        <v>#REF!</v>
      </c>
      <c r="U485" s="150" t="e">
        <f t="shared" si="505"/>
        <v>#REF!</v>
      </c>
      <c r="V485" s="150" t="e">
        <f t="shared" si="505"/>
        <v>#REF!</v>
      </c>
      <c r="W485" s="150" t="e">
        <f t="shared" si="505"/>
        <v>#REF!</v>
      </c>
      <c r="X485" s="150" t="e">
        <f t="shared" si="505"/>
        <v>#REF!</v>
      </c>
      <c r="Y485" s="150" t="e">
        <f t="shared" si="505"/>
        <v>#REF!</v>
      </c>
      <c r="Z485" s="150" t="e">
        <f t="shared" si="505"/>
        <v>#REF!</v>
      </c>
      <c r="AA485" s="150" t="e">
        <f t="shared" si="505"/>
        <v>#REF!</v>
      </c>
      <c r="AB485" s="50"/>
    </row>
    <row r="486" s="28" customFormat="1" outlineLevel="3" spans="1:28">
      <c r="A486" s="52">
        <f>MAX($A$6:A485)+1</f>
        <v>436</v>
      </c>
      <c r="B486" s="138" t="s">
        <v>1224</v>
      </c>
      <c r="C486" s="51" t="e">
        <f>VLOOKUP($B486,#REF!,MATCH(C$2,#REF!,0),0)</f>
        <v>#REF!</v>
      </c>
      <c r="D486" s="83"/>
      <c r="E486" s="83"/>
      <c r="F486" s="136" t="e">
        <f>VLOOKUP($B486,#REF!,MATCH(F$2,#REF!,0),0)</f>
        <v>#REF!</v>
      </c>
      <c r="G486" s="137" t="e">
        <f>VLOOKUP($B486,#REF!,MATCH(G$2,#REF!,0),0)</f>
        <v>#REF!</v>
      </c>
      <c r="H486" s="48"/>
      <c r="I486" s="48"/>
      <c r="J486" s="48">
        <v>2.5</v>
      </c>
      <c r="K486" s="48">
        <v>2.5</v>
      </c>
      <c r="L486" s="48">
        <v>0.85</v>
      </c>
      <c r="M486" s="48"/>
      <c r="N486" s="48"/>
      <c r="O486" s="48"/>
      <c r="P486" s="48">
        <v>101.28</v>
      </c>
      <c r="Q486" s="48">
        <v>866.7</v>
      </c>
      <c r="R486" s="150" t="e">
        <f t="shared" ref="R486:AA486" si="506">$G486*H486</f>
        <v>#REF!</v>
      </c>
      <c r="S486" s="150" t="e">
        <f t="shared" si="506"/>
        <v>#REF!</v>
      </c>
      <c r="T486" s="150" t="e">
        <f t="shared" si="506"/>
        <v>#REF!</v>
      </c>
      <c r="U486" s="150" t="e">
        <f t="shared" si="506"/>
        <v>#REF!</v>
      </c>
      <c r="V486" s="150" t="e">
        <f t="shared" si="506"/>
        <v>#REF!</v>
      </c>
      <c r="W486" s="150" t="e">
        <f t="shared" si="506"/>
        <v>#REF!</v>
      </c>
      <c r="X486" s="150" t="e">
        <f t="shared" si="506"/>
        <v>#REF!</v>
      </c>
      <c r="Y486" s="150" t="e">
        <f t="shared" si="506"/>
        <v>#REF!</v>
      </c>
      <c r="Z486" s="150" t="e">
        <f t="shared" si="506"/>
        <v>#REF!</v>
      </c>
      <c r="AA486" s="150" t="e">
        <f t="shared" si="506"/>
        <v>#REF!</v>
      </c>
      <c r="AB486" s="50"/>
    </row>
    <row r="487" s="28" customFormat="1" outlineLevel="3" spans="1:28">
      <c r="A487" s="52">
        <f>MAX($A$6:A486)+1</f>
        <v>437</v>
      </c>
      <c r="B487" s="138" t="s">
        <v>1262</v>
      </c>
      <c r="C487" s="51" t="e">
        <f>VLOOKUP($B487,#REF!,MATCH(C$2,#REF!,0),0)</f>
        <v>#REF!</v>
      </c>
      <c r="D487" s="83"/>
      <c r="E487" s="83"/>
      <c r="F487" s="136" t="e">
        <f>VLOOKUP($B487,#REF!,MATCH(F$2,#REF!,0),0)</f>
        <v>#REF!</v>
      </c>
      <c r="G487" s="137" t="e">
        <f>VLOOKUP($B487,#REF!,MATCH(G$2,#REF!,0),0)</f>
        <v>#REF!</v>
      </c>
      <c r="H487" s="48"/>
      <c r="I487" s="48"/>
      <c r="J487" s="48"/>
      <c r="K487" s="48"/>
      <c r="L487" s="48"/>
      <c r="M487" s="48"/>
      <c r="N487" s="48"/>
      <c r="O487" s="48"/>
      <c r="P487" s="48">
        <v>1</v>
      </c>
      <c r="Q487" s="48">
        <v>1</v>
      </c>
      <c r="R487" s="150" t="e">
        <f t="shared" ref="R487:AA487" si="507">$G487*H487</f>
        <v>#REF!</v>
      </c>
      <c r="S487" s="150" t="e">
        <f t="shared" si="507"/>
        <v>#REF!</v>
      </c>
      <c r="T487" s="150" t="e">
        <f t="shared" si="507"/>
        <v>#REF!</v>
      </c>
      <c r="U487" s="150" t="e">
        <f t="shared" si="507"/>
        <v>#REF!</v>
      </c>
      <c r="V487" s="150" t="e">
        <f t="shared" si="507"/>
        <v>#REF!</v>
      </c>
      <c r="W487" s="150" t="e">
        <f t="shared" si="507"/>
        <v>#REF!</v>
      </c>
      <c r="X487" s="150" t="e">
        <f t="shared" si="507"/>
        <v>#REF!</v>
      </c>
      <c r="Y487" s="150" t="e">
        <f t="shared" si="507"/>
        <v>#REF!</v>
      </c>
      <c r="Z487" s="150" t="e">
        <f t="shared" si="507"/>
        <v>#REF!</v>
      </c>
      <c r="AA487" s="150" t="e">
        <f t="shared" si="507"/>
        <v>#REF!</v>
      </c>
      <c r="AB487" s="50"/>
    </row>
    <row r="488" s="28" customFormat="1" outlineLevel="3" spans="1:28">
      <c r="A488" s="52">
        <f>MAX($A$6:A487)+1</f>
        <v>438</v>
      </c>
      <c r="B488" s="138" t="s">
        <v>1260</v>
      </c>
      <c r="C488" s="51" t="e">
        <f>VLOOKUP($B488,#REF!,MATCH(C$2,#REF!,0),0)</f>
        <v>#REF!</v>
      </c>
      <c r="D488" s="83"/>
      <c r="E488" s="83"/>
      <c r="F488" s="136" t="e">
        <f>VLOOKUP($B488,#REF!,MATCH(F$2,#REF!,0),0)</f>
        <v>#REF!</v>
      </c>
      <c r="G488" s="137" t="e">
        <f>VLOOKUP($B488,#REF!,MATCH(G$2,#REF!,0),0)</f>
        <v>#REF!</v>
      </c>
      <c r="H488" s="48"/>
      <c r="I488" s="48"/>
      <c r="J488" s="48"/>
      <c r="K488" s="48"/>
      <c r="L488" s="48"/>
      <c r="M488" s="48"/>
      <c r="N488" s="48"/>
      <c r="O488" s="48"/>
      <c r="P488" s="48">
        <v>1</v>
      </c>
      <c r="Q488" s="48">
        <v>1</v>
      </c>
      <c r="R488" s="150" t="e">
        <f t="shared" ref="R488:AA488" si="508">$G488*H488</f>
        <v>#REF!</v>
      </c>
      <c r="S488" s="150" t="e">
        <f t="shared" si="508"/>
        <v>#REF!</v>
      </c>
      <c r="T488" s="150" t="e">
        <f t="shared" si="508"/>
        <v>#REF!</v>
      </c>
      <c r="U488" s="150" t="e">
        <f t="shared" si="508"/>
        <v>#REF!</v>
      </c>
      <c r="V488" s="150" t="e">
        <f t="shared" si="508"/>
        <v>#REF!</v>
      </c>
      <c r="W488" s="150" t="e">
        <f t="shared" si="508"/>
        <v>#REF!</v>
      </c>
      <c r="X488" s="150" t="e">
        <f t="shared" si="508"/>
        <v>#REF!</v>
      </c>
      <c r="Y488" s="150" t="e">
        <f t="shared" si="508"/>
        <v>#REF!</v>
      </c>
      <c r="Z488" s="150" t="e">
        <f t="shared" si="508"/>
        <v>#REF!</v>
      </c>
      <c r="AA488" s="150" t="e">
        <f t="shared" si="508"/>
        <v>#REF!</v>
      </c>
      <c r="AB488" s="50"/>
    </row>
    <row r="489" s="28" customFormat="1" outlineLevel="3" spans="1:28">
      <c r="A489" s="52">
        <f>MAX($A$6:A488)+1</f>
        <v>439</v>
      </c>
      <c r="B489" s="138" t="s">
        <v>1259</v>
      </c>
      <c r="C489" s="51" t="e">
        <f>VLOOKUP($B489,#REF!,MATCH(C$2,#REF!,0),0)</f>
        <v>#REF!</v>
      </c>
      <c r="D489" s="83"/>
      <c r="E489" s="83"/>
      <c r="F489" s="136" t="e">
        <f>VLOOKUP($B489,#REF!,MATCH(F$2,#REF!,0),0)</f>
        <v>#REF!</v>
      </c>
      <c r="G489" s="137" t="e">
        <f>VLOOKUP($B489,#REF!,MATCH(G$2,#REF!,0),0)</f>
        <v>#REF!</v>
      </c>
      <c r="H489" s="48"/>
      <c r="I489" s="48"/>
      <c r="J489" s="48"/>
      <c r="K489" s="48"/>
      <c r="L489" s="48"/>
      <c r="M489" s="48"/>
      <c r="N489" s="48"/>
      <c r="O489" s="48"/>
      <c r="P489" s="48">
        <v>1</v>
      </c>
      <c r="Q489" s="48">
        <v>1</v>
      </c>
      <c r="R489" s="150" t="e">
        <f t="shared" ref="R489:AA489" si="509">$G489*H489</f>
        <v>#REF!</v>
      </c>
      <c r="S489" s="150" t="e">
        <f t="shared" si="509"/>
        <v>#REF!</v>
      </c>
      <c r="T489" s="150" t="e">
        <f t="shared" si="509"/>
        <v>#REF!</v>
      </c>
      <c r="U489" s="150" t="e">
        <f t="shared" si="509"/>
        <v>#REF!</v>
      </c>
      <c r="V489" s="150" t="e">
        <f t="shared" si="509"/>
        <v>#REF!</v>
      </c>
      <c r="W489" s="150" t="e">
        <f t="shared" si="509"/>
        <v>#REF!</v>
      </c>
      <c r="X489" s="150" t="e">
        <f t="shared" si="509"/>
        <v>#REF!</v>
      </c>
      <c r="Y489" s="150" t="e">
        <f t="shared" si="509"/>
        <v>#REF!</v>
      </c>
      <c r="Z489" s="150" t="e">
        <f t="shared" si="509"/>
        <v>#REF!</v>
      </c>
      <c r="AA489" s="150" t="e">
        <f t="shared" si="509"/>
        <v>#REF!</v>
      </c>
      <c r="AB489" s="50"/>
    </row>
    <row r="490" s="28" customFormat="1" outlineLevel="3" spans="1:28">
      <c r="A490" s="52">
        <f>MAX($A$6:A489)+1</f>
        <v>440</v>
      </c>
      <c r="B490" s="138" t="s">
        <v>1257</v>
      </c>
      <c r="C490" s="51" t="e">
        <f>VLOOKUP($B490,#REF!,MATCH(C$2,#REF!,0),0)</f>
        <v>#REF!</v>
      </c>
      <c r="D490" s="83"/>
      <c r="E490" s="83"/>
      <c r="F490" s="136" t="e">
        <f>VLOOKUP($B490,#REF!,MATCH(F$2,#REF!,0),0)</f>
        <v>#REF!</v>
      </c>
      <c r="G490" s="137" t="e">
        <f>VLOOKUP($B490,#REF!,MATCH(G$2,#REF!,0),0)</f>
        <v>#REF!</v>
      </c>
      <c r="H490" s="48"/>
      <c r="I490" s="48"/>
      <c r="J490" s="48"/>
      <c r="K490" s="48"/>
      <c r="L490" s="48"/>
      <c r="M490" s="48"/>
      <c r="N490" s="48"/>
      <c r="O490" s="48"/>
      <c r="P490" s="48">
        <v>1</v>
      </c>
      <c r="Q490" s="48">
        <v>1</v>
      </c>
      <c r="R490" s="150" t="e">
        <f t="shared" ref="R490:AA490" si="510">$G490*H490</f>
        <v>#REF!</v>
      </c>
      <c r="S490" s="150" t="e">
        <f t="shared" si="510"/>
        <v>#REF!</v>
      </c>
      <c r="T490" s="150" t="e">
        <f t="shared" si="510"/>
        <v>#REF!</v>
      </c>
      <c r="U490" s="150" t="e">
        <f t="shared" si="510"/>
        <v>#REF!</v>
      </c>
      <c r="V490" s="150" t="e">
        <f t="shared" si="510"/>
        <v>#REF!</v>
      </c>
      <c r="W490" s="150" t="e">
        <f t="shared" si="510"/>
        <v>#REF!</v>
      </c>
      <c r="X490" s="150" t="e">
        <f t="shared" si="510"/>
        <v>#REF!</v>
      </c>
      <c r="Y490" s="150" t="e">
        <f t="shared" si="510"/>
        <v>#REF!</v>
      </c>
      <c r="Z490" s="150" t="e">
        <f t="shared" si="510"/>
        <v>#REF!</v>
      </c>
      <c r="AA490" s="150" t="e">
        <f t="shared" si="510"/>
        <v>#REF!</v>
      </c>
      <c r="AB490" s="50"/>
    </row>
    <row r="491" s="28" customFormat="1" outlineLevel="3" spans="1:28">
      <c r="A491" s="52">
        <f>MAX($A$6:A490)+1</f>
        <v>441</v>
      </c>
      <c r="B491" s="138" t="s">
        <v>1254</v>
      </c>
      <c r="C491" s="51" t="e">
        <f>VLOOKUP($B491,#REF!,MATCH(C$2,#REF!,0),0)</f>
        <v>#REF!</v>
      </c>
      <c r="D491" s="83"/>
      <c r="E491" s="83"/>
      <c r="F491" s="136" t="e">
        <f>VLOOKUP($B491,#REF!,MATCH(F$2,#REF!,0),0)</f>
        <v>#REF!</v>
      </c>
      <c r="G491" s="137" t="e">
        <f>VLOOKUP($B491,#REF!,MATCH(G$2,#REF!,0),0)</f>
        <v>#REF!</v>
      </c>
      <c r="H491" s="48"/>
      <c r="I491" s="48"/>
      <c r="J491" s="48"/>
      <c r="K491" s="48"/>
      <c r="L491" s="48"/>
      <c r="M491" s="48"/>
      <c r="N491" s="48"/>
      <c r="O491" s="48"/>
      <c r="P491" s="48">
        <v>1</v>
      </c>
      <c r="Q491" s="48">
        <v>1</v>
      </c>
      <c r="R491" s="150" t="e">
        <f t="shared" ref="R491:AA491" si="511">$G491*H491</f>
        <v>#REF!</v>
      </c>
      <c r="S491" s="150" t="e">
        <f t="shared" si="511"/>
        <v>#REF!</v>
      </c>
      <c r="T491" s="150" t="e">
        <f t="shared" si="511"/>
        <v>#REF!</v>
      </c>
      <c r="U491" s="150" t="e">
        <f t="shared" si="511"/>
        <v>#REF!</v>
      </c>
      <c r="V491" s="150" t="e">
        <f t="shared" si="511"/>
        <v>#REF!</v>
      </c>
      <c r="W491" s="150" t="e">
        <f t="shared" si="511"/>
        <v>#REF!</v>
      </c>
      <c r="X491" s="150" t="e">
        <f t="shared" si="511"/>
        <v>#REF!</v>
      </c>
      <c r="Y491" s="150" t="e">
        <f t="shared" si="511"/>
        <v>#REF!</v>
      </c>
      <c r="Z491" s="150" t="e">
        <f t="shared" si="511"/>
        <v>#REF!</v>
      </c>
      <c r="AA491" s="150" t="e">
        <f t="shared" si="511"/>
        <v>#REF!</v>
      </c>
      <c r="AB491" s="50"/>
    </row>
    <row r="492" s="28" customFormat="1" outlineLevel="3" spans="1:28">
      <c r="A492" s="52">
        <f>MAX($A$6:A491)+1</f>
        <v>442</v>
      </c>
      <c r="B492" s="138" t="s">
        <v>1253</v>
      </c>
      <c r="C492" s="51" t="e">
        <f>VLOOKUP($B492,#REF!,MATCH(C$2,#REF!,0),0)</f>
        <v>#REF!</v>
      </c>
      <c r="D492" s="83"/>
      <c r="E492" s="83"/>
      <c r="F492" s="136" t="e">
        <f>VLOOKUP($B492,#REF!,MATCH(F$2,#REF!,0),0)</f>
        <v>#REF!</v>
      </c>
      <c r="G492" s="137" t="e">
        <f>VLOOKUP($B492,#REF!,MATCH(G$2,#REF!,0),0)</f>
        <v>#REF!</v>
      </c>
      <c r="H492" s="48"/>
      <c r="I492" s="48"/>
      <c r="J492" s="48"/>
      <c r="K492" s="48"/>
      <c r="L492" s="48"/>
      <c r="M492" s="48"/>
      <c r="N492" s="48"/>
      <c r="O492" s="48"/>
      <c r="P492" s="48">
        <v>1</v>
      </c>
      <c r="Q492" s="48">
        <v>1</v>
      </c>
      <c r="R492" s="150" t="e">
        <f t="shared" ref="R492:AA492" si="512">$G492*H492</f>
        <v>#REF!</v>
      </c>
      <c r="S492" s="150" t="e">
        <f t="shared" si="512"/>
        <v>#REF!</v>
      </c>
      <c r="T492" s="150" t="e">
        <f t="shared" si="512"/>
        <v>#REF!</v>
      </c>
      <c r="U492" s="150" t="e">
        <f t="shared" si="512"/>
        <v>#REF!</v>
      </c>
      <c r="V492" s="150" t="e">
        <f t="shared" si="512"/>
        <v>#REF!</v>
      </c>
      <c r="W492" s="150" t="e">
        <f t="shared" si="512"/>
        <v>#REF!</v>
      </c>
      <c r="X492" s="150" t="e">
        <f t="shared" si="512"/>
        <v>#REF!</v>
      </c>
      <c r="Y492" s="150" t="e">
        <f t="shared" si="512"/>
        <v>#REF!</v>
      </c>
      <c r="Z492" s="150" t="e">
        <f t="shared" si="512"/>
        <v>#REF!</v>
      </c>
      <c r="AA492" s="150" t="e">
        <f t="shared" si="512"/>
        <v>#REF!</v>
      </c>
      <c r="AB492" s="50"/>
    </row>
    <row r="493" s="28" customFormat="1" outlineLevel="3" spans="1:28">
      <c r="A493" s="52">
        <f>MAX($A$6:A492)+1</f>
        <v>443</v>
      </c>
      <c r="B493" s="138" t="s">
        <v>1252</v>
      </c>
      <c r="C493" s="51" t="e">
        <f>VLOOKUP($B493,#REF!,MATCH(C$2,#REF!,0),0)</f>
        <v>#REF!</v>
      </c>
      <c r="D493" s="83"/>
      <c r="E493" s="83"/>
      <c r="F493" s="136" t="e">
        <f>VLOOKUP($B493,#REF!,MATCH(F$2,#REF!,0),0)</f>
        <v>#REF!</v>
      </c>
      <c r="G493" s="137" t="e">
        <f>VLOOKUP($B493,#REF!,MATCH(G$2,#REF!,0),0)</f>
        <v>#REF!</v>
      </c>
      <c r="H493" s="48"/>
      <c r="I493" s="48"/>
      <c r="J493" s="48"/>
      <c r="K493" s="48"/>
      <c r="L493" s="48"/>
      <c r="M493" s="48"/>
      <c r="N493" s="48"/>
      <c r="O493" s="48"/>
      <c r="P493" s="48">
        <v>1</v>
      </c>
      <c r="Q493" s="48">
        <v>1</v>
      </c>
      <c r="R493" s="150" t="e">
        <f t="shared" ref="R493:AA493" si="513">$G493*H493</f>
        <v>#REF!</v>
      </c>
      <c r="S493" s="150" t="e">
        <f t="shared" si="513"/>
        <v>#REF!</v>
      </c>
      <c r="T493" s="150" t="e">
        <f t="shared" si="513"/>
        <v>#REF!</v>
      </c>
      <c r="U493" s="150" t="e">
        <f t="shared" si="513"/>
        <v>#REF!</v>
      </c>
      <c r="V493" s="150" t="e">
        <f t="shared" si="513"/>
        <v>#REF!</v>
      </c>
      <c r="W493" s="150" t="e">
        <f t="shared" si="513"/>
        <v>#REF!</v>
      </c>
      <c r="X493" s="150" t="e">
        <f t="shared" si="513"/>
        <v>#REF!</v>
      </c>
      <c r="Y493" s="150" t="e">
        <f t="shared" si="513"/>
        <v>#REF!</v>
      </c>
      <c r="Z493" s="150" t="e">
        <f t="shared" si="513"/>
        <v>#REF!</v>
      </c>
      <c r="AA493" s="150" t="e">
        <f t="shared" si="513"/>
        <v>#REF!</v>
      </c>
      <c r="AB493" s="50"/>
    </row>
    <row r="494" s="28" customFormat="1" outlineLevel="3" spans="1:28">
      <c r="A494" s="52">
        <f>MAX($A$6:A493)+1</f>
        <v>444</v>
      </c>
      <c r="B494" s="138" t="s">
        <v>1251</v>
      </c>
      <c r="C494" s="51" t="e">
        <f>VLOOKUP($B494,#REF!,MATCH(C$2,#REF!,0),0)</f>
        <v>#REF!</v>
      </c>
      <c r="D494" s="83"/>
      <c r="E494" s="83"/>
      <c r="F494" s="136" t="e">
        <f>VLOOKUP($B494,#REF!,MATCH(F$2,#REF!,0),0)</f>
        <v>#REF!</v>
      </c>
      <c r="G494" s="137" t="e">
        <f>VLOOKUP($B494,#REF!,MATCH(G$2,#REF!,0),0)</f>
        <v>#REF!</v>
      </c>
      <c r="H494" s="48"/>
      <c r="I494" s="48"/>
      <c r="J494" s="48"/>
      <c r="K494" s="48"/>
      <c r="L494" s="48"/>
      <c r="M494" s="48"/>
      <c r="N494" s="48"/>
      <c r="O494" s="48"/>
      <c r="P494" s="48">
        <v>1</v>
      </c>
      <c r="Q494" s="48">
        <v>1</v>
      </c>
      <c r="R494" s="150" t="e">
        <f t="shared" ref="R494:AA494" si="514">$G494*H494</f>
        <v>#REF!</v>
      </c>
      <c r="S494" s="150" t="e">
        <f t="shared" si="514"/>
        <v>#REF!</v>
      </c>
      <c r="T494" s="150" t="e">
        <f t="shared" si="514"/>
        <v>#REF!</v>
      </c>
      <c r="U494" s="150" t="e">
        <f t="shared" si="514"/>
        <v>#REF!</v>
      </c>
      <c r="V494" s="150" t="e">
        <f t="shared" si="514"/>
        <v>#REF!</v>
      </c>
      <c r="W494" s="150" t="e">
        <f t="shared" si="514"/>
        <v>#REF!</v>
      </c>
      <c r="X494" s="150" t="e">
        <f t="shared" si="514"/>
        <v>#REF!</v>
      </c>
      <c r="Y494" s="150" t="e">
        <f t="shared" si="514"/>
        <v>#REF!</v>
      </c>
      <c r="Z494" s="150" t="e">
        <f t="shared" si="514"/>
        <v>#REF!</v>
      </c>
      <c r="AA494" s="150" t="e">
        <f t="shared" si="514"/>
        <v>#REF!</v>
      </c>
      <c r="AB494" s="50"/>
    </row>
    <row r="495" s="28" customFormat="1" outlineLevel="3" spans="1:28">
      <c r="A495" s="52">
        <f>MAX($A$6:A494)+1</f>
        <v>445</v>
      </c>
      <c r="B495" s="138" t="s">
        <v>1249</v>
      </c>
      <c r="C495" s="51" t="e">
        <f>VLOOKUP($B495,#REF!,MATCH(C$2,#REF!,0),0)</f>
        <v>#REF!</v>
      </c>
      <c r="D495" s="83"/>
      <c r="E495" s="83"/>
      <c r="F495" s="136" t="e">
        <f>VLOOKUP($B495,#REF!,MATCH(F$2,#REF!,0),0)</f>
        <v>#REF!</v>
      </c>
      <c r="G495" s="137" t="e">
        <f>VLOOKUP($B495,#REF!,MATCH(G$2,#REF!,0),0)</f>
        <v>#REF!</v>
      </c>
      <c r="H495" s="48"/>
      <c r="I495" s="48"/>
      <c r="J495" s="48"/>
      <c r="K495" s="48"/>
      <c r="L495" s="48"/>
      <c r="M495" s="48"/>
      <c r="N495" s="48"/>
      <c r="O495" s="48"/>
      <c r="P495" s="48">
        <v>1</v>
      </c>
      <c r="Q495" s="48">
        <v>1</v>
      </c>
      <c r="R495" s="150" t="e">
        <f t="shared" ref="R495:AA495" si="515">$G495*H495</f>
        <v>#REF!</v>
      </c>
      <c r="S495" s="150" t="e">
        <f t="shared" si="515"/>
        <v>#REF!</v>
      </c>
      <c r="T495" s="150" t="e">
        <f t="shared" si="515"/>
        <v>#REF!</v>
      </c>
      <c r="U495" s="150" t="e">
        <f t="shared" si="515"/>
        <v>#REF!</v>
      </c>
      <c r="V495" s="150" t="e">
        <f t="shared" si="515"/>
        <v>#REF!</v>
      </c>
      <c r="W495" s="150" t="e">
        <f t="shared" si="515"/>
        <v>#REF!</v>
      </c>
      <c r="X495" s="150" t="e">
        <f t="shared" si="515"/>
        <v>#REF!</v>
      </c>
      <c r="Y495" s="150" t="e">
        <f t="shared" si="515"/>
        <v>#REF!</v>
      </c>
      <c r="Z495" s="150" t="e">
        <f t="shared" si="515"/>
        <v>#REF!</v>
      </c>
      <c r="AA495" s="150" t="e">
        <f t="shared" si="515"/>
        <v>#REF!</v>
      </c>
      <c r="AB495" s="50"/>
    </row>
    <row r="496" s="28" customFormat="1" outlineLevel="3" spans="1:28">
      <c r="A496" s="52">
        <f>MAX($A$6:A495)+1</f>
        <v>446</v>
      </c>
      <c r="B496" s="138" t="s">
        <v>1246</v>
      </c>
      <c r="C496" s="51" t="e">
        <f>VLOOKUP($B496,#REF!,MATCH(C$2,#REF!,0),0)</f>
        <v>#REF!</v>
      </c>
      <c r="D496" s="83"/>
      <c r="E496" s="83"/>
      <c r="F496" s="136" t="e">
        <f>VLOOKUP($B496,#REF!,MATCH(F$2,#REF!,0),0)</f>
        <v>#REF!</v>
      </c>
      <c r="G496" s="137" t="e">
        <f>VLOOKUP($B496,#REF!,MATCH(G$2,#REF!,0),0)</f>
        <v>#REF!</v>
      </c>
      <c r="H496" s="48"/>
      <c r="I496" s="48"/>
      <c r="J496" s="48"/>
      <c r="K496" s="48"/>
      <c r="L496" s="48"/>
      <c r="M496" s="48"/>
      <c r="N496" s="48"/>
      <c r="O496" s="48"/>
      <c r="P496" s="48">
        <v>1</v>
      </c>
      <c r="Q496" s="48">
        <v>1</v>
      </c>
      <c r="R496" s="150" t="e">
        <f t="shared" ref="R496:AA496" si="516">$G496*H496</f>
        <v>#REF!</v>
      </c>
      <c r="S496" s="150" t="e">
        <f t="shared" si="516"/>
        <v>#REF!</v>
      </c>
      <c r="T496" s="150" t="e">
        <f t="shared" si="516"/>
        <v>#REF!</v>
      </c>
      <c r="U496" s="150" t="e">
        <f t="shared" si="516"/>
        <v>#REF!</v>
      </c>
      <c r="V496" s="150" t="e">
        <f t="shared" si="516"/>
        <v>#REF!</v>
      </c>
      <c r="W496" s="150" t="e">
        <f t="shared" si="516"/>
        <v>#REF!</v>
      </c>
      <c r="X496" s="150" t="e">
        <f t="shared" si="516"/>
        <v>#REF!</v>
      </c>
      <c r="Y496" s="150" t="e">
        <f t="shared" si="516"/>
        <v>#REF!</v>
      </c>
      <c r="Z496" s="150" t="e">
        <f t="shared" si="516"/>
        <v>#REF!</v>
      </c>
      <c r="AA496" s="150" t="e">
        <f t="shared" si="516"/>
        <v>#REF!</v>
      </c>
      <c r="AB496" s="50"/>
    </row>
    <row r="497" s="28" customFormat="1" outlineLevel="3" spans="1:28">
      <c r="A497" s="52">
        <f>MAX($A$6:A496)+1</f>
        <v>447</v>
      </c>
      <c r="B497" s="138" t="s">
        <v>1245</v>
      </c>
      <c r="C497" s="51" t="e">
        <f>VLOOKUP($B497,#REF!,MATCH(C$2,#REF!,0),0)</f>
        <v>#REF!</v>
      </c>
      <c r="D497" s="83"/>
      <c r="E497" s="83"/>
      <c r="F497" s="136" t="e">
        <f>VLOOKUP($B497,#REF!,MATCH(F$2,#REF!,0),0)</f>
        <v>#REF!</v>
      </c>
      <c r="G497" s="137" t="e">
        <f>VLOOKUP($B497,#REF!,MATCH(G$2,#REF!,0),0)</f>
        <v>#REF!</v>
      </c>
      <c r="H497" s="48"/>
      <c r="I497" s="48"/>
      <c r="J497" s="48"/>
      <c r="K497" s="48"/>
      <c r="L497" s="48"/>
      <c r="M497" s="48"/>
      <c r="N497" s="48"/>
      <c r="O497" s="48"/>
      <c r="P497" s="48">
        <v>1</v>
      </c>
      <c r="Q497" s="48">
        <v>1</v>
      </c>
      <c r="R497" s="150" t="e">
        <f t="shared" ref="R497:AA497" si="517">$G497*H497</f>
        <v>#REF!</v>
      </c>
      <c r="S497" s="150" t="e">
        <f t="shared" si="517"/>
        <v>#REF!</v>
      </c>
      <c r="T497" s="150" t="e">
        <f t="shared" si="517"/>
        <v>#REF!</v>
      </c>
      <c r="U497" s="150" t="e">
        <f t="shared" si="517"/>
        <v>#REF!</v>
      </c>
      <c r="V497" s="150" t="e">
        <f t="shared" si="517"/>
        <v>#REF!</v>
      </c>
      <c r="W497" s="150" t="e">
        <f t="shared" si="517"/>
        <v>#REF!</v>
      </c>
      <c r="X497" s="150" t="e">
        <f t="shared" si="517"/>
        <v>#REF!</v>
      </c>
      <c r="Y497" s="150" t="e">
        <f t="shared" si="517"/>
        <v>#REF!</v>
      </c>
      <c r="Z497" s="150" t="e">
        <f t="shared" si="517"/>
        <v>#REF!</v>
      </c>
      <c r="AA497" s="150" t="e">
        <f t="shared" si="517"/>
        <v>#REF!</v>
      </c>
      <c r="AB497" s="50"/>
    </row>
    <row r="498" s="28" customFormat="1" outlineLevel="3" spans="1:28">
      <c r="A498" s="52">
        <f>MAX($A$6:A497)+1</f>
        <v>448</v>
      </c>
      <c r="B498" s="138" t="s">
        <v>1244</v>
      </c>
      <c r="C498" s="51" t="e">
        <f>VLOOKUP($B498,#REF!,MATCH(C$2,#REF!,0),0)</f>
        <v>#REF!</v>
      </c>
      <c r="D498" s="83"/>
      <c r="E498" s="83"/>
      <c r="F498" s="136" t="e">
        <f>VLOOKUP($B498,#REF!,MATCH(F$2,#REF!,0),0)</f>
        <v>#REF!</v>
      </c>
      <c r="G498" s="137" t="e">
        <f>VLOOKUP($B498,#REF!,MATCH(G$2,#REF!,0),0)</f>
        <v>#REF!</v>
      </c>
      <c r="H498" s="48"/>
      <c r="I498" s="48"/>
      <c r="J498" s="48"/>
      <c r="K498" s="48"/>
      <c r="L498" s="48"/>
      <c r="M498" s="48"/>
      <c r="N498" s="48"/>
      <c r="O498" s="48"/>
      <c r="P498" s="48">
        <v>1</v>
      </c>
      <c r="Q498" s="48">
        <v>1</v>
      </c>
      <c r="R498" s="150" t="e">
        <f t="shared" ref="R498:AA498" si="518">$G498*H498</f>
        <v>#REF!</v>
      </c>
      <c r="S498" s="150" t="e">
        <f t="shared" si="518"/>
        <v>#REF!</v>
      </c>
      <c r="T498" s="150" t="e">
        <f t="shared" si="518"/>
        <v>#REF!</v>
      </c>
      <c r="U498" s="150" t="e">
        <f t="shared" si="518"/>
        <v>#REF!</v>
      </c>
      <c r="V498" s="150" t="e">
        <f t="shared" si="518"/>
        <v>#REF!</v>
      </c>
      <c r="W498" s="150" t="e">
        <f t="shared" si="518"/>
        <v>#REF!</v>
      </c>
      <c r="X498" s="150" t="e">
        <f t="shared" si="518"/>
        <v>#REF!</v>
      </c>
      <c r="Y498" s="150" t="e">
        <f t="shared" si="518"/>
        <v>#REF!</v>
      </c>
      <c r="Z498" s="150" t="e">
        <f t="shared" si="518"/>
        <v>#REF!</v>
      </c>
      <c r="AA498" s="150" t="e">
        <f t="shared" si="518"/>
        <v>#REF!</v>
      </c>
      <c r="AB498" s="50"/>
    </row>
    <row r="499" s="28" customFormat="1" outlineLevel="3" spans="1:28">
      <c r="A499" s="52">
        <f>MAX($A$6:A498)+1</f>
        <v>449</v>
      </c>
      <c r="B499" s="138" t="s">
        <v>2155</v>
      </c>
      <c r="C499" s="51" t="e">
        <f>VLOOKUP($B499,#REF!,MATCH(C$2,#REF!,0),0)</f>
        <v>#REF!</v>
      </c>
      <c r="D499" s="83"/>
      <c r="E499" s="83"/>
      <c r="F499" s="136" t="e">
        <f>VLOOKUP($B499,#REF!,MATCH(F$2,#REF!,0),0)</f>
        <v>#REF!</v>
      </c>
      <c r="G499" s="137" t="e">
        <f>VLOOKUP($B499,#REF!,MATCH(G$2,#REF!,0),0)</f>
        <v>#REF!</v>
      </c>
      <c r="H499" s="48"/>
      <c r="I499" s="48"/>
      <c r="J499" s="48"/>
      <c r="K499" s="48"/>
      <c r="L499" s="48"/>
      <c r="M499" s="48"/>
      <c r="N499" s="48"/>
      <c r="O499" s="48"/>
      <c r="P499" s="48"/>
      <c r="Q499" s="48">
        <v>51.2</v>
      </c>
      <c r="R499" s="150" t="e">
        <f t="shared" ref="R499:AA499" si="519">$G499*H499</f>
        <v>#REF!</v>
      </c>
      <c r="S499" s="150" t="e">
        <f t="shared" si="519"/>
        <v>#REF!</v>
      </c>
      <c r="T499" s="150" t="e">
        <f t="shared" si="519"/>
        <v>#REF!</v>
      </c>
      <c r="U499" s="150" t="e">
        <f t="shared" si="519"/>
        <v>#REF!</v>
      </c>
      <c r="V499" s="150" t="e">
        <f t="shared" si="519"/>
        <v>#REF!</v>
      </c>
      <c r="W499" s="150" t="e">
        <f t="shared" si="519"/>
        <v>#REF!</v>
      </c>
      <c r="X499" s="150" t="e">
        <f t="shared" si="519"/>
        <v>#REF!</v>
      </c>
      <c r="Y499" s="150" t="e">
        <f t="shared" si="519"/>
        <v>#REF!</v>
      </c>
      <c r="Z499" s="150" t="e">
        <f t="shared" si="519"/>
        <v>#REF!</v>
      </c>
      <c r="AA499" s="150" t="e">
        <f t="shared" si="519"/>
        <v>#REF!</v>
      </c>
      <c r="AB499" s="50"/>
    </row>
    <row r="500" s="28" customFormat="1" outlineLevel="3" spans="1:28">
      <c r="A500" s="52">
        <f>MAX($A$6:A499)+1</f>
        <v>450</v>
      </c>
      <c r="B500" s="138" t="s">
        <v>2156</v>
      </c>
      <c r="C500" s="51" t="e">
        <f>VLOOKUP($B500,#REF!,MATCH(C$2,#REF!,0),0)</f>
        <v>#REF!</v>
      </c>
      <c r="D500" s="83"/>
      <c r="E500" s="83"/>
      <c r="F500" s="136" t="e">
        <f>VLOOKUP($B500,#REF!,MATCH(F$2,#REF!,0),0)</f>
        <v>#REF!</v>
      </c>
      <c r="G500" s="137" t="e">
        <f>VLOOKUP($B500,#REF!,MATCH(G$2,#REF!,0),0)</f>
        <v>#REF!</v>
      </c>
      <c r="H500" s="48"/>
      <c r="I500" s="48"/>
      <c r="J500" s="48"/>
      <c r="K500" s="48"/>
      <c r="L500" s="48"/>
      <c r="M500" s="48"/>
      <c r="N500" s="48"/>
      <c r="O500" s="48"/>
      <c r="P500" s="48"/>
      <c r="Q500" s="48">
        <v>69.18</v>
      </c>
      <c r="R500" s="150" t="e">
        <f t="shared" ref="R500:AA500" si="520">$G500*H500</f>
        <v>#REF!</v>
      </c>
      <c r="S500" s="150" t="e">
        <f t="shared" si="520"/>
        <v>#REF!</v>
      </c>
      <c r="T500" s="150" t="e">
        <f t="shared" si="520"/>
        <v>#REF!</v>
      </c>
      <c r="U500" s="150" t="e">
        <f t="shared" si="520"/>
        <v>#REF!</v>
      </c>
      <c r="V500" s="150" t="e">
        <f t="shared" si="520"/>
        <v>#REF!</v>
      </c>
      <c r="W500" s="150" t="e">
        <f t="shared" si="520"/>
        <v>#REF!</v>
      </c>
      <c r="X500" s="150" t="e">
        <f t="shared" si="520"/>
        <v>#REF!</v>
      </c>
      <c r="Y500" s="150" t="e">
        <f t="shared" si="520"/>
        <v>#REF!</v>
      </c>
      <c r="Z500" s="150" t="e">
        <f t="shared" si="520"/>
        <v>#REF!</v>
      </c>
      <c r="AA500" s="150" t="e">
        <f t="shared" si="520"/>
        <v>#REF!</v>
      </c>
      <c r="AB500" s="50"/>
    </row>
    <row r="501" s="28" customFormat="1" outlineLevel="3" spans="1:28">
      <c r="A501" s="52">
        <f>MAX($A$6:A500)+1</f>
        <v>451</v>
      </c>
      <c r="B501" s="138" t="s">
        <v>2157</v>
      </c>
      <c r="C501" s="51" t="e">
        <f>VLOOKUP($B501,#REF!,MATCH(C$2,#REF!,0),0)</f>
        <v>#REF!</v>
      </c>
      <c r="D501" s="83"/>
      <c r="E501" s="83"/>
      <c r="F501" s="136" t="e">
        <f>VLOOKUP($B501,#REF!,MATCH(F$2,#REF!,0),0)</f>
        <v>#REF!</v>
      </c>
      <c r="G501" s="137" t="e">
        <f>VLOOKUP($B501,#REF!,MATCH(G$2,#REF!,0),0)</f>
        <v>#REF!</v>
      </c>
      <c r="H501" s="48"/>
      <c r="I501" s="48"/>
      <c r="J501" s="48"/>
      <c r="K501" s="48"/>
      <c r="L501" s="48"/>
      <c r="M501" s="48"/>
      <c r="N501" s="48"/>
      <c r="O501" s="48"/>
      <c r="P501" s="48"/>
      <c r="Q501" s="48">
        <v>194</v>
      </c>
      <c r="R501" s="150" t="e">
        <f t="shared" ref="R501:AA501" si="521">$G501*H501</f>
        <v>#REF!</v>
      </c>
      <c r="S501" s="150" t="e">
        <f t="shared" si="521"/>
        <v>#REF!</v>
      </c>
      <c r="T501" s="150" t="e">
        <f t="shared" si="521"/>
        <v>#REF!</v>
      </c>
      <c r="U501" s="150" t="e">
        <f t="shared" si="521"/>
        <v>#REF!</v>
      </c>
      <c r="V501" s="150" t="e">
        <f t="shared" si="521"/>
        <v>#REF!</v>
      </c>
      <c r="W501" s="150" t="e">
        <f t="shared" si="521"/>
        <v>#REF!</v>
      </c>
      <c r="X501" s="150" t="e">
        <f t="shared" si="521"/>
        <v>#REF!</v>
      </c>
      <c r="Y501" s="150" t="e">
        <f t="shared" si="521"/>
        <v>#REF!</v>
      </c>
      <c r="Z501" s="150" t="e">
        <f t="shared" si="521"/>
        <v>#REF!</v>
      </c>
      <c r="AA501" s="150" t="e">
        <f t="shared" si="521"/>
        <v>#REF!</v>
      </c>
      <c r="AB501" s="50"/>
    </row>
    <row r="502" s="28" customFormat="1" outlineLevel="3" spans="1:28">
      <c r="A502" s="52">
        <f>MAX($A$6:A501)+1</f>
        <v>452</v>
      </c>
      <c r="B502" s="138" t="s">
        <v>2158</v>
      </c>
      <c r="C502" s="51" t="e">
        <f>VLOOKUP($B502,#REF!,MATCH(C$2,#REF!,0),0)</f>
        <v>#REF!</v>
      </c>
      <c r="D502" s="83"/>
      <c r="E502" s="83"/>
      <c r="F502" s="136" t="e">
        <f>VLOOKUP($B502,#REF!,MATCH(F$2,#REF!,0),0)</f>
        <v>#REF!</v>
      </c>
      <c r="G502" s="137" t="e">
        <f>VLOOKUP($B502,#REF!,MATCH(G$2,#REF!,0),0)</f>
        <v>#REF!</v>
      </c>
      <c r="H502" s="48"/>
      <c r="I502" s="48"/>
      <c r="J502" s="48"/>
      <c r="K502" s="48"/>
      <c r="L502" s="48"/>
      <c r="M502" s="48"/>
      <c r="N502" s="48"/>
      <c r="O502" s="48"/>
      <c r="P502" s="48"/>
      <c r="Q502" s="48">
        <v>193.64</v>
      </c>
      <c r="R502" s="150" t="e">
        <f t="shared" ref="R502:AA502" si="522">$G502*H502</f>
        <v>#REF!</v>
      </c>
      <c r="S502" s="150" t="e">
        <f t="shared" si="522"/>
        <v>#REF!</v>
      </c>
      <c r="T502" s="150" t="e">
        <f t="shared" si="522"/>
        <v>#REF!</v>
      </c>
      <c r="U502" s="150" t="e">
        <f t="shared" si="522"/>
        <v>#REF!</v>
      </c>
      <c r="V502" s="150" t="e">
        <f t="shared" si="522"/>
        <v>#REF!</v>
      </c>
      <c r="W502" s="150" t="e">
        <f t="shared" si="522"/>
        <v>#REF!</v>
      </c>
      <c r="X502" s="150" t="e">
        <f t="shared" si="522"/>
        <v>#REF!</v>
      </c>
      <c r="Y502" s="150" t="e">
        <f t="shared" si="522"/>
        <v>#REF!</v>
      </c>
      <c r="Z502" s="150" t="e">
        <f t="shared" si="522"/>
        <v>#REF!</v>
      </c>
      <c r="AA502" s="150" t="e">
        <f t="shared" si="522"/>
        <v>#REF!</v>
      </c>
      <c r="AB502" s="50"/>
    </row>
    <row r="503" s="28" customFormat="1" outlineLevel="3" spans="1:28">
      <c r="A503" s="52">
        <f>MAX($A$6:A502)+1</f>
        <v>453</v>
      </c>
      <c r="B503" s="138" t="s">
        <v>2159</v>
      </c>
      <c r="C503" s="51" t="e">
        <f>VLOOKUP($B503,#REF!,MATCH(C$2,#REF!,0),0)</f>
        <v>#REF!</v>
      </c>
      <c r="D503" s="83"/>
      <c r="E503" s="83"/>
      <c r="F503" s="136" t="e">
        <f>VLOOKUP($B503,#REF!,MATCH(F$2,#REF!,0),0)</f>
        <v>#REF!</v>
      </c>
      <c r="G503" s="137" t="e">
        <f>VLOOKUP($B503,#REF!,MATCH(G$2,#REF!,0),0)</f>
        <v>#REF!</v>
      </c>
      <c r="H503" s="48"/>
      <c r="I503" s="48"/>
      <c r="J503" s="48"/>
      <c r="K503" s="48"/>
      <c r="L503" s="48"/>
      <c r="M503" s="48"/>
      <c r="N503" s="48"/>
      <c r="O503" s="48"/>
      <c r="P503" s="48"/>
      <c r="Q503" s="48">
        <v>159.2</v>
      </c>
      <c r="R503" s="150" t="e">
        <f t="shared" ref="R503:AA503" si="523">$G503*H503</f>
        <v>#REF!</v>
      </c>
      <c r="S503" s="150" t="e">
        <f t="shared" si="523"/>
        <v>#REF!</v>
      </c>
      <c r="T503" s="150" t="e">
        <f t="shared" si="523"/>
        <v>#REF!</v>
      </c>
      <c r="U503" s="150" t="e">
        <f t="shared" si="523"/>
        <v>#REF!</v>
      </c>
      <c r="V503" s="150" t="e">
        <f t="shared" si="523"/>
        <v>#REF!</v>
      </c>
      <c r="W503" s="150" t="e">
        <f t="shared" si="523"/>
        <v>#REF!</v>
      </c>
      <c r="X503" s="150" t="e">
        <f t="shared" si="523"/>
        <v>#REF!</v>
      </c>
      <c r="Y503" s="150" t="e">
        <f t="shared" si="523"/>
        <v>#REF!</v>
      </c>
      <c r="Z503" s="150" t="e">
        <f t="shared" si="523"/>
        <v>#REF!</v>
      </c>
      <c r="AA503" s="150" t="e">
        <f t="shared" si="523"/>
        <v>#REF!</v>
      </c>
      <c r="AB503" s="50"/>
    </row>
    <row r="504" s="28" customFormat="1" outlineLevel="3" spans="1:28">
      <c r="A504" s="52">
        <f>MAX($A$6:A503)+1</f>
        <v>454</v>
      </c>
      <c r="B504" s="138" t="s">
        <v>2160</v>
      </c>
      <c r="C504" s="51" t="e">
        <f>VLOOKUP($B504,#REF!,MATCH(C$2,#REF!,0),0)</f>
        <v>#REF!</v>
      </c>
      <c r="D504" s="83"/>
      <c r="E504" s="83"/>
      <c r="F504" s="136" t="e">
        <f>VLOOKUP($B504,#REF!,MATCH(F$2,#REF!,0),0)</f>
        <v>#REF!</v>
      </c>
      <c r="G504" s="137" t="e">
        <f>VLOOKUP($B504,#REF!,MATCH(G$2,#REF!,0),0)</f>
        <v>#REF!</v>
      </c>
      <c r="H504" s="48"/>
      <c r="I504" s="48"/>
      <c r="J504" s="48"/>
      <c r="K504" s="48"/>
      <c r="L504" s="48"/>
      <c r="M504" s="48"/>
      <c r="N504" s="48"/>
      <c r="O504" s="48"/>
      <c r="P504" s="48"/>
      <c r="Q504" s="48">
        <v>472.84</v>
      </c>
      <c r="R504" s="150" t="e">
        <f t="shared" ref="R504:AA504" si="524">$G504*H504</f>
        <v>#REF!</v>
      </c>
      <c r="S504" s="150" t="e">
        <f t="shared" si="524"/>
        <v>#REF!</v>
      </c>
      <c r="T504" s="150" t="e">
        <f t="shared" si="524"/>
        <v>#REF!</v>
      </c>
      <c r="U504" s="150" t="e">
        <f t="shared" si="524"/>
        <v>#REF!</v>
      </c>
      <c r="V504" s="150" t="e">
        <f t="shared" si="524"/>
        <v>#REF!</v>
      </c>
      <c r="W504" s="150" t="e">
        <f t="shared" si="524"/>
        <v>#REF!</v>
      </c>
      <c r="X504" s="150" t="e">
        <f t="shared" si="524"/>
        <v>#REF!</v>
      </c>
      <c r="Y504" s="150" t="e">
        <f t="shared" si="524"/>
        <v>#REF!</v>
      </c>
      <c r="Z504" s="150" t="e">
        <f t="shared" si="524"/>
        <v>#REF!</v>
      </c>
      <c r="AA504" s="150" t="e">
        <f t="shared" si="524"/>
        <v>#REF!</v>
      </c>
      <c r="AB504" s="50"/>
    </row>
    <row r="505" s="28" customFormat="1" outlineLevel="3" spans="1:28">
      <c r="A505" s="52">
        <f>MAX($A$6:A504)+1</f>
        <v>455</v>
      </c>
      <c r="B505" s="138" t="s">
        <v>2161</v>
      </c>
      <c r="C505" s="51" t="e">
        <f>VLOOKUP($B505,#REF!,MATCH(C$2,#REF!,0),0)</f>
        <v>#REF!</v>
      </c>
      <c r="D505" s="83"/>
      <c r="E505" s="83"/>
      <c r="F505" s="136" t="e">
        <f>VLOOKUP($B505,#REF!,MATCH(F$2,#REF!,0),0)</f>
        <v>#REF!</v>
      </c>
      <c r="G505" s="137" t="e">
        <f>VLOOKUP($B505,#REF!,MATCH(G$2,#REF!,0),0)</f>
        <v>#REF!</v>
      </c>
      <c r="H505" s="48"/>
      <c r="I505" s="48"/>
      <c r="J505" s="48"/>
      <c r="K505" s="48"/>
      <c r="L505" s="48"/>
      <c r="M505" s="48"/>
      <c r="N505" s="48"/>
      <c r="O505" s="48"/>
      <c r="P505" s="48"/>
      <c r="Q505" s="48">
        <v>796</v>
      </c>
      <c r="R505" s="150" t="e">
        <f t="shared" ref="R505:AA505" si="525">$G505*H505</f>
        <v>#REF!</v>
      </c>
      <c r="S505" s="150" t="e">
        <f t="shared" si="525"/>
        <v>#REF!</v>
      </c>
      <c r="T505" s="150" t="e">
        <f t="shared" si="525"/>
        <v>#REF!</v>
      </c>
      <c r="U505" s="150" t="e">
        <f t="shared" si="525"/>
        <v>#REF!</v>
      </c>
      <c r="V505" s="150" t="e">
        <f t="shared" si="525"/>
        <v>#REF!</v>
      </c>
      <c r="W505" s="150" t="e">
        <f t="shared" si="525"/>
        <v>#REF!</v>
      </c>
      <c r="X505" s="150" t="e">
        <f t="shared" si="525"/>
        <v>#REF!</v>
      </c>
      <c r="Y505" s="150" t="e">
        <f t="shared" si="525"/>
        <v>#REF!</v>
      </c>
      <c r="Z505" s="150" t="e">
        <f t="shared" si="525"/>
        <v>#REF!</v>
      </c>
      <c r="AA505" s="150" t="e">
        <f t="shared" si="525"/>
        <v>#REF!</v>
      </c>
      <c r="AB505" s="50"/>
    </row>
    <row r="506" s="28" customFormat="1" outlineLevel="3" spans="1:28">
      <c r="A506" s="52">
        <f>MAX($A$6:A505)+1</f>
        <v>456</v>
      </c>
      <c r="B506" s="138" t="s">
        <v>2162</v>
      </c>
      <c r="C506" s="51" t="e">
        <f>VLOOKUP($B506,#REF!,MATCH(C$2,#REF!,0),0)</f>
        <v>#REF!</v>
      </c>
      <c r="D506" s="83"/>
      <c r="E506" s="83"/>
      <c r="F506" s="136" t="e">
        <f>VLOOKUP($B506,#REF!,MATCH(F$2,#REF!,0),0)</f>
        <v>#REF!</v>
      </c>
      <c r="G506" s="137" t="e">
        <f>VLOOKUP($B506,#REF!,MATCH(G$2,#REF!,0),0)</f>
        <v>#REF!</v>
      </c>
      <c r="H506" s="48"/>
      <c r="I506" s="48"/>
      <c r="J506" s="48"/>
      <c r="K506" s="48"/>
      <c r="L506" s="48"/>
      <c r="M506" s="48"/>
      <c r="N506" s="48"/>
      <c r="O506" s="48"/>
      <c r="P506" s="48"/>
      <c r="Q506" s="48">
        <v>175.68</v>
      </c>
      <c r="R506" s="150" t="e">
        <f t="shared" ref="R506:AA506" si="526">$G506*H506</f>
        <v>#REF!</v>
      </c>
      <c r="S506" s="150" t="e">
        <f t="shared" si="526"/>
        <v>#REF!</v>
      </c>
      <c r="T506" s="150" t="e">
        <f t="shared" si="526"/>
        <v>#REF!</v>
      </c>
      <c r="U506" s="150" t="e">
        <f t="shared" si="526"/>
        <v>#REF!</v>
      </c>
      <c r="V506" s="150" t="e">
        <f t="shared" si="526"/>
        <v>#REF!</v>
      </c>
      <c r="W506" s="150" t="e">
        <f t="shared" si="526"/>
        <v>#REF!</v>
      </c>
      <c r="X506" s="150" t="e">
        <f t="shared" si="526"/>
        <v>#REF!</v>
      </c>
      <c r="Y506" s="150" t="e">
        <f t="shared" si="526"/>
        <v>#REF!</v>
      </c>
      <c r="Z506" s="150" t="e">
        <f t="shared" si="526"/>
        <v>#REF!</v>
      </c>
      <c r="AA506" s="150" t="e">
        <f t="shared" si="526"/>
        <v>#REF!</v>
      </c>
      <c r="AB506" s="50"/>
    </row>
    <row r="507" s="28" customFormat="1" outlineLevel="3" spans="1:28">
      <c r="A507" s="52">
        <f>MAX($A$6:A506)+1</f>
        <v>457</v>
      </c>
      <c r="B507" s="138" t="s">
        <v>2163</v>
      </c>
      <c r="C507" s="51" t="e">
        <f>VLOOKUP($B507,#REF!,MATCH(C$2,#REF!,0),0)</f>
        <v>#REF!</v>
      </c>
      <c r="D507" s="83"/>
      <c r="E507" s="83"/>
      <c r="F507" s="136" t="e">
        <f>VLOOKUP($B507,#REF!,MATCH(F$2,#REF!,0),0)</f>
        <v>#REF!</v>
      </c>
      <c r="G507" s="137" t="e">
        <f>VLOOKUP($B507,#REF!,MATCH(G$2,#REF!,0),0)</f>
        <v>#REF!</v>
      </c>
      <c r="H507" s="48"/>
      <c r="I507" s="48"/>
      <c r="J507" s="48"/>
      <c r="K507" s="48"/>
      <c r="L507" s="48"/>
      <c r="M507" s="48"/>
      <c r="N507" s="48"/>
      <c r="O507" s="48"/>
      <c r="P507" s="48"/>
      <c r="Q507" s="48">
        <v>659.64</v>
      </c>
      <c r="R507" s="150" t="e">
        <f t="shared" ref="R507:AA507" si="527">$G507*H507</f>
        <v>#REF!</v>
      </c>
      <c r="S507" s="150" t="e">
        <f t="shared" si="527"/>
        <v>#REF!</v>
      </c>
      <c r="T507" s="150" t="e">
        <f t="shared" si="527"/>
        <v>#REF!</v>
      </c>
      <c r="U507" s="150" t="e">
        <f t="shared" si="527"/>
        <v>#REF!</v>
      </c>
      <c r="V507" s="150" t="e">
        <f t="shared" si="527"/>
        <v>#REF!</v>
      </c>
      <c r="W507" s="150" t="e">
        <f t="shared" si="527"/>
        <v>#REF!</v>
      </c>
      <c r="X507" s="150" t="e">
        <f t="shared" si="527"/>
        <v>#REF!</v>
      </c>
      <c r="Y507" s="150" t="e">
        <f t="shared" si="527"/>
        <v>#REF!</v>
      </c>
      <c r="Z507" s="150" t="e">
        <f t="shared" si="527"/>
        <v>#REF!</v>
      </c>
      <c r="AA507" s="150" t="e">
        <f t="shared" si="527"/>
        <v>#REF!</v>
      </c>
      <c r="AB507" s="50"/>
    </row>
    <row r="508" s="28" customFormat="1" outlineLevel="3" spans="1:28">
      <c r="A508" s="52">
        <f>MAX($A$6:A507)+1</f>
        <v>458</v>
      </c>
      <c r="B508" s="138" t="s">
        <v>1263</v>
      </c>
      <c r="C508" s="51" t="e">
        <f>VLOOKUP($B508,#REF!,MATCH(C$2,#REF!,0),0)</f>
        <v>#REF!</v>
      </c>
      <c r="D508" s="83"/>
      <c r="E508" s="83"/>
      <c r="F508" s="136" t="e">
        <f>VLOOKUP($B508,#REF!,MATCH(F$2,#REF!,0),0)</f>
        <v>#REF!</v>
      </c>
      <c r="G508" s="137" t="e">
        <f>VLOOKUP($B508,#REF!,MATCH(G$2,#REF!,0),0)</f>
        <v>#REF!</v>
      </c>
      <c r="H508" s="48">
        <v>9</v>
      </c>
      <c r="I508" s="48">
        <v>9</v>
      </c>
      <c r="J508" s="48">
        <v>1</v>
      </c>
      <c r="K508" s="48">
        <v>1</v>
      </c>
      <c r="L508" s="48">
        <v>12</v>
      </c>
      <c r="M508" s="48">
        <v>1</v>
      </c>
      <c r="N508" s="48">
        <v>1</v>
      </c>
      <c r="O508" s="48">
        <v>1</v>
      </c>
      <c r="P508" s="48">
        <v>20</v>
      </c>
      <c r="Q508" s="48">
        <v>78</v>
      </c>
      <c r="R508" s="150" t="e">
        <f t="shared" ref="R508:AA508" si="528">$G508*H508</f>
        <v>#REF!</v>
      </c>
      <c r="S508" s="150" t="e">
        <f t="shared" si="528"/>
        <v>#REF!</v>
      </c>
      <c r="T508" s="150" t="e">
        <f t="shared" si="528"/>
        <v>#REF!</v>
      </c>
      <c r="U508" s="150" t="e">
        <f t="shared" si="528"/>
        <v>#REF!</v>
      </c>
      <c r="V508" s="150" t="e">
        <f t="shared" si="528"/>
        <v>#REF!</v>
      </c>
      <c r="W508" s="150" t="e">
        <f t="shared" si="528"/>
        <v>#REF!</v>
      </c>
      <c r="X508" s="150" t="e">
        <f t="shared" si="528"/>
        <v>#REF!</v>
      </c>
      <c r="Y508" s="150" t="e">
        <f t="shared" si="528"/>
        <v>#REF!</v>
      </c>
      <c r="Z508" s="150" t="e">
        <f t="shared" si="528"/>
        <v>#REF!</v>
      </c>
      <c r="AA508" s="150" t="e">
        <f t="shared" si="528"/>
        <v>#REF!</v>
      </c>
      <c r="AB508" s="50"/>
    </row>
    <row r="509" s="29" customFormat="1" outlineLevel="2" spans="1:28">
      <c r="A509" s="40"/>
      <c r="B509" s="41" t="s">
        <v>2164</v>
      </c>
      <c r="C509" s="41"/>
      <c r="D509" s="140"/>
      <c r="E509" s="140"/>
      <c r="F509" s="141"/>
      <c r="G509" s="142"/>
      <c r="H509" s="43"/>
      <c r="I509" s="43"/>
      <c r="J509" s="43"/>
      <c r="K509" s="43"/>
      <c r="L509" s="43"/>
      <c r="M509" s="43"/>
      <c r="N509" s="43"/>
      <c r="O509" s="43"/>
      <c r="P509" s="43"/>
      <c r="Q509" s="43"/>
      <c r="R509" s="149" t="e">
        <f t="shared" ref="R509:AA509" si="529">SUM(R510:R585)</f>
        <v>#REF!</v>
      </c>
      <c r="S509" s="149" t="e">
        <f t="shared" si="529"/>
        <v>#REF!</v>
      </c>
      <c r="T509" s="149" t="e">
        <f t="shared" si="529"/>
        <v>#REF!</v>
      </c>
      <c r="U509" s="149" t="e">
        <f t="shared" si="529"/>
        <v>#REF!</v>
      </c>
      <c r="V509" s="149" t="e">
        <f t="shared" si="529"/>
        <v>#REF!</v>
      </c>
      <c r="W509" s="149" t="e">
        <f t="shared" si="529"/>
        <v>#REF!</v>
      </c>
      <c r="X509" s="149" t="e">
        <f t="shared" si="529"/>
        <v>#REF!</v>
      </c>
      <c r="Y509" s="149" t="e">
        <f t="shared" si="529"/>
        <v>#REF!</v>
      </c>
      <c r="Z509" s="149" t="e">
        <f t="shared" si="529"/>
        <v>#REF!</v>
      </c>
      <c r="AA509" s="149" t="e">
        <f t="shared" si="529"/>
        <v>#REF!</v>
      </c>
      <c r="AB509" s="40"/>
    </row>
    <row r="510" s="28" customFormat="1" ht="28.8" outlineLevel="3" spans="1:28">
      <c r="A510" s="52">
        <f>MAX($A$6:A509)+1</f>
        <v>459</v>
      </c>
      <c r="B510" s="138" t="s">
        <v>2165</v>
      </c>
      <c r="C510" s="51" t="e">
        <f>VLOOKUP($B510,#REF!,MATCH(C$2,#REF!,0),0)</f>
        <v>#REF!</v>
      </c>
      <c r="D510" s="83"/>
      <c r="E510" s="83"/>
      <c r="F510" s="136" t="e">
        <f>VLOOKUP($B510,#REF!,MATCH(F$2,#REF!,0),0)</f>
        <v>#REF!</v>
      </c>
      <c r="G510" s="137" t="e">
        <f>VLOOKUP($B510,#REF!,MATCH(G$2,#REF!,0),0)</f>
        <v>#REF!</v>
      </c>
      <c r="H510" s="48">
        <v>1</v>
      </c>
      <c r="I510" s="48">
        <v>1</v>
      </c>
      <c r="J510" s="48">
        <v>1</v>
      </c>
      <c r="K510" s="48">
        <v>1</v>
      </c>
      <c r="L510" s="48"/>
      <c r="M510" s="48">
        <v>1</v>
      </c>
      <c r="N510" s="48">
        <v>1</v>
      </c>
      <c r="O510" s="48">
        <v>1</v>
      </c>
      <c r="P510" s="48"/>
      <c r="Q510" s="48"/>
      <c r="R510" s="150" t="e">
        <f t="shared" ref="R510:AA510" si="530">$G510*H510</f>
        <v>#REF!</v>
      </c>
      <c r="S510" s="150" t="e">
        <f t="shared" si="530"/>
        <v>#REF!</v>
      </c>
      <c r="T510" s="150" t="e">
        <f t="shared" si="530"/>
        <v>#REF!</v>
      </c>
      <c r="U510" s="150" t="e">
        <f t="shared" si="530"/>
        <v>#REF!</v>
      </c>
      <c r="V510" s="150" t="e">
        <f t="shared" si="530"/>
        <v>#REF!</v>
      </c>
      <c r="W510" s="150" t="e">
        <f t="shared" si="530"/>
        <v>#REF!</v>
      </c>
      <c r="X510" s="150" t="e">
        <f t="shared" si="530"/>
        <v>#REF!</v>
      </c>
      <c r="Y510" s="150" t="e">
        <f t="shared" si="530"/>
        <v>#REF!</v>
      </c>
      <c r="Z510" s="150" t="e">
        <f t="shared" si="530"/>
        <v>#REF!</v>
      </c>
      <c r="AA510" s="150" t="e">
        <f t="shared" si="530"/>
        <v>#REF!</v>
      </c>
      <c r="AB510" s="50"/>
    </row>
    <row r="511" s="28" customFormat="1" ht="28.8" outlineLevel="3" spans="1:28">
      <c r="A511" s="52">
        <f>MAX($A$6:A510)+1</f>
        <v>460</v>
      </c>
      <c r="B511" s="138" t="s">
        <v>2166</v>
      </c>
      <c r="C511" s="51" t="e">
        <f>VLOOKUP($B511,#REF!,MATCH(C$2,#REF!,0),0)</f>
        <v>#REF!</v>
      </c>
      <c r="D511" s="83"/>
      <c r="E511" s="83"/>
      <c r="F511" s="136" t="e">
        <f>VLOOKUP($B511,#REF!,MATCH(F$2,#REF!,0),0)</f>
        <v>#REF!</v>
      </c>
      <c r="G511" s="137" t="e">
        <f>VLOOKUP($B511,#REF!,MATCH(G$2,#REF!,0),0)</f>
        <v>#REF!</v>
      </c>
      <c r="H511" s="48">
        <v>206.42</v>
      </c>
      <c r="I511" s="48">
        <v>155.11</v>
      </c>
      <c r="J511" s="48">
        <v>36.6</v>
      </c>
      <c r="K511" s="48">
        <v>36.6</v>
      </c>
      <c r="L511" s="48">
        <v>22.335</v>
      </c>
      <c r="M511" s="48"/>
      <c r="N511" s="48"/>
      <c r="O511" s="48"/>
      <c r="P511" s="48">
        <v>249.1</v>
      </c>
      <c r="Q511" s="48">
        <v>843.3</v>
      </c>
      <c r="R511" s="150" t="e">
        <f t="shared" ref="R511:AA511" si="531">$G511*H511</f>
        <v>#REF!</v>
      </c>
      <c r="S511" s="150" t="e">
        <f t="shared" si="531"/>
        <v>#REF!</v>
      </c>
      <c r="T511" s="150" t="e">
        <f t="shared" si="531"/>
        <v>#REF!</v>
      </c>
      <c r="U511" s="150" t="e">
        <f t="shared" si="531"/>
        <v>#REF!</v>
      </c>
      <c r="V511" s="150" t="e">
        <f t="shared" si="531"/>
        <v>#REF!</v>
      </c>
      <c r="W511" s="150" t="e">
        <f t="shared" si="531"/>
        <v>#REF!</v>
      </c>
      <c r="X511" s="150" t="e">
        <f t="shared" si="531"/>
        <v>#REF!</v>
      </c>
      <c r="Y511" s="150" t="e">
        <f t="shared" si="531"/>
        <v>#REF!</v>
      </c>
      <c r="Z511" s="150" t="e">
        <f t="shared" si="531"/>
        <v>#REF!</v>
      </c>
      <c r="AA511" s="150" t="e">
        <f t="shared" si="531"/>
        <v>#REF!</v>
      </c>
      <c r="AB511" s="50"/>
    </row>
    <row r="512" s="28" customFormat="1" ht="28.8" outlineLevel="3" spans="1:28">
      <c r="A512" s="52">
        <f>MAX($A$6:A511)+1</f>
        <v>461</v>
      </c>
      <c r="B512" s="138" t="s">
        <v>2167</v>
      </c>
      <c r="C512" s="51" t="e">
        <f>VLOOKUP($B512,#REF!,MATCH(C$2,#REF!,0),0)</f>
        <v>#REF!</v>
      </c>
      <c r="D512" s="83"/>
      <c r="E512" s="83"/>
      <c r="F512" s="136" t="e">
        <f>VLOOKUP($B512,#REF!,MATCH(F$2,#REF!,0),0)</f>
        <v>#REF!</v>
      </c>
      <c r="G512" s="137" t="e">
        <f>VLOOKUP($B512,#REF!,MATCH(G$2,#REF!,0),0)</f>
        <v>#REF!</v>
      </c>
      <c r="H512" s="48">
        <v>56.32</v>
      </c>
      <c r="I512" s="48">
        <v>50.63</v>
      </c>
      <c r="J512" s="48">
        <v>22.22</v>
      </c>
      <c r="K512" s="48">
        <v>22.22</v>
      </c>
      <c r="L512" s="48">
        <v>7.63</v>
      </c>
      <c r="M512" s="48"/>
      <c r="N512" s="48"/>
      <c r="O512" s="48"/>
      <c r="P512" s="48">
        <v>1</v>
      </c>
      <c r="Q512" s="48"/>
      <c r="R512" s="150" t="e">
        <f t="shared" ref="R512:AA512" si="532">$G512*H512</f>
        <v>#REF!</v>
      </c>
      <c r="S512" s="150" t="e">
        <f t="shared" si="532"/>
        <v>#REF!</v>
      </c>
      <c r="T512" s="150" t="e">
        <f t="shared" si="532"/>
        <v>#REF!</v>
      </c>
      <c r="U512" s="150" t="e">
        <f t="shared" si="532"/>
        <v>#REF!</v>
      </c>
      <c r="V512" s="150" t="e">
        <f t="shared" si="532"/>
        <v>#REF!</v>
      </c>
      <c r="W512" s="150" t="e">
        <f t="shared" si="532"/>
        <v>#REF!</v>
      </c>
      <c r="X512" s="150" t="e">
        <f t="shared" si="532"/>
        <v>#REF!</v>
      </c>
      <c r="Y512" s="150" t="e">
        <f t="shared" si="532"/>
        <v>#REF!</v>
      </c>
      <c r="Z512" s="150" t="e">
        <f t="shared" si="532"/>
        <v>#REF!</v>
      </c>
      <c r="AA512" s="150" t="e">
        <f t="shared" si="532"/>
        <v>#REF!</v>
      </c>
      <c r="AB512" s="50"/>
    </row>
    <row r="513" s="28" customFormat="1" ht="28.8" outlineLevel="3" spans="1:28">
      <c r="A513" s="52">
        <f>MAX($A$6:A512)+1</f>
        <v>462</v>
      </c>
      <c r="B513" s="138" t="s">
        <v>2168</v>
      </c>
      <c r="C513" s="51" t="e">
        <f>VLOOKUP($B513,#REF!,MATCH(C$2,#REF!,0),0)</f>
        <v>#REF!</v>
      </c>
      <c r="D513" s="83"/>
      <c r="E513" s="83"/>
      <c r="F513" s="136" t="e">
        <f>VLOOKUP($B513,#REF!,MATCH(F$2,#REF!,0),0)</f>
        <v>#REF!</v>
      </c>
      <c r="G513" s="137" t="e">
        <f>VLOOKUP($B513,#REF!,MATCH(G$2,#REF!,0),0)</f>
        <v>#REF!</v>
      </c>
      <c r="H513" s="48">
        <v>1</v>
      </c>
      <c r="I513" s="48">
        <v>1</v>
      </c>
      <c r="J513" s="48">
        <v>1</v>
      </c>
      <c r="K513" s="48">
        <v>1</v>
      </c>
      <c r="L513" s="48"/>
      <c r="M513" s="48"/>
      <c r="N513" s="48"/>
      <c r="O513" s="48"/>
      <c r="P513" s="48">
        <v>1</v>
      </c>
      <c r="Q513" s="48"/>
      <c r="R513" s="150" t="e">
        <f t="shared" ref="R513:AA513" si="533">$G513*H513</f>
        <v>#REF!</v>
      </c>
      <c r="S513" s="150" t="e">
        <f t="shared" si="533"/>
        <v>#REF!</v>
      </c>
      <c r="T513" s="150" t="e">
        <f t="shared" si="533"/>
        <v>#REF!</v>
      </c>
      <c r="U513" s="150" t="e">
        <f t="shared" si="533"/>
        <v>#REF!</v>
      </c>
      <c r="V513" s="150" t="e">
        <f t="shared" si="533"/>
        <v>#REF!</v>
      </c>
      <c r="W513" s="150" t="e">
        <f t="shared" si="533"/>
        <v>#REF!</v>
      </c>
      <c r="X513" s="150" t="e">
        <f t="shared" si="533"/>
        <v>#REF!</v>
      </c>
      <c r="Y513" s="150" t="e">
        <f t="shared" si="533"/>
        <v>#REF!</v>
      </c>
      <c r="Z513" s="150" t="e">
        <f t="shared" si="533"/>
        <v>#REF!</v>
      </c>
      <c r="AA513" s="150" t="e">
        <f t="shared" si="533"/>
        <v>#REF!</v>
      </c>
      <c r="AB513" s="50"/>
    </row>
    <row r="514" s="28" customFormat="1" ht="28.8" outlineLevel="3" spans="1:28">
      <c r="A514" s="52">
        <f>MAX($A$6:A513)+1</f>
        <v>463</v>
      </c>
      <c r="B514" s="138" t="s">
        <v>2169</v>
      </c>
      <c r="C514" s="51" t="e">
        <f>VLOOKUP($B514,#REF!,MATCH(C$2,#REF!,0),0)</f>
        <v>#REF!</v>
      </c>
      <c r="D514" s="83"/>
      <c r="E514" s="83"/>
      <c r="F514" s="136" t="e">
        <f>VLOOKUP($B514,#REF!,MATCH(F$2,#REF!,0),0)</f>
        <v>#REF!</v>
      </c>
      <c r="G514" s="137" t="e">
        <f>VLOOKUP($B514,#REF!,MATCH(G$2,#REF!,0),0)</f>
        <v>#REF!</v>
      </c>
      <c r="H514" s="48">
        <v>1</v>
      </c>
      <c r="I514" s="48">
        <v>1</v>
      </c>
      <c r="J514" s="48">
        <v>1</v>
      </c>
      <c r="K514" s="48">
        <v>1</v>
      </c>
      <c r="L514" s="48"/>
      <c r="M514" s="48">
        <v>1</v>
      </c>
      <c r="N514" s="48">
        <v>1</v>
      </c>
      <c r="O514" s="48">
        <v>1</v>
      </c>
      <c r="P514" s="48">
        <v>1</v>
      </c>
      <c r="Q514" s="48"/>
      <c r="R514" s="150" t="e">
        <f t="shared" ref="R514:AA514" si="534">$G514*H514</f>
        <v>#REF!</v>
      </c>
      <c r="S514" s="150" t="e">
        <f t="shared" si="534"/>
        <v>#REF!</v>
      </c>
      <c r="T514" s="150" t="e">
        <f t="shared" si="534"/>
        <v>#REF!</v>
      </c>
      <c r="U514" s="150" t="e">
        <f t="shared" si="534"/>
        <v>#REF!</v>
      </c>
      <c r="V514" s="150" t="e">
        <f t="shared" si="534"/>
        <v>#REF!</v>
      </c>
      <c r="W514" s="150" t="e">
        <f t="shared" si="534"/>
        <v>#REF!</v>
      </c>
      <c r="X514" s="150" t="e">
        <f t="shared" si="534"/>
        <v>#REF!</v>
      </c>
      <c r="Y514" s="150" t="e">
        <f t="shared" si="534"/>
        <v>#REF!</v>
      </c>
      <c r="Z514" s="150" t="e">
        <f t="shared" si="534"/>
        <v>#REF!</v>
      </c>
      <c r="AA514" s="150" t="e">
        <f t="shared" si="534"/>
        <v>#REF!</v>
      </c>
      <c r="AB514" s="50"/>
    </row>
    <row r="515" s="28" customFormat="1" ht="28.8" outlineLevel="3" spans="1:28">
      <c r="A515" s="52">
        <f>MAX($A$6:A514)+1</f>
        <v>464</v>
      </c>
      <c r="B515" s="138" t="s">
        <v>2170</v>
      </c>
      <c r="C515" s="51" t="e">
        <f>VLOOKUP($B515,#REF!,MATCH(C$2,#REF!,0),0)</f>
        <v>#REF!</v>
      </c>
      <c r="D515" s="83"/>
      <c r="E515" s="83"/>
      <c r="F515" s="136" t="e">
        <f>VLOOKUP($B515,#REF!,MATCH(F$2,#REF!,0),0)</f>
        <v>#REF!</v>
      </c>
      <c r="G515" s="137" t="e">
        <f>VLOOKUP($B515,#REF!,MATCH(G$2,#REF!,0),0)</f>
        <v>#REF!</v>
      </c>
      <c r="H515" s="48">
        <v>1</v>
      </c>
      <c r="I515" s="48">
        <v>1</v>
      </c>
      <c r="J515" s="48">
        <v>1</v>
      </c>
      <c r="K515" s="48">
        <v>1</v>
      </c>
      <c r="L515" s="48"/>
      <c r="M515" s="48">
        <v>1</v>
      </c>
      <c r="N515" s="48">
        <v>1</v>
      </c>
      <c r="O515" s="48">
        <v>1</v>
      </c>
      <c r="P515" s="48"/>
      <c r="Q515" s="48"/>
      <c r="R515" s="150" t="e">
        <f t="shared" ref="R515:AA515" si="535">$G515*H515</f>
        <v>#REF!</v>
      </c>
      <c r="S515" s="150" t="e">
        <f t="shared" si="535"/>
        <v>#REF!</v>
      </c>
      <c r="T515" s="150" t="e">
        <f t="shared" si="535"/>
        <v>#REF!</v>
      </c>
      <c r="U515" s="150" t="e">
        <f t="shared" si="535"/>
        <v>#REF!</v>
      </c>
      <c r="V515" s="150" t="e">
        <f t="shared" si="535"/>
        <v>#REF!</v>
      </c>
      <c r="W515" s="150" t="e">
        <f t="shared" si="535"/>
        <v>#REF!</v>
      </c>
      <c r="X515" s="150" t="e">
        <f t="shared" si="535"/>
        <v>#REF!</v>
      </c>
      <c r="Y515" s="150" t="e">
        <f t="shared" si="535"/>
        <v>#REF!</v>
      </c>
      <c r="Z515" s="150" t="e">
        <f t="shared" si="535"/>
        <v>#REF!</v>
      </c>
      <c r="AA515" s="150" t="e">
        <f t="shared" si="535"/>
        <v>#REF!</v>
      </c>
      <c r="AB515" s="50"/>
    </row>
    <row r="516" s="28" customFormat="1" ht="28.8" outlineLevel="3" spans="1:28">
      <c r="A516" s="52">
        <f>MAX($A$6:A515)+1</f>
        <v>465</v>
      </c>
      <c r="B516" s="138" t="s">
        <v>2171</v>
      </c>
      <c r="C516" s="51" t="e">
        <f>VLOOKUP($B516,#REF!,MATCH(C$2,#REF!,0),0)</f>
        <v>#REF!</v>
      </c>
      <c r="D516" s="83"/>
      <c r="E516" s="83"/>
      <c r="F516" s="136" t="e">
        <f>VLOOKUP($B516,#REF!,MATCH(F$2,#REF!,0),0)</f>
        <v>#REF!</v>
      </c>
      <c r="G516" s="137" t="e">
        <f>VLOOKUP($B516,#REF!,MATCH(G$2,#REF!,0),0)</f>
        <v>#REF!</v>
      </c>
      <c r="H516" s="48">
        <v>1</v>
      </c>
      <c r="I516" s="48">
        <v>1</v>
      </c>
      <c r="J516" s="48">
        <v>1</v>
      </c>
      <c r="K516" s="48">
        <v>1</v>
      </c>
      <c r="L516" s="48"/>
      <c r="M516" s="48">
        <v>1</v>
      </c>
      <c r="N516" s="48">
        <v>1</v>
      </c>
      <c r="O516" s="48">
        <v>1</v>
      </c>
      <c r="P516" s="48">
        <v>1</v>
      </c>
      <c r="Q516" s="48">
        <v>10235.68</v>
      </c>
      <c r="R516" s="150" t="e">
        <f t="shared" ref="R516:AA516" si="536">$G516*H516</f>
        <v>#REF!</v>
      </c>
      <c r="S516" s="150" t="e">
        <f t="shared" si="536"/>
        <v>#REF!</v>
      </c>
      <c r="T516" s="150" t="e">
        <f t="shared" si="536"/>
        <v>#REF!</v>
      </c>
      <c r="U516" s="150" t="e">
        <f t="shared" si="536"/>
        <v>#REF!</v>
      </c>
      <c r="V516" s="150" t="e">
        <f t="shared" si="536"/>
        <v>#REF!</v>
      </c>
      <c r="W516" s="150" t="e">
        <f t="shared" si="536"/>
        <v>#REF!</v>
      </c>
      <c r="X516" s="150" t="e">
        <f t="shared" si="536"/>
        <v>#REF!</v>
      </c>
      <c r="Y516" s="150" t="e">
        <f t="shared" si="536"/>
        <v>#REF!</v>
      </c>
      <c r="Z516" s="150" t="e">
        <f t="shared" si="536"/>
        <v>#REF!</v>
      </c>
      <c r="AA516" s="150" t="e">
        <f t="shared" si="536"/>
        <v>#REF!</v>
      </c>
      <c r="AB516" s="50"/>
    </row>
    <row r="517" s="28" customFormat="1" ht="28.8" outlineLevel="3" spans="1:28">
      <c r="A517" s="52">
        <f>MAX($A$6:A516)+1</f>
        <v>466</v>
      </c>
      <c r="B517" s="138" t="s">
        <v>2172</v>
      </c>
      <c r="C517" s="51" t="e">
        <f>VLOOKUP($B517,#REF!,MATCH(C$2,#REF!,0),0)</f>
        <v>#REF!</v>
      </c>
      <c r="D517" s="83"/>
      <c r="E517" s="83"/>
      <c r="F517" s="136" t="e">
        <f>VLOOKUP($B517,#REF!,MATCH(F$2,#REF!,0),0)</f>
        <v>#REF!</v>
      </c>
      <c r="G517" s="137" t="e">
        <f>VLOOKUP($B517,#REF!,MATCH(G$2,#REF!,0),0)</f>
        <v>#REF!</v>
      </c>
      <c r="H517" s="48">
        <v>1</v>
      </c>
      <c r="I517" s="48">
        <v>1</v>
      </c>
      <c r="J517" s="48">
        <v>1</v>
      </c>
      <c r="K517" s="48">
        <v>1</v>
      </c>
      <c r="L517" s="48"/>
      <c r="M517" s="48">
        <v>1</v>
      </c>
      <c r="N517" s="48">
        <v>1</v>
      </c>
      <c r="O517" s="48">
        <v>1</v>
      </c>
      <c r="P517" s="48">
        <v>1</v>
      </c>
      <c r="Q517" s="48">
        <v>287.11</v>
      </c>
      <c r="R517" s="150" t="e">
        <f t="shared" ref="R517:AA517" si="537">$G517*H517</f>
        <v>#REF!</v>
      </c>
      <c r="S517" s="150" t="e">
        <f t="shared" si="537"/>
        <v>#REF!</v>
      </c>
      <c r="T517" s="150" t="e">
        <f t="shared" si="537"/>
        <v>#REF!</v>
      </c>
      <c r="U517" s="150" t="e">
        <f t="shared" si="537"/>
        <v>#REF!</v>
      </c>
      <c r="V517" s="150" t="e">
        <f t="shared" si="537"/>
        <v>#REF!</v>
      </c>
      <c r="W517" s="150" t="e">
        <f t="shared" si="537"/>
        <v>#REF!</v>
      </c>
      <c r="X517" s="150" t="e">
        <f t="shared" si="537"/>
        <v>#REF!</v>
      </c>
      <c r="Y517" s="150" t="e">
        <f t="shared" si="537"/>
        <v>#REF!</v>
      </c>
      <c r="Z517" s="150" t="e">
        <f t="shared" si="537"/>
        <v>#REF!</v>
      </c>
      <c r="AA517" s="150" t="e">
        <f t="shared" si="537"/>
        <v>#REF!</v>
      </c>
      <c r="AB517" s="50"/>
    </row>
    <row r="518" s="28" customFormat="1" ht="28.8" outlineLevel="3" spans="1:28">
      <c r="A518" s="52">
        <f>MAX($A$6:A517)+1</f>
        <v>467</v>
      </c>
      <c r="B518" s="138" t="s">
        <v>2173</v>
      </c>
      <c r="C518" s="51" t="e">
        <f>VLOOKUP($B518,#REF!,MATCH(C$2,#REF!,0),0)</f>
        <v>#REF!</v>
      </c>
      <c r="D518" s="83"/>
      <c r="E518" s="83"/>
      <c r="F518" s="136" t="e">
        <f>VLOOKUP($B518,#REF!,MATCH(F$2,#REF!,0),0)</f>
        <v>#REF!</v>
      </c>
      <c r="G518" s="137" t="e">
        <f>VLOOKUP($B518,#REF!,MATCH(G$2,#REF!,0),0)</f>
        <v>#REF!</v>
      </c>
      <c r="H518" s="48">
        <v>1</v>
      </c>
      <c r="I518" s="48">
        <v>1</v>
      </c>
      <c r="J518" s="48">
        <v>1</v>
      </c>
      <c r="K518" s="48">
        <v>1</v>
      </c>
      <c r="L518" s="48"/>
      <c r="M518" s="48">
        <v>1</v>
      </c>
      <c r="N518" s="48">
        <v>1</v>
      </c>
      <c r="O518" s="48">
        <v>1</v>
      </c>
      <c r="P518" s="48">
        <v>1</v>
      </c>
      <c r="Q518" s="48"/>
      <c r="R518" s="150" t="e">
        <f t="shared" ref="R518:AA518" si="538">$G518*H518</f>
        <v>#REF!</v>
      </c>
      <c r="S518" s="150" t="e">
        <f t="shared" si="538"/>
        <v>#REF!</v>
      </c>
      <c r="T518" s="150" t="e">
        <f t="shared" si="538"/>
        <v>#REF!</v>
      </c>
      <c r="U518" s="150" t="e">
        <f t="shared" si="538"/>
        <v>#REF!</v>
      </c>
      <c r="V518" s="150" t="e">
        <f t="shared" si="538"/>
        <v>#REF!</v>
      </c>
      <c r="W518" s="150" t="e">
        <f t="shared" si="538"/>
        <v>#REF!</v>
      </c>
      <c r="X518" s="150" t="e">
        <f t="shared" si="538"/>
        <v>#REF!</v>
      </c>
      <c r="Y518" s="150" t="e">
        <f t="shared" si="538"/>
        <v>#REF!</v>
      </c>
      <c r="Z518" s="150" t="e">
        <f t="shared" si="538"/>
        <v>#REF!</v>
      </c>
      <c r="AA518" s="150" t="e">
        <f t="shared" si="538"/>
        <v>#REF!</v>
      </c>
      <c r="AB518" s="50"/>
    </row>
    <row r="519" s="28" customFormat="1" ht="28.8" outlineLevel="3" spans="1:28">
      <c r="A519" s="52">
        <f>MAX($A$6:A518)+1</f>
        <v>468</v>
      </c>
      <c r="B519" s="138" t="s">
        <v>2174</v>
      </c>
      <c r="C519" s="51" t="e">
        <f>VLOOKUP($B519,#REF!,MATCH(C$2,#REF!,0),0)</f>
        <v>#REF!</v>
      </c>
      <c r="D519" s="83"/>
      <c r="E519" s="83"/>
      <c r="F519" s="136" t="e">
        <f>VLOOKUP($B519,#REF!,MATCH(F$2,#REF!,0),0)</f>
        <v>#REF!</v>
      </c>
      <c r="G519" s="137" t="e">
        <f>VLOOKUP($B519,#REF!,MATCH(G$2,#REF!,0),0)</f>
        <v>#REF!</v>
      </c>
      <c r="H519" s="48">
        <v>1</v>
      </c>
      <c r="I519" s="48">
        <v>1</v>
      </c>
      <c r="J519" s="48">
        <v>1</v>
      </c>
      <c r="K519" s="48">
        <v>1</v>
      </c>
      <c r="L519" s="48"/>
      <c r="M519" s="48">
        <v>1</v>
      </c>
      <c r="N519" s="48">
        <v>1</v>
      </c>
      <c r="O519" s="48">
        <v>1</v>
      </c>
      <c r="P519" s="48">
        <v>1</v>
      </c>
      <c r="Q519" s="48"/>
      <c r="R519" s="150" t="e">
        <f t="shared" ref="R519:AA519" si="539">$G519*H519</f>
        <v>#REF!</v>
      </c>
      <c r="S519" s="150" t="e">
        <f t="shared" si="539"/>
        <v>#REF!</v>
      </c>
      <c r="T519" s="150" t="e">
        <f t="shared" si="539"/>
        <v>#REF!</v>
      </c>
      <c r="U519" s="150" t="e">
        <f t="shared" si="539"/>
        <v>#REF!</v>
      </c>
      <c r="V519" s="150" t="e">
        <f t="shared" si="539"/>
        <v>#REF!</v>
      </c>
      <c r="W519" s="150" t="e">
        <f t="shared" si="539"/>
        <v>#REF!</v>
      </c>
      <c r="X519" s="150" t="e">
        <f t="shared" si="539"/>
        <v>#REF!</v>
      </c>
      <c r="Y519" s="150" t="e">
        <f t="shared" si="539"/>
        <v>#REF!</v>
      </c>
      <c r="Z519" s="150" t="e">
        <f t="shared" si="539"/>
        <v>#REF!</v>
      </c>
      <c r="AA519" s="150" t="e">
        <f t="shared" si="539"/>
        <v>#REF!</v>
      </c>
      <c r="AB519" s="50"/>
    </row>
    <row r="520" s="28" customFormat="1" ht="28.8" outlineLevel="3" spans="1:28">
      <c r="A520" s="52">
        <f>MAX($A$6:A519)+1</f>
        <v>469</v>
      </c>
      <c r="B520" s="138" t="s">
        <v>2175</v>
      </c>
      <c r="C520" s="51" t="e">
        <f>VLOOKUP($B520,#REF!,MATCH(C$2,#REF!,0),0)</f>
        <v>#REF!</v>
      </c>
      <c r="D520" s="83"/>
      <c r="E520" s="83"/>
      <c r="F520" s="136" t="e">
        <f>VLOOKUP($B520,#REF!,MATCH(F$2,#REF!,0),0)</f>
        <v>#REF!</v>
      </c>
      <c r="G520" s="137" t="e">
        <f>VLOOKUP($B520,#REF!,MATCH(G$2,#REF!,0),0)</f>
        <v>#REF!</v>
      </c>
      <c r="H520" s="48"/>
      <c r="I520" s="48"/>
      <c r="J520" s="48"/>
      <c r="K520" s="48"/>
      <c r="L520" s="48"/>
      <c r="M520" s="48"/>
      <c r="N520" s="48"/>
      <c r="O520" s="48"/>
      <c r="P520" s="48"/>
      <c r="Q520" s="48"/>
      <c r="R520" s="150" t="e">
        <f t="shared" ref="R520:AA520" si="540">$G520*H520</f>
        <v>#REF!</v>
      </c>
      <c r="S520" s="150" t="e">
        <f t="shared" si="540"/>
        <v>#REF!</v>
      </c>
      <c r="T520" s="150" t="e">
        <f t="shared" si="540"/>
        <v>#REF!</v>
      </c>
      <c r="U520" s="150" t="e">
        <f t="shared" si="540"/>
        <v>#REF!</v>
      </c>
      <c r="V520" s="150" t="e">
        <f t="shared" si="540"/>
        <v>#REF!</v>
      </c>
      <c r="W520" s="150" t="e">
        <f t="shared" si="540"/>
        <v>#REF!</v>
      </c>
      <c r="X520" s="150" t="e">
        <f t="shared" si="540"/>
        <v>#REF!</v>
      </c>
      <c r="Y520" s="150" t="e">
        <f t="shared" si="540"/>
        <v>#REF!</v>
      </c>
      <c r="Z520" s="150" t="e">
        <f t="shared" si="540"/>
        <v>#REF!</v>
      </c>
      <c r="AA520" s="150" t="e">
        <f t="shared" si="540"/>
        <v>#REF!</v>
      </c>
      <c r="AB520" s="50"/>
    </row>
    <row r="521" s="28" customFormat="1" ht="28.8" outlineLevel="3" spans="1:28">
      <c r="A521" s="52">
        <f>MAX($A$6:A520)+1</f>
        <v>470</v>
      </c>
      <c r="B521" s="138" t="s">
        <v>2176</v>
      </c>
      <c r="C521" s="51" t="e">
        <f>VLOOKUP($B521,#REF!,MATCH(C$2,#REF!,0),0)</f>
        <v>#REF!</v>
      </c>
      <c r="D521" s="83"/>
      <c r="E521" s="83"/>
      <c r="F521" s="136" t="e">
        <f>VLOOKUP($B521,#REF!,MATCH(F$2,#REF!,0),0)</f>
        <v>#REF!</v>
      </c>
      <c r="G521" s="137" t="e">
        <f>VLOOKUP($B521,#REF!,MATCH(G$2,#REF!,0),0)</f>
        <v>#REF!</v>
      </c>
      <c r="H521" s="48"/>
      <c r="I521" s="48"/>
      <c r="J521" s="48"/>
      <c r="K521" s="48"/>
      <c r="L521" s="48">
        <v>270</v>
      </c>
      <c r="M521" s="48"/>
      <c r="N521" s="48"/>
      <c r="O521" s="48"/>
      <c r="P521" s="48"/>
      <c r="Q521" s="48"/>
      <c r="R521" s="150" t="e">
        <f t="shared" ref="R521:AA521" si="541">$G521*H521</f>
        <v>#REF!</v>
      </c>
      <c r="S521" s="150" t="e">
        <f t="shared" si="541"/>
        <v>#REF!</v>
      </c>
      <c r="T521" s="150" t="e">
        <f t="shared" si="541"/>
        <v>#REF!</v>
      </c>
      <c r="U521" s="150" t="e">
        <f t="shared" si="541"/>
        <v>#REF!</v>
      </c>
      <c r="V521" s="150" t="e">
        <f t="shared" si="541"/>
        <v>#REF!</v>
      </c>
      <c r="W521" s="150" t="e">
        <f t="shared" si="541"/>
        <v>#REF!</v>
      </c>
      <c r="X521" s="150" t="e">
        <f t="shared" si="541"/>
        <v>#REF!</v>
      </c>
      <c r="Y521" s="150" t="e">
        <f t="shared" si="541"/>
        <v>#REF!</v>
      </c>
      <c r="Z521" s="150" t="e">
        <f t="shared" si="541"/>
        <v>#REF!</v>
      </c>
      <c r="AA521" s="150" t="e">
        <f t="shared" si="541"/>
        <v>#REF!</v>
      </c>
      <c r="AB521" s="50"/>
    </row>
    <row r="522" s="28" customFormat="1" ht="28.8" outlineLevel="3" spans="1:28">
      <c r="A522" s="52">
        <f>MAX($A$6:A521)+1</f>
        <v>471</v>
      </c>
      <c r="B522" s="138" t="s">
        <v>2177</v>
      </c>
      <c r="C522" s="51" t="e">
        <f>VLOOKUP($B522,#REF!,MATCH(C$2,#REF!,0),0)</f>
        <v>#REF!</v>
      </c>
      <c r="D522" s="83"/>
      <c r="E522" s="83"/>
      <c r="F522" s="136" t="e">
        <f>VLOOKUP($B522,#REF!,MATCH(F$2,#REF!,0),0)</f>
        <v>#REF!</v>
      </c>
      <c r="G522" s="137" t="e">
        <f>VLOOKUP($B522,#REF!,MATCH(G$2,#REF!,0),0)</f>
        <v>#REF!</v>
      </c>
      <c r="H522" s="48"/>
      <c r="I522" s="48"/>
      <c r="J522" s="48"/>
      <c r="K522" s="48"/>
      <c r="L522" s="48"/>
      <c r="M522" s="48"/>
      <c r="N522" s="48"/>
      <c r="O522" s="48"/>
      <c r="P522" s="48"/>
      <c r="Q522" s="48"/>
      <c r="R522" s="150" t="e">
        <f t="shared" ref="R522:AA522" si="542">$G522*H522</f>
        <v>#REF!</v>
      </c>
      <c r="S522" s="150" t="e">
        <f t="shared" si="542"/>
        <v>#REF!</v>
      </c>
      <c r="T522" s="150" t="e">
        <f t="shared" si="542"/>
        <v>#REF!</v>
      </c>
      <c r="U522" s="150" t="e">
        <f t="shared" si="542"/>
        <v>#REF!</v>
      </c>
      <c r="V522" s="150" t="e">
        <f t="shared" si="542"/>
        <v>#REF!</v>
      </c>
      <c r="W522" s="150" t="e">
        <f t="shared" si="542"/>
        <v>#REF!</v>
      </c>
      <c r="X522" s="150" t="e">
        <f t="shared" si="542"/>
        <v>#REF!</v>
      </c>
      <c r="Y522" s="150" t="e">
        <f t="shared" si="542"/>
        <v>#REF!</v>
      </c>
      <c r="Z522" s="150" t="e">
        <f t="shared" si="542"/>
        <v>#REF!</v>
      </c>
      <c r="AA522" s="150" t="e">
        <f t="shared" si="542"/>
        <v>#REF!</v>
      </c>
      <c r="AB522" s="50"/>
    </row>
    <row r="523" s="28" customFormat="1" ht="28.8" outlineLevel="3" spans="1:28">
      <c r="A523" s="52">
        <f>MAX($A$6:A522)+1</f>
        <v>472</v>
      </c>
      <c r="B523" s="138" t="s">
        <v>2178</v>
      </c>
      <c r="C523" s="51" t="e">
        <f>VLOOKUP($B523,#REF!,MATCH(C$2,#REF!,0),0)</f>
        <v>#REF!</v>
      </c>
      <c r="D523" s="83"/>
      <c r="E523" s="83"/>
      <c r="F523" s="136" t="e">
        <f>VLOOKUP($B523,#REF!,MATCH(F$2,#REF!,0),0)</f>
        <v>#REF!</v>
      </c>
      <c r="G523" s="137" t="e">
        <f>VLOOKUP($B523,#REF!,MATCH(G$2,#REF!,0),0)</f>
        <v>#REF!</v>
      </c>
      <c r="H523" s="48"/>
      <c r="I523" s="48"/>
      <c r="J523" s="48"/>
      <c r="K523" s="48"/>
      <c r="L523" s="48">
        <v>17.418</v>
      </c>
      <c r="M523" s="48"/>
      <c r="N523" s="48"/>
      <c r="O523" s="48"/>
      <c r="P523" s="48"/>
      <c r="Q523" s="48"/>
      <c r="R523" s="150" t="e">
        <f t="shared" ref="R523:AA523" si="543">$G523*H523</f>
        <v>#REF!</v>
      </c>
      <c r="S523" s="150" t="e">
        <f t="shared" si="543"/>
        <v>#REF!</v>
      </c>
      <c r="T523" s="150" t="e">
        <f t="shared" si="543"/>
        <v>#REF!</v>
      </c>
      <c r="U523" s="150" t="e">
        <f t="shared" si="543"/>
        <v>#REF!</v>
      </c>
      <c r="V523" s="150" t="e">
        <f t="shared" si="543"/>
        <v>#REF!</v>
      </c>
      <c r="W523" s="150" t="e">
        <f t="shared" si="543"/>
        <v>#REF!</v>
      </c>
      <c r="X523" s="150" t="e">
        <f t="shared" si="543"/>
        <v>#REF!</v>
      </c>
      <c r="Y523" s="150" t="e">
        <f t="shared" si="543"/>
        <v>#REF!</v>
      </c>
      <c r="Z523" s="150" t="e">
        <f t="shared" si="543"/>
        <v>#REF!</v>
      </c>
      <c r="AA523" s="150" t="e">
        <f t="shared" si="543"/>
        <v>#REF!</v>
      </c>
      <c r="AB523" s="50"/>
    </row>
    <row r="524" s="28" customFormat="1" ht="28.8" outlineLevel="3" spans="1:28">
      <c r="A524" s="52">
        <f>MAX($A$6:A523)+1</f>
        <v>473</v>
      </c>
      <c r="B524" s="138" t="s">
        <v>2179</v>
      </c>
      <c r="C524" s="51" t="e">
        <f>VLOOKUP($B524,#REF!,MATCH(C$2,#REF!,0),0)</f>
        <v>#REF!</v>
      </c>
      <c r="D524" s="83"/>
      <c r="E524" s="83"/>
      <c r="F524" s="136" t="e">
        <f>VLOOKUP($B524,#REF!,MATCH(F$2,#REF!,0),0)</f>
        <v>#REF!</v>
      </c>
      <c r="G524" s="137" t="e">
        <f>VLOOKUP($B524,#REF!,MATCH(G$2,#REF!,0),0)</f>
        <v>#REF!</v>
      </c>
      <c r="H524" s="48"/>
      <c r="I524" s="48"/>
      <c r="J524" s="48"/>
      <c r="K524" s="48"/>
      <c r="L524" s="48"/>
      <c r="M524" s="48"/>
      <c r="N524" s="48"/>
      <c r="O524" s="48"/>
      <c r="P524" s="48"/>
      <c r="Q524" s="48"/>
      <c r="R524" s="150" t="e">
        <f t="shared" ref="R524:AA524" si="544">$G524*H524</f>
        <v>#REF!</v>
      </c>
      <c r="S524" s="150" t="e">
        <f t="shared" si="544"/>
        <v>#REF!</v>
      </c>
      <c r="T524" s="150" t="e">
        <f t="shared" si="544"/>
        <v>#REF!</v>
      </c>
      <c r="U524" s="150" t="e">
        <f t="shared" si="544"/>
        <v>#REF!</v>
      </c>
      <c r="V524" s="150" t="e">
        <f t="shared" si="544"/>
        <v>#REF!</v>
      </c>
      <c r="W524" s="150" t="e">
        <f t="shared" si="544"/>
        <v>#REF!</v>
      </c>
      <c r="X524" s="150" t="e">
        <f t="shared" si="544"/>
        <v>#REF!</v>
      </c>
      <c r="Y524" s="150" t="e">
        <f t="shared" si="544"/>
        <v>#REF!</v>
      </c>
      <c r="Z524" s="150" t="e">
        <f t="shared" si="544"/>
        <v>#REF!</v>
      </c>
      <c r="AA524" s="150" t="e">
        <f t="shared" si="544"/>
        <v>#REF!</v>
      </c>
      <c r="AB524" s="50"/>
    </row>
    <row r="525" s="28" customFormat="1" outlineLevel="3" spans="1:28">
      <c r="A525" s="52">
        <f>MAX($A$6:A524)+1</f>
        <v>474</v>
      </c>
      <c r="B525" s="138" t="s">
        <v>1276</v>
      </c>
      <c r="C525" s="51" t="e">
        <f>VLOOKUP($B525,#REF!,MATCH(C$2,#REF!,0),0)</f>
        <v>#REF!</v>
      </c>
      <c r="D525" s="83"/>
      <c r="E525" s="83"/>
      <c r="F525" s="136" t="e">
        <f>VLOOKUP($B525,#REF!,MATCH(F$2,#REF!,0),0)</f>
        <v>#REF!</v>
      </c>
      <c r="G525" s="137" t="e">
        <f>VLOOKUP($B525,#REF!,MATCH(G$2,#REF!,0),0)</f>
        <v>#REF!</v>
      </c>
      <c r="H525" s="48">
        <v>1</v>
      </c>
      <c r="I525" s="48">
        <v>1</v>
      </c>
      <c r="J525" s="48">
        <v>1</v>
      </c>
      <c r="K525" s="48">
        <v>1</v>
      </c>
      <c r="L525" s="48"/>
      <c r="M525" s="48">
        <v>1</v>
      </c>
      <c r="N525" s="48">
        <v>1</v>
      </c>
      <c r="O525" s="48">
        <v>1</v>
      </c>
      <c r="P525" s="48">
        <v>1114.36</v>
      </c>
      <c r="Q525" s="48"/>
      <c r="R525" s="150" t="e">
        <f t="shared" ref="R525:AA525" si="545">$G525*H525</f>
        <v>#REF!</v>
      </c>
      <c r="S525" s="150" t="e">
        <f t="shared" si="545"/>
        <v>#REF!</v>
      </c>
      <c r="T525" s="150" t="e">
        <f t="shared" si="545"/>
        <v>#REF!</v>
      </c>
      <c r="U525" s="150" t="e">
        <f t="shared" si="545"/>
        <v>#REF!</v>
      </c>
      <c r="V525" s="150" t="e">
        <f t="shared" si="545"/>
        <v>#REF!</v>
      </c>
      <c r="W525" s="150" t="e">
        <f t="shared" si="545"/>
        <v>#REF!</v>
      </c>
      <c r="X525" s="150" t="e">
        <f t="shared" si="545"/>
        <v>#REF!</v>
      </c>
      <c r="Y525" s="150" t="e">
        <f t="shared" si="545"/>
        <v>#REF!</v>
      </c>
      <c r="Z525" s="150" t="e">
        <f t="shared" si="545"/>
        <v>#REF!</v>
      </c>
      <c r="AA525" s="150" t="e">
        <f t="shared" si="545"/>
        <v>#REF!</v>
      </c>
      <c r="AB525" s="50"/>
    </row>
    <row r="526" s="28" customFormat="1" outlineLevel="3" spans="1:28">
      <c r="A526" s="52">
        <f>MAX($A$6:A525)+1</f>
        <v>475</v>
      </c>
      <c r="B526" s="138" t="s">
        <v>1277</v>
      </c>
      <c r="C526" s="51" t="e">
        <f>VLOOKUP($B526,#REF!,MATCH(C$2,#REF!,0),0)</f>
        <v>#REF!</v>
      </c>
      <c r="D526" s="83"/>
      <c r="E526" s="83"/>
      <c r="F526" s="136" t="e">
        <f>VLOOKUP($B526,#REF!,MATCH(F$2,#REF!,0),0)</f>
        <v>#REF!</v>
      </c>
      <c r="G526" s="137" t="e">
        <f>VLOOKUP($B526,#REF!,MATCH(G$2,#REF!,0),0)</f>
        <v>#REF!</v>
      </c>
      <c r="H526" s="48">
        <v>724.67</v>
      </c>
      <c r="I526" s="48">
        <v>700.19</v>
      </c>
      <c r="J526" s="48">
        <v>425.52</v>
      </c>
      <c r="K526" s="48">
        <v>425.52</v>
      </c>
      <c r="L526" s="48">
        <v>11.181</v>
      </c>
      <c r="M526" s="48"/>
      <c r="N526" s="48"/>
      <c r="O526" s="48"/>
      <c r="P526" s="48">
        <v>6410.13</v>
      </c>
      <c r="Q526" s="48">
        <v>8671.48</v>
      </c>
      <c r="R526" s="150" t="e">
        <f t="shared" ref="R526:AA526" si="546">$G526*H526</f>
        <v>#REF!</v>
      </c>
      <c r="S526" s="150" t="e">
        <f t="shared" si="546"/>
        <v>#REF!</v>
      </c>
      <c r="T526" s="150" t="e">
        <f t="shared" si="546"/>
        <v>#REF!</v>
      </c>
      <c r="U526" s="150" t="e">
        <f t="shared" si="546"/>
        <v>#REF!</v>
      </c>
      <c r="V526" s="150" t="e">
        <f t="shared" si="546"/>
        <v>#REF!</v>
      </c>
      <c r="W526" s="150" t="e">
        <f t="shared" si="546"/>
        <v>#REF!</v>
      </c>
      <c r="X526" s="150" t="e">
        <f t="shared" si="546"/>
        <v>#REF!</v>
      </c>
      <c r="Y526" s="150" t="e">
        <f t="shared" si="546"/>
        <v>#REF!</v>
      </c>
      <c r="Z526" s="150" t="e">
        <f t="shared" si="546"/>
        <v>#REF!</v>
      </c>
      <c r="AA526" s="150" t="e">
        <f t="shared" si="546"/>
        <v>#REF!</v>
      </c>
      <c r="AB526" s="50"/>
    </row>
    <row r="527" s="29" customFormat="1" outlineLevel="3" spans="1:28">
      <c r="A527" s="52">
        <f>MAX($A$6:A526)+1</f>
        <v>476</v>
      </c>
      <c r="B527" s="138" t="s">
        <v>1278</v>
      </c>
      <c r="C527" s="51" t="e">
        <f>VLOOKUP($B527,#REF!,MATCH(C$2,#REF!,0),0)</f>
        <v>#REF!</v>
      </c>
      <c r="D527" s="83"/>
      <c r="E527" s="83"/>
      <c r="F527" s="136" t="e">
        <f>VLOOKUP($B527,#REF!,MATCH(F$2,#REF!,0),0)</f>
        <v>#REF!</v>
      </c>
      <c r="G527" s="137" t="e">
        <f>VLOOKUP($B527,#REF!,MATCH(G$2,#REF!,0),0)</f>
        <v>#REF!</v>
      </c>
      <c r="H527" s="48">
        <v>46.12</v>
      </c>
      <c r="I527" s="48">
        <v>46.12</v>
      </c>
      <c r="J527" s="48">
        <v>18.81</v>
      </c>
      <c r="K527" s="48">
        <v>18.81</v>
      </c>
      <c r="L527" s="48"/>
      <c r="M527" s="48">
        <v>1</v>
      </c>
      <c r="N527" s="48">
        <v>1</v>
      </c>
      <c r="O527" s="48">
        <v>1</v>
      </c>
      <c r="P527" s="48">
        <v>1625.98</v>
      </c>
      <c r="Q527" s="48">
        <v>570.41</v>
      </c>
      <c r="R527" s="150" t="e">
        <f t="shared" ref="R527:AA527" si="547">$G527*H527</f>
        <v>#REF!</v>
      </c>
      <c r="S527" s="150" t="e">
        <f t="shared" si="547"/>
        <v>#REF!</v>
      </c>
      <c r="T527" s="150" t="e">
        <f t="shared" si="547"/>
        <v>#REF!</v>
      </c>
      <c r="U527" s="150" t="e">
        <f t="shared" si="547"/>
        <v>#REF!</v>
      </c>
      <c r="V527" s="150" t="e">
        <f t="shared" si="547"/>
        <v>#REF!</v>
      </c>
      <c r="W527" s="150" t="e">
        <f t="shared" si="547"/>
        <v>#REF!</v>
      </c>
      <c r="X527" s="150" t="e">
        <f t="shared" si="547"/>
        <v>#REF!</v>
      </c>
      <c r="Y527" s="150" t="e">
        <f t="shared" si="547"/>
        <v>#REF!</v>
      </c>
      <c r="Z527" s="150" t="e">
        <f t="shared" si="547"/>
        <v>#REF!</v>
      </c>
      <c r="AA527" s="150" t="e">
        <f t="shared" si="547"/>
        <v>#REF!</v>
      </c>
      <c r="AB527" s="50"/>
    </row>
    <row r="528" s="28" customFormat="1" outlineLevel="3" spans="1:28">
      <c r="A528" s="52">
        <f>MAX($A$6:A527)+1</f>
        <v>477</v>
      </c>
      <c r="B528" s="138" t="s">
        <v>1279</v>
      </c>
      <c r="C528" s="51" t="e">
        <f>VLOOKUP($B528,#REF!,MATCH(C$2,#REF!,0),0)</f>
        <v>#REF!</v>
      </c>
      <c r="D528" s="83"/>
      <c r="E528" s="83"/>
      <c r="F528" s="136" t="e">
        <f>VLOOKUP($B528,#REF!,MATCH(F$2,#REF!,0),0)</f>
        <v>#REF!</v>
      </c>
      <c r="G528" s="137" t="e">
        <f>VLOOKUP($B528,#REF!,MATCH(G$2,#REF!,0),0)</f>
        <v>#REF!</v>
      </c>
      <c r="H528" s="48">
        <v>43.14</v>
      </c>
      <c r="I528" s="48">
        <v>34.14</v>
      </c>
      <c r="J528" s="48">
        <v>16.66</v>
      </c>
      <c r="K528" s="48">
        <v>16.66</v>
      </c>
      <c r="L528" s="48"/>
      <c r="M528" s="48"/>
      <c r="N528" s="48"/>
      <c r="O528" s="48"/>
      <c r="P528" s="48">
        <v>117.78</v>
      </c>
      <c r="Q528" s="48">
        <v>77.61</v>
      </c>
      <c r="R528" s="150" t="e">
        <f t="shared" ref="R528:AA528" si="548">$G528*H528</f>
        <v>#REF!</v>
      </c>
      <c r="S528" s="150" t="e">
        <f t="shared" si="548"/>
        <v>#REF!</v>
      </c>
      <c r="T528" s="150" t="e">
        <f t="shared" si="548"/>
        <v>#REF!</v>
      </c>
      <c r="U528" s="150" t="e">
        <f t="shared" si="548"/>
        <v>#REF!</v>
      </c>
      <c r="V528" s="150" t="e">
        <f t="shared" si="548"/>
        <v>#REF!</v>
      </c>
      <c r="W528" s="150" t="e">
        <f t="shared" si="548"/>
        <v>#REF!</v>
      </c>
      <c r="X528" s="150" t="e">
        <f t="shared" si="548"/>
        <v>#REF!</v>
      </c>
      <c r="Y528" s="150" t="e">
        <f t="shared" si="548"/>
        <v>#REF!</v>
      </c>
      <c r="Z528" s="150" t="e">
        <f t="shared" si="548"/>
        <v>#REF!</v>
      </c>
      <c r="AA528" s="150" t="e">
        <f t="shared" si="548"/>
        <v>#REF!</v>
      </c>
      <c r="AB528" s="50"/>
    </row>
    <row r="529" s="28" customFormat="1" outlineLevel="3" spans="1:28">
      <c r="A529" s="52">
        <f>MAX($A$6:A528)+1</f>
        <v>478</v>
      </c>
      <c r="B529" s="138" t="s">
        <v>1280</v>
      </c>
      <c r="C529" s="51" t="e">
        <f>VLOOKUP($B529,#REF!,MATCH(C$2,#REF!,0),0)</f>
        <v>#REF!</v>
      </c>
      <c r="D529" s="83"/>
      <c r="E529" s="83"/>
      <c r="F529" s="136" t="e">
        <f>VLOOKUP($B529,#REF!,MATCH(F$2,#REF!,0),0)</f>
        <v>#REF!</v>
      </c>
      <c r="G529" s="137" t="e">
        <f>VLOOKUP($B529,#REF!,MATCH(G$2,#REF!,0),0)</f>
        <v>#REF!</v>
      </c>
      <c r="H529" s="48">
        <v>48.82</v>
      </c>
      <c r="I529" s="48">
        <v>47.36</v>
      </c>
      <c r="J529" s="48">
        <v>1</v>
      </c>
      <c r="K529" s="48">
        <v>1</v>
      </c>
      <c r="L529" s="48"/>
      <c r="M529" s="48"/>
      <c r="N529" s="48"/>
      <c r="O529" s="48"/>
      <c r="P529" s="48">
        <v>1</v>
      </c>
      <c r="Q529" s="48"/>
      <c r="R529" s="150" t="e">
        <f t="shared" ref="R529:AA529" si="549">$G529*H529</f>
        <v>#REF!</v>
      </c>
      <c r="S529" s="150" t="e">
        <f t="shared" si="549"/>
        <v>#REF!</v>
      </c>
      <c r="T529" s="150" t="e">
        <f t="shared" si="549"/>
        <v>#REF!</v>
      </c>
      <c r="U529" s="150" t="e">
        <f t="shared" si="549"/>
        <v>#REF!</v>
      </c>
      <c r="V529" s="150" t="e">
        <f t="shared" si="549"/>
        <v>#REF!</v>
      </c>
      <c r="W529" s="150" t="e">
        <f t="shared" si="549"/>
        <v>#REF!</v>
      </c>
      <c r="X529" s="150" t="e">
        <f t="shared" si="549"/>
        <v>#REF!</v>
      </c>
      <c r="Y529" s="150" t="e">
        <f t="shared" si="549"/>
        <v>#REF!</v>
      </c>
      <c r="Z529" s="150" t="e">
        <f t="shared" si="549"/>
        <v>#REF!</v>
      </c>
      <c r="AA529" s="150" t="e">
        <f t="shared" si="549"/>
        <v>#REF!</v>
      </c>
      <c r="AB529" s="50"/>
    </row>
    <row r="530" s="28" customFormat="1" outlineLevel="3" spans="1:28">
      <c r="A530" s="52">
        <f>MAX($A$6:A529)+1</f>
        <v>479</v>
      </c>
      <c r="B530" s="138" t="s">
        <v>1281</v>
      </c>
      <c r="C530" s="51" t="e">
        <f>VLOOKUP($B530,#REF!,MATCH(C$2,#REF!,0),0)</f>
        <v>#REF!</v>
      </c>
      <c r="D530" s="83"/>
      <c r="E530" s="83"/>
      <c r="F530" s="136" t="e">
        <f>VLOOKUP($B530,#REF!,MATCH(F$2,#REF!,0),0)</f>
        <v>#REF!</v>
      </c>
      <c r="G530" s="137" t="e">
        <f>VLOOKUP($B530,#REF!,MATCH(G$2,#REF!,0),0)</f>
        <v>#REF!</v>
      </c>
      <c r="H530" s="48">
        <v>25.99</v>
      </c>
      <c r="I530" s="48">
        <v>28.69</v>
      </c>
      <c r="J530" s="48">
        <v>1</v>
      </c>
      <c r="K530" s="48">
        <v>1</v>
      </c>
      <c r="L530" s="48"/>
      <c r="M530" s="48"/>
      <c r="N530" s="48"/>
      <c r="O530" s="48"/>
      <c r="P530" s="48">
        <v>1</v>
      </c>
      <c r="Q530" s="48">
        <v>21.91</v>
      </c>
      <c r="R530" s="150" t="e">
        <f t="shared" ref="R530:AA530" si="550">$G530*H530</f>
        <v>#REF!</v>
      </c>
      <c r="S530" s="150" t="e">
        <f t="shared" si="550"/>
        <v>#REF!</v>
      </c>
      <c r="T530" s="150" t="e">
        <f t="shared" si="550"/>
        <v>#REF!</v>
      </c>
      <c r="U530" s="150" t="e">
        <f t="shared" si="550"/>
        <v>#REF!</v>
      </c>
      <c r="V530" s="150" t="e">
        <f t="shared" si="550"/>
        <v>#REF!</v>
      </c>
      <c r="W530" s="150" t="e">
        <f t="shared" si="550"/>
        <v>#REF!</v>
      </c>
      <c r="X530" s="150" t="e">
        <f t="shared" si="550"/>
        <v>#REF!</v>
      </c>
      <c r="Y530" s="150" t="e">
        <f t="shared" si="550"/>
        <v>#REF!</v>
      </c>
      <c r="Z530" s="150" t="e">
        <f t="shared" si="550"/>
        <v>#REF!</v>
      </c>
      <c r="AA530" s="150" t="e">
        <f t="shared" si="550"/>
        <v>#REF!</v>
      </c>
      <c r="AB530" s="50"/>
    </row>
    <row r="531" s="28" customFormat="1" outlineLevel="3" spans="1:28">
      <c r="A531" s="52">
        <f>MAX($A$6:A530)+1</f>
        <v>480</v>
      </c>
      <c r="B531" s="138" t="s">
        <v>1282</v>
      </c>
      <c r="C531" s="51" t="e">
        <f>VLOOKUP($B531,#REF!,MATCH(C$2,#REF!,0),0)</f>
        <v>#REF!</v>
      </c>
      <c r="D531" s="83"/>
      <c r="E531" s="83"/>
      <c r="F531" s="136" t="e">
        <f>VLOOKUP($B531,#REF!,MATCH(F$2,#REF!,0),0)</f>
        <v>#REF!</v>
      </c>
      <c r="G531" s="137" t="e">
        <f>VLOOKUP($B531,#REF!,MATCH(G$2,#REF!,0),0)</f>
        <v>#REF!</v>
      </c>
      <c r="H531" s="48">
        <v>9.94</v>
      </c>
      <c r="I531" s="48">
        <v>10.84</v>
      </c>
      <c r="J531" s="48">
        <v>1</v>
      </c>
      <c r="K531" s="48">
        <v>1</v>
      </c>
      <c r="L531" s="48"/>
      <c r="M531" s="48"/>
      <c r="N531" s="48"/>
      <c r="O531" s="48"/>
      <c r="P531" s="48">
        <v>1</v>
      </c>
      <c r="Q531" s="48">
        <v>8.72</v>
      </c>
      <c r="R531" s="150" t="e">
        <f t="shared" ref="R531:AA531" si="551">$G531*H531</f>
        <v>#REF!</v>
      </c>
      <c r="S531" s="150" t="e">
        <f t="shared" si="551"/>
        <v>#REF!</v>
      </c>
      <c r="T531" s="150" t="e">
        <f t="shared" si="551"/>
        <v>#REF!</v>
      </c>
      <c r="U531" s="150" t="e">
        <f t="shared" si="551"/>
        <v>#REF!</v>
      </c>
      <c r="V531" s="150" t="e">
        <f t="shared" si="551"/>
        <v>#REF!</v>
      </c>
      <c r="W531" s="150" t="e">
        <f t="shared" si="551"/>
        <v>#REF!</v>
      </c>
      <c r="X531" s="150" t="e">
        <f t="shared" si="551"/>
        <v>#REF!</v>
      </c>
      <c r="Y531" s="150" t="e">
        <f t="shared" si="551"/>
        <v>#REF!</v>
      </c>
      <c r="Z531" s="150" t="e">
        <f t="shared" si="551"/>
        <v>#REF!</v>
      </c>
      <c r="AA531" s="150" t="e">
        <f t="shared" si="551"/>
        <v>#REF!</v>
      </c>
      <c r="AB531" s="50"/>
    </row>
    <row r="532" s="28" customFormat="1" outlineLevel="3" spans="1:28">
      <c r="A532" s="52">
        <f>MAX($A$6:A531)+1</f>
        <v>481</v>
      </c>
      <c r="B532" s="138" t="s">
        <v>1285</v>
      </c>
      <c r="C532" s="51" t="e">
        <f>VLOOKUP($B532,#REF!,MATCH(C$2,#REF!,0),0)</f>
        <v>#REF!</v>
      </c>
      <c r="D532" s="83"/>
      <c r="E532" s="83"/>
      <c r="F532" s="136" t="e">
        <f>VLOOKUP($B532,#REF!,MATCH(F$2,#REF!,0),0)</f>
        <v>#REF!</v>
      </c>
      <c r="G532" s="137" t="e">
        <f>VLOOKUP($B532,#REF!,MATCH(G$2,#REF!,0),0)</f>
        <v>#REF!</v>
      </c>
      <c r="H532" s="48"/>
      <c r="I532" s="48"/>
      <c r="J532" s="48"/>
      <c r="K532" s="48"/>
      <c r="L532" s="48"/>
      <c r="M532" s="48">
        <v>6.14</v>
      </c>
      <c r="N532" s="48">
        <v>6.14</v>
      </c>
      <c r="O532" s="48">
        <v>6.14</v>
      </c>
      <c r="P532" s="48"/>
      <c r="Q532" s="48"/>
      <c r="R532" s="150" t="e">
        <f t="shared" ref="R532:AA532" si="552">$G532*H532</f>
        <v>#REF!</v>
      </c>
      <c r="S532" s="150" t="e">
        <f t="shared" si="552"/>
        <v>#REF!</v>
      </c>
      <c r="T532" s="150" t="e">
        <f t="shared" si="552"/>
        <v>#REF!</v>
      </c>
      <c r="U532" s="150" t="e">
        <f t="shared" si="552"/>
        <v>#REF!</v>
      </c>
      <c r="V532" s="150" t="e">
        <f t="shared" si="552"/>
        <v>#REF!</v>
      </c>
      <c r="W532" s="150" t="e">
        <f t="shared" si="552"/>
        <v>#REF!</v>
      </c>
      <c r="X532" s="150" t="e">
        <f t="shared" si="552"/>
        <v>#REF!</v>
      </c>
      <c r="Y532" s="150" t="e">
        <f t="shared" si="552"/>
        <v>#REF!</v>
      </c>
      <c r="Z532" s="150" t="e">
        <f t="shared" si="552"/>
        <v>#REF!</v>
      </c>
      <c r="AA532" s="150" t="e">
        <f t="shared" si="552"/>
        <v>#REF!</v>
      </c>
      <c r="AB532" s="50"/>
    </row>
    <row r="533" s="28" customFormat="1" outlineLevel="3" spans="1:28">
      <c r="A533" s="52">
        <f>MAX($A$6:A532)+1</f>
        <v>482</v>
      </c>
      <c r="B533" s="138" t="s">
        <v>1286</v>
      </c>
      <c r="C533" s="51" t="e">
        <f>VLOOKUP($B533,#REF!,MATCH(C$2,#REF!,0),0)</f>
        <v>#REF!</v>
      </c>
      <c r="D533" s="83"/>
      <c r="E533" s="83"/>
      <c r="F533" s="136" t="e">
        <f>VLOOKUP($B533,#REF!,MATCH(F$2,#REF!,0),0)</f>
        <v>#REF!</v>
      </c>
      <c r="G533" s="137" t="e">
        <f>VLOOKUP($B533,#REF!,MATCH(G$2,#REF!,0),0)</f>
        <v>#REF!</v>
      </c>
      <c r="H533" s="48"/>
      <c r="I533" s="48"/>
      <c r="J533" s="48"/>
      <c r="K533" s="48"/>
      <c r="L533" s="48"/>
      <c r="M533" s="48"/>
      <c r="N533" s="48"/>
      <c r="O533" s="48"/>
      <c r="P533" s="48"/>
      <c r="Q533" s="48">
        <v>8.91</v>
      </c>
      <c r="R533" s="150" t="e">
        <f t="shared" ref="R533:R540" si="553">$G533*H533</f>
        <v>#REF!</v>
      </c>
      <c r="S533" s="150" t="e">
        <f t="shared" ref="S533:S540" si="554">$G533*I533</f>
        <v>#REF!</v>
      </c>
      <c r="T533" s="150" t="e">
        <f t="shared" ref="T533:T540" si="555">$G533*J533</f>
        <v>#REF!</v>
      </c>
      <c r="U533" s="150" t="e">
        <f t="shared" ref="U533:U540" si="556">$G533*K533</f>
        <v>#REF!</v>
      </c>
      <c r="V533" s="150" t="e">
        <f t="shared" ref="V533:V540" si="557">$G533*L533</f>
        <v>#REF!</v>
      </c>
      <c r="W533" s="150" t="e">
        <f t="shared" ref="W533:W540" si="558">$G533*M533</f>
        <v>#REF!</v>
      </c>
      <c r="X533" s="150" t="e">
        <f t="shared" ref="X533:X540" si="559">$G533*N533</f>
        <v>#REF!</v>
      </c>
      <c r="Y533" s="150" t="e">
        <f t="shared" ref="Y533:Y540" si="560">$G533*O533</f>
        <v>#REF!</v>
      </c>
      <c r="Z533" s="150" t="e">
        <f t="shared" ref="Z533:Z540" si="561">$G533*P533</f>
        <v>#REF!</v>
      </c>
      <c r="AA533" s="150" t="e">
        <f t="shared" ref="AA533:AA540" si="562">$G533*Q533</f>
        <v>#REF!</v>
      </c>
      <c r="AB533" s="50"/>
    </row>
    <row r="534" s="28" customFormat="1" outlineLevel="3" spans="1:28">
      <c r="A534" s="52">
        <f>MAX($A$6:A533)+1</f>
        <v>483</v>
      </c>
      <c r="B534" s="138" t="s">
        <v>1290</v>
      </c>
      <c r="C534" s="51" t="e">
        <f>VLOOKUP($B534,#REF!,MATCH(C$2,#REF!,0),0)</f>
        <v>#REF!</v>
      </c>
      <c r="D534" s="83"/>
      <c r="E534" s="83"/>
      <c r="F534" s="136" t="e">
        <f>VLOOKUP($B534,#REF!,MATCH(F$2,#REF!,0),0)</f>
        <v>#REF!</v>
      </c>
      <c r="G534" s="137" t="e">
        <f>VLOOKUP($B534,#REF!,MATCH(G$2,#REF!,0),0)</f>
        <v>#REF!</v>
      </c>
      <c r="H534" s="48"/>
      <c r="I534" s="48"/>
      <c r="J534" s="48"/>
      <c r="K534" s="48"/>
      <c r="L534" s="48"/>
      <c r="M534" s="48"/>
      <c r="N534" s="48"/>
      <c r="O534" s="48"/>
      <c r="P534" s="48">
        <v>1</v>
      </c>
      <c r="Q534" s="48"/>
      <c r="R534" s="150" t="e">
        <f t="shared" si="553"/>
        <v>#REF!</v>
      </c>
      <c r="S534" s="150" t="e">
        <f t="shared" si="554"/>
        <v>#REF!</v>
      </c>
      <c r="T534" s="150" t="e">
        <f t="shared" si="555"/>
        <v>#REF!</v>
      </c>
      <c r="U534" s="150" t="e">
        <f t="shared" si="556"/>
        <v>#REF!</v>
      </c>
      <c r="V534" s="150" t="e">
        <f t="shared" si="557"/>
        <v>#REF!</v>
      </c>
      <c r="W534" s="150" t="e">
        <f t="shared" si="558"/>
        <v>#REF!</v>
      </c>
      <c r="X534" s="150" t="e">
        <f t="shared" si="559"/>
        <v>#REF!</v>
      </c>
      <c r="Y534" s="150" t="e">
        <f t="shared" si="560"/>
        <v>#REF!</v>
      </c>
      <c r="Z534" s="150" t="e">
        <f t="shared" si="561"/>
        <v>#REF!</v>
      </c>
      <c r="AA534" s="150" t="e">
        <f t="shared" si="562"/>
        <v>#REF!</v>
      </c>
      <c r="AB534" s="50"/>
    </row>
    <row r="535" s="28" customFormat="1" outlineLevel="3" spans="1:28">
      <c r="A535" s="52">
        <f>MAX($A$6:A534)+1</f>
        <v>484</v>
      </c>
      <c r="B535" s="138" t="s">
        <v>1291</v>
      </c>
      <c r="C535" s="51" t="e">
        <f>VLOOKUP($B535,#REF!,MATCH(C$2,#REF!,0),0)</f>
        <v>#REF!</v>
      </c>
      <c r="D535" s="83"/>
      <c r="E535" s="83"/>
      <c r="F535" s="136" t="e">
        <f>VLOOKUP($B535,#REF!,MATCH(F$2,#REF!,0),0)</f>
        <v>#REF!</v>
      </c>
      <c r="G535" s="137" t="e">
        <f>VLOOKUP($B535,#REF!,MATCH(G$2,#REF!,0),0)</f>
        <v>#REF!</v>
      </c>
      <c r="H535" s="48">
        <v>1</v>
      </c>
      <c r="I535" s="48">
        <v>1</v>
      </c>
      <c r="J535" s="48">
        <v>1</v>
      </c>
      <c r="K535" s="48">
        <v>1</v>
      </c>
      <c r="L535" s="48"/>
      <c r="M535" s="48">
        <v>1</v>
      </c>
      <c r="N535" s="48">
        <v>1</v>
      </c>
      <c r="O535" s="48">
        <v>1</v>
      </c>
      <c r="P535" s="48">
        <v>1</v>
      </c>
      <c r="Q535" s="48"/>
      <c r="R535" s="150" t="e">
        <f t="shared" si="553"/>
        <v>#REF!</v>
      </c>
      <c r="S535" s="150" t="e">
        <f t="shared" si="554"/>
        <v>#REF!</v>
      </c>
      <c r="T535" s="150" t="e">
        <f t="shared" si="555"/>
        <v>#REF!</v>
      </c>
      <c r="U535" s="150" t="e">
        <f t="shared" si="556"/>
        <v>#REF!</v>
      </c>
      <c r="V535" s="150" t="e">
        <f t="shared" si="557"/>
        <v>#REF!</v>
      </c>
      <c r="W535" s="150" t="e">
        <f t="shared" si="558"/>
        <v>#REF!</v>
      </c>
      <c r="X535" s="150" t="e">
        <f t="shared" si="559"/>
        <v>#REF!</v>
      </c>
      <c r="Y535" s="150" t="e">
        <f t="shared" si="560"/>
        <v>#REF!</v>
      </c>
      <c r="Z535" s="150" t="e">
        <f t="shared" si="561"/>
        <v>#REF!</v>
      </c>
      <c r="AA535" s="150" t="e">
        <f t="shared" si="562"/>
        <v>#REF!</v>
      </c>
      <c r="AB535" s="50"/>
    </row>
    <row r="536" s="28" customFormat="1" outlineLevel="3" spans="1:28">
      <c r="A536" s="52">
        <f>MAX($A$6:A535)+1</f>
        <v>485</v>
      </c>
      <c r="B536" s="138" t="s">
        <v>1292</v>
      </c>
      <c r="C536" s="51" t="e">
        <f>VLOOKUP($B536,#REF!,MATCH(C$2,#REF!,0),0)</f>
        <v>#REF!</v>
      </c>
      <c r="D536" s="83"/>
      <c r="E536" s="83"/>
      <c r="F536" s="136" t="e">
        <f>VLOOKUP($B536,#REF!,MATCH(F$2,#REF!,0),0)</f>
        <v>#REF!</v>
      </c>
      <c r="G536" s="137" t="e">
        <f>VLOOKUP($B536,#REF!,MATCH(G$2,#REF!,0),0)</f>
        <v>#REF!</v>
      </c>
      <c r="H536" s="48">
        <v>1</v>
      </c>
      <c r="I536" s="48">
        <v>1</v>
      </c>
      <c r="J536" s="48">
        <v>1</v>
      </c>
      <c r="K536" s="48">
        <v>1</v>
      </c>
      <c r="L536" s="48"/>
      <c r="M536" s="48">
        <v>1</v>
      </c>
      <c r="N536" s="48">
        <v>1</v>
      </c>
      <c r="O536" s="48">
        <v>1</v>
      </c>
      <c r="P536" s="48">
        <v>1</v>
      </c>
      <c r="Q536" s="48"/>
      <c r="R536" s="150" t="e">
        <f t="shared" si="553"/>
        <v>#REF!</v>
      </c>
      <c r="S536" s="150" t="e">
        <f t="shared" si="554"/>
        <v>#REF!</v>
      </c>
      <c r="T536" s="150" t="e">
        <f t="shared" si="555"/>
        <v>#REF!</v>
      </c>
      <c r="U536" s="150" t="e">
        <f t="shared" si="556"/>
        <v>#REF!</v>
      </c>
      <c r="V536" s="150" t="e">
        <f t="shared" si="557"/>
        <v>#REF!</v>
      </c>
      <c r="W536" s="150" t="e">
        <f t="shared" si="558"/>
        <v>#REF!</v>
      </c>
      <c r="X536" s="150" t="e">
        <f t="shared" si="559"/>
        <v>#REF!</v>
      </c>
      <c r="Y536" s="150" t="e">
        <f t="shared" si="560"/>
        <v>#REF!</v>
      </c>
      <c r="Z536" s="150" t="e">
        <f t="shared" si="561"/>
        <v>#REF!</v>
      </c>
      <c r="AA536" s="150" t="e">
        <f t="shared" si="562"/>
        <v>#REF!</v>
      </c>
      <c r="AB536" s="50"/>
    </row>
    <row r="537" s="28" customFormat="1" outlineLevel="3" spans="1:28">
      <c r="A537" s="52">
        <f>MAX($A$6:A536)+1</f>
        <v>486</v>
      </c>
      <c r="B537" s="138" t="s">
        <v>1293</v>
      </c>
      <c r="C537" s="51" t="e">
        <f>VLOOKUP($B537,#REF!,MATCH(C$2,#REF!,0),0)</f>
        <v>#REF!</v>
      </c>
      <c r="D537" s="83"/>
      <c r="E537" s="83"/>
      <c r="F537" s="136" t="e">
        <f>VLOOKUP($B537,#REF!,MATCH(F$2,#REF!,0),0)</f>
        <v>#REF!</v>
      </c>
      <c r="G537" s="137" t="e">
        <f>VLOOKUP($B537,#REF!,MATCH(G$2,#REF!,0),0)</f>
        <v>#REF!</v>
      </c>
      <c r="H537" s="48">
        <v>1</v>
      </c>
      <c r="I537" s="48">
        <v>1</v>
      </c>
      <c r="J537" s="48">
        <v>1</v>
      </c>
      <c r="K537" s="48">
        <v>1</v>
      </c>
      <c r="L537" s="48"/>
      <c r="M537" s="48">
        <v>1</v>
      </c>
      <c r="N537" s="48">
        <v>1</v>
      </c>
      <c r="O537" s="48">
        <v>1</v>
      </c>
      <c r="P537" s="48">
        <v>1</v>
      </c>
      <c r="Q537" s="48"/>
      <c r="R537" s="150" t="e">
        <f t="shared" si="553"/>
        <v>#REF!</v>
      </c>
      <c r="S537" s="150" t="e">
        <f t="shared" si="554"/>
        <v>#REF!</v>
      </c>
      <c r="T537" s="150" t="e">
        <f t="shared" si="555"/>
        <v>#REF!</v>
      </c>
      <c r="U537" s="150" t="e">
        <f t="shared" si="556"/>
        <v>#REF!</v>
      </c>
      <c r="V537" s="150" t="e">
        <f t="shared" si="557"/>
        <v>#REF!</v>
      </c>
      <c r="W537" s="150" t="e">
        <f t="shared" si="558"/>
        <v>#REF!</v>
      </c>
      <c r="X537" s="150" t="e">
        <f t="shared" si="559"/>
        <v>#REF!</v>
      </c>
      <c r="Y537" s="150" t="e">
        <f t="shared" si="560"/>
        <v>#REF!</v>
      </c>
      <c r="Z537" s="150" t="e">
        <f t="shared" si="561"/>
        <v>#REF!</v>
      </c>
      <c r="AA537" s="150" t="e">
        <f t="shared" si="562"/>
        <v>#REF!</v>
      </c>
      <c r="AB537" s="50"/>
    </row>
    <row r="538" s="28" customFormat="1" outlineLevel="3" spans="1:28">
      <c r="A538" s="52">
        <f>MAX($A$6:A537)+1</f>
        <v>487</v>
      </c>
      <c r="B538" s="138" t="s">
        <v>1298</v>
      </c>
      <c r="C538" s="51" t="e">
        <f>VLOOKUP($B538,#REF!,MATCH(C$2,#REF!,0),0)</f>
        <v>#REF!</v>
      </c>
      <c r="D538" s="83"/>
      <c r="E538" s="83"/>
      <c r="F538" s="136" t="e">
        <f>VLOOKUP($B538,#REF!,MATCH(F$2,#REF!,0),0)</f>
        <v>#REF!</v>
      </c>
      <c r="G538" s="137" t="e">
        <f>VLOOKUP($B538,#REF!,MATCH(G$2,#REF!,0),0)</f>
        <v>#REF!</v>
      </c>
      <c r="H538" s="48"/>
      <c r="I538" s="48"/>
      <c r="J538" s="48"/>
      <c r="K538" s="48"/>
      <c r="L538" s="48"/>
      <c r="M538" s="48"/>
      <c r="N538" s="48"/>
      <c r="O538" s="48"/>
      <c r="P538" s="48"/>
      <c r="Q538" s="48"/>
      <c r="R538" s="150" t="e">
        <f t="shared" si="553"/>
        <v>#REF!</v>
      </c>
      <c r="S538" s="150" t="e">
        <f t="shared" si="554"/>
        <v>#REF!</v>
      </c>
      <c r="T538" s="150" t="e">
        <f t="shared" si="555"/>
        <v>#REF!</v>
      </c>
      <c r="U538" s="150" t="e">
        <f t="shared" si="556"/>
        <v>#REF!</v>
      </c>
      <c r="V538" s="150" t="e">
        <f t="shared" si="557"/>
        <v>#REF!</v>
      </c>
      <c r="W538" s="150" t="e">
        <f t="shared" si="558"/>
        <v>#REF!</v>
      </c>
      <c r="X538" s="150" t="e">
        <f t="shared" si="559"/>
        <v>#REF!</v>
      </c>
      <c r="Y538" s="150" t="e">
        <f t="shared" si="560"/>
        <v>#REF!</v>
      </c>
      <c r="Z538" s="150" t="e">
        <f t="shared" si="561"/>
        <v>#REF!</v>
      </c>
      <c r="AA538" s="150" t="e">
        <f t="shared" si="562"/>
        <v>#REF!</v>
      </c>
      <c r="AB538" s="50"/>
    </row>
    <row r="539" s="28" customFormat="1" outlineLevel="3" spans="1:28">
      <c r="A539" s="52">
        <f>MAX($A$6:A538)+1</f>
        <v>488</v>
      </c>
      <c r="B539" s="138" t="s">
        <v>1299</v>
      </c>
      <c r="C539" s="51" t="e">
        <f>VLOOKUP($B539,#REF!,MATCH(C$2,#REF!,0),0)</f>
        <v>#REF!</v>
      </c>
      <c r="D539" s="83"/>
      <c r="E539" s="83"/>
      <c r="F539" s="136" t="e">
        <f>VLOOKUP($B539,#REF!,MATCH(F$2,#REF!,0),0)</f>
        <v>#REF!</v>
      </c>
      <c r="G539" s="137" t="e">
        <f>VLOOKUP($B539,#REF!,MATCH(G$2,#REF!,0),0)</f>
        <v>#REF!</v>
      </c>
      <c r="H539" s="48"/>
      <c r="I539" s="48"/>
      <c r="J539" s="48"/>
      <c r="K539" s="48"/>
      <c r="L539" s="48"/>
      <c r="M539" s="48"/>
      <c r="N539" s="48"/>
      <c r="O539" s="48"/>
      <c r="P539" s="48"/>
      <c r="Q539" s="48"/>
      <c r="R539" s="150" t="e">
        <f t="shared" si="553"/>
        <v>#REF!</v>
      </c>
      <c r="S539" s="150" t="e">
        <f t="shared" si="554"/>
        <v>#REF!</v>
      </c>
      <c r="T539" s="150" t="e">
        <f t="shared" si="555"/>
        <v>#REF!</v>
      </c>
      <c r="U539" s="150" t="e">
        <f t="shared" si="556"/>
        <v>#REF!</v>
      </c>
      <c r="V539" s="150" t="e">
        <f t="shared" si="557"/>
        <v>#REF!</v>
      </c>
      <c r="W539" s="150" t="e">
        <f t="shared" si="558"/>
        <v>#REF!</v>
      </c>
      <c r="X539" s="150" t="e">
        <f t="shared" si="559"/>
        <v>#REF!</v>
      </c>
      <c r="Y539" s="150" t="e">
        <f t="shared" si="560"/>
        <v>#REF!</v>
      </c>
      <c r="Z539" s="150" t="e">
        <f t="shared" si="561"/>
        <v>#REF!</v>
      </c>
      <c r="AA539" s="150" t="e">
        <f t="shared" si="562"/>
        <v>#REF!</v>
      </c>
      <c r="AB539" s="50"/>
    </row>
    <row r="540" s="28" customFormat="1" outlineLevel="3" spans="1:28">
      <c r="A540" s="52">
        <f>MAX($A$6:A539)+1</f>
        <v>489</v>
      </c>
      <c r="B540" s="138" t="s">
        <v>1300</v>
      </c>
      <c r="C540" s="51" t="e">
        <f>VLOOKUP($B540,#REF!,MATCH(C$2,#REF!,0),0)</f>
        <v>#REF!</v>
      </c>
      <c r="D540" s="83"/>
      <c r="E540" s="83"/>
      <c r="F540" s="136" t="e">
        <f>VLOOKUP($B540,#REF!,MATCH(F$2,#REF!,0),0)</f>
        <v>#REF!</v>
      </c>
      <c r="G540" s="137" t="e">
        <f>VLOOKUP($B540,#REF!,MATCH(G$2,#REF!,0),0)</f>
        <v>#REF!</v>
      </c>
      <c r="H540" s="48"/>
      <c r="I540" s="48"/>
      <c r="J540" s="48"/>
      <c r="K540" s="48"/>
      <c r="L540" s="48"/>
      <c r="M540" s="48"/>
      <c r="N540" s="48"/>
      <c r="O540" s="48"/>
      <c r="P540" s="48"/>
      <c r="Q540" s="48"/>
      <c r="R540" s="150" t="e">
        <f t="shared" si="553"/>
        <v>#REF!</v>
      </c>
      <c r="S540" s="150" t="e">
        <f t="shared" si="554"/>
        <v>#REF!</v>
      </c>
      <c r="T540" s="150" t="e">
        <f t="shared" si="555"/>
        <v>#REF!</v>
      </c>
      <c r="U540" s="150" t="e">
        <f t="shared" si="556"/>
        <v>#REF!</v>
      </c>
      <c r="V540" s="150" t="e">
        <f t="shared" si="557"/>
        <v>#REF!</v>
      </c>
      <c r="W540" s="150" t="e">
        <f t="shared" si="558"/>
        <v>#REF!</v>
      </c>
      <c r="X540" s="150" t="e">
        <f t="shared" si="559"/>
        <v>#REF!</v>
      </c>
      <c r="Y540" s="150" t="e">
        <f t="shared" si="560"/>
        <v>#REF!</v>
      </c>
      <c r="Z540" s="150" t="e">
        <f t="shared" si="561"/>
        <v>#REF!</v>
      </c>
      <c r="AA540" s="150" t="e">
        <f t="shared" si="562"/>
        <v>#REF!</v>
      </c>
      <c r="AB540" s="50"/>
    </row>
    <row r="541" s="28" customFormat="1" outlineLevel="3" spans="1:28">
      <c r="A541" s="52">
        <f>MAX($A$6:A540)+1</f>
        <v>490</v>
      </c>
      <c r="B541" s="138" t="s">
        <v>1301</v>
      </c>
      <c r="C541" s="51" t="e">
        <f>VLOOKUP($B541,#REF!,MATCH(C$2,#REF!,0),0)</f>
        <v>#REF!</v>
      </c>
      <c r="D541" s="83"/>
      <c r="E541" s="83"/>
      <c r="F541" s="136" t="e">
        <f>VLOOKUP($B541,#REF!,MATCH(F$2,#REF!,0),0)</f>
        <v>#REF!</v>
      </c>
      <c r="G541" s="137" t="e">
        <f>VLOOKUP($B541,#REF!,MATCH(G$2,#REF!,0),0)</f>
        <v>#REF!</v>
      </c>
      <c r="H541" s="48"/>
      <c r="I541" s="48"/>
      <c r="J541" s="48"/>
      <c r="K541" s="48"/>
      <c r="L541" s="48"/>
      <c r="M541" s="48"/>
      <c r="N541" s="48"/>
      <c r="O541" s="48"/>
      <c r="P541" s="48"/>
      <c r="Q541" s="48"/>
      <c r="R541" s="150"/>
      <c r="S541" s="150"/>
      <c r="T541" s="150"/>
      <c r="U541" s="150"/>
      <c r="V541" s="150"/>
      <c r="W541" s="150"/>
      <c r="X541" s="150"/>
      <c r="Y541" s="150"/>
      <c r="Z541" s="150"/>
      <c r="AA541" s="150"/>
      <c r="AB541" s="50"/>
    </row>
    <row r="542" s="28" customFormat="1" outlineLevel="3" spans="1:28">
      <c r="A542" s="52">
        <f>MAX($A$6:A541)+1</f>
        <v>491</v>
      </c>
      <c r="B542" s="138" t="s">
        <v>1302</v>
      </c>
      <c r="C542" s="51" t="e">
        <f>VLOOKUP($B542,#REF!,MATCH(C$2,#REF!,0),0)</f>
        <v>#REF!</v>
      </c>
      <c r="D542" s="83"/>
      <c r="E542" s="83"/>
      <c r="F542" s="136" t="e">
        <f>VLOOKUP($B542,#REF!,MATCH(F$2,#REF!,0),0)</f>
        <v>#REF!</v>
      </c>
      <c r="G542" s="137" t="e">
        <f>VLOOKUP($B542,#REF!,MATCH(G$2,#REF!,0),0)</f>
        <v>#REF!</v>
      </c>
      <c r="H542" s="48"/>
      <c r="I542" s="48"/>
      <c r="J542" s="48"/>
      <c r="K542" s="48"/>
      <c r="L542" s="48"/>
      <c r="M542" s="48"/>
      <c r="N542" s="48"/>
      <c r="O542" s="48"/>
      <c r="P542" s="48"/>
      <c r="Q542" s="48"/>
      <c r="R542" s="150" t="e">
        <f t="shared" ref="R542:R549" si="563">$G542*H542</f>
        <v>#REF!</v>
      </c>
      <c r="S542" s="150" t="e">
        <f t="shared" ref="S542:S549" si="564">$G542*I542</f>
        <v>#REF!</v>
      </c>
      <c r="T542" s="150" t="e">
        <f t="shared" ref="T542:T549" si="565">$G542*J542</f>
        <v>#REF!</v>
      </c>
      <c r="U542" s="150" t="e">
        <f t="shared" ref="U542:U549" si="566">$G542*K542</f>
        <v>#REF!</v>
      </c>
      <c r="V542" s="150" t="e">
        <f t="shared" ref="V542:V549" si="567">$G542*L542</f>
        <v>#REF!</v>
      </c>
      <c r="W542" s="150" t="e">
        <f t="shared" ref="W542:W549" si="568">$G542*M542</f>
        <v>#REF!</v>
      </c>
      <c r="X542" s="150" t="e">
        <f t="shared" ref="X542:X549" si="569">$G542*N542</f>
        <v>#REF!</v>
      </c>
      <c r="Y542" s="150" t="e">
        <f t="shared" ref="Y542:Y585" si="570">$G542*O542</f>
        <v>#REF!</v>
      </c>
      <c r="Z542" s="150" t="e">
        <f t="shared" ref="Z542:Z549" si="571">$G542*P542</f>
        <v>#REF!</v>
      </c>
      <c r="AA542" s="150" t="e">
        <f t="shared" ref="AA542:AA549" si="572">$G542*Q542</f>
        <v>#REF!</v>
      </c>
      <c r="AB542" s="50"/>
    </row>
    <row r="543" s="28" customFormat="1" outlineLevel="3" spans="1:28">
      <c r="A543" s="52">
        <f>MAX($A$6:A542)+1</f>
        <v>492</v>
      </c>
      <c r="B543" s="138" t="s">
        <v>1303</v>
      </c>
      <c r="C543" s="51" t="e">
        <f>VLOOKUP($B543,#REF!,MATCH(C$2,#REF!,0),0)</f>
        <v>#REF!</v>
      </c>
      <c r="D543" s="83"/>
      <c r="E543" s="83"/>
      <c r="F543" s="136" t="e">
        <f>VLOOKUP($B543,#REF!,MATCH(F$2,#REF!,0),0)</f>
        <v>#REF!</v>
      </c>
      <c r="G543" s="137" t="e">
        <f>VLOOKUP($B543,#REF!,MATCH(G$2,#REF!,0),0)</f>
        <v>#REF!</v>
      </c>
      <c r="H543" s="48"/>
      <c r="I543" s="48"/>
      <c r="J543" s="48"/>
      <c r="K543" s="48"/>
      <c r="L543" s="48"/>
      <c r="M543" s="48"/>
      <c r="N543" s="48"/>
      <c r="O543" s="48"/>
      <c r="P543" s="48"/>
      <c r="Q543" s="48"/>
      <c r="R543" s="150" t="e">
        <f t="shared" si="563"/>
        <v>#REF!</v>
      </c>
      <c r="S543" s="150" t="e">
        <f t="shared" si="564"/>
        <v>#REF!</v>
      </c>
      <c r="T543" s="150" t="e">
        <f t="shared" si="565"/>
        <v>#REF!</v>
      </c>
      <c r="U543" s="150" t="e">
        <f t="shared" si="566"/>
        <v>#REF!</v>
      </c>
      <c r="V543" s="150" t="e">
        <f t="shared" si="567"/>
        <v>#REF!</v>
      </c>
      <c r="W543" s="150" t="e">
        <f t="shared" si="568"/>
        <v>#REF!</v>
      </c>
      <c r="X543" s="150" t="e">
        <f t="shared" si="569"/>
        <v>#REF!</v>
      </c>
      <c r="Y543" s="150" t="e">
        <f t="shared" si="570"/>
        <v>#REF!</v>
      </c>
      <c r="Z543" s="150" t="e">
        <f t="shared" si="571"/>
        <v>#REF!</v>
      </c>
      <c r="AA543" s="150" t="e">
        <f t="shared" si="572"/>
        <v>#REF!</v>
      </c>
      <c r="AB543" s="50"/>
    </row>
    <row r="544" s="28" customFormat="1" outlineLevel="3" spans="1:28">
      <c r="A544" s="52">
        <f>MAX($A$6:A543)+1</f>
        <v>493</v>
      </c>
      <c r="B544" s="138" t="s">
        <v>1304</v>
      </c>
      <c r="C544" s="51" t="e">
        <f>VLOOKUP($B544,#REF!,MATCH(C$2,#REF!,0),0)</f>
        <v>#REF!</v>
      </c>
      <c r="D544" s="83"/>
      <c r="E544" s="83"/>
      <c r="F544" s="136" t="e">
        <f>VLOOKUP($B544,#REF!,MATCH(F$2,#REF!,0),0)</f>
        <v>#REF!</v>
      </c>
      <c r="G544" s="137" t="e">
        <f>VLOOKUP($B544,#REF!,MATCH(G$2,#REF!,0),0)</f>
        <v>#REF!</v>
      </c>
      <c r="H544" s="48"/>
      <c r="I544" s="48"/>
      <c r="J544" s="48"/>
      <c r="K544" s="48"/>
      <c r="L544" s="48"/>
      <c r="M544" s="48"/>
      <c r="N544" s="48"/>
      <c r="O544" s="48"/>
      <c r="P544" s="48"/>
      <c r="Q544" s="48"/>
      <c r="R544" s="150" t="e">
        <f t="shared" si="563"/>
        <v>#REF!</v>
      </c>
      <c r="S544" s="150" t="e">
        <f t="shared" si="564"/>
        <v>#REF!</v>
      </c>
      <c r="T544" s="150" t="e">
        <f t="shared" si="565"/>
        <v>#REF!</v>
      </c>
      <c r="U544" s="150" t="e">
        <f t="shared" si="566"/>
        <v>#REF!</v>
      </c>
      <c r="V544" s="150" t="e">
        <f t="shared" si="567"/>
        <v>#REF!</v>
      </c>
      <c r="W544" s="150" t="e">
        <f t="shared" si="568"/>
        <v>#REF!</v>
      </c>
      <c r="X544" s="150" t="e">
        <f t="shared" si="569"/>
        <v>#REF!</v>
      </c>
      <c r="Y544" s="150" t="e">
        <f t="shared" si="570"/>
        <v>#REF!</v>
      </c>
      <c r="Z544" s="150" t="e">
        <f t="shared" si="571"/>
        <v>#REF!</v>
      </c>
      <c r="AA544" s="150" t="e">
        <f t="shared" si="572"/>
        <v>#REF!</v>
      </c>
      <c r="AB544" s="50"/>
    </row>
    <row r="545" s="28" customFormat="1" outlineLevel="3" spans="1:28">
      <c r="A545" s="52">
        <f>MAX($A$6:A544)+1</f>
        <v>494</v>
      </c>
      <c r="B545" s="138" t="s">
        <v>1305</v>
      </c>
      <c r="C545" s="51" t="e">
        <f>VLOOKUP($B545,#REF!,MATCH(C$2,#REF!,0),0)</f>
        <v>#REF!</v>
      </c>
      <c r="D545" s="83"/>
      <c r="E545" s="83"/>
      <c r="F545" s="136" t="e">
        <f>VLOOKUP($B545,#REF!,MATCH(F$2,#REF!,0),0)</f>
        <v>#REF!</v>
      </c>
      <c r="G545" s="137" t="e">
        <f>VLOOKUP($B545,#REF!,MATCH(G$2,#REF!,0),0)</f>
        <v>#REF!</v>
      </c>
      <c r="H545" s="48"/>
      <c r="I545" s="48"/>
      <c r="J545" s="48"/>
      <c r="K545" s="48"/>
      <c r="L545" s="48"/>
      <c r="M545" s="48"/>
      <c r="N545" s="48"/>
      <c r="O545" s="48"/>
      <c r="P545" s="48"/>
      <c r="Q545" s="48"/>
      <c r="R545" s="150" t="e">
        <f t="shared" si="563"/>
        <v>#REF!</v>
      </c>
      <c r="S545" s="150" t="e">
        <f t="shared" si="564"/>
        <v>#REF!</v>
      </c>
      <c r="T545" s="150" t="e">
        <f t="shared" si="565"/>
        <v>#REF!</v>
      </c>
      <c r="U545" s="150" t="e">
        <f t="shared" si="566"/>
        <v>#REF!</v>
      </c>
      <c r="V545" s="150" t="e">
        <f t="shared" si="567"/>
        <v>#REF!</v>
      </c>
      <c r="W545" s="150" t="e">
        <f t="shared" si="568"/>
        <v>#REF!</v>
      </c>
      <c r="X545" s="150" t="e">
        <f t="shared" si="569"/>
        <v>#REF!</v>
      </c>
      <c r="Y545" s="150" t="e">
        <f t="shared" si="570"/>
        <v>#REF!</v>
      </c>
      <c r="Z545" s="150" t="e">
        <f t="shared" si="571"/>
        <v>#REF!</v>
      </c>
      <c r="AA545" s="150" t="e">
        <f t="shared" si="572"/>
        <v>#REF!</v>
      </c>
      <c r="AB545" s="50"/>
    </row>
    <row r="546" s="28" customFormat="1" outlineLevel="3" spans="1:28">
      <c r="A546" s="52">
        <f>MAX($A$6:A545)+1</f>
        <v>495</v>
      </c>
      <c r="B546" s="138" t="s">
        <v>1306</v>
      </c>
      <c r="C546" s="51" t="e">
        <f>VLOOKUP($B546,#REF!,MATCH(C$2,#REF!,0),0)</f>
        <v>#REF!</v>
      </c>
      <c r="D546" s="83"/>
      <c r="E546" s="83"/>
      <c r="F546" s="136" t="e">
        <f>VLOOKUP($B546,#REF!,MATCH(F$2,#REF!,0),0)</f>
        <v>#REF!</v>
      </c>
      <c r="G546" s="137" t="e">
        <f>VLOOKUP($B546,#REF!,MATCH(G$2,#REF!,0),0)</f>
        <v>#REF!</v>
      </c>
      <c r="H546" s="48"/>
      <c r="I546" s="48"/>
      <c r="J546" s="48"/>
      <c r="K546" s="48"/>
      <c r="L546" s="48"/>
      <c r="M546" s="48"/>
      <c r="N546" s="48"/>
      <c r="O546" s="48"/>
      <c r="P546" s="48"/>
      <c r="Q546" s="48"/>
      <c r="R546" s="150" t="e">
        <f t="shared" si="563"/>
        <v>#REF!</v>
      </c>
      <c r="S546" s="150" t="e">
        <f t="shared" si="564"/>
        <v>#REF!</v>
      </c>
      <c r="T546" s="150" t="e">
        <f t="shared" si="565"/>
        <v>#REF!</v>
      </c>
      <c r="U546" s="150" t="e">
        <f t="shared" si="566"/>
        <v>#REF!</v>
      </c>
      <c r="V546" s="150" t="e">
        <f t="shared" si="567"/>
        <v>#REF!</v>
      </c>
      <c r="W546" s="150" t="e">
        <f t="shared" si="568"/>
        <v>#REF!</v>
      </c>
      <c r="X546" s="150" t="e">
        <f t="shared" si="569"/>
        <v>#REF!</v>
      </c>
      <c r="Y546" s="150" t="e">
        <f t="shared" si="570"/>
        <v>#REF!</v>
      </c>
      <c r="Z546" s="150" t="e">
        <f t="shared" si="571"/>
        <v>#REF!</v>
      </c>
      <c r="AA546" s="150" t="e">
        <f t="shared" si="572"/>
        <v>#REF!</v>
      </c>
      <c r="AB546" s="50"/>
    </row>
    <row r="547" s="28" customFormat="1" outlineLevel="3" spans="1:28">
      <c r="A547" s="52">
        <f>MAX($A$6:A546)+1</f>
        <v>496</v>
      </c>
      <c r="B547" s="138" t="s">
        <v>1307</v>
      </c>
      <c r="C547" s="51" t="e">
        <f>VLOOKUP($B547,#REF!,MATCH(C$2,#REF!,0),0)</f>
        <v>#REF!</v>
      </c>
      <c r="D547" s="83"/>
      <c r="E547" s="83"/>
      <c r="F547" s="136" t="e">
        <f>VLOOKUP($B547,#REF!,MATCH(F$2,#REF!,0),0)</f>
        <v>#REF!</v>
      </c>
      <c r="G547" s="137" t="e">
        <f>VLOOKUP($B547,#REF!,MATCH(G$2,#REF!,0),0)</f>
        <v>#REF!</v>
      </c>
      <c r="H547" s="48"/>
      <c r="I547" s="48"/>
      <c r="J547" s="48"/>
      <c r="K547" s="48"/>
      <c r="L547" s="48"/>
      <c r="M547" s="48"/>
      <c r="N547" s="48"/>
      <c r="O547" s="48"/>
      <c r="P547" s="48"/>
      <c r="Q547" s="48"/>
      <c r="R547" s="150" t="e">
        <f t="shared" si="563"/>
        <v>#REF!</v>
      </c>
      <c r="S547" s="150" t="e">
        <f t="shared" si="564"/>
        <v>#REF!</v>
      </c>
      <c r="T547" s="150" t="e">
        <f t="shared" si="565"/>
        <v>#REF!</v>
      </c>
      <c r="U547" s="150" t="e">
        <f t="shared" si="566"/>
        <v>#REF!</v>
      </c>
      <c r="V547" s="150" t="e">
        <f t="shared" si="567"/>
        <v>#REF!</v>
      </c>
      <c r="W547" s="150" t="e">
        <f t="shared" si="568"/>
        <v>#REF!</v>
      </c>
      <c r="X547" s="150" t="e">
        <f t="shared" si="569"/>
        <v>#REF!</v>
      </c>
      <c r="Y547" s="150" t="e">
        <f t="shared" si="570"/>
        <v>#REF!</v>
      </c>
      <c r="Z547" s="150" t="e">
        <f t="shared" si="571"/>
        <v>#REF!</v>
      </c>
      <c r="AA547" s="150" t="e">
        <f t="shared" si="572"/>
        <v>#REF!</v>
      </c>
      <c r="AB547" s="50"/>
    </row>
    <row r="548" s="28" customFormat="1" outlineLevel="3" spans="1:28">
      <c r="A548" s="52">
        <f>MAX($A$6:A547)+1</f>
        <v>497</v>
      </c>
      <c r="B548" s="138" t="s">
        <v>1308</v>
      </c>
      <c r="C548" s="51" t="e">
        <f>VLOOKUP($B548,#REF!,MATCH(C$2,#REF!,0),0)</f>
        <v>#REF!</v>
      </c>
      <c r="D548" s="83"/>
      <c r="E548" s="83"/>
      <c r="F548" s="136" t="e">
        <f>VLOOKUP($B548,#REF!,MATCH(F$2,#REF!,0),0)</f>
        <v>#REF!</v>
      </c>
      <c r="G548" s="137" t="e">
        <f>VLOOKUP($B548,#REF!,MATCH(G$2,#REF!,0),0)</f>
        <v>#REF!</v>
      </c>
      <c r="H548" s="48"/>
      <c r="I548" s="48"/>
      <c r="J548" s="48"/>
      <c r="K548" s="48"/>
      <c r="L548" s="48"/>
      <c r="M548" s="48"/>
      <c r="N548" s="48"/>
      <c r="O548" s="48"/>
      <c r="P548" s="48"/>
      <c r="Q548" s="48"/>
      <c r="R548" s="150" t="e">
        <f t="shared" si="563"/>
        <v>#REF!</v>
      </c>
      <c r="S548" s="150" t="e">
        <f t="shared" si="564"/>
        <v>#REF!</v>
      </c>
      <c r="T548" s="150" t="e">
        <f t="shared" si="565"/>
        <v>#REF!</v>
      </c>
      <c r="U548" s="150" t="e">
        <f t="shared" si="566"/>
        <v>#REF!</v>
      </c>
      <c r="V548" s="150" t="e">
        <f t="shared" si="567"/>
        <v>#REF!</v>
      </c>
      <c r="W548" s="150" t="e">
        <f t="shared" si="568"/>
        <v>#REF!</v>
      </c>
      <c r="X548" s="150" t="e">
        <f t="shared" si="569"/>
        <v>#REF!</v>
      </c>
      <c r="Y548" s="150" t="e">
        <f t="shared" si="570"/>
        <v>#REF!</v>
      </c>
      <c r="Z548" s="150" t="e">
        <f t="shared" si="571"/>
        <v>#REF!</v>
      </c>
      <c r="AA548" s="150" t="e">
        <f t="shared" si="572"/>
        <v>#REF!</v>
      </c>
      <c r="AB548" s="50"/>
    </row>
    <row r="549" s="28" customFormat="1" outlineLevel="3" spans="1:28">
      <c r="A549" s="52">
        <f>MAX($A$6:A548)+1</f>
        <v>498</v>
      </c>
      <c r="B549" s="138" t="s">
        <v>1309</v>
      </c>
      <c r="C549" s="51" t="e">
        <f>VLOOKUP($B549,#REF!,MATCH(C$2,#REF!,0),0)</f>
        <v>#REF!</v>
      </c>
      <c r="D549" s="83"/>
      <c r="E549" s="83"/>
      <c r="F549" s="136" t="e">
        <f>VLOOKUP($B549,#REF!,MATCH(F$2,#REF!,0),0)</f>
        <v>#REF!</v>
      </c>
      <c r="G549" s="137" t="e">
        <f>VLOOKUP($B549,#REF!,MATCH(G$2,#REF!,0),0)</f>
        <v>#REF!</v>
      </c>
      <c r="H549" s="48"/>
      <c r="I549" s="48"/>
      <c r="J549" s="48"/>
      <c r="K549" s="48"/>
      <c r="L549" s="48"/>
      <c r="M549" s="48"/>
      <c r="N549" s="48"/>
      <c r="O549" s="48"/>
      <c r="P549" s="48"/>
      <c r="Q549" s="48"/>
      <c r="R549" s="150" t="e">
        <f t="shared" si="563"/>
        <v>#REF!</v>
      </c>
      <c r="S549" s="150" t="e">
        <f t="shared" si="564"/>
        <v>#REF!</v>
      </c>
      <c r="T549" s="150" t="e">
        <f t="shared" si="565"/>
        <v>#REF!</v>
      </c>
      <c r="U549" s="150" t="e">
        <f t="shared" si="566"/>
        <v>#REF!</v>
      </c>
      <c r="V549" s="150" t="e">
        <f t="shared" si="567"/>
        <v>#REF!</v>
      </c>
      <c r="W549" s="150" t="e">
        <f t="shared" si="568"/>
        <v>#REF!</v>
      </c>
      <c r="X549" s="150" t="e">
        <f t="shared" si="569"/>
        <v>#REF!</v>
      </c>
      <c r="Y549" s="150" t="e">
        <f t="shared" si="570"/>
        <v>#REF!</v>
      </c>
      <c r="Z549" s="150" t="e">
        <f t="shared" si="571"/>
        <v>#REF!</v>
      </c>
      <c r="AA549" s="150" t="e">
        <f t="shared" si="572"/>
        <v>#REF!</v>
      </c>
      <c r="AB549" s="50"/>
    </row>
    <row r="550" s="28" customFormat="1" outlineLevel="3" spans="1:28">
      <c r="A550" s="52">
        <f>MAX($A$6:A549)+1</f>
        <v>499</v>
      </c>
      <c r="B550" s="138" t="s">
        <v>2180</v>
      </c>
      <c r="C550" s="51" t="e">
        <f>VLOOKUP($B550,#REF!,MATCH(C$2,#REF!,0),0)</f>
        <v>#REF!</v>
      </c>
      <c r="D550" s="83"/>
      <c r="E550" s="83"/>
      <c r="F550" s="136" t="e">
        <f>VLOOKUP($B550,#REF!,MATCH(F$2,#REF!,0),0)</f>
        <v>#REF!</v>
      </c>
      <c r="G550" s="137" t="e">
        <f>VLOOKUP($B550,#REF!,MATCH(G$2,#REF!,0),0)</f>
        <v>#REF!</v>
      </c>
      <c r="H550" s="48"/>
      <c r="I550" s="48">
        <f>0.62+3.75</f>
        <v>4.37</v>
      </c>
      <c r="J550" s="48"/>
      <c r="K550" s="48"/>
      <c r="L550" s="48"/>
      <c r="M550" s="48"/>
      <c r="N550" s="48"/>
      <c r="O550" s="48"/>
      <c r="P550" s="48"/>
      <c r="Q550" s="48"/>
      <c r="R550" s="150" t="e">
        <f t="shared" ref="R550:R585" si="573">$G550*H550</f>
        <v>#REF!</v>
      </c>
      <c r="S550" s="150" t="e">
        <f t="shared" ref="S550:S585" si="574">$G550*I550</f>
        <v>#REF!</v>
      </c>
      <c r="T550" s="150" t="e">
        <f t="shared" ref="T550:T585" si="575">$G550*J550</f>
        <v>#REF!</v>
      </c>
      <c r="U550" s="150" t="e">
        <f t="shared" ref="U550:U585" si="576">$G550*K550</f>
        <v>#REF!</v>
      </c>
      <c r="V550" s="150" t="e">
        <f t="shared" ref="V550:V585" si="577">$G550*L550</f>
        <v>#REF!</v>
      </c>
      <c r="W550" s="150" t="e">
        <f t="shared" ref="W550:W585" si="578">$G550*M550</f>
        <v>#REF!</v>
      </c>
      <c r="X550" s="150" t="e">
        <f t="shared" ref="X550:X585" si="579">$G550*N550</f>
        <v>#REF!</v>
      </c>
      <c r="Y550" s="150" t="e">
        <f t="shared" si="570"/>
        <v>#REF!</v>
      </c>
      <c r="Z550" s="150" t="e">
        <f t="shared" ref="Z550:Z585" si="580">$G550*P550</f>
        <v>#REF!</v>
      </c>
      <c r="AA550" s="150" t="e">
        <f t="shared" ref="AA550:AA585" si="581">$G550*Q550</f>
        <v>#REF!</v>
      </c>
      <c r="AB550" s="50"/>
    </row>
    <row r="551" s="28" customFormat="1" outlineLevel="3" spans="1:28">
      <c r="A551" s="52">
        <f>MAX($A$6:A550)+1</f>
        <v>500</v>
      </c>
      <c r="B551" s="138" t="s">
        <v>2181</v>
      </c>
      <c r="C551" s="51" t="e">
        <f>VLOOKUP($B551,#REF!,MATCH(C$2,#REF!,0),0)</f>
        <v>#REF!</v>
      </c>
      <c r="D551" s="83"/>
      <c r="E551" s="83"/>
      <c r="F551" s="136" t="e">
        <f>VLOOKUP($B551,#REF!,MATCH(F$2,#REF!,0),0)</f>
        <v>#REF!</v>
      </c>
      <c r="G551" s="137" t="e">
        <f>VLOOKUP($B551,#REF!,MATCH(G$2,#REF!,0),0)</f>
        <v>#REF!</v>
      </c>
      <c r="H551" s="48"/>
      <c r="I551" s="48"/>
      <c r="J551" s="48"/>
      <c r="K551" s="48"/>
      <c r="L551" s="48"/>
      <c r="M551" s="48"/>
      <c r="N551" s="48"/>
      <c r="O551" s="48"/>
      <c r="P551" s="48"/>
      <c r="Q551" s="48"/>
      <c r="R551" s="150" t="e">
        <f t="shared" si="573"/>
        <v>#REF!</v>
      </c>
      <c r="S551" s="150" t="e">
        <f t="shared" si="574"/>
        <v>#REF!</v>
      </c>
      <c r="T551" s="150" t="e">
        <f t="shared" si="575"/>
        <v>#REF!</v>
      </c>
      <c r="U551" s="150" t="e">
        <f t="shared" si="576"/>
        <v>#REF!</v>
      </c>
      <c r="V551" s="150" t="e">
        <f t="shared" si="577"/>
        <v>#REF!</v>
      </c>
      <c r="W551" s="150" t="e">
        <f t="shared" si="578"/>
        <v>#REF!</v>
      </c>
      <c r="X551" s="150" t="e">
        <f t="shared" si="579"/>
        <v>#REF!</v>
      </c>
      <c r="Y551" s="150" t="e">
        <f t="shared" si="570"/>
        <v>#REF!</v>
      </c>
      <c r="Z551" s="150" t="e">
        <f t="shared" si="580"/>
        <v>#REF!</v>
      </c>
      <c r="AA551" s="150" t="e">
        <f t="shared" si="581"/>
        <v>#REF!</v>
      </c>
      <c r="AB551" s="50"/>
    </row>
    <row r="552" s="28" customFormat="1" outlineLevel="3" spans="1:28">
      <c r="A552" s="52">
        <f>MAX($A$6:A551)+1</f>
        <v>501</v>
      </c>
      <c r="B552" s="138" t="s">
        <v>2182</v>
      </c>
      <c r="C552" s="51" t="e">
        <f>VLOOKUP($B552,#REF!,MATCH(C$2,#REF!,0),0)</f>
        <v>#REF!</v>
      </c>
      <c r="D552" s="83"/>
      <c r="E552" s="83"/>
      <c r="F552" s="136" t="e">
        <f>VLOOKUP($B552,#REF!,MATCH(F$2,#REF!,0),0)</f>
        <v>#REF!</v>
      </c>
      <c r="G552" s="137" t="e">
        <f>VLOOKUP($B552,#REF!,MATCH(G$2,#REF!,0),0)</f>
        <v>#REF!</v>
      </c>
      <c r="H552" s="48"/>
      <c r="I552" s="48"/>
      <c r="J552" s="48"/>
      <c r="K552" s="48"/>
      <c r="L552" s="48"/>
      <c r="M552" s="48"/>
      <c r="N552" s="48"/>
      <c r="O552" s="48"/>
      <c r="P552" s="48"/>
      <c r="Q552" s="48"/>
      <c r="R552" s="150" t="e">
        <f t="shared" si="573"/>
        <v>#REF!</v>
      </c>
      <c r="S552" s="150" t="e">
        <f t="shared" si="574"/>
        <v>#REF!</v>
      </c>
      <c r="T552" s="150" t="e">
        <f t="shared" si="575"/>
        <v>#REF!</v>
      </c>
      <c r="U552" s="150" t="e">
        <f t="shared" si="576"/>
        <v>#REF!</v>
      </c>
      <c r="V552" s="150" t="e">
        <f t="shared" si="577"/>
        <v>#REF!</v>
      </c>
      <c r="W552" s="150" t="e">
        <f t="shared" si="578"/>
        <v>#REF!</v>
      </c>
      <c r="X552" s="150" t="e">
        <f t="shared" si="579"/>
        <v>#REF!</v>
      </c>
      <c r="Y552" s="150" t="e">
        <f t="shared" si="570"/>
        <v>#REF!</v>
      </c>
      <c r="Z552" s="150" t="e">
        <f t="shared" si="580"/>
        <v>#REF!</v>
      </c>
      <c r="AA552" s="150" t="e">
        <f t="shared" si="581"/>
        <v>#REF!</v>
      </c>
      <c r="AB552" s="50"/>
    </row>
    <row r="553" s="28" customFormat="1" outlineLevel="3" spans="1:28">
      <c r="A553" s="52">
        <f>MAX($A$6:A552)+1</f>
        <v>502</v>
      </c>
      <c r="B553" s="138" t="s">
        <v>2183</v>
      </c>
      <c r="C553" s="51" t="e">
        <f>VLOOKUP($B553,#REF!,MATCH(C$2,#REF!,0),0)</f>
        <v>#REF!</v>
      </c>
      <c r="D553" s="83"/>
      <c r="E553" s="83"/>
      <c r="F553" s="136" t="e">
        <f>VLOOKUP($B553,#REF!,MATCH(F$2,#REF!,0),0)</f>
        <v>#REF!</v>
      </c>
      <c r="G553" s="137" t="e">
        <f>VLOOKUP($B553,#REF!,MATCH(G$2,#REF!,0),0)</f>
        <v>#REF!</v>
      </c>
      <c r="H553" s="48"/>
      <c r="I553" s="48">
        <v>4</v>
      </c>
      <c r="J553" s="48"/>
      <c r="K553" s="48"/>
      <c r="L553" s="48"/>
      <c r="M553" s="48"/>
      <c r="N553" s="48"/>
      <c r="O553" s="48"/>
      <c r="P553" s="48"/>
      <c r="Q553" s="48"/>
      <c r="R553" s="150" t="e">
        <f t="shared" si="573"/>
        <v>#REF!</v>
      </c>
      <c r="S553" s="150" t="e">
        <f t="shared" si="574"/>
        <v>#REF!</v>
      </c>
      <c r="T553" s="150" t="e">
        <f t="shared" si="575"/>
        <v>#REF!</v>
      </c>
      <c r="U553" s="150" t="e">
        <f t="shared" si="576"/>
        <v>#REF!</v>
      </c>
      <c r="V553" s="150" t="e">
        <f t="shared" si="577"/>
        <v>#REF!</v>
      </c>
      <c r="W553" s="150" t="e">
        <f t="shared" si="578"/>
        <v>#REF!</v>
      </c>
      <c r="X553" s="150" t="e">
        <f t="shared" si="579"/>
        <v>#REF!</v>
      </c>
      <c r="Y553" s="150" t="e">
        <f t="shared" si="570"/>
        <v>#REF!</v>
      </c>
      <c r="Z553" s="150" t="e">
        <f t="shared" si="580"/>
        <v>#REF!</v>
      </c>
      <c r="AA553" s="150" t="e">
        <f t="shared" si="581"/>
        <v>#REF!</v>
      </c>
      <c r="AB553" s="50"/>
    </row>
    <row r="554" s="28" customFormat="1" outlineLevel="3" spans="1:28">
      <c r="A554" s="52">
        <f>MAX($A$6:A553)+1</f>
        <v>503</v>
      </c>
      <c r="B554" s="138" t="s">
        <v>2184</v>
      </c>
      <c r="C554" s="51" t="e">
        <f>VLOOKUP($B554,#REF!,MATCH(C$2,#REF!,0),0)</f>
        <v>#REF!</v>
      </c>
      <c r="D554" s="83"/>
      <c r="E554" s="83"/>
      <c r="F554" s="136" t="e">
        <f>VLOOKUP($B554,#REF!,MATCH(F$2,#REF!,0),0)</f>
        <v>#REF!</v>
      </c>
      <c r="G554" s="137" t="e">
        <f>VLOOKUP($B554,#REF!,MATCH(G$2,#REF!,0),0)</f>
        <v>#REF!</v>
      </c>
      <c r="H554" s="48"/>
      <c r="I554" s="48">
        <v>27</v>
      </c>
      <c r="J554" s="48"/>
      <c r="K554" s="48"/>
      <c r="L554" s="48"/>
      <c r="M554" s="48"/>
      <c r="N554" s="48"/>
      <c r="O554" s="48"/>
      <c r="P554" s="48"/>
      <c r="Q554" s="48"/>
      <c r="R554" s="150" t="e">
        <f t="shared" si="573"/>
        <v>#REF!</v>
      </c>
      <c r="S554" s="150" t="e">
        <f t="shared" si="574"/>
        <v>#REF!</v>
      </c>
      <c r="T554" s="150" t="e">
        <f t="shared" si="575"/>
        <v>#REF!</v>
      </c>
      <c r="U554" s="150" t="e">
        <f t="shared" si="576"/>
        <v>#REF!</v>
      </c>
      <c r="V554" s="150" t="e">
        <f t="shared" si="577"/>
        <v>#REF!</v>
      </c>
      <c r="W554" s="150" t="e">
        <f t="shared" si="578"/>
        <v>#REF!</v>
      </c>
      <c r="X554" s="150" t="e">
        <f t="shared" si="579"/>
        <v>#REF!</v>
      </c>
      <c r="Y554" s="150" t="e">
        <f t="shared" si="570"/>
        <v>#REF!</v>
      </c>
      <c r="Z554" s="150" t="e">
        <f t="shared" si="580"/>
        <v>#REF!</v>
      </c>
      <c r="AA554" s="150" t="e">
        <f t="shared" si="581"/>
        <v>#REF!</v>
      </c>
      <c r="AB554" s="50"/>
    </row>
    <row r="555" s="28" customFormat="1" outlineLevel="3" spans="1:28">
      <c r="A555" s="52">
        <f>MAX($A$6:A554)+1</f>
        <v>504</v>
      </c>
      <c r="B555" s="138" t="s">
        <v>2185</v>
      </c>
      <c r="C555" s="51" t="e">
        <f>VLOOKUP($B555,#REF!,MATCH(C$2,#REF!,0),0)</f>
        <v>#REF!</v>
      </c>
      <c r="D555" s="83"/>
      <c r="E555" s="83"/>
      <c r="F555" s="136" t="e">
        <f>VLOOKUP($B555,#REF!,MATCH(F$2,#REF!,0),0)</f>
        <v>#REF!</v>
      </c>
      <c r="G555" s="137" t="e">
        <f>VLOOKUP($B555,#REF!,MATCH(G$2,#REF!,0),0)</f>
        <v>#REF!</v>
      </c>
      <c r="H555" s="48"/>
      <c r="I555" s="48">
        <v>20</v>
      </c>
      <c r="J555" s="48"/>
      <c r="K555" s="48"/>
      <c r="L555" s="48"/>
      <c r="M555" s="48"/>
      <c r="N555" s="48"/>
      <c r="O555" s="48"/>
      <c r="P555" s="48"/>
      <c r="Q555" s="48"/>
      <c r="R555" s="150" t="e">
        <f t="shared" si="573"/>
        <v>#REF!</v>
      </c>
      <c r="S555" s="150" t="e">
        <f t="shared" si="574"/>
        <v>#REF!</v>
      </c>
      <c r="T555" s="150" t="e">
        <f t="shared" si="575"/>
        <v>#REF!</v>
      </c>
      <c r="U555" s="150" t="e">
        <f t="shared" si="576"/>
        <v>#REF!</v>
      </c>
      <c r="V555" s="150" t="e">
        <f t="shared" si="577"/>
        <v>#REF!</v>
      </c>
      <c r="W555" s="150" t="e">
        <f t="shared" si="578"/>
        <v>#REF!</v>
      </c>
      <c r="X555" s="150" t="e">
        <f t="shared" si="579"/>
        <v>#REF!</v>
      </c>
      <c r="Y555" s="150" t="e">
        <f t="shared" si="570"/>
        <v>#REF!</v>
      </c>
      <c r="Z555" s="150" t="e">
        <f t="shared" si="580"/>
        <v>#REF!</v>
      </c>
      <c r="AA555" s="150" t="e">
        <f t="shared" si="581"/>
        <v>#REF!</v>
      </c>
      <c r="AB555" s="50"/>
    </row>
    <row r="556" s="28" customFormat="1" outlineLevel="3" spans="1:28">
      <c r="A556" s="52">
        <f>MAX($A$6:A555)+1</f>
        <v>505</v>
      </c>
      <c r="B556" s="138" t="s">
        <v>2186</v>
      </c>
      <c r="C556" s="51" t="e">
        <f>VLOOKUP($B556,#REF!,MATCH(C$2,#REF!,0),0)</f>
        <v>#REF!</v>
      </c>
      <c r="D556" s="83"/>
      <c r="E556" s="83"/>
      <c r="F556" s="136" t="e">
        <f>VLOOKUP($B556,#REF!,MATCH(F$2,#REF!,0),0)</f>
        <v>#REF!</v>
      </c>
      <c r="G556" s="137" t="e">
        <f>VLOOKUP($B556,#REF!,MATCH(G$2,#REF!,0),0)</f>
        <v>#REF!</v>
      </c>
      <c r="H556" s="48"/>
      <c r="I556" s="48"/>
      <c r="J556" s="48"/>
      <c r="K556" s="48"/>
      <c r="L556" s="48"/>
      <c r="M556" s="48"/>
      <c r="N556" s="48"/>
      <c r="O556" s="48"/>
      <c r="P556" s="48"/>
      <c r="Q556" s="48"/>
      <c r="R556" s="150" t="e">
        <f t="shared" si="573"/>
        <v>#REF!</v>
      </c>
      <c r="S556" s="150" t="e">
        <f t="shared" si="574"/>
        <v>#REF!</v>
      </c>
      <c r="T556" s="150" t="e">
        <f t="shared" si="575"/>
        <v>#REF!</v>
      </c>
      <c r="U556" s="150" t="e">
        <f t="shared" si="576"/>
        <v>#REF!</v>
      </c>
      <c r="V556" s="150" t="e">
        <f t="shared" si="577"/>
        <v>#REF!</v>
      </c>
      <c r="W556" s="150" t="e">
        <f t="shared" si="578"/>
        <v>#REF!</v>
      </c>
      <c r="X556" s="150" t="e">
        <f t="shared" si="579"/>
        <v>#REF!</v>
      </c>
      <c r="Y556" s="150" t="e">
        <f t="shared" si="570"/>
        <v>#REF!</v>
      </c>
      <c r="Z556" s="150" t="e">
        <f t="shared" si="580"/>
        <v>#REF!</v>
      </c>
      <c r="AA556" s="150" t="e">
        <f t="shared" si="581"/>
        <v>#REF!</v>
      </c>
      <c r="AB556" s="50"/>
    </row>
    <row r="557" s="28" customFormat="1" outlineLevel="3" spans="1:28">
      <c r="A557" s="52">
        <f>MAX($A$6:A556)+1</f>
        <v>506</v>
      </c>
      <c r="B557" s="138" t="s">
        <v>2187</v>
      </c>
      <c r="C557" s="51" t="e">
        <f>VLOOKUP($B557,#REF!,MATCH(C$2,#REF!,0),0)</f>
        <v>#REF!</v>
      </c>
      <c r="D557" s="83"/>
      <c r="E557" s="83"/>
      <c r="F557" s="136" t="e">
        <f>VLOOKUP($B557,#REF!,MATCH(F$2,#REF!,0),0)</f>
        <v>#REF!</v>
      </c>
      <c r="G557" s="137" t="e">
        <f>VLOOKUP($B557,#REF!,MATCH(G$2,#REF!,0),0)</f>
        <v>#REF!</v>
      </c>
      <c r="H557" s="48"/>
      <c r="I557" s="48">
        <v>34</v>
      </c>
      <c r="J557" s="48"/>
      <c r="K557" s="48"/>
      <c r="L557" s="48"/>
      <c r="M557" s="48"/>
      <c r="N557" s="48"/>
      <c r="O557" s="48"/>
      <c r="P557" s="48"/>
      <c r="Q557" s="48"/>
      <c r="R557" s="150" t="e">
        <f t="shared" si="573"/>
        <v>#REF!</v>
      </c>
      <c r="S557" s="150" t="e">
        <f t="shared" si="574"/>
        <v>#REF!</v>
      </c>
      <c r="T557" s="150" t="e">
        <f t="shared" si="575"/>
        <v>#REF!</v>
      </c>
      <c r="U557" s="150" t="e">
        <f t="shared" si="576"/>
        <v>#REF!</v>
      </c>
      <c r="V557" s="150" t="e">
        <f t="shared" si="577"/>
        <v>#REF!</v>
      </c>
      <c r="W557" s="150" t="e">
        <f t="shared" si="578"/>
        <v>#REF!</v>
      </c>
      <c r="X557" s="150" t="e">
        <f t="shared" si="579"/>
        <v>#REF!</v>
      </c>
      <c r="Y557" s="150" t="e">
        <f t="shared" si="570"/>
        <v>#REF!</v>
      </c>
      <c r="Z557" s="150" t="e">
        <f t="shared" si="580"/>
        <v>#REF!</v>
      </c>
      <c r="AA557" s="150" t="e">
        <f t="shared" si="581"/>
        <v>#REF!</v>
      </c>
      <c r="AB557" s="50"/>
    </row>
    <row r="558" s="28" customFormat="1" outlineLevel="3" spans="1:28">
      <c r="A558" s="52">
        <f>MAX($A$6:A557)+1</f>
        <v>507</v>
      </c>
      <c r="B558" s="138" t="s">
        <v>1523</v>
      </c>
      <c r="C558" s="51" t="e">
        <f>VLOOKUP($B558,#REF!,MATCH(C$2,#REF!,0),0)</f>
        <v>#REF!</v>
      </c>
      <c r="D558" s="83"/>
      <c r="E558" s="83"/>
      <c r="F558" s="136" t="e">
        <f>VLOOKUP($B558,#REF!,MATCH(F$2,#REF!,0),0)</f>
        <v>#REF!</v>
      </c>
      <c r="G558" s="137" t="e">
        <f>VLOOKUP($B558,#REF!,MATCH(G$2,#REF!,0),0)</f>
        <v>#REF!</v>
      </c>
      <c r="H558" s="48"/>
      <c r="I558" s="48">
        <v>3</v>
      </c>
      <c r="J558" s="48"/>
      <c r="K558" s="48"/>
      <c r="L558" s="48"/>
      <c r="M558" s="48"/>
      <c r="N558" s="48"/>
      <c r="O558" s="48"/>
      <c r="P558" s="48"/>
      <c r="Q558" s="48"/>
      <c r="R558" s="150" t="e">
        <f t="shared" si="573"/>
        <v>#REF!</v>
      </c>
      <c r="S558" s="150" t="e">
        <f t="shared" si="574"/>
        <v>#REF!</v>
      </c>
      <c r="T558" s="150" t="e">
        <f t="shared" si="575"/>
        <v>#REF!</v>
      </c>
      <c r="U558" s="150" t="e">
        <f t="shared" si="576"/>
        <v>#REF!</v>
      </c>
      <c r="V558" s="150" t="e">
        <f t="shared" si="577"/>
        <v>#REF!</v>
      </c>
      <c r="W558" s="150" t="e">
        <f t="shared" si="578"/>
        <v>#REF!</v>
      </c>
      <c r="X558" s="150" t="e">
        <f t="shared" si="579"/>
        <v>#REF!</v>
      </c>
      <c r="Y558" s="150" t="e">
        <f t="shared" si="570"/>
        <v>#REF!</v>
      </c>
      <c r="Z558" s="150" t="e">
        <f t="shared" si="580"/>
        <v>#REF!</v>
      </c>
      <c r="AA558" s="150" t="e">
        <f t="shared" si="581"/>
        <v>#REF!</v>
      </c>
      <c r="AB558" s="50"/>
    </row>
    <row r="559" s="28" customFormat="1" outlineLevel="3" spans="1:28">
      <c r="A559" s="52">
        <f>MAX($A$6:A558)+1</f>
        <v>508</v>
      </c>
      <c r="B559" s="138" t="s">
        <v>1521</v>
      </c>
      <c r="C559" s="51" t="e">
        <f>VLOOKUP($B559,#REF!,MATCH(C$2,#REF!,0),0)</f>
        <v>#REF!</v>
      </c>
      <c r="D559" s="83"/>
      <c r="E559" s="83"/>
      <c r="F559" s="136" t="e">
        <f>VLOOKUP($B559,#REF!,MATCH(F$2,#REF!,0),0)</f>
        <v>#REF!</v>
      </c>
      <c r="G559" s="137" t="e">
        <f>VLOOKUP($B559,#REF!,MATCH(G$2,#REF!,0),0)</f>
        <v>#REF!</v>
      </c>
      <c r="H559" s="48"/>
      <c r="I559" s="48">
        <v>6</v>
      </c>
      <c r="J559" s="48"/>
      <c r="K559" s="48"/>
      <c r="L559" s="48"/>
      <c r="M559" s="48"/>
      <c r="N559" s="48"/>
      <c r="O559" s="48"/>
      <c r="P559" s="48"/>
      <c r="Q559" s="48"/>
      <c r="R559" s="150" t="e">
        <f t="shared" si="573"/>
        <v>#REF!</v>
      </c>
      <c r="S559" s="150" t="e">
        <f t="shared" si="574"/>
        <v>#REF!</v>
      </c>
      <c r="T559" s="150" t="e">
        <f t="shared" si="575"/>
        <v>#REF!</v>
      </c>
      <c r="U559" s="150" t="e">
        <f t="shared" si="576"/>
        <v>#REF!</v>
      </c>
      <c r="V559" s="150" t="e">
        <f t="shared" si="577"/>
        <v>#REF!</v>
      </c>
      <c r="W559" s="150" t="e">
        <f t="shared" si="578"/>
        <v>#REF!</v>
      </c>
      <c r="X559" s="150" t="e">
        <f t="shared" si="579"/>
        <v>#REF!</v>
      </c>
      <c r="Y559" s="150" t="e">
        <f t="shared" si="570"/>
        <v>#REF!</v>
      </c>
      <c r="Z559" s="150" t="e">
        <f t="shared" si="580"/>
        <v>#REF!</v>
      </c>
      <c r="AA559" s="150" t="e">
        <f t="shared" si="581"/>
        <v>#REF!</v>
      </c>
      <c r="AB559" s="50"/>
    </row>
    <row r="560" s="28" customFormat="1" outlineLevel="3" spans="1:28">
      <c r="A560" s="52">
        <f>MAX($A$6:A559)+1</f>
        <v>509</v>
      </c>
      <c r="B560" s="138" t="s">
        <v>1520</v>
      </c>
      <c r="C560" s="51" t="e">
        <f>VLOOKUP($B560,#REF!,MATCH(C$2,#REF!,0),0)</f>
        <v>#REF!</v>
      </c>
      <c r="D560" s="83"/>
      <c r="E560" s="83"/>
      <c r="F560" s="136" t="e">
        <f>VLOOKUP($B560,#REF!,MATCH(F$2,#REF!,0),0)</f>
        <v>#REF!</v>
      </c>
      <c r="G560" s="137" t="e">
        <f>VLOOKUP($B560,#REF!,MATCH(G$2,#REF!,0),0)</f>
        <v>#REF!</v>
      </c>
      <c r="H560" s="48"/>
      <c r="I560" s="48"/>
      <c r="J560" s="48"/>
      <c r="K560" s="48"/>
      <c r="L560" s="48"/>
      <c r="M560" s="48"/>
      <c r="N560" s="48"/>
      <c r="O560" s="48"/>
      <c r="P560" s="48"/>
      <c r="Q560" s="48"/>
      <c r="R560" s="150" t="e">
        <f t="shared" si="573"/>
        <v>#REF!</v>
      </c>
      <c r="S560" s="150" t="e">
        <f t="shared" si="574"/>
        <v>#REF!</v>
      </c>
      <c r="T560" s="150" t="e">
        <f t="shared" si="575"/>
        <v>#REF!</v>
      </c>
      <c r="U560" s="150" t="e">
        <f t="shared" si="576"/>
        <v>#REF!</v>
      </c>
      <c r="V560" s="150" t="e">
        <f t="shared" si="577"/>
        <v>#REF!</v>
      </c>
      <c r="W560" s="150" t="e">
        <f t="shared" si="578"/>
        <v>#REF!</v>
      </c>
      <c r="X560" s="150" t="e">
        <f t="shared" si="579"/>
        <v>#REF!</v>
      </c>
      <c r="Y560" s="150" t="e">
        <f t="shared" si="570"/>
        <v>#REF!</v>
      </c>
      <c r="Z560" s="150" t="e">
        <f t="shared" si="580"/>
        <v>#REF!</v>
      </c>
      <c r="AA560" s="150" t="e">
        <f t="shared" si="581"/>
        <v>#REF!</v>
      </c>
      <c r="AB560" s="50"/>
    </row>
    <row r="561" s="28" customFormat="1" outlineLevel="3" spans="1:28">
      <c r="A561" s="52">
        <f>MAX($A$6:A560)+1</f>
        <v>510</v>
      </c>
      <c r="B561" s="138" t="s">
        <v>1519</v>
      </c>
      <c r="C561" s="51" t="e">
        <f>VLOOKUP($B561,#REF!,MATCH(C$2,#REF!,0),0)</f>
        <v>#REF!</v>
      </c>
      <c r="D561" s="83"/>
      <c r="E561" s="83"/>
      <c r="F561" s="136" t="e">
        <f>VLOOKUP($B561,#REF!,MATCH(F$2,#REF!,0),0)</f>
        <v>#REF!</v>
      </c>
      <c r="G561" s="137" t="e">
        <f>VLOOKUP($B561,#REF!,MATCH(G$2,#REF!,0),0)</f>
        <v>#REF!</v>
      </c>
      <c r="H561" s="48"/>
      <c r="I561" s="48"/>
      <c r="J561" s="48"/>
      <c r="K561" s="48"/>
      <c r="L561" s="48"/>
      <c r="M561" s="48"/>
      <c r="N561" s="48"/>
      <c r="O561" s="48"/>
      <c r="P561" s="48"/>
      <c r="Q561" s="48"/>
      <c r="R561" s="150" t="e">
        <f t="shared" si="573"/>
        <v>#REF!</v>
      </c>
      <c r="S561" s="150" t="e">
        <f t="shared" si="574"/>
        <v>#REF!</v>
      </c>
      <c r="T561" s="150" t="e">
        <f t="shared" si="575"/>
        <v>#REF!</v>
      </c>
      <c r="U561" s="150" t="e">
        <f t="shared" si="576"/>
        <v>#REF!</v>
      </c>
      <c r="V561" s="150" t="e">
        <f t="shared" si="577"/>
        <v>#REF!</v>
      </c>
      <c r="W561" s="150" t="e">
        <f t="shared" si="578"/>
        <v>#REF!</v>
      </c>
      <c r="X561" s="150" t="e">
        <f t="shared" si="579"/>
        <v>#REF!</v>
      </c>
      <c r="Y561" s="150" t="e">
        <f t="shared" si="570"/>
        <v>#REF!</v>
      </c>
      <c r="Z561" s="150" t="e">
        <f t="shared" si="580"/>
        <v>#REF!</v>
      </c>
      <c r="AA561" s="150" t="e">
        <f t="shared" si="581"/>
        <v>#REF!</v>
      </c>
      <c r="AB561" s="50"/>
    </row>
    <row r="562" s="28" customFormat="1" outlineLevel="3" spans="1:28">
      <c r="A562" s="52">
        <f>MAX($A$6:A561)+1</f>
        <v>511</v>
      </c>
      <c r="B562" s="138" t="s">
        <v>2188</v>
      </c>
      <c r="C562" s="51" t="e">
        <f>VLOOKUP($B562,#REF!,MATCH(C$2,#REF!,0),0)</f>
        <v>#REF!</v>
      </c>
      <c r="D562" s="83"/>
      <c r="E562" s="83"/>
      <c r="F562" s="136" t="e">
        <f>VLOOKUP($B562,#REF!,MATCH(F$2,#REF!,0),0)</f>
        <v>#REF!</v>
      </c>
      <c r="G562" s="137" t="e">
        <f>VLOOKUP($B562,#REF!,MATCH(G$2,#REF!,0),0)</f>
        <v>#REF!</v>
      </c>
      <c r="H562" s="48"/>
      <c r="I562" s="48"/>
      <c r="J562" s="48"/>
      <c r="K562" s="48"/>
      <c r="L562" s="48"/>
      <c r="M562" s="48"/>
      <c r="N562" s="48"/>
      <c r="O562" s="48"/>
      <c r="P562" s="48">
        <v>11</v>
      </c>
      <c r="Q562" s="48"/>
      <c r="R562" s="150" t="e">
        <f t="shared" si="573"/>
        <v>#REF!</v>
      </c>
      <c r="S562" s="150" t="e">
        <f t="shared" si="574"/>
        <v>#REF!</v>
      </c>
      <c r="T562" s="150" t="e">
        <f t="shared" si="575"/>
        <v>#REF!</v>
      </c>
      <c r="U562" s="150" t="e">
        <f t="shared" si="576"/>
        <v>#REF!</v>
      </c>
      <c r="V562" s="150" t="e">
        <f t="shared" si="577"/>
        <v>#REF!</v>
      </c>
      <c r="W562" s="150" t="e">
        <f t="shared" si="578"/>
        <v>#REF!</v>
      </c>
      <c r="X562" s="150" t="e">
        <f t="shared" si="579"/>
        <v>#REF!</v>
      </c>
      <c r="Y562" s="150" t="e">
        <f t="shared" si="570"/>
        <v>#REF!</v>
      </c>
      <c r="Z562" s="150" t="e">
        <f t="shared" si="580"/>
        <v>#REF!</v>
      </c>
      <c r="AA562" s="150" t="e">
        <f t="shared" si="581"/>
        <v>#REF!</v>
      </c>
      <c r="AB562" s="50"/>
    </row>
    <row r="563" s="28" customFormat="1" outlineLevel="3" spans="1:28">
      <c r="A563" s="52">
        <f>MAX($A$6:A562)+1</f>
        <v>512</v>
      </c>
      <c r="B563" s="138" t="s">
        <v>2189</v>
      </c>
      <c r="C563" s="51" t="e">
        <f>VLOOKUP($B563,#REF!,MATCH(C$2,#REF!,0),0)</f>
        <v>#REF!</v>
      </c>
      <c r="D563" s="83"/>
      <c r="E563" s="83"/>
      <c r="F563" s="136" t="e">
        <f>VLOOKUP($B563,#REF!,MATCH(F$2,#REF!,0),0)</f>
        <v>#REF!</v>
      </c>
      <c r="G563" s="137" t="e">
        <f>VLOOKUP($B563,#REF!,MATCH(G$2,#REF!,0),0)</f>
        <v>#REF!</v>
      </c>
      <c r="H563" s="48"/>
      <c r="I563" s="48"/>
      <c r="J563" s="48"/>
      <c r="K563" s="48"/>
      <c r="L563" s="48"/>
      <c r="M563" s="48"/>
      <c r="N563" s="48"/>
      <c r="O563" s="48"/>
      <c r="P563" s="48">
        <f>1+9+6+12+15+36*4+6+7*3+6*6+26</f>
        <v>276</v>
      </c>
      <c r="Q563" s="48"/>
      <c r="R563" s="150" t="e">
        <f t="shared" si="573"/>
        <v>#REF!</v>
      </c>
      <c r="S563" s="150" t="e">
        <f t="shared" si="574"/>
        <v>#REF!</v>
      </c>
      <c r="T563" s="150" t="e">
        <f t="shared" si="575"/>
        <v>#REF!</v>
      </c>
      <c r="U563" s="150" t="e">
        <f t="shared" si="576"/>
        <v>#REF!</v>
      </c>
      <c r="V563" s="150" t="e">
        <f t="shared" si="577"/>
        <v>#REF!</v>
      </c>
      <c r="W563" s="150" t="e">
        <f t="shared" si="578"/>
        <v>#REF!</v>
      </c>
      <c r="X563" s="150" t="e">
        <f t="shared" si="579"/>
        <v>#REF!</v>
      </c>
      <c r="Y563" s="150" t="e">
        <f t="shared" si="570"/>
        <v>#REF!</v>
      </c>
      <c r="Z563" s="150" t="e">
        <f t="shared" si="580"/>
        <v>#REF!</v>
      </c>
      <c r="AA563" s="150" t="e">
        <f t="shared" si="581"/>
        <v>#REF!</v>
      </c>
      <c r="AB563" s="50"/>
    </row>
    <row r="564" s="28" customFormat="1" outlineLevel="3" spans="1:28">
      <c r="A564" s="52">
        <f>MAX($A$6:A563)+1</f>
        <v>513</v>
      </c>
      <c r="B564" s="138" t="s">
        <v>2190</v>
      </c>
      <c r="C564" s="51" t="e">
        <f>VLOOKUP($B564,#REF!,MATCH(C$2,#REF!,0),0)</f>
        <v>#REF!</v>
      </c>
      <c r="D564" s="83"/>
      <c r="E564" s="83"/>
      <c r="F564" s="136" t="e">
        <f>VLOOKUP($B564,#REF!,MATCH(F$2,#REF!,0),0)</f>
        <v>#REF!</v>
      </c>
      <c r="G564" s="137" t="e">
        <f>VLOOKUP($B564,#REF!,MATCH(G$2,#REF!,0),0)</f>
        <v>#REF!</v>
      </c>
      <c r="H564" s="48"/>
      <c r="I564" s="48"/>
      <c r="J564" s="48"/>
      <c r="K564" s="48"/>
      <c r="L564" s="48"/>
      <c r="M564" s="48"/>
      <c r="N564" s="48"/>
      <c r="O564" s="48"/>
      <c r="P564" s="48">
        <v>1</v>
      </c>
      <c r="Q564" s="48"/>
      <c r="R564" s="150" t="e">
        <f t="shared" si="573"/>
        <v>#REF!</v>
      </c>
      <c r="S564" s="150" t="e">
        <f t="shared" si="574"/>
        <v>#REF!</v>
      </c>
      <c r="T564" s="150" t="e">
        <f t="shared" si="575"/>
        <v>#REF!</v>
      </c>
      <c r="U564" s="150" t="e">
        <f t="shared" si="576"/>
        <v>#REF!</v>
      </c>
      <c r="V564" s="150" t="e">
        <f t="shared" si="577"/>
        <v>#REF!</v>
      </c>
      <c r="W564" s="150" t="e">
        <f t="shared" si="578"/>
        <v>#REF!</v>
      </c>
      <c r="X564" s="150" t="e">
        <f t="shared" si="579"/>
        <v>#REF!</v>
      </c>
      <c r="Y564" s="150" t="e">
        <f t="shared" si="570"/>
        <v>#REF!</v>
      </c>
      <c r="Z564" s="150" t="e">
        <f t="shared" si="580"/>
        <v>#REF!</v>
      </c>
      <c r="AA564" s="150" t="e">
        <f t="shared" si="581"/>
        <v>#REF!</v>
      </c>
      <c r="AB564" s="50"/>
    </row>
    <row r="565" s="28" customFormat="1" outlineLevel="3" spans="1:28">
      <c r="A565" s="52">
        <f>MAX($A$6:A564)+1</f>
        <v>514</v>
      </c>
      <c r="B565" s="138" t="s">
        <v>2191</v>
      </c>
      <c r="C565" s="51" t="e">
        <f>VLOOKUP($B565,#REF!,MATCH(C$2,#REF!,0),0)</f>
        <v>#REF!</v>
      </c>
      <c r="D565" s="83"/>
      <c r="E565" s="83"/>
      <c r="F565" s="136" t="e">
        <f>VLOOKUP($B565,#REF!,MATCH(F$2,#REF!,0),0)</f>
        <v>#REF!</v>
      </c>
      <c r="G565" s="137" t="e">
        <f>VLOOKUP($B565,#REF!,MATCH(G$2,#REF!,0),0)</f>
        <v>#REF!</v>
      </c>
      <c r="H565" s="48"/>
      <c r="I565" s="48"/>
      <c r="J565" s="48"/>
      <c r="K565" s="48"/>
      <c r="L565" s="48"/>
      <c r="M565" s="48"/>
      <c r="N565" s="48"/>
      <c r="O565" s="48"/>
      <c r="P565" s="48">
        <f>1+12+2+9+4</f>
        <v>28</v>
      </c>
      <c r="Q565" s="48"/>
      <c r="R565" s="150" t="e">
        <f t="shared" si="573"/>
        <v>#REF!</v>
      </c>
      <c r="S565" s="150" t="e">
        <f t="shared" si="574"/>
        <v>#REF!</v>
      </c>
      <c r="T565" s="150" t="e">
        <f t="shared" si="575"/>
        <v>#REF!</v>
      </c>
      <c r="U565" s="150" t="e">
        <f t="shared" si="576"/>
        <v>#REF!</v>
      </c>
      <c r="V565" s="150" t="e">
        <f t="shared" si="577"/>
        <v>#REF!</v>
      </c>
      <c r="W565" s="150" t="e">
        <f t="shared" si="578"/>
        <v>#REF!</v>
      </c>
      <c r="X565" s="150" t="e">
        <f t="shared" si="579"/>
        <v>#REF!</v>
      </c>
      <c r="Y565" s="150" t="e">
        <f t="shared" si="570"/>
        <v>#REF!</v>
      </c>
      <c r="Z565" s="150" t="e">
        <f t="shared" si="580"/>
        <v>#REF!</v>
      </c>
      <c r="AA565" s="150" t="e">
        <f t="shared" si="581"/>
        <v>#REF!</v>
      </c>
      <c r="AB565" s="50"/>
    </row>
    <row r="566" s="28" customFormat="1" outlineLevel="3" spans="1:28">
      <c r="A566" s="52">
        <f>MAX($A$6:A565)+1</f>
        <v>515</v>
      </c>
      <c r="B566" s="138" t="s">
        <v>1368</v>
      </c>
      <c r="C566" s="51" t="e">
        <f>VLOOKUP($B566,#REF!,MATCH(C$2,#REF!,0),0)</f>
        <v>#REF!</v>
      </c>
      <c r="D566" s="83"/>
      <c r="E566" s="83"/>
      <c r="F566" s="136" t="e">
        <f>VLOOKUP($B566,#REF!,MATCH(F$2,#REF!,0),0)</f>
        <v>#REF!</v>
      </c>
      <c r="G566" s="137" t="e">
        <f>VLOOKUP($B566,#REF!,MATCH(G$2,#REF!,0),0)</f>
        <v>#REF!</v>
      </c>
      <c r="H566" s="48"/>
      <c r="I566" s="48"/>
      <c r="J566" s="48"/>
      <c r="K566" s="48"/>
      <c r="L566" s="48"/>
      <c r="M566" s="48"/>
      <c r="N566" s="48"/>
      <c r="O566" s="48"/>
      <c r="P566" s="48">
        <f>1+12+2+9+4</f>
        <v>28</v>
      </c>
      <c r="Q566" s="48"/>
      <c r="R566" s="150" t="e">
        <f t="shared" si="573"/>
        <v>#REF!</v>
      </c>
      <c r="S566" s="150" t="e">
        <f t="shared" si="574"/>
        <v>#REF!</v>
      </c>
      <c r="T566" s="150" t="e">
        <f t="shared" si="575"/>
        <v>#REF!</v>
      </c>
      <c r="U566" s="150" t="e">
        <f t="shared" si="576"/>
        <v>#REF!</v>
      </c>
      <c r="V566" s="150" t="e">
        <f t="shared" si="577"/>
        <v>#REF!</v>
      </c>
      <c r="W566" s="150" t="e">
        <f t="shared" si="578"/>
        <v>#REF!</v>
      </c>
      <c r="X566" s="150" t="e">
        <f t="shared" si="579"/>
        <v>#REF!</v>
      </c>
      <c r="Y566" s="150" t="e">
        <f t="shared" si="570"/>
        <v>#REF!</v>
      </c>
      <c r="Z566" s="150" t="e">
        <f t="shared" si="580"/>
        <v>#REF!</v>
      </c>
      <c r="AA566" s="150" t="e">
        <f t="shared" si="581"/>
        <v>#REF!</v>
      </c>
      <c r="AB566" s="50"/>
    </row>
    <row r="567" s="28" customFormat="1" outlineLevel="3" spans="1:28">
      <c r="A567" s="52">
        <f>MAX($A$6:A566)+1</f>
        <v>516</v>
      </c>
      <c r="B567" s="138" t="s">
        <v>2192</v>
      </c>
      <c r="C567" s="51" t="e">
        <f>VLOOKUP($B567,#REF!,MATCH(C$2,#REF!,0),0)</f>
        <v>#REF!</v>
      </c>
      <c r="D567" s="83"/>
      <c r="E567" s="83"/>
      <c r="F567" s="136" t="e">
        <f>VLOOKUP($B567,#REF!,MATCH(F$2,#REF!,0),0)</f>
        <v>#REF!</v>
      </c>
      <c r="G567" s="137" t="e">
        <f>VLOOKUP($B567,#REF!,MATCH(G$2,#REF!,0),0)</f>
        <v>#REF!</v>
      </c>
      <c r="H567" s="48">
        <v>695.13</v>
      </c>
      <c r="I567" s="48">
        <v>546.79</v>
      </c>
      <c r="J567" s="48">
        <v>325.17</v>
      </c>
      <c r="K567" s="48">
        <v>325.17</v>
      </c>
      <c r="L567" s="48">
        <v>150</v>
      </c>
      <c r="M567" s="48"/>
      <c r="N567" s="48"/>
      <c r="O567" s="48"/>
      <c r="P567" s="48">
        <f>13464.47+4331.24</f>
        <v>17795.71</v>
      </c>
      <c r="Q567" s="48">
        <f>32399.5+15463.58</f>
        <v>47863.08</v>
      </c>
      <c r="R567" s="150" t="e">
        <f t="shared" si="573"/>
        <v>#REF!</v>
      </c>
      <c r="S567" s="150" t="e">
        <f t="shared" si="574"/>
        <v>#REF!</v>
      </c>
      <c r="T567" s="150" t="e">
        <f t="shared" si="575"/>
        <v>#REF!</v>
      </c>
      <c r="U567" s="150" t="e">
        <f t="shared" si="576"/>
        <v>#REF!</v>
      </c>
      <c r="V567" s="150" t="e">
        <f t="shared" si="577"/>
        <v>#REF!</v>
      </c>
      <c r="W567" s="150" t="e">
        <f t="shared" si="578"/>
        <v>#REF!</v>
      </c>
      <c r="X567" s="150" t="e">
        <f t="shared" si="579"/>
        <v>#REF!</v>
      </c>
      <c r="Y567" s="150" t="e">
        <f t="shared" si="570"/>
        <v>#REF!</v>
      </c>
      <c r="Z567" s="150" t="e">
        <f t="shared" si="580"/>
        <v>#REF!</v>
      </c>
      <c r="AA567" s="150" t="e">
        <f t="shared" si="581"/>
        <v>#REF!</v>
      </c>
      <c r="AB567" s="50"/>
    </row>
    <row r="568" s="28" customFormat="1" outlineLevel="3" spans="1:28">
      <c r="A568" s="52">
        <f>MAX($A$6:A567)+1</f>
        <v>517</v>
      </c>
      <c r="B568" s="138" t="s">
        <v>2193</v>
      </c>
      <c r="C568" s="51" t="e">
        <f>VLOOKUP($B568,#REF!,MATCH(C$2,#REF!,0),0)</f>
        <v>#REF!</v>
      </c>
      <c r="D568" s="83"/>
      <c r="E568" s="83"/>
      <c r="F568" s="136" t="e">
        <f>VLOOKUP($B568,#REF!,MATCH(F$2,#REF!,0),0)</f>
        <v>#REF!</v>
      </c>
      <c r="G568" s="137" t="e">
        <f>VLOOKUP($B568,#REF!,MATCH(G$2,#REF!,0),0)</f>
        <v>#REF!</v>
      </c>
      <c r="H568" s="48">
        <v>1</v>
      </c>
      <c r="I568" s="48">
        <v>1</v>
      </c>
      <c r="J568" s="48">
        <v>1</v>
      </c>
      <c r="K568" s="48">
        <v>1</v>
      </c>
      <c r="L568" s="48"/>
      <c r="M568" s="48"/>
      <c r="N568" s="48"/>
      <c r="O568" s="48"/>
      <c r="P568" s="48">
        <f>2652.24+6675.23</f>
        <v>9327.47</v>
      </c>
      <c r="Q568" s="48">
        <f>3588.56+15470.09</f>
        <v>19058.65</v>
      </c>
      <c r="R568" s="150" t="e">
        <f t="shared" si="573"/>
        <v>#REF!</v>
      </c>
      <c r="S568" s="150" t="e">
        <f t="shared" si="574"/>
        <v>#REF!</v>
      </c>
      <c r="T568" s="150" t="e">
        <f t="shared" si="575"/>
        <v>#REF!</v>
      </c>
      <c r="U568" s="150" t="e">
        <f t="shared" si="576"/>
        <v>#REF!</v>
      </c>
      <c r="V568" s="150" t="e">
        <f t="shared" si="577"/>
        <v>#REF!</v>
      </c>
      <c r="W568" s="150" t="e">
        <f t="shared" si="578"/>
        <v>#REF!</v>
      </c>
      <c r="X568" s="150" t="e">
        <f t="shared" si="579"/>
        <v>#REF!</v>
      </c>
      <c r="Y568" s="150" t="e">
        <f t="shared" si="570"/>
        <v>#REF!</v>
      </c>
      <c r="Z568" s="150" t="e">
        <f t="shared" si="580"/>
        <v>#REF!</v>
      </c>
      <c r="AA568" s="150" t="e">
        <f t="shared" si="581"/>
        <v>#REF!</v>
      </c>
      <c r="AB568" s="50"/>
    </row>
    <row r="569" s="28" customFormat="1" outlineLevel="3" spans="1:28">
      <c r="A569" s="52">
        <f>MAX($A$6:A568)+1</f>
        <v>518</v>
      </c>
      <c r="B569" s="138" t="s">
        <v>2194</v>
      </c>
      <c r="C569" s="51" t="e">
        <f>VLOOKUP($B569,#REF!,MATCH(C$2,#REF!,0),0)</f>
        <v>#REF!</v>
      </c>
      <c r="D569" s="83"/>
      <c r="E569" s="83"/>
      <c r="F569" s="136" t="e">
        <f>VLOOKUP($B569,#REF!,MATCH(F$2,#REF!,0),0)</f>
        <v>#REF!</v>
      </c>
      <c r="G569" s="137" t="e">
        <f>VLOOKUP($B569,#REF!,MATCH(G$2,#REF!,0),0)</f>
        <v>#REF!</v>
      </c>
      <c r="H569" s="48"/>
      <c r="I569" s="48"/>
      <c r="J569" s="48"/>
      <c r="K569" s="48"/>
      <c r="L569" s="48"/>
      <c r="M569" s="48"/>
      <c r="N569" s="48"/>
      <c r="O569" s="48"/>
      <c r="P569" s="48">
        <v>277.47</v>
      </c>
      <c r="Q569" s="48"/>
      <c r="R569" s="150" t="e">
        <f t="shared" si="573"/>
        <v>#REF!</v>
      </c>
      <c r="S569" s="150" t="e">
        <f t="shared" si="574"/>
        <v>#REF!</v>
      </c>
      <c r="T569" s="150" t="e">
        <f t="shared" si="575"/>
        <v>#REF!</v>
      </c>
      <c r="U569" s="150" t="e">
        <f t="shared" si="576"/>
        <v>#REF!</v>
      </c>
      <c r="V569" s="150" t="e">
        <f t="shared" si="577"/>
        <v>#REF!</v>
      </c>
      <c r="W569" s="150" t="e">
        <f t="shared" si="578"/>
        <v>#REF!</v>
      </c>
      <c r="X569" s="150" t="e">
        <f t="shared" si="579"/>
        <v>#REF!</v>
      </c>
      <c r="Y569" s="150" t="e">
        <f t="shared" si="570"/>
        <v>#REF!</v>
      </c>
      <c r="Z569" s="150" t="e">
        <f t="shared" si="580"/>
        <v>#REF!</v>
      </c>
      <c r="AA569" s="150" t="e">
        <f t="shared" si="581"/>
        <v>#REF!</v>
      </c>
      <c r="AB569" s="50"/>
    </row>
    <row r="570" s="28" customFormat="1" outlineLevel="3" spans="1:28">
      <c r="A570" s="52">
        <f>MAX($A$6:A569)+1</f>
        <v>519</v>
      </c>
      <c r="B570" s="138" t="s">
        <v>2195</v>
      </c>
      <c r="C570" s="51" t="e">
        <f>VLOOKUP($B570,#REF!,MATCH(C$2,#REF!,0),0)</f>
        <v>#REF!</v>
      </c>
      <c r="D570" s="83"/>
      <c r="E570" s="83"/>
      <c r="F570" s="136" t="e">
        <f>VLOOKUP($B570,#REF!,MATCH(F$2,#REF!,0),0)</f>
        <v>#REF!</v>
      </c>
      <c r="G570" s="137" t="e">
        <f>VLOOKUP($B570,#REF!,MATCH(G$2,#REF!,0),0)</f>
        <v>#REF!</v>
      </c>
      <c r="H570" s="48"/>
      <c r="I570" s="48"/>
      <c r="J570" s="48"/>
      <c r="K570" s="48"/>
      <c r="L570" s="48"/>
      <c r="M570" s="48"/>
      <c r="N570" s="48"/>
      <c r="O570" s="48"/>
      <c r="P570" s="48">
        <f>613.98+987.81</f>
        <v>1601.79</v>
      </c>
      <c r="Q570" s="48"/>
      <c r="R570" s="150" t="e">
        <f t="shared" si="573"/>
        <v>#REF!</v>
      </c>
      <c r="S570" s="150" t="e">
        <f t="shared" si="574"/>
        <v>#REF!</v>
      </c>
      <c r="T570" s="150" t="e">
        <f t="shared" si="575"/>
        <v>#REF!</v>
      </c>
      <c r="U570" s="150" t="e">
        <f t="shared" si="576"/>
        <v>#REF!</v>
      </c>
      <c r="V570" s="150" t="e">
        <f t="shared" si="577"/>
        <v>#REF!</v>
      </c>
      <c r="W570" s="150" t="e">
        <f t="shared" si="578"/>
        <v>#REF!</v>
      </c>
      <c r="X570" s="150" t="e">
        <f t="shared" si="579"/>
        <v>#REF!</v>
      </c>
      <c r="Y570" s="150" t="e">
        <f t="shared" si="570"/>
        <v>#REF!</v>
      </c>
      <c r="Z570" s="150" t="e">
        <f t="shared" si="580"/>
        <v>#REF!</v>
      </c>
      <c r="AA570" s="150" t="e">
        <f t="shared" si="581"/>
        <v>#REF!</v>
      </c>
      <c r="AB570" s="50"/>
    </row>
    <row r="571" s="28" customFormat="1" outlineLevel="3" spans="1:28">
      <c r="A571" s="52">
        <f>MAX($A$6:A570)+1</f>
        <v>520</v>
      </c>
      <c r="B571" s="138" t="s">
        <v>2196</v>
      </c>
      <c r="C571" s="51" t="e">
        <f>VLOOKUP($B571,#REF!,MATCH(C$2,#REF!,0),0)</f>
        <v>#REF!</v>
      </c>
      <c r="D571" s="83"/>
      <c r="E571" s="83"/>
      <c r="F571" s="136" t="e">
        <f>VLOOKUP($B571,#REF!,MATCH(F$2,#REF!,0),0)</f>
        <v>#REF!</v>
      </c>
      <c r="G571" s="137" t="e">
        <f>VLOOKUP($B571,#REF!,MATCH(G$2,#REF!,0),0)</f>
        <v>#REF!</v>
      </c>
      <c r="H571" s="48"/>
      <c r="I571" s="48"/>
      <c r="J571" s="48"/>
      <c r="K571" s="48"/>
      <c r="L571" s="48"/>
      <c r="M571" s="48"/>
      <c r="N571" s="48"/>
      <c r="O571" s="48"/>
      <c r="P571" s="48"/>
      <c r="Q571" s="48"/>
      <c r="R571" s="150" t="e">
        <f t="shared" si="573"/>
        <v>#REF!</v>
      </c>
      <c r="S571" s="150" t="e">
        <f t="shared" si="574"/>
        <v>#REF!</v>
      </c>
      <c r="T571" s="150" t="e">
        <f t="shared" si="575"/>
        <v>#REF!</v>
      </c>
      <c r="U571" s="150" t="e">
        <f t="shared" si="576"/>
        <v>#REF!</v>
      </c>
      <c r="V571" s="150" t="e">
        <f t="shared" si="577"/>
        <v>#REF!</v>
      </c>
      <c r="W571" s="150" t="e">
        <f t="shared" si="578"/>
        <v>#REF!</v>
      </c>
      <c r="X571" s="150" t="e">
        <f t="shared" si="579"/>
        <v>#REF!</v>
      </c>
      <c r="Y571" s="150" t="e">
        <f t="shared" si="570"/>
        <v>#REF!</v>
      </c>
      <c r="Z571" s="150" t="e">
        <f t="shared" si="580"/>
        <v>#REF!</v>
      </c>
      <c r="AA571" s="150" t="e">
        <f t="shared" si="581"/>
        <v>#REF!</v>
      </c>
      <c r="AB571" s="50"/>
    </row>
    <row r="572" s="28" customFormat="1" outlineLevel="3" spans="1:28">
      <c r="A572" s="52">
        <f>MAX($A$6:A571)+1</f>
        <v>521</v>
      </c>
      <c r="B572" s="138" t="s">
        <v>2197</v>
      </c>
      <c r="C572" s="51" t="e">
        <f>VLOOKUP($B572,#REF!,MATCH(C$2,#REF!,0),0)</f>
        <v>#REF!</v>
      </c>
      <c r="D572" s="83"/>
      <c r="E572" s="83"/>
      <c r="F572" s="136" t="e">
        <f>VLOOKUP($B572,#REF!,MATCH(F$2,#REF!,0),0)</f>
        <v>#REF!</v>
      </c>
      <c r="G572" s="137" t="e">
        <f>VLOOKUP($B572,#REF!,MATCH(G$2,#REF!,0),0)</f>
        <v>#REF!</v>
      </c>
      <c r="H572" s="48">
        <v>10</v>
      </c>
      <c r="I572" s="48">
        <v>10</v>
      </c>
      <c r="J572" s="48"/>
      <c r="K572" s="48"/>
      <c r="L572" s="48"/>
      <c r="M572" s="48"/>
      <c r="N572" s="48"/>
      <c r="O572" s="48"/>
      <c r="P572" s="48"/>
      <c r="Q572" s="48"/>
      <c r="R572" s="150" t="e">
        <f t="shared" si="573"/>
        <v>#REF!</v>
      </c>
      <c r="S572" s="150" t="e">
        <f t="shared" si="574"/>
        <v>#REF!</v>
      </c>
      <c r="T572" s="150" t="e">
        <f t="shared" si="575"/>
        <v>#REF!</v>
      </c>
      <c r="U572" s="150" t="e">
        <f t="shared" si="576"/>
        <v>#REF!</v>
      </c>
      <c r="V572" s="150" t="e">
        <f t="shared" si="577"/>
        <v>#REF!</v>
      </c>
      <c r="W572" s="150" t="e">
        <f t="shared" si="578"/>
        <v>#REF!</v>
      </c>
      <c r="X572" s="150" t="e">
        <f t="shared" si="579"/>
        <v>#REF!</v>
      </c>
      <c r="Y572" s="150" t="e">
        <f t="shared" si="570"/>
        <v>#REF!</v>
      </c>
      <c r="Z572" s="150" t="e">
        <f t="shared" si="580"/>
        <v>#REF!</v>
      </c>
      <c r="AA572" s="150" t="e">
        <f t="shared" si="581"/>
        <v>#REF!</v>
      </c>
      <c r="AB572" s="50"/>
    </row>
    <row r="573" s="28" customFormat="1" outlineLevel="3" spans="1:28">
      <c r="A573" s="52">
        <f>MAX($A$6:A572)+1</f>
        <v>522</v>
      </c>
      <c r="B573" s="159" t="s">
        <v>2198</v>
      </c>
      <c r="C573" s="51" t="e">
        <f>VLOOKUP($B573,#REF!,MATCH(C$2,#REF!,0),0)</f>
        <v>#REF!</v>
      </c>
      <c r="D573" s="83"/>
      <c r="E573" s="83"/>
      <c r="F573" s="136" t="e">
        <f>VLOOKUP($B573,#REF!,MATCH(F$2,#REF!,0),0)</f>
        <v>#REF!</v>
      </c>
      <c r="G573" s="137" t="e">
        <f>VLOOKUP($B573,#REF!,MATCH(G$2,#REF!,0),0)</f>
        <v>#REF!</v>
      </c>
      <c r="H573" s="48">
        <v>11</v>
      </c>
      <c r="I573" s="48">
        <v>11</v>
      </c>
      <c r="J573" s="48"/>
      <c r="K573" s="48"/>
      <c r="L573" s="48"/>
      <c r="M573" s="48"/>
      <c r="N573" s="48"/>
      <c r="O573" s="48"/>
      <c r="P573" s="48"/>
      <c r="Q573" s="48"/>
      <c r="R573" s="150" t="e">
        <f t="shared" si="573"/>
        <v>#REF!</v>
      </c>
      <c r="S573" s="150" t="e">
        <f t="shared" si="574"/>
        <v>#REF!</v>
      </c>
      <c r="T573" s="150" t="e">
        <f t="shared" si="575"/>
        <v>#REF!</v>
      </c>
      <c r="U573" s="150" t="e">
        <f t="shared" si="576"/>
        <v>#REF!</v>
      </c>
      <c r="V573" s="150" t="e">
        <f t="shared" si="577"/>
        <v>#REF!</v>
      </c>
      <c r="W573" s="150" t="e">
        <f t="shared" si="578"/>
        <v>#REF!</v>
      </c>
      <c r="X573" s="150" t="e">
        <f t="shared" si="579"/>
        <v>#REF!</v>
      </c>
      <c r="Y573" s="150" t="e">
        <f t="shared" si="570"/>
        <v>#REF!</v>
      </c>
      <c r="Z573" s="150" t="e">
        <f t="shared" si="580"/>
        <v>#REF!</v>
      </c>
      <c r="AA573" s="150" t="e">
        <f t="shared" si="581"/>
        <v>#REF!</v>
      </c>
      <c r="AB573" s="50"/>
    </row>
    <row r="574" s="28" customFormat="1" outlineLevel="3" spans="1:28">
      <c r="A574" s="52">
        <f>MAX($A$6:A573)+1</f>
        <v>523</v>
      </c>
      <c r="B574" s="159" t="s">
        <v>2199</v>
      </c>
      <c r="C574" s="51" t="e">
        <f>VLOOKUP($B574,#REF!,MATCH(C$2,#REF!,0),0)</f>
        <v>#REF!</v>
      </c>
      <c r="D574" s="83"/>
      <c r="E574" s="83"/>
      <c r="F574" s="136" t="e">
        <f>VLOOKUP($B574,#REF!,MATCH(F$2,#REF!,0),0)</f>
        <v>#REF!</v>
      </c>
      <c r="G574" s="137" t="e">
        <f>VLOOKUP($B574,#REF!,MATCH(G$2,#REF!,0),0)</f>
        <v>#REF!</v>
      </c>
      <c r="H574" s="48">
        <v>12</v>
      </c>
      <c r="I574" s="48">
        <v>12</v>
      </c>
      <c r="J574" s="48"/>
      <c r="K574" s="48"/>
      <c r="L574" s="48"/>
      <c r="M574" s="48"/>
      <c r="N574" s="48"/>
      <c r="O574" s="48"/>
      <c r="P574" s="48"/>
      <c r="Q574" s="48"/>
      <c r="R574" s="150" t="e">
        <f t="shared" si="573"/>
        <v>#REF!</v>
      </c>
      <c r="S574" s="150" t="e">
        <f t="shared" si="574"/>
        <v>#REF!</v>
      </c>
      <c r="T574" s="150" t="e">
        <f t="shared" si="575"/>
        <v>#REF!</v>
      </c>
      <c r="U574" s="150" t="e">
        <f t="shared" si="576"/>
        <v>#REF!</v>
      </c>
      <c r="V574" s="150" t="e">
        <f t="shared" si="577"/>
        <v>#REF!</v>
      </c>
      <c r="W574" s="150" t="e">
        <f t="shared" si="578"/>
        <v>#REF!</v>
      </c>
      <c r="X574" s="150" t="e">
        <f t="shared" si="579"/>
        <v>#REF!</v>
      </c>
      <c r="Y574" s="150" t="e">
        <f t="shared" si="570"/>
        <v>#REF!</v>
      </c>
      <c r="Z574" s="150" t="e">
        <f t="shared" si="580"/>
        <v>#REF!</v>
      </c>
      <c r="AA574" s="150" t="e">
        <f t="shared" si="581"/>
        <v>#REF!</v>
      </c>
      <c r="AB574" s="50"/>
    </row>
    <row r="575" s="28" customFormat="1" outlineLevel="3" spans="1:28">
      <c r="A575" s="52">
        <f>MAX($A$6:A574)+1</f>
        <v>524</v>
      </c>
      <c r="B575" s="138" t="s">
        <v>2200</v>
      </c>
      <c r="C575" s="51" t="e">
        <f>VLOOKUP($B575,#REF!,MATCH(C$2,#REF!,0),0)</f>
        <v>#REF!</v>
      </c>
      <c r="D575" s="83"/>
      <c r="E575" s="83"/>
      <c r="F575" s="136" t="e">
        <f>VLOOKUP($B575,#REF!,MATCH(F$2,#REF!,0),0)</f>
        <v>#REF!</v>
      </c>
      <c r="G575" s="137" t="e">
        <f>VLOOKUP($B575,#REF!,MATCH(G$2,#REF!,0),0)</f>
        <v>#REF!</v>
      </c>
      <c r="H575" s="48">
        <v>149.72</v>
      </c>
      <c r="I575" s="48">
        <v>150.32</v>
      </c>
      <c r="J575" s="48">
        <v>142.77</v>
      </c>
      <c r="K575" s="48">
        <v>142.77</v>
      </c>
      <c r="L575" s="48"/>
      <c r="M575" s="48">
        <v>1</v>
      </c>
      <c r="N575" s="48">
        <v>1</v>
      </c>
      <c r="O575" s="48">
        <v>1</v>
      </c>
      <c r="P575" s="48">
        <v>251.05</v>
      </c>
      <c r="Q575" s="48">
        <v>1627.16</v>
      </c>
      <c r="R575" s="150" t="e">
        <f t="shared" si="573"/>
        <v>#REF!</v>
      </c>
      <c r="S575" s="150" t="e">
        <f t="shared" si="574"/>
        <v>#REF!</v>
      </c>
      <c r="T575" s="150" t="e">
        <f t="shared" si="575"/>
        <v>#REF!</v>
      </c>
      <c r="U575" s="150" t="e">
        <f t="shared" si="576"/>
        <v>#REF!</v>
      </c>
      <c r="V575" s="150" t="e">
        <f t="shared" si="577"/>
        <v>#REF!</v>
      </c>
      <c r="W575" s="150" t="e">
        <f t="shared" si="578"/>
        <v>#REF!</v>
      </c>
      <c r="X575" s="150" t="e">
        <f t="shared" si="579"/>
        <v>#REF!</v>
      </c>
      <c r="Y575" s="150" t="e">
        <f t="shared" si="570"/>
        <v>#REF!</v>
      </c>
      <c r="Z575" s="150" t="e">
        <f t="shared" si="580"/>
        <v>#REF!</v>
      </c>
      <c r="AA575" s="150" t="e">
        <f t="shared" si="581"/>
        <v>#REF!</v>
      </c>
      <c r="AB575" s="50"/>
    </row>
    <row r="576" s="28" customFormat="1" outlineLevel="3" spans="1:28">
      <c r="A576" s="52">
        <f>MAX($A$6:A575)+1</f>
        <v>525</v>
      </c>
      <c r="B576" s="138" t="s">
        <v>2201</v>
      </c>
      <c r="C576" s="51" t="e">
        <f>VLOOKUP($B576,#REF!,MATCH(C$2,#REF!,0),0)</f>
        <v>#REF!</v>
      </c>
      <c r="D576" s="83"/>
      <c r="E576" s="83"/>
      <c r="F576" s="136" t="e">
        <f>VLOOKUP($B576,#REF!,MATCH(F$2,#REF!,0),0)</f>
        <v>#REF!</v>
      </c>
      <c r="G576" s="137" t="e">
        <f>VLOOKUP($B576,#REF!,MATCH(G$2,#REF!,0),0)</f>
        <v>#REF!</v>
      </c>
      <c r="H576" s="48">
        <v>421.5</v>
      </c>
      <c r="I576" s="48">
        <v>423.71</v>
      </c>
      <c r="J576" s="48">
        <v>238.68</v>
      </c>
      <c r="K576" s="48">
        <v>238.68</v>
      </c>
      <c r="L576" s="48"/>
      <c r="M576" s="48"/>
      <c r="N576" s="48"/>
      <c r="O576" s="48"/>
      <c r="P576" s="48">
        <f>2434.63+1724.01</f>
        <v>4158.64</v>
      </c>
      <c r="Q576" s="48">
        <f>7814.84+1556.37</f>
        <v>9371.21</v>
      </c>
      <c r="R576" s="150" t="e">
        <f t="shared" si="573"/>
        <v>#REF!</v>
      </c>
      <c r="S576" s="150" t="e">
        <f t="shared" si="574"/>
        <v>#REF!</v>
      </c>
      <c r="T576" s="150" t="e">
        <f t="shared" si="575"/>
        <v>#REF!</v>
      </c>
      <c r="U576" s="150" t="e">
        <f t="shared" si="576"/>
        <v>#REF!</v>
      </c>
      <c r="V576" s="150" t="e">
        <f t="shared" si="577"/>
        <v>#REF!</v>
      </c>
      <c r="W576" s="150" t="e">
        <f t="shared" si="578"/>
        <v>#REF!</v>
      </c>
      <c r="X576" s="150" t="e">
        <f t="shared" si="579"/>
        <v>#REF!</v>
      </c>
      <c r="Y576" s="150" t="e">
        <f t="shared" si="570"/>
        <v>#REF!</v>
      </c>
      <c r="Z576" s="150" t="e">
        <f t="shared" si="580"/>
        <v>#REF!</v>
      </c>
      <c r="AA576" s="150" t="e">
        <f t="shared" si="581"/>
        <v>#REF!</v>
      </c>
      <c r="AB576" s="50"/>
    </row>
    <row r="577" s="28" customFormat="1" outlineLevel="3" spans="1:28">
      <c r="A577" s="52">
        <f>MAX($A$6:A576)+1</f>
        <v>526</v>
      </c>
      <c r="B577" s="138" t="s">
        <v>2202</v>
      </c>
      <c r="C577" s="51" t="e">
        <f>VLOOKUP($B577,#REF!,MATCH(C$2,#REF!,0),0)</f>
        <v>#REF!</v>
      </c>
      <c r="D577" s="83"/>
      <c r="E577" s="83"/>
      <c r="F577" s="136" t="e">
        <f>VLOOKUP($B577,#REF!,MATCH(F$2,#REF!,0),0)</f>
        <v>#REF!</v>
      </c>
      <c r="G577" s="137" t="e">
        <f>VLOOKUP($B577,#REF!,MATCH(G$2,#REF!,0),0)</f>
        <v>#REF!</v>
      </c>
      <c r="H577" s="48">
        <v>278.59</v>
      </c>
      <c r="I577" s="48">
        <v>278.59</v>
      </c>
      <c r="J577" s="48">
        <v>1</v>
      </c>
      <c r="K577" s="48">
        <v>1</v>
      </c>
      <c r="L577" s="48"/>
      <c r="M577" s="48"/>
      <c r="N577" s="48"/>
      <c r="O577" s="48"/>
      <c r="P577" s="48">
        <f>642.43+425.62</f>
        <v>1068.05</v>
      </c>
      <c r="Q577" s="48">
        <f>2346.05+4565.25</f>
        <v>6911.3</v>
      </c>
      <c r="R577" s="150" t="e">
        <f t="shared" si="573"/>
        <v>#REF!</v>
      </c>
      <c r="S577" s="150" t="e">
        <f t="shared" si="574"/>
        <v>#REF!</v>
      </c>
      <c r="T577" s="150" t="e">
        <f t="shared" si="575"/>
        <v>#REF!</v>
      </c>
      <c r="U577" s="150" t="e">
        <f t="shared" si="576"/>
        <v>#REF!</v>
      </c>
      <c r="V577" s="150" t="e">
        <f t="shared" si="577"/>
        <v>#REF!</v>
      </c>
      <c r="W577" s="150" t="e">
        <f t="shared" si="578"/>
        <v>#REF!</v>
      </c>
      <c r="X577" s="150" t="e">
        <f t="shared" si="579"/>
        <v>#REF!</v>
      </c>
      <c r="Y577" s="150" t="e">
        <f t="shared" si="570"/>
        <v>#REF!</v>
      </c>
      <c r="Z577" s="150" t="e">
        <f t="shared" si="580"/>
        <v>#REF!</v>
      </c>
      <c r="AA577" s="150" t="e">
        <f t="shared" si="581"/>
        <v>#REF!</v>
      </c>
      <c r="AB577" s="50"/>
    </row>
    <row r="578" s="28" customFormat="1" outlineLevel="3" spans="1:28">
      <c r="A578" s="52">
        <f>MAX($A$6:A577)+1</f>
        <v>527</v>
      </c>
      <c r="B578" s="138" t="s">
        <v>2203</v>
      </c>
      <c r="C578" s="51" t="e">
        <f>VLOOKUP($B578,#REF!,MATCH(C$2,#REF!,0),0)</f>
        <v>#REF!</v>
      </c>
      <c r="D578" s="83"/>
      <c r="E578" s="83"/>
      <c r="F578" s="136" t="e">
        <f>VLOOKUP($B578,#REF!,MATCH(F$2,#REF!,0),0)</f>
        <v>#REF!</v>
      </c>
      <c r="G578" s="137" t="e">
        <f>VLOOKUP($B578,#REF!,MATCH(G$2,#REF!,0),0)</f>
        <v>#REF!</v>
      </c>
      <c r="H578" s="48">
        <v>372.12</v>
      </c>
      <c r="I578" s="48">
        <v>372.12</v>
      </c>
      <c r="J578" s="48">
        <v>292.63</v>
      </c>
      <c r="K578" s="48">
        <v>292.63</v>
      </c>
      <c r="L578" s="48">
        <v>336.252</v>
      </c>
      <c r="M578" s="48"/>
      <c r="N578" s="48"/>
      <c r="O578" s="48"/>
      <c r="P578" s="48"/>
      <c r="Q578" s="48"/>
      <c r="R578" s="150" t="e">
        <f t="shared" si="573"/>
        <v>#REF!</v>
      </c>
      <c r="S578" s="150" t="e">
        <f t="shared" si="574"/>
        <v>#REF!</v>
      </c>
      <c r="T578" s="150" t="e">
        <f t="shared" si="575"/>
        <v>#REF!</v>
      </c>
      <c r="U578" s="150" t="e">
        <f t="shared" si="576"/>
        <v>#REF!</v>
      </c>
      <c r="V578" s="150" t="e">
        <f t="shared" si="577"/>
        <v>#REF!</v>
      </c>
      <c r="W578" s="150" t="e">
        <f t="shared" si="578"/>
        <v>#REF!</v>
      </c>
      <c r="X578" s="150" t="e">
        <f t="shared" si="579"/>
        <v>#REF!</v>
      </c>
      <c r="Y578" s="150" t="e">
        <f t="shared" si="570"/>
        <v>#REF!</v>
      </c>
      <c r="Z578" s="150" t="e">
        <f t="shared" si="580"/>
        <v>#REF!</v>
      </c>
      <c r="AA578" s="150" t="e">
        <f t="shared" si="581"/>
        <v>#REF!</v>
      </c>
      <c r="AB578" s="50"/>
    </row>
    <row r="579" s="28" customFormat="1" outlineLevel="3" spans="1:28">
      <c r="A579" s="52">
        <f>MAX($A$6:A578)+1</f>
        <v>528</v>
      </c>
      <c r="B579" s="138" t="s">
        <v>2204</v>
      </c>
      <c r="C579" s="51" t="e">
        <f>VLOOKUP($B579,#REF!,MATCH(C$2,#REF!,0),0)</f>
        <v>#REF!</v>
      </c>
      <c r="D579" s="83"/>
      <c r="E579" s="83"/>
      <c r="F579" s="136" t="e">
        <f>VLOOKUP($B579,#REF!,MATCH(F$2,#REF!,0),0)</f>
        <v>#REF!</v>
      </c>
      <c r="G579" s="137" t="e">
        <f>VLOOKUP($B579,#REF!,MATCH(G$2,#REF!,0),0)</f>
        <v>#REF!</v>
      </c>
      <c r="H579" s="48">
        <v>132.29</v>
      </c>
      <c r="I579" s="48">
        <v>132.29</v>
      </c>
      <c r="J579" s="48">
        <f>239.83+572.73</f>
        <v>812.56</v>
      </c>
      <c r="K579" s="48">
        <f>239.83+572.73</f>
        <v>812.56</v>
      </c>
      <c r="L579" s="48">
        <v>124.214</v>
      </c>
      <c r="M579" s="48">
        <v>1</v>
      </c>
      <c r="N579" s="48">
        <v>1</v>
      </c>
      <c r="O579" s="48">
        <v>1</v>
      </c>
      <c r="P579" s="48"/>
      <c r="Q579" s="48"/>
      <c r="R579" s="150" t="e">
        <f t="shared" si="573"/>
        <v>#REF!</v>
      </c>
      <c r="S579" s="150" t="e">
        <f t="shared" si="574"/>
        <v>#REF!</v>
      </c>
      <c r="T579" s="150" t="e">
        <f t="shared" si="575"/>
        <v>#REF!</v>
      </c>
      <c r="U579" s="150" t="e">
        <f t="shared" si="576"/>
        <v>#REF!</v>
      </c>
      <c r="V579" s="150" t="e">
        <f t="shared" si="577"/>
        <v>#REF!</v>
      </c>
      <c r="W579" s="150" t="e">
        <f t="shared" si="578"/>
        <v>#REF!</v>
      </c>
      <c r="X579" s="150" t="e">
        <f t="shared" si="579"/>
        <v>#REF!</v>
      </c>
      <c r="Y579" s="150" t="e">
        <f t="shared" si="570"/>
        <v>#REF!</v>
      </c>
      <c r="Z579" s="150" t="e">
        <f t="shared" si="580"/>
        <v>#REF!</v>
      </c>
      <c r="AA579" s="150" t="e">
        <f t="shared" si="581"/>
        <v>#REF!</v>
      </c>
      <c r="AB579" s="50"/>
    </row>
    <row r="580" s="28" customFormat="1" outlineLevel="3" spans="1:28">
      <c r="A580" s="52">
        <f>MAX($A$6:A579)+1</f>
        <v>529</v>
      </c>
      <c r="B580" s="138" t="s">
        <v>2205</v>
      </c>
      <c r="C580" s="51" t="e">
        <f>VLOOKUP($B580,#REF!,MATCH(C$2,#REF!,0),0)</f>
        <v>#REF!</v>
      </c>
      <c r="D580" s="83"/>
      <c r="E580" s="83"/>
      <c r="F580" s="136" t="e">
        <f>VLOOKUP($B580,#REF!,MATCH(F$2,#REF!,0),0)</f>
        <v>#REF!</v>
      </c>
      <c r="G580" s="137" t="e">
        <f>VLOOKUP($B580,#REF!,MATCH(G$2,#REF!,0),0)</f>
        <v>#REF!</v>
      </c>
      <c r="H580" s="48">
        <v>10</v>
      </c>
      <c r="I580" s="48">
        <v>10</v>
      </c>
      <c r="J580" s="48">
        <v>10</v>
      </c>
      <c r="K580" s="48">
        <v>10</v>
      </c>
      <c r="L580" s="48"/>
      <c r="M580" s="48"/>
      <c r="N580" s="48"/>
      <c r="O580" s="48"/>
      <c r="P580" s="48"/>
      <c r="Q580" s="48"/>
      <c r="R580" s="150" t="e">
        <f t="shared" si="573"/>
        <v>#REF!</v>
      </c>
      <c r="S580" s="150" t="e">
        <f t="shared" si="574"/>
        <v>#REF!</v>
      </c>
      <c r="T580" s="150" t="e">
        <f t="shared" si="575"/>
        <v>#REF!</v>
      </c>
      <c r="U580" s="150" t="e">
        <f t="shared" si="576"/>
        <v>#REF!</v>
      </c>
      <c r="V580" s="150" t="e">
        <f t="shared" si="577"/>
        <v>#REF!</v>
      </c>
      <c r="W580" s="150" t="e">
        <f t="shared" si="578"/>
        <v>#REF!</v>
      </c>
      <c r="X580" s="150" t="e">
        <f t="shared" si="579"/>
        <v>#REF!</v>
      </c>
      <c r="Y580" s="150" t="e">
        <f t="shared" si="570"/>
        <v>#REF!</v>
      </c>
      <c r="Z580" s="150" t="e">
        <f t="shared" si="580"/>
        <v>#REF!</v>
      </c>
      <c r="AA580" s="150" t="e">
        <f t="shared" si="581"/>
        <v>#REF!</v>
      </c>
      <c r="AB580" s="50"/>
    </row>
    <row r="581" s="28" customFormat="1" outlineLevel="3" spans="1:28">
      <c r="A581" s="52">
        <f>MAX($A$6:A580)+1</f>
        <v>530</v>
      </c>
      <c r="B581" s="138" t="s">
        <v>2206</v>
      </c>
      <c r="C581" s="51" t="e">
        <f>VLOOKUP($B581,#REF!,MATCH(C$2,#REF!,0),0)</f>
        <v>#REF!</v>
      </c>
      <c r="D581" s="83"/>
      <c r="E581" s="83"/>
      <c r="F581" s="136" t="e">
        <f>VLOOKUP($B581,#REF!,MATCH(F$2,#REF!,0),0)</f>
        <v>#REF!</v>
      </c>
      <c r="G581" s="137" t="e">
        <f>VLOOKUP($B581,#REF!,MATCH(G$2,#REF!,0),0)</f>
        <v>#REF!</v>
      </c>
      <c r="H581" s="48">
        <f>124.22+174.39</f>
        <v>298.61</v>
      </c>
      <c r="I581" s="48">
        <f>112.13+170.72</f>
        <v>282.85</v>
      </c>
      <c r="J581" s="48">
        <f>87.65+183.9</f>
        <v>271.55</v>
      </c>
      <c r="K581" s="48">
        <f>87.65+183.9</f>
        <v>271.55</v>
      </c>
      <c r="L581" s="48">
        <v>59.632</v>
      </c>
      <c r="M581" s="48">
        <v>2</v>
      </c>
      <c r="N581" s="48">
        <v>2</v>
      </c>
      <c r="O581" s="48">
        <v>2</v>
      </c>
      <c r="P581" s="48"/>
      <c r="Q581" s="48"/>
      <c r="R581" s="150" t="e">
        <f t="shared" si="573"/>
        <v>#REF!</v>
      </c>
      <c r="S581" s="150" t="e">
        <f t="shared" si="574"/>
        <v>#REF!</v>
      </c>
      <c r="T581" s="150" t="e">
        <f t="shared" si="575"/>
        <v>#REF!</v>
      </c>
      <c r="U581" s="150" t="e">
        <f t="shared" si="576"/>
        <v>#REF!</v>
      </c>
      <c r="V581" s="150" t="e">
        <f t="shared" si="577"/>
        <v>#REF!</v>
      </c>
      <c r="W581" s="150" t="e">
        <f t="shared" si="578"/>
        <v>#REF!</v>
      </c>
      <c r="X581" s="150" t="e">
        <f t="shared" si="579"/>
        <v>#REF!</v>
      </c>
      <c r="Y581" s="150" t="e">
        <f t="shared" si="570"/>
        <v>#REF!</v>
      </c>
      <c r="Z581" s="150" t="e">
        <f t="shared" si="580"/>
        <v>#REF!</v>
      </c>
      <c r="AA581" s="150" t="e">
        <f t="shared" si="581"/>
        <v>#REF!</v>
      </c>
      <c r="AB581" s="50"/>
    </row>
    <row r="582" s="28" customFormat="1" outlineLevel="3" spans="1:28">
      <c r="A582" s="52">
        <f>MAX($A$6:A581)+1</f>
        <v>531</v>
      </c>
      <c r="B582" s="138" t="s">
        <v>2207</v>
      </c>
      <c r="C582" s="51" t="e">
        <f>VLOOKUP($B582,#REF!,MATCH(C$2,#REF!,0),0)</f>
        <v>#REF!</v>
      </c>
      <c r="D582" s="83"/>
      <c r="E582" s="83"/>
      <c r="F582" s="136" t="e">
        <f>VLOOKUP($B582,#REF!,MATCH(F$2,#REF!,0),0)</f>
        <v>#REF!</v>
      </c>
      <c r="G582" s="137" t="e">
        <f>VLOOKUP($B582,#REF!,MATCH(G$2,#REF!,0),0)</f>
        <v>#REF!</v>
      </c>
      <c r="H582" s="48">
        <v>59.07</v>
      </c>
      <c r="I582" s="48">
        <v>59.2</v>
      </c>
      <c r="J582" s="48">
        <v>2</v>
      </c>
      <c r="K582" s="48">
        <v>2</v>
      </c>
      <c r="L582" s="48"/>
      <c r="M582" s="48">
        <v>2</v>
      </c>
      <c r="N582" s="48">
        <v>2</v>
      </c>
      <c r="O582" s="48">
        <v>2</v>
      </c>
      <c r="P582" s="48"/>
      <c r="Q582" s="48"/>
      <c r="R582" s="150" t="e">
        <f t="shared" si="573"/>
        <v>#REF!</v>
      </c>
      <c r="S582" s="150" t="e">
        <f t="shared" si="574"/>
        <v>#REF!</v>
      </c>
      <c r="T582" s="150" t="e">
        <f t="shared" si="575"/>
        <v>#REF!</v>
      </c>
      <c r="U582" s="150" t="e">
        <f t="shared" si="576"/>
        <v>#REF!</v>
      </c>
      <c r="V582" s="150" t="e">
        <f t="shared" si="577"/>
        <v>#REF!</v>
      </c>
      <c r="W582" s="150" t="e">
        <f t="shared" si="578"/>
        <v>#REF!</v>
      </c>
      <c r="X582" s="150" t="e">
        <f t="shared" si="579"/>
        <v>#REF!</v>
      </c>
      <c r="Y582" s="150" t="e">
        <f t="shared" si="570"/>
        <v>#REF!</v>
      </c>
      <c r="Z582" s="150" t="e">
        <f t="shared" si="580"/>
        <v>#REF!</v>
      </c>
      <c r="AA582" s="150" t="e">
        <f t="shared" si="581"/>
        <v>#REF!</v>
      </c>
      <c r="AB582" s="50"/>
    </row>
    <row r="583" s="28" customFormat="1" outlineLevel="3" spans="1:28">
      <c r="A583" s="52">
        <f>MAX($A$6:A582)+1</f>
        <v>532</v>
      </c>
      <c r="B583" s="138" t="s">
        <v>2208</v>
      </c>
      <c r="C583" s="51" t="e">
        <f>VLOOKUP($B583,#REF!,MATCH(C$2,#REF!,0),0)</f>
        <v>#REF!</v>
      </c>
      <c r="D583" s="83"/>
      <c r="E583" s="83"/>
      <c r="F583" s="136" t="e">
        <f>VLOOKUP($B583,#REF!,MATCH(F$2,#REF!,0),0)</f>
        <v>#REF!</v>
      </c>
      <c r="G583" s="137" t="e">
        <f>VLOOKUP($B583,#REF!,MATCH(G$2,#REF!,0),0)</f>
        <v>#REF!</v>
      </c>
      <c r="H583" s="48">
        <v>461.31</v>
      </c>
      <c r="I583" s="48">
        <v>413.01</v>
      </c>
      <c r="J583" s="48">
        <v>353.37</v>
      </c>
      <c r="K583" s="48">
        <v>353.37</v>
      </c>
      <c r="L583" s="48">
        <v>149.969</v>
      </c>
      <c r="M583" s="48">
        <v>2</v>
      </c>
      <c r="N583" s="48">
        <v>2</v>
      </c>
      <c r="O583" s="48">
        <v>2</v>
      </c>
      <c r="P583" s="48"/>
      <c r="Q583" s="48"/>
      <c r="R583" s="150" t="e">
        <f t="shared" si="573"/>
        <v>#REF!</v>
      </c>
      <c r="S583" s="150" t="e">
        <f t="shared" si="574"/>
        <v>#REF!</v>
      </c>
      <c r="T583" s="150" t="e">
        <f t="shared" si="575"/>
        <v>#REF!</v>
      </c>
      <c r="U583" s="150" t="e">
        <f t="shared" si="576"/>
        <v>#REF!</v>
      </c>
      <c r="V583" s="150" t="e">
        <f t="shared" si="577"/>
        <v>#REF!</v>
      </c>
      <c r="W583" s="150" t="e">
        <f t="shared" si="578"/>
        <v>#REF!</v>
      </c>
      <c r="X583" s="150" t="e">
        <f t="shared" si="579"/>
        <v>#REF!</v>
      </c>
      <c r="Y583" s="150" t="e">
        <f t="shared" si="570"/>
        <v>#REF!</v>
      </c>
      <c r="Z583" s="150" t="e">
        <f t="shared" si="580"/>
        <v>#REF!</v>
      </c>
      <c r="AA583" s="150" t="e">
        <f t="shared" si="581"/>
        <v>#REF!</v>
      </c>
      <c r="AB583" s="50"/>
    </row>
    <row r="584" s="28" customFormat="1" ht="28.8" outlineLevel="3" spans="1:28">
      <c r="A584" s="52">
        <f>MAX($A$6:A583)+1</f>
        <v>533</v>
      </c>
      <c r="B584" s="138" t="s">
        <v>2209</v>
      </c>
      <c r="C584" s="51" t="e">
        <f>VLOOKUP($B584,#REF!,MATCH(C$2,#REF!,0),0)</f>
        <v>#REF!</v>
      </c>
      <c r="D584" s="83"/>
      <c r="E584" s="83"/>
      <c r="F584" s="136" t="e">
        <f>VLOOKUP($B584,#REF!,MATCH(F$2,#REF!,0),0)</f>
        <v>#REF!</v>
      </c>
      <c r="G584" s="137" t="e">
        <f>VLOOKUP($B584,#REF!,MATCH(G$2,#REF!,0),0)</f>
        <v>#REF!</v>
      </c>
      <c r="H584" s="48">
        <v>504.8</v>
      </c>
      <c r="I584" s="48">
        <v>478.83</v>
      </c>
      <c r="J584" s="48">
        <v>207.27</v>
      </c>
      <c r="K584" s="48">
        <v>207.27</v>
      </c>
      <c r="L584" s="48">
        <v>144.135</v>
      </c>
      <c r="M584" s="48">
        <v>1</v>
      </c>
      <c r="N584" s="48">
        <v>1</v>
      </c>
      <c r="O584" s="48">
        <v>1</v>
      </c>
      <c r="P584" s="48">
        <v>1853.84</v>
      </c>
      <c r="Q584" s="48"/>
      <c r="R584" s="150" t="e">
        <f t="shared" si="573"/>
        <v>#REF!</v>
      </c>
      <c r="S584" s="150" t="e">
        <f t="shared" si="574"/>
        <v>#REF!</v>
      </c>
      <c r="T584" s="150" t="e">
        <f t="shared" si="575"/>
        <v>#REF!</v>
      </c>
      <c r="U584" s="150" t="e">
        <f t="shared" si="576"/>
        <v>#REF!</v>
      </c>
      <c r="V584" s="150" t="e">
        <f t="shared" si="577"/>
        <v>#REF!</v>
      </c>
      <c r="W584" s="150" t="e">
        <f t="shared" si="578"/>
        <v>#REF!</v>
      </c>
      <c r="X584" s="150" t="e">
        <f t="shared" si="579"/>
        <v>#REF!</v>
      </c>
      <c r="Y584" s="150" t="e">
        <f t="shared" si="570"/>
        <v>#REF!</v>
      </c>
      <c r="Z584" s="150" t="e">
        <f t="shared" si="580"/>
        <v>#REF!</v>
      </c>
      <c r="AA584" s="150" t="e">
        <f t="shared" si="581"/>
        <v>#REF!</v>
      </c>
      <c r="AB584" s="50"/>
    </row>
    <row r="585" s="28" customFormat="1" outlineLevel="3" spans="1:28">
      <c r="A585" s="52">
        <f>MAX($A$6:A584)+1</f>
        <v>534</v>
      </c>
      <c r="B585" s="138" t="s">
        <v>2210</v>
      </c>
      <c r="C585" s="51" t="e">
        <f>VLOOKUP($B585,#REF!,MATCH(C$2,#REF!,0),0)</f>
        <v>#REF!</v>
      </c>
      <c r="D585" s="83"/>
      <c r="E585" s="83"/>
      <c r="F585" s="136" t="e">
        <f>VLOOKUP($B585,#REF!,MATCH(F$2,#REF!,0),0)</f>
        <v>#REF!</v>
      </c>
      <c r="G585" s="137" t="e">
        <f>VLOOKUP($B585,#REF!,MATCH(G$2,#REF!,0),0)</f>
        <v>#REF!</v>
      </c>
      <c r="H585" s="48"/>
      <c r="I585" s="48"/>
      <c r="J585" s="48"/>
      <c r="K585" s="48"/>
      <c r="L585" s="48"/>
      <c r="M585" s="48"/>
      <c r="N585" s="48"/>
      <c r="O585" s="48"/>
      <c r="P585" s="48"/>
      <c r="Q585" s="48">
        <v>5690.19</v>
      </c>
      <c r="R585" s="150" t="e">
        <f t="shared" si="573"/>
        <v>#REF!</v>
      </c>
      <c r="S585" s="150" t="e">
        <f t="shared" si="574"/>
        <v>#REF!</v>
      </c>
      <c r="T585" s="150" t="e">
        <f t="shared" si="575"/>
        <v>#REF!</v>
      </c>
      <c r="U585" s="150" t="e">
        <f t="shared" si="576"/>
        <v>#REF!</v>
      </c>
      <c r="V585" s="150" t="e">
        <f t="shared" si="577"/>
        <v>#REF!</v>
      </c>
      <c r="W585" s="150" t="e">
        <f t="shared" si="578"/>
        <v>#REF!</v>
      </c>
      <c r="X585" s="150" t="e">
        <f t="shared" si="579"/>
        <v>#REF!</v>
      </c>
      <c r="Y585" s="150" t="e">
        <f t="shared" si="570"/>
        <v>#REF!</v>
      </c>
      <c r="Z585" s="150" t="e">
        <f t="shared" si="580"/>
        <v>#REF!</v>
      </c>
      <c r="AA585" s="150" t="e">
        <f t="shared" si="581"/>
        <v>#REF!</v>
      </c>
      <c r="AB585" s="50"/>
    </row>
    <row r="586" s="29" customFormat="1" outlineLevel="2" spans="1:28">
      <c r="A586" s="40"/>
      <c r="B586" s="41" t="s">
        <v>2211</v>
      </c>
      <c r="C586" s="41"/>
      <c r="D586" s="140"/>
      <c r="E586" s="140"/>
      <c r="F586" s="141"/>
      <c r="G586" s="142"/>
      <c r="H586" s="43"/>
      <c r="I586" s="43"/>
      <c r="J586" s="43"/>
      <c r="K586" s="43"/>
      <c r="L586" s="43"/>
      <c r="M586" s="43"/>
      <c r="N586" s="43"/>
      <c r="O586" s="43"/>
      <c r="P586" s="43"/>
      <c r="Q586" s="43"/>
      <c r="R586" s="149" t="e">
        <f t="shared" ref="R586:AA586" si="582">SUM(R587:R621)</f>
        <v>#REF!</v>
      </c>
      <c r="S586" s="149" t="e">
        <f t="shared" si="582"/>
        <v>#REF!</v>
      </c>
      <c r="T586" s="149" t="e">
        <f t="shared" si="582"/>
        <v>#REF!</v>
      </c>
      <c r="U586" s="149" t="e">
        <f t="shared" si="582"/>
        <v>#REF!</v>
      </c>
      <c r="V586" s="149" t="e">
        <f t="shared" si="582"/>
        <v>#REF!</v>
      </c>
      <c r="W586" s="149" t="e">
        <f t="shared" si="582"/>
        <v>#REF!</v>
      </c>
      <c r="X586" s="149" t="e">
        <f t="shared" si="582"/>
        <v>#REF!</v>
      </c>
      <c r="Y586" s="149" t="e">
        <f t="shared" si="582"/>
        <v>#REF!</v>
      </c>
      <c r="Z586" s="149" t="e">
        <f t="shared" si="582"/>
        <v>#REF!</v>
      </c>
      <c r="AA586" s="149" t="e">
        <f t="shared" si="582"/>
        <v>#REF!</v>
      </c>
      <c r="AB586" s="40"/>
    </row>
    <row r="587" s="28" customFormat="1" outlineLevel="3" spans="1:28">
      <c r="A587" s="52">
        <f>MAX($A$6:A586)+1</f>
        <v>535</v>
      </c>
      <c r="B587" s="138" t="s">
        <v>2212</v>
      </c>
      <c r="C587" s="51" t="e">
        <f>VLOOKUP($B587,#REF!,MATCH(C$2,#REF!,0),0)</f>
        <v>#REF!</v>
      </c>
      <c r="D587" s="83"/>
      <c r="E587" s="83"/>
      <c r="F587" s="136" t="e">
        <f>VLOOKUP($B587,#REF!,MATCH(F$2,#REF!,0),0)</f>
        <v>#REF!</v>
      </c>
      <c r="G587" s="137" t="e">
        <f>VLOOKUP($B587,#REF!,MATCH(G$2,#REF!,0),0)</f>
        <v>#REF!</v>
      </c>
      <c r="H587" s="48">
        <v>9</v>
      </c>
      <c r="I587" s="48">
        <v>9</v>
      </c>
      <c r="J587" s="48">
        <v>2</v>
      </c>
      <c r="K587" s="48">
        <v>2</v>
      </c>
      <c r="L587" s="48"/>
      <c r="M587" s="48"/>
      <c r="N587" s="48"/>
      <c r="O587" s="48"/>
      <c r="P587" s="48"/>
      <c r="Q587" s="48"/>
      <c r="R587" s="150" t="e">
        <f t="shared" ref="R587:AA587" si="583">$G587*H587</f>
        <v>#REF!</v>
      </c>
      <c r="S587" s="150" t="e">
        <f t="shared" si="583"/>
        <v>#REF!</v>
      </c>
      <c r="T587" s="150" t="e">
        <f t="shared" si="583"/>
        <v>#REF!</v>
      </c>
      <c r="U587" s="150" t="e">
        <f t="shared" si="583"/>
        <v>#REF!</v>
      </c>
      <c r="V587" s="150" t="e">
        <f t="shared" si="583"/>
        <v>#REF!</v>
      </c>
      <c r="W587" s="150" t="e">
        <f t="shared" si="583"/>
        <v>#REF!</v>
      </c>
      <c r="X587" s="150" t="e">
        <f t="shared" si="583"/>
        <v>#REF!</v>
      </c>
      <c r="Y587" s="150" t="e">
        <f t="shared" si="583"/>
        <v>#REF!</v>
      </c>
      <c r="Z587" s="150" t="e">
        <f t="shared" si="583"/>
        <v>#REF!</v>
      </c>
      <c r="AA587" s="150" t="e">
        <f t="shared" si="583"/>
        <v>#REF!</v>
      </c>
      <c r="AB587" s="50"/>
    </row>
    <row r="588" s="28" customFormat="1" outlineLevel="3" spans="1:28">
      <c r="A588" s="52">
        <f>MAX($A$6:A587)+1</f>
        <v>536</v>
      </c>
      <c r="B588" s="138" t="s">
        <v>2213</v>
      </c>
      <c r="C588" s="51" t="e">
        <f>VLOOKUP($B588,#REF!,MATCH(C$2,#REF!,0),0)</f>
        <v>#REF!</v>
      </c>
      <c r="D588" s="83"/>
      <c r="E588" s="83"/>
      <c r="F588" s="136" t="e">
        <f>VLOOKUP($B588,#REF!,MATCH(F$2,#REF!,0),0)</f>
        <v>#REF!</v>
      </c>
      <c r="G588" s="137" t="e">
        <f>VLOOKUP($B588,#REF!,MATCH(G$2,#REF!,0),0)</f>
        <v>#REF!</v>
      </c>
      <c r="H588" s="48"/>
      <c r="I588" s="48"/>
      <c r="J588" s="48"/>
      <c r="K588" s="48"/>
      <c r="L588" s="48"/>
      <c r="M588" s="48"/>
      <c r="N588" s="48"/>
      <c r="O588" s="48"/>
      <c r="P588" s="48"/>
      <c r="Q588" s="48"/>
      <c r="R588" s="150" t="e">
        <f t="shared" ref="R588:AA588" si="584">$G588*H588</f>
        <v>#REF!</v>
      </c>
      <c r="S588" s="150" t="e">
        <f t="shared" si="584"/>
        <v>#REF!</v>
      </c>
      <c r="T588" s="150" t="e">
        <f t="shared" si="584"/>
        <v>#REF!</v>
      </c>
      <c r="U588" s="150" t="e">
        <f t="shared" si="584"/>
        <v>#REF!</v>
      </c>
      <c r="V588" s="150" t="e">
        <f t="shared" si="584"/>
        <v>#REF!</v>
      </c>
      <c r="W588" s="150" t="e">
        <f t="shared" si="584"/>
        <v>#REF!</v>
      </c>
      <c r="X588" s="150" t="e">
        <f t="shared" si="584"/>
        <v>#REF!</v>
      </c>
      <c r="Y588" s="150" t="e">
        <f t="shared" si="584"/>
        <v>#REF!</v>
      </c>
      <c r="Z588" s="150" t="e">
        <f t="shared" si="584"/>
        <v>#REF!</v>
      </c>
      <c r="AA588" s="150" t="e">
        <f t="shared" si="584"/>
        <v>#REF!</v>
      </c>
      <c r="AB588" s="50"/>
    </row>
    <row r="589" s="28" customFormat="1" outlineLevel="3" spans="1:28">
      <c r="A589" s="52">
        <f>MAX($A$6:A588)+1</f>
        <v>537</v>
      </c>
      <c r="B589" s="138" t="s">
        <v>2214</v>
      </c>
      <c r="C589" s="51" t="e">
        <f>VLOOKUP($B589,#REF!,MATCH(C$2,#REF!,0),0)</f>
        <v>#REF!</v>
      </c>
      <c r="D589" s="83"/>
      <c r="E589" s="83"/>
      <c r="F589" s="136" t="e">
        <f>VLOOKUP($B589,#REF!,MATCH(F$2,#REF!,0),0)</f>
        <v>#REF!</v>
      </c>
      <c r="G589" s="137" t="e">
        <f>VLOOKUP($B589,#REF!,MATCH(G$2,#REF!,0),0)</f>
        <v>#REF!</v>
      </c>
      <c r="H589" s="48"/>
      <c r="I589" s="48"/>
      <c r="J589" s="48"/>
      <c r="K589" s="48"/>
      <c r="L589" s="48"/>
      <c r="M589" s="48"/>
      <c r="N589" s="48"/>
      <c r="O589" s="48"/>
      <c r="P589" s="48">
        <v>71</v>
      </c>
      <c r="Q589" s="48"/>
      <c r="R589" s="150" t="e">
        <f t="shared" ref="R589:AA589" si="585">$G589*H589</f>
        <v>#REF!</v>
      </c>
      <c r="S589" s="150" t="e">
        <f t="shared" si="585"/>
        <v>#REF!</v>
      </c>
      <c r="T589" s="150" t="e">
        <f t="shared" si="585"/>
        <v>#REF!</v>
      </c>
      <c r="U589" s="150" t="e">
        <f t="shared" si="585"/>
        <v>#REF!</v>
      </c>
      <c r="V589" s="150" t="e">
        <f t="shared" si="585"/>
        <v>#REF!</v>
      </c>
      <c r="W589" s="150" t="e">
        <f t="shared" si="585"/>
        <v>#REF!</v>
      </c>
      <c r="X589" s="150" t="e">
        <f t="shared" si="585"/>
        <v>#REF!</v>
      </c>
      <c r="Y589" s="150" t="e">
        <f t="shared" si="585"/>
        <v>#REF!</v>
      </c>
      <c r="Z589" s="150" t="e">
        <f t="shared" si="585"/>
        <v>#REF!</v>
      </c>
      <c r="AA589" s="150" t="e">
        <f t="shared" si="585"/>
        <v>#REF!</v>
      </c>
      <c r="AB589" s="50"/>
    </row>
    <row r="590" s="28" customFormat="1" outlineLevel="3" spans="1:28">
      <c r="A590" s="52">
        <f>MAX($A$6:A589)+1</f>
        <v>538</v>
      </c>
      <c r="B590" s="138" t="s">
        <v>2215</v>
      </c>
      <c r="C590" s="51" t="e">
        <f>VLOOKUP($B590,#REF!,MATCH(C$2,#REF!,0),0)</f>
        <v>#REF!</v>
      </c>
      <c r="D590" s="83"/>
      <c r="E590" s="83"/>
      <c r="F590" s="136" t="e">
        <f>VLOOKUP($B590,#REF!,MATCH(F$2,#REF!,0),0)</f>
        <v>#REF!</v>
      </c>
      <c r="G590" s="137" t="e">
        <f>VLOOKUP($B590,#REF!,MATCH(G$2,#REF!,0),0)</f>
        <v>#REF!</v>
      </c>
      <c r="H590" s="48"/>
      <c r="I590" s="48"/>
      <c r="J590" s="48"/>
      <c r="K590" s="48"/>
      <c r="L590" s="48"/>
      <c r="M590" s="48"/>
      <c r="N590" s="48"/>
      <c r="O590" s="48"/>
      <c r="P590" s="48"/>
      <c r="Q590" s="48">
        <v>9</v>
      </c>
      <c r="R590" s="150" t="e">
        <f t="shared" ref="R590:AA590" si="586">$G590*H590</f>
        <v>#REF!</v>
      </c>
      <c r="S590" s="150" t="e">
        <f t="shared" si="586"/>
        <v>#REF!</v>
      </c>
      <c r="T590" s="150" t="e">
        <f t="shared" si="586"/>
        <v>#REF!</v>
      </c>
      <c r="U590" s="150" t="e">
        <f t="shared" si="586"/>
        <v>#REF!</v>
      </c>
      <c r="V590" s="150" t="e">
        <f t="shared" si="586"/>
        <v>#REF!</v>
      </c>
      <c r="W590" s="150" t="e">
        <f t="shared" si="586"/>
        <v>#REF!</v>
      </c>
      <c r="X590" s="150" t="e">
        <f t="shared" si="586"/>
        <v>#REF!</v>
      </c>
      <c r="Y590" s="150" t="e">
        <f t="shared" si="586"/>
        <v>#REF!</v>
      </c>
      <c r="Z590" s="150" t="e">
        <f t="shared" si="586"/>
        <v>#REF!</v>
      </c>
      <c r="AA590" s="150" t="e">
        <f t="shared" si="586"/>
        <v>#REF!</v>
      </c>
      <c r="AB590" s="50"/>
    </row>
    <row r="591" s="28" customFormat="1" outlineLevel="3" spans="1:28">
      <c r="A591" s="52">
        <f>MAX($A$6:A590)+1</f>
        <v>539</v>
      </c>
      <c r="B591" s="138" t="s">
        <v>2216</v>
      </c>
      <c r="C591" s="51" t="e">
        <f>VLOOKUP($B591,#REF!,MATCH(C$2,#REF!,0),0)</f>
        <v>#REF!</v>
      </c>
      <c r="D591" s="83"/>
      <c r="E591" s="83"/>
      <c r="F591" s="136" t="e">
        <f>VLOOKUP($B591,#REF!,MATCH(F$2,#REF!,0),0)</f>
        <v>#REF!</v>
      </c>
      <c r="G591" s="137" t="e">
        <f>VLOOKUP($B591,#REF!,MATCH(G$2,#REF!,0),0)</f>
        <v>#REF!</v>
      </c>
      <c r="H591" s="48"/>
      <c r="I591" s="48"/>
      <c r="J591" s="48"/>
      <c r="K591" s="48"/>
      <c r="L591" s="48"/>
      <c r="M591" s="48"/>
      <c r="N591" s="48"/>
      <c r="O591" s="48"/>
      <c r="P591" s="48"/>
      <c r="Q591" s="48">
        <v>221</v>
      </c>
      <c r="R591" s="150" t="e">
        <f t="shared" ref="R591:AA591" si="587">$G591*H591</f>
        <v>#REF!</v>
      </c>
      <c r="S591" s="150" t="e">
        <f t="shared" si="587"/>
        <v>#REF!</v>
      </c>
      <c r="T591" s="150" t="e">
        <f t="shared" si="587"/>
        <v>#REF!</v>
      </c>
      <c r="U591" s="150" t="e">
        <f t="shared" si="587"/>
        <v>#REF!</v>
      </c>
      <c r="V591" s="150" t="e">
        <f t="shared" si="587"/>
        <v>#REF!</v>
      </c>
      <c r="W591" s="150" t="e">
        <f t="shared" si="587"/>
        <v>#REF!</v>
      </c>
      <c r="X591" s="150" t="e">
        <f t="shared" si="587"/>
        <v>#REF!</v>
      </c>
      <c r="Y591" s="150" t="e">
        <f t="shared" si="587"/>
        <v>#REF!</v>
      </c>
      <c r="Z591" s="150" t="e">
        <f t="shared" si="587"/>
        <v>#REF!</v>
      </c>
      <c r="AA591" s="150" t="e">
        <f t="shared" si="587"/>
        <v>#REF!</v>
      </c>
      <c r="AB591" s="50"/>
    </row>
    <row r="592" s="28" customFormat="1" ht="28.8" outlineLevel="3" spans="1:28">
      <c r="A592" s="52">
        <f>MAX($A$6:A591)+1</f>
        <v>540</v>
      </c>
      <c r="B592" s="138" t="s">
        <v>2217</v>
      </c>
      <c r="C592" s="51" t="e">
        <f>VLOOKUP($B592,#REF!,MATCH(C$2,#REF!,0),0)</f>
        <v>#REF!</v>
      </c>
      <c r="D592" s="83"/>
      <c r="E592" s="83"/>
      <c r="F592" s="136" t="e">
        <f>VLOOKUP($B592,#REF!,MATCH(F$2,#REF!,0),0)</f>
        <v>#REF!</v>
      </c>
      <c r="G592" s="137" t="e">
        <f>VLOOKUP($B592,#REF!,MATCH(G$2,#REF!,0),0)</f>
        <v>#REF!</v>
      </c>
      <c r="H592" s="48"/>
      <c r="I592" s="48"/>
      <c r="J592" s="48"/>
      <c r="K592" s="48"/>
      <c r="L592" s="48"/>
      <c r="M592" s="48"/>
      <c r="N592" s="48"/>
      <c r="O592" s="48"/>
      <c r="P592" s="48">
        <v>50</v>
      </c>
      <c r="Q592" s="48">
        <v>32</v>
      </c>
      <c r="R592" s="150" t="e">
        <f t="shared" ref="R592:AA592" si="588">$G592*H592</f>
        <v>#REF!</v>
      </c>
      <c r="S592" s="150" t="e">
        <f t="shared" si="588"/>
        <v>#REF!</v>
      </c>
      <c r="T592" s="150" t="e">
        <f t="shared" si="588"/>
        <v>#REF!</v>
      </c>
      <c r="U592" s="150" t="e">
        <f t="shared" si="588"/>
        <v>#REF!</v>
      </c>
      <c r="V592" s="150" t="e">
        <f t="shared" si="588"/>
        <v>#REF!</v>
      </c>
      <c r="W592" s="150" t="e">
        <f t="shared" si="588"/>
        <v>#REF!</v>
      </c>
      <c r="X592" s="150" t="e">
        <f t="shared" si="588"/>
        <v>#REF!</v>
      </c>
      <c r="Y592" s="150" t="e">
        <f t="shared" si="588"/>
        <v>#REF!</v>
      </c>
      <c r="Z592" s="150" t="e">
        <f t="shared" si="588"/>
        <v>#REF!</v>
      </c>
      <c r="AA592" s="150" t="e">
        <f t="shared" si="588"/>
        <v>#REF!</v>
      </c>
      <c r="AB592" s="50"/>
    </row>
    <row r="593" s="28" customFormat="1" ht="28.8" outlineLevel="3" spans="1:28">
      <c r="A593" s="52">
        <f>MAX($A$6:A592)+1</f>
        <v>541</v>
      </c>
      <c r="B593" s="138" t="s">
        <v>2218</v>
      </c>
      <c r="C593" s="51" t="e">
        <f>VLOOKUP($B593,#REF!,MATCH(C$2,#REF!,0),0)</f>
        <v>#REF!</v>
      </c>
      <c r="D593" s="83"/>
      <c r="E593" s="83"/>
      <c r="F593" s="136" t="e">
        <f>VLOOKUP($B593,#REF!,MATCH(F$2,#REF!,0),0)</f>
        <v>#REF!</v>
      </c>
      <c r="G593" s="137" t="e">
        <f>VLOOKUP($B593,#REF!,MATCH(G$2,#REF!,0),0)</f>
        <v>#REF!</v>
      </c>
      <c r="H593" s="48">
        <v>1</v>
      </c>
      <c r="I593" s="48">
        <v>1</v>
      </c>
      <c r="J593" s="48">
        <v>1</v>
      </c>
      <c r="K593" s="48">
        <v>1</v>
      </c>
      <c r="L593" s="48"/>
      <c r="M593" s="48">
        <v>1</v>
      </c>
      <c r="N593" s="48">
        <v>1</v>
      </c>
      <c r="O593" s="48">
        <v>1</v>
      </c>
      <c r="P593" s="48">
        <v>1</v>
      </c>
      <c r="Q593" s="48"/>
      <c r="R593" s="150" t="e">
        <f t="shared" ref="R593:AA593" si="589">$G593*H593</f>
        <v>#REF!</v>
      </c>
      <c r="S593" s="150" t="e">
        <f t="shared" si="589"/>
        <v>#REF!</v>
      </c>
      <c r="T593" s="150" t="e">
        <f t="shared" si="589"/>
        <v>#REF!</v>
      </c>
      <c r="U593" s="150" t="e">
        <f t="shared" si="589"/>
        <v>#REF!</v>
      </c>
      <c r="V593" s="150" t="e">
        <f t="shared" si="589"/>
        <v>#REF!</v>
      </c>
      <c r="W593" s="150" t="e">
        <f t="shared" si="589"/>
        <v>#REF!</v>
      </c>
      <c r="X593" s="150" t="e">
        <f t="shared" si="589"/>
        <v>#REF!</v>
      </c>
      <c r="Y593" s="150" t="e">
        <f t="shared" si="589"/>
        <v>#REF!</v>
      </c>
      <c r="Z593" s="150" t="e">
        <f t="shared" si="589"/>
        <v>#REF!</v>
      </c>
      <c r="AA593" s="150" t="e">
        <f t="shared" si="589"/>
        <v>#REF!</v>
      </c>
      <c r="AB593" s="50"/>
    </row>
    <row r="594" s="28" customFormat="1" ht="28.8" outlineLevel="3" spans="1:28">
      <c r="A594" s="52">
        <f>MAX($A$6:A593)+1</f>
        <v>542</v>
      </c>
      <c r="B594" s="138" t="s">
        <v>2219</v>
      </c>
      <c r="C594" s="51" t="e">
        <f>VLOOKUP($B594,#REF!,MATCH(C$2,#REF!,0),0)</f>
        <v>#REF!</v>
      </c>
      <c r="D594" s="83"/>
      <c r="E594" s="83"/>
      <c r="F594" s="136" t="e">
        <f>VLOOKUP($B594,#REF!,MATCH(F$2,#REF!,0),0)</f>
        <v>#REF!</v>
      </c>
      <c r="G594" s="137" t="e">
        <f>VLOOKUP($B594,#REF!,MATCH(G$2,#REF!,0),0)</f>
        <v>#REF!</v>
      </c>
      <c r="H594" s="48">
        <v>1</v>
      </c>
      <c r="I594" s="48">
        <v>1</v>
      </c>
      <c r="J594" s="48">
        <v>1</v>
      </c>
      <c r="K594" s="48">
        <v>1</v>
      </c>
      <c r="L594" s="48"/>
      <c r="M594" s="48">
        <v>1</v>
      </c>
      <c r="N594" s="48">
        <v>1</v>
      </c>
      <c r="O594" s="48">
        <v>1</v>
      </c>
      <c r="P594" s="48">
        <v>1</v>
      </c>
      <c r="Q594" s="48"/>
      <c r="R594" s="150" t="e">
        <f t="shared" ref="R594:AA594" si="590">$G594*H594</f>
        <v>#REF!</v>
      </c>
      <c r="S594" s="150" t="e">
        <f t="shared" si="590"/>
        <v>#REF!</v>
      </c>
      <c r="T594" s="150" t="e">
        <f t="shared" si="590"/>
        <v>#REF!</v>
      </c>
      <c r="U594" s="150" t="e">
        <f t="shared" si="590"/>
        <v>#REF!</v>
      </c>
      <c r="V594" s="150" t="e">
        <f t="shared" si="590"/>
        <v>#REF!</v>
      </c>
      <c r="W594" s="150" t="e">
        <f t="shared" si="590"/>
        <v>#REF!</v>
      </c>
      <c r="X594" s="150" t="e">
        <f t="shared" si="590"/>
        <v>#REF!</v>
      </c>
      <c r="Y594" s="150" t="e">
        <f t="shared" si="590"/>
        <v>#REF!</v>
      </c>
      <c r="Z594" s="150" t="e">
        <f t="shared" si="590"/>
        <v>#REF!</v>
      </c>
      <c r="AA594" s="150" t="e">
        <f t="shared" si="590"/>
        <v>#REF!</v>
      </c>
      <c r="AB594" s="50"/>
    </row>
    <row r="595" s="28" customFormat="1" ht="28.8" outlineLevel="3" spans="1:28">
      <c r="A595" s="52">
        <f>MAX($A$6:A594)+1</f>
        <v>543</v>
      </c>
      <c r="B595" s="138" t="s">
        <v>2220</v>
      </c>
      <c r="C595" s="51" t="e">
        <f>VLOOKUP($B595,#REF!,MATCH(C$2,#REF!,0),0)</f>
        <v>#REF!</v>
      </c>
      <c r="D595" s="83"/>
      <c r="E595" s="83"/>
      <c r="F595" s="136" t="e">
        <f>VLOOKUP($B595,#REF!,MATCH(F$2,#REF!,0),0)</f>
        <v>#REF!</v>
      </c>
      <c r="G595" s="137" t="e">
        <f>VLOOKUP($B595,#REF!,MATCH(G$2,#REF!,0),0)</f>
        <v>#REF!</v>
      </c>
      <c r="H595" s="48">
        <v>7</v>
      </c>
      <c r="I595" s="48">
        <v>5</v>
      </c>
      <c r="J595" s="48">
        <v>4</v>
      </c>
      <c r="K595" s="48">
        <v>4</v>
      </c>
      <c r="L595" s="48"/>
      <c r="M595" s="48">
        <v>1</v>
      </c>
      <c r="N595" s="48">
        <v>1</v>
      </c>
      <c r="O595" s="48">
        <v>1</v>
      </c>
      <c r="P595" s="48"/>
      <c r="Q595" s="48"/>
      <c r="R595" s="150" t="e">
        <f t="shared" ref="R595:AA595" si="591">$G595*H595</f>
        <v>#REF!</v>
      </c>
      <c r="S595" s="150" t="e">
        <f t="shared" si="591"/>
        <v>#REF!</v>
      </c>
      <c r="T595" s="150" t="e">
        <f t="shared" si="591"/>
        <v>#REF!</v>
      </c>
      <c r="U595" s="150" t="e">
        <f t="shared" si="591"/>
        <v>#REF!</v>
      </c>
      <c r="V595" s="150" t="e">
        <f t="shared" si="591"/>
        <v>#REF!</v>
      </c>
      <c r="W595" s="150" t="e">
        <f t="shared" si="591"/>
        <v>#REF!</v>
      </c>
      <c r="X595" s="150" t="e">
        <f t="shared" si="591"/>
        <v>#REF!</v>
      </c>
      <c r="Y595" s="150" t="e">
        <f t="shared" si="591"/>
        <v>#REF!</v>
      </c>
      <c r="Z595" s="150" t="e">
        <f t="shared" si="591"/>
        <v>#REF!</v>
      </c>
      <c r="AA595" s="150" t="e">
        <f t="shared" si="591"/>
        <v>#REF!</v>
      </c>
      <c r="AB595" s="50"/>
    </row>
    <row r="596" s="28" customFormat="1" ht="28.8" outlineLevel="3" spans="1:28">
      <c r="A596" s="52">
        <f>MAX($A$6:A595)+1</f>
        <v>544</v>
      </c>
      <c r="B596" s="138" t="s">
        <v>2221</v>
      </c>
      <c r="C596" s="51" t="e">
        <f>VLOOKUP($B596,#REF!,MATCH(C$2,#REF!,0),0)</f>
        <v>#REF!</v>
      </c>
      <c r="D596" s="83"/>
      <c r="E596" s="83"/>
      <c r="F596" s="136" t="e">
        <f>VLOOKUP($B596,#REF!,MATCH(F$2,#REF!,0),0)</f>
        <v>#REF!</v>
      </c>
      <c r="G596" s="137" t="e">
        <f>VLOOKUP($B596,#REF!,MATCH(G$2,#REF!,0),0)</f>
        <v>#REF!</v>
      </c>
      <c r="H596" s="48">
        <v>10</v>
      </c>
      <c r="I596" s="48">
        <v>2</v>
      </c>
      <c r="J596" s="48">
        <v>4</v>
      </c>
      <c r="K596" s="48">
        <v>4</v>
      </c>
      <c r="L596" s="48">
        <v>1</v>
      </c>
      <c r="M596" s="48"/>
      <c r="N596" s="48"/>
      <c r="O596" s="48"/>
      <c r="P596" s="48">
        <v>281</v>
      </c>
      <c r="Q596" s="48">
        <v>848</v>
      </c>
      <c r="R596" s="150" t="e">
        <f t="shared" ref="R596:AA596" si="592">$G596*H596</f>
        <v>#REF!</v>
      </c>
      <c r="S596" s="150" t="e">
        <f t="shared" si="592"/>
        <v>#REF!</v>
      </c>
      <c r="T596" s="150" t="e">
        <f t="shared" si="592"/>
        <v>#REF!</v>
      </c>
      <c r="U596" s="150" t="e">
        <f t="shared" si="592"/>
        <v>#REF!</v>
      </c>
      <c r="V596" s="150" t="e">
        <f t="shared" si="592"/>
        <v>#REF!</v>
      </c>
      <c r="W596" s="150" t="e">
        <f t="shared" si="592"/>
        <v>#REF!</v>
      </c>
      <c r="X596" s="150" t="e">
        <f t="shared" si="592"/>
        <v>#REF!</v>
      </c>
      <c r="Y596" s="150" t="e">
        <f t="shared" si="592"/>
        <v>#REF!</v>
      </c>
      <c r="Z596" s="150" t="e">
        <f t="shared" si="592"/>
        <v>#REF!</v>
      </c>
      <c r="AA596" s="150" t="e">
        <f t="shared" si="592"/>
        <v>#REF!</v>
      </c>
      <c r="AB596" s="50"/>
    </row>
    <row r="597" s="28" customFormat="1" outlineLevel="3" spans="1:28">
      <c r="A597" s="52">
        <f>MAX($A$6:A596)+1</f>
        <v>545</v>
      </c>
      <c r="B597" s="138" t="s">
        <v>2222</v>
      </c>
      <c r="C597" s="51" t="e">
        <f>VLOOKUP($B597,#REF!,MATCH(C$2,#REF!,0),0)</f>
        <v>#REF!</v>
      </c>
      <c r="D597" s="83"/>
      <c r="E597" s="83"/>
      <c r="F597" s="136" t="e">
        <f>VLOOKUP($B597,#REF!,MATCH(F$2,#REF!,0),0)</f>
        <v>#REF!</v>
      </c>
      <c r="G597" s="137" t="e">
        <f>VLOOKUP($B597,#REF!,MATCH(G$2,#REF!,0),0)</f>
        <v>#REF!</v>
      </c>
      <c r="H597" s="48"/>
      <c r="I597" s="48"/>
      <c r="J597" s="48"/>
      <c r="K597" s="48"/>
      <c r="L597" s="48"/>
      <c r="M597" s="48"/>
      <c r="N597" s="48"/>
      <c r="O597" s="48"/>
      <c r="P597" s="48">
        <v>11</v>
      </c>
      <c r="Q597" s="48">
        <v>20</v>
      </c>
      <c r="R597" s="150" t="e">
        <f t="shared" ref="R597:AA597" si="593">$G597*H597</f>
        <v>#REF!</v>
      </c>
      <c r="S597" s="150" t="e">
        <f t="shared" si="593"/>
        <v>#REF!</v>
      </c>
      <c r="T597" s="150" t="e">
        <f t="shared" si="593"/>
        <v>#REF!</v>
      </c>
      <c r="U597" s="150" t="e">
        <f t="shared" si="593"/>
        <v>#REF!</v>
      </c>
      <c r="V597" s="150" t="e">
        <f t="shared" si="593"/>
        <v>#REF!</v>
      </c>
      <c r="W597" s="150" t="e">
        <f t="shared" si="593"/>
        <v>#REF!</v>
      </c>
      <c r="X597" s="150" t="e">
        <f t="shared" si="593"/>
        <v>#REF!</v>
      </c>
      <c r="Y597" s="150" t="e">
        <f t="shared" si="593"/>
        <v>#REF!</v>
      </c>
      <c r="Z597" s="150" t="e">
        <f t="shared" si="593"/>
        <v>#REF!</v>
      </c>
      <c r="AA597" s="150" t="e">
        <f t="shared" si="593"/>
        <v>#REF!</v>
      </c>
      <c r="AB597" s="50"/>
    </row>
    <row r="598" s="28" customFormat="1" ht="28.8" outlineLevel="3" spans="1:28">
      <c r="A598" s="52">
        <f>MAX($A$6:A597)+1</f>
        <v>546</v>
      </c>
      <c r="B598" s="138" t="s">
        <v>2223</v>
      </c>
      <c r="C598" s="51" t="e">
        <f>VLOOKUP($B598,#REF!,MATCH(C$2,#REF!,0),0)</f>
        <v>#REF!</v>
      </c>
      <c r="D598" s="83"/>
      <c r="E598" s="83"/>
      <c r="F598" s="136" t="e">
        <f>VLOOKUP($B598,#REF!,MATCH(F$2,#REF!,0),0)</f>
        <v>#REF!</v>
      </c>
      <c r="G598" s="137" t="e">
        <f>VLOOKUP($B598,#REF!,MATCH(G$2,#REF!,0),0)</f>
        <v>#REF!</v>
      </c>
      <c r="H598" s="48">
        <v>2</v>
      </c>
      <c r="I598" s="48">
        <v>2</v>
      </c>
      <c r="J598" s="48">
        <v>2</v>
      </c>
      <c r="K598" s="48">
        <v>2</v>
      </c>
      <c r="L598" s="48">
        <v>5</v>
      </c>
      <c r="M598" s="48">
        <v>2</v>
      </c>
      <c r="N598" s="48">
        <v>2</v>
      </c>
      <c r="O598" s="48">
        <v>2</v>
      </c>
      <c r="P598" s="48">
        <v>2</v>
      </c>
      <c r="Q598" s="48"/>
      <c r="R598" s="150" t="e">
        <f t="shared" ref="R598:AA598" si="594">$G598*H598</f>
        <v>#REF!</v>
      </c>
      <c r="S598" s="150" t="e">
        <f t="shared" si="594"/>
        <v>#REF!</v>
      </c>
      <c r="T598" s="150" t="e">
        <f t="shared" si="594"/>
        <v>#REF!</v>
      </c>
      <c r="U598" s="150" t="e">
        <f t="shared" si="594"/>
        <v>#REF!</v>
      </c>
      <c r="V598" s="150" t="e">
        <f t="shared" si="594"/>
        <v>#REF!</v>
      </c>
      <c r="W598" s="150" t="e">
        <f t="shared" si="594"/>
        <v>#REF!</v>
      </c>
      <c r="X598" s="150" t="e">
        <f t="shared" si="594"/>
        <v>#REF!</v>
      </c>
      <c r="Y598" s="150" t="e">
        <f t="shared" si="594"/>
        <v>#REF!</v>
      </c>
      <c r="Z598" s="150" t="e">
        <f t="shared" si="594"/>
        <v>#REF!</v>
      </c>
      <c r="AA598" s="150" t="e">
        <f t="shared" si="594"/>
        <v>#REF!</v>
      </c>
      <c r="AB598" s="50"/>
    </row>
    <row r="599" s="28" customFormat="1" ht="28.8" outlineLevel="3" spans="1:28">
      <c r="A599" s="52">
        <f>MAX($A$6:A598)+1</f>
        <v>547</v>
      </c>
      <c r="B599" s="138" t="s">
        <v>2224</v>
      </c>
      <c r="C599" s="51" t="e">
        <f>VLOOKUP($B599,#REF!,MATCH(C$2,#REF!,0),0)</f>
        <v>#REF!</v>
      </c>
      <c r="D599" s="83"/>
      <c r="E599" s="83"/>
      <c r="F599" s="136" t="e">
        <f>VLOOKUP($B599,#REF!,MATCH(F$2,#REF!,0),0)</f>
        <v>#REF!</v>
      </c>
      <c r="G599" s="137" t="e">
        <f>VLOOKUP($B599,#REF!,MATCH(G$2,#REF!,0),0)</f>
        <v>#REF!</v>
      </c>
      <c r="H599" s="48">
        <v>2</v>
      </c>
      <c r="I599" s="48">
        <v>2</v>
      </c>
      <c r="J599" s="48">
        <v>2</v>
      </c>
      <c r="K599" s="48">
        <v>2</v>
      </c>
      <c r="L599" s="48"/>
      <c r="M599" s="48">
        <v>2</v>
      </c>
      <c r="N599" s="48">
        <v>2</v>
      </c>
      <c r="O599" s="48">
        <v>2</v>
      </c>
      <c r="P599" s="48">
        <v>2</v>
      </c>
      <c r="Q599" s="48">
        <v>57</v>
      </c>
      <c r="R599" s="150" t="e">
        <f t="shared" ref="R599:AA599" si="595">$G599*H599</f>
        <v>#REF!</v>
      </c>
      <c r="S599" s="150" t="e">
        <f t="shared" si="595"/>
        <v>#REF!</v>
      </c>
      <c r="T599" s="150" t="e">
        <f t="shared" si="595"/>
        <v>#REF!</v>
      </c>
      <c r="U599" s="150" t="e">
        <f t="shared" si="595"/>
        <v>#REF!</v>
      </c>
      <c r="V599" s="150" t="e">
        <f t="shared" si="595"/>
        <v>#REF!</v>
      </c>
      <c r="W599" s="150" t="e">
        <f t="shared" si="595"/>
        <v>#REF!</v>
      </c>
      <c r="X599" s="150" t="e">
        <f t="shared" si="595"/>
        <v>#REF!</v>
      </c>
      <c r="Y599" s="150" t="e">
        <f t="shared" si="595"/>
        <v>#REF!</v>
      </c>
      <c r="Z599" s="150" t="e">
        <f t="shared" si="595"/>
        <v>#REF!</v>
      </c>
      <c r="AA599" s="150" t="e">
        <f t="shared" si="595"/>
        <v>#REF!</v>
      </c>
      <c r="AB599" s="50"/>
    </row>
    <row r="600" s="28" customFormat="1" ht="28.8" outlineLevel="3" spans="1:28">
      <c r="A600" s="52">
        <f>MAX($A$6:A599)+1</f>
        <v>548</v>
      </c>
      <c r="B600" s="138" t="s">
        <v>1411</v>
      </c>
      <c r="C600" s="138" t="e">
        <f>VLOOKUP($B600,#REF!,MATCH(C$2,#REF!,0),0)</f>
        <v>#REF!</v>
      </c>
      <c r="D600" s="83"/>
      <c r="E600" s="83"/>
      <c r="F600" s="136" t="e">
        <f>VLOOKUP($B600,#REF!,MATCH(F$2,#REF!,0),0)</f>
        <v>#REF!</v>
      </c>
      <c r="G600" s="137" t="e">
        <f>VLOOKUP($B600,#REF!,MATCH(G$2,#REF!,0),0)</f>
        <v>#REF!</v>
      </c>
      <c r="H600" s="48"/>
      <c r="I600" s="48"/>
      <c r="J600" s="48"/>
      <c r="K600" s="48"/>
      <c r="L600" s="48"/>
      <c r="M600" s="48"/>
      <c r="N600" s="48"/>
      <c r="O600" s="48"/>
      <c r="P600" s="48"/>
      <c r="Q600" s="48"/>
      <c r="R600" s="150" t="e">
        <f t="shared" ref="R600:R611" si="596">$G600*H600</f>
        <v>#REF!</v>
      </c>
      <c r="S600" s="150" t="e">
        <f t="shared" ref="S600:S611" si="597">$G600*I600</f>
        <v>#REF!</v>
      </c>
      <c r="T600" s="150" t="e">
        <f t="shared" ref="T600:T611" si="598">$G600*J600</f>
        <v>#REF!</v>
      </c>
      <c r="U600" s="150" t="e">
        <f t="shared" ref="U600:U611" si="599">$G600*K600</f>
        <v>#REF!</v>
      </c>
      <c r="V600" s="150" t="e">
        <f t="shared" ref="V600:V611" si="600">$G600*L600</f>
        <v>#REF!</v>
      </c>
      <c r="W600" s="150" t="e">
        <f t="shared" ref="W600:W611" si="601">$G600*M600</f>
        <v>#REF!</v>
      </c>
      <c r="X600" s="150" t="e">
        <f t="shared" ref="X600:X611" si="602">$G600*N600</f>
        <v>#REF!</v>
      </c>
      <c r="Y600" s="150" t="e">
        <f t="shared" ref="Y600:Y621" si="603">$G600*O600</f>
        <v>#REF!</v>
      </c>
      <c r="Z600" s="150" t="e">
        <f t="shared" ref="Z600:Z621" si="604">$G600*P600</f>
        <v>#REF!</v>
      </c>
      <c r="AA600" s="150" t="e">
        <f t="shared" ref="AA600:AA621" si="605">$G600*Q600</f>
        <v>#REF!</v>
      </c>
      <c r="AB600" s="50"/>
    </row>
    <row r="601" s="28" customFormat="1" ht="28.8" outlineLevel="3" spans="1:28">
      <c r="A601" s="52">
        <f>MAX($A$6:A600)+1</f>
        <v>549</v>
      </c>
      <c r="B601" s="138" t="s">
        <v>1412</v>
      </c>
      <c r="C601" s="138" t="e">
        <f>VLOOKUP($B601,#REF!,MATCH(C$2,#REF!,0),0)</f>
        <v>#REF!</v>
      </c>
      <c r="D601" s="83"/>
      <c r="E601" s="83"/>
      <c r="F601" s="136" t="e">
        <f>VLOOKUP($B601,#REF!,MATCH(F$2,#REF!,0),0)</f>
        <v>#REF!</v>
      </c>
      <c r="G601" s="137" t="e">
        <f>VLOOKUP($B601,#REF!,MATCH(G$2,#REF!,0),0)</f>
        <v>#REF!</v>
      </c>
      <c r="H601" s="48"/>
      <c r="I601" s="48"/>
      <c r="J601" s="48"/>
      <c r="K601" s="48"/>
      <c r="L601" s="48"/>
      <c r="M601" s="48"/>
      <c r="N601" s="48"/>
      <c r="O601" s="48"/>
      <c r="P601" s="48"/>
      <c r="Q601" s="48"/>
      <c r="R601" s="150" t="e">
        <f t="shared" si="596"/>
        <v>#REF!</v>
      </c>
      <c r="S601" s="150" t="e">
        <f t="shared" si="597"/>
        <v>#REF!</v>
      </c>
      <c r="T601" s="150" t="e">
        <f t="shared" si="598"/>
        <v>#REF!</v>
      </c>
      <c r="U601" s="150" t="e">
        <f t="shared" si="599"/>
        <v>#REF!</v>
      </c>
      <c r="V601" s="150" t="e">
        <f t="shared" si="600"/>
        <v>#REF!</v>
      </c>
      <c r="W601" s="150" t="e">
        <f t="shared" si="601"/>
        <v>#REF!</v>
      </c>
      <c r="X601" s="150" t="e">
        <f t="shared" si="602"/>
        <v>#REF!</v>
      </c>
      <c r="Y601" s="150" t="e">
        <f t="shared" si="603"/>
        <v>#REF!</v>
      </c>
      <c r="Z601" s="150" t="e">
        <f t="shared" si="604"/>
        <v>#REF!</v>
      </c>
      <c r="AA601" s="150" t="e">
        <f t="shared" si="605"/>
        <v>#REF!</v>
      </c>
      <c r="AB601" s="50"/>
    </row>
    <row r="602" s="28" customFormat="1" ht="28.8" outlineLevel="3" spans="1:28">
      <c r="A602" s="52">
        <f>MAX($A$6:A601)+1</f>
        <v>550</v>
      </c>
      <c r="B602" s="138" t="s">
        <v>1413</v>
      </c>
      <c r="C602" s="138" t="e">
        <f>VLOOKUP($B602,#REF!,MATCH(C$2,#REF!,0),0)</f>
        <v>#REF!</v>
      </c>
      <c r="D602" s="83"/>
      <c r="E602" s="83"/>
      <c r="F602" s="136" t="e">
        <f>VLOOKUP($B602,#REF!,MATCH(F$2,#REF!,0),0)</f>
        <v>#REF!</v>
      </c>
      <c r="G602" s="137" t="e">
        <f>VLOOKUP($B602,#REF!,MATCH(G$2,#REF!,0),0)</f>
        <v>#REF!</v>
      </c>
      <c r="H602" s="48"/>
      <c r="I602" s="48"/>
      <c r="J602" s="48"/>
      <c r="K602" s="48"/>
      <c r="L602" s="48"/>
      <c r="M602" s="48"/>
      <c r="N602" s="48"/>
      <c r="O602" s="48"/>
      <c r="P602" s="48"/>
      <c r="Q602" s="48"/>
      <c r="R602" s="150" t="e">
        <f t="shared" si="596"/>
        <v>#REF!</v>
      </c>
      <c r="S602" s="150" t="e">
        <f t="shared" si="597"/>
        <v>#REF!</v>
      </c>
      <c r="T602" s="150" t="e">
        <f t="shared" si="598"/>
        <v>#REF!</v>
      </c>
      <c r="U602" s="150" t="e">
        <f t="shared" si="599"/>
        <v>#REF!</v>
      </c>
      <c r="V602" s="150" t="e">
        <f t="shared" si="600"/>
        <v>#REF!</v>
      </c>
      <c r="W602" s="150" t="e">
        <f t="shared" si="601"/>
        <v>#REF!</v>
      </c>
      <c r="X602" s="150" t="e">
        <f t="shared" si="602"/>
        <v>#REF!</v>
      </c>
      <c r="Y602" s="150" t="e">
        <f t="shared" si="603"/>
        <v>#REF!</v>
      </c>
      <c r="Z602" s="150" t="e">
        <f t="shared" si="604"/>
        <v>#REF!</v>
      </c>
      <c r="AA602" s="150" t="e">
        <f t="shared" si="605"/>
        <v>#REF!</v>
      </c>
      <c r="AB602" s="50"/>
    </row>
    <row r="603" s="28" customFormat="1" ht="28.8" outlineLevel="3" spans="1:28">
      <c r="A603" s="52">
        <f>MAX($A$6:A602)+1</f>
        <v>551</v>
      </c>
      <c r="B603" s="138" t="s">
        <v>1414</v>
      </c>
      <c r="C603" s="138" t="e">
        <f>VLOOKUP($B603,#REF!,MATCH(C$2,#REF!,0),0)</f>
        <v>#REF!</v>
      </c>
      <c r="D603" s="83"/>
      <c r="E603" s="83"/>
      <c r="F603" s="136" t="e">
        <f>VLOOKUP($B603,#REF!,MATCH(F$2,#REF!,0),0)</f>
        <v>#REF!</v>
      </c>
      <c r="G603" s="137" t="e">
        <f>VLOOKUP($B603,#REF!,MATCH(G$2,#REF!,0),0)</f>
        <v>#REF!</v>
      </c>
      <c r="H603" s="48"/>
      <c r="I603" s="48"/>
      <c r="J603" s="48"/>
      <c r="K603" s="48"/>
      <c r="L603" s="48"/>
      <c r="M603" s="48"/>
      <c r="N603" s="48"/>
      <c r="O603" s="48"/>
      <c r="P603" s="48"/>
      <c r="Q603" s="48"/>
      <c r="R603" s="150" t="e">
        <f t="shared" si="596"/>
        <v>#REF!</v>
      </c>
      <c r="S603" s="150" t="e">
        <f t="shared" si="597"/>
        <v>#REF!</v>
      </c>
      <c r="T603" s="150" t="e">
        <f t="shared" si="598"/>
        <v>#REF!</v>
      </c>
      <c r="U603" s="150" t="e">
        <f t="shared" si="599"/>
        <v>#REF!</v>
      </c>
      <c r="V603" s="150" t="e">
        <f t="shared" si="600"/>
        <v>#REF!</v>
      </c>
      <c r="W603" s="150" t="e">
        <f t="shared" si="601"/>
        <v>#REF!</v>
      </c>
      <c r="X603" s="150" t="e">
        <f t="shared" si="602"/>
        <v>#REF!</v>
      </c>
      <c r="Y603" s="150" t="e">
        <f t="shared" si="603"/>
        <v>#REF!</v>
      </c>
      <c r="Z603" s="150" t="e">
        <f t="shared" si="604"/>
        <v>#REF!</v>
      </c>
      <c r="AA603" s="150" t="e">
        <f t="shared" si="605"/>
        <v>#REF!</v>
      </c>
      <c r="AB603" s="50"/>
    </row>
    <row r="604" s="28" customFormat="1" ht="28.8" outlineLevel="3" spans="1:28">
      <c r="A604" s="52">
        <f>MAX($A$6:A603)+1</f>
        <v>552</v>
      </c>
      <c r="B604" s="138" t="s">
        <v>1415</v>
      </c>
      <c r="C604" s="138" t="e">
        <f>VLOOKUP($B604,#REF!,MATCH(C$2,#REF!,0),0)</f>
        <v>#REF!</v>
      </c>
      <c r="D604" s="83"/>
      <c r="E604" s="83"/>
      <c r="F604" s="136" t="e">
        <f>VLOOKUP($B604,#REF!,MATCH(F$2,#REF!,0),0)</f>
        <v>#REF!</v>
      </c>
      <c r="G604" s="137" t="e">
        <f>VLOOKUP($B604,#REF!,MATCH(G$2,#REF!,0),0)</f>
        <v>#REF!</v>
      </c>
      <c r="H604" s="48"/>
      <c r="I604" s="48"/>
      <c r="J604" s="48"/>
      <c r="K604" s="48"/>
      <c r="L604" s="48"/>
      <c r="M604" s="48"/>
      <c r="N604" s="48"/>
      <c r="O604" s="48"/>
      <c r="P604" s="48"/>
      <c r="Q604" s="48"/>
      <c r="R604" s="150" t="e">
        <f t="shared" si="596"/>
        <v>#REF!</v>
      </c>
      <c r="S604" s="150" t="e">
        <f t="shared" si="597"/>
        <v>#REF!</v>
      </c>
      <c r="T604" s="150" t="e">
        <f t="shared" si="598"/>
        <v>#REF!</v>
      </c>
      <c r="U604" s="150" t="e">
        <f t="shared" si="599"/>
        <v>#REF!</v>
      </c>
      <c r="V604" s="150" t="e">
        <f t="shared" si="600"/>
        <v>#REF!</v>
      </c>
      <c r="W604" s="150" t="e">
        <f t="shared" si="601"/>
        <v>#REF!</v>
      </c>
      <c r="X604" s="150" t="e">
        <f t="shared" si="602"/>
        <v>#REF!</v>
      </c>
      <c r="Y604" s="150" t="e">
        <f t="shared" si="603"/>
        <v>#REF!</v>
      </c>
      <c r="Z604" s="150" t="e">
        <f t="shared" si="604"/>
        <v>#REF!</v>
      </c>
      <c r="AA604" s="150" t="e">
        <f t="shared" si="605"/>
        <v>#REF!</v>
      </c>
      <c r="AB604" s="50"/>
    </row>
    <row r="605" s="28" customFormat="1" ht="28.8" outlineLevel="3" spans="1:28">
      <c r="A605" s="52">
        <f>MAX($A$6:A604)+1</f>
        <v>553</v>
      </c>
      <c r="B605" s="138" t="s">
        <v>1416</v>
      </c>
      <c r="C605" s="138" t="e">
        <f>VLOOKUP($B605,#REF!,MATCH(C$2,#REF!,0),0)</f>
        <v>#REF!</v>
      </c>
      <c r="D605" s="83"/>
      <c r="E605" s="83"/>
      <c r="F605" s="136" t="e">
        <f>VLOOKUP($B605,#REF!,MATCH(F$2,#REF!,0),0)</f>
        <v>#REF!</v>
      </c>
      <c r="G605" s="137" t="e">
        <f>VLOOKUP($B605,#REF!,MATCH(G$2,#REF!,0),0)</f>
        <v>#REF!</v>
      </c>
      <c r="H605" s="48"/>
      <c r="I605" s="48"/>
      <c r="J605" s="48"/>
      <c r="K605" s="48"/>
      <c r="L605" s="48"/>
      <c r="M605" s="48"/>
      <c r="N605" s="48"/>
      <c r="O605" s="48"/>
      <c r="P605" s="48"/>
      <c r="Q605" s="48"/>
      <c r="R605" s="150" t="e">
        <f t="shared" si="596"/>
        <v>#REF!</v>
      </c>
      <c r="S605" s="150" t="e">
        <f t="shared" si="597"/>
        <v>#REF!</v>
      </c>
      <c r="T605" s="150" t="e">
        <f t="shared" si="598"/>
        <v>#REF!</v>
      </c>
      <c r="U605" s="150" t="e">
        <f t="shared" si="599"/>
        <v>#REF!</v>
      </c>
      <c r="V605" s="150" t="e">
        <f t="shared" si="600"/>
        <v>#REF!</v>
      </c>
      <c r="W605" s="150" t="e">
        <f t="shared" si="601"/>
        <v>#REF!</v>
      </c>
      <c r="X605" s="150" t="e">
        <f t="shared" si="602"/>
        <v>#REF!</v>
      </c>
      <c r="Y605" s="150" t="e">
        <f t="shared" si="603"/>
        <v>#REF!</v>
      </c>
      <c r="Z605" s="150" t="e">
        <f t="shared" si="604"/>
        <v>#REF!</v>
      </c>
      <c r="AA605" s="150" t="e">
        <f t="shared" si="605"/>
        <v>#REF!</v>
      </c>
      <c r="AB605" s="50"/>
    </row>
    <row r="606" s="28" customFormat="1" ht="28.8" outlineLevel="3" spans="1:28">
      <c r="A606" s="52">
        <f>MAX($A$6:A605)+1</f>
        <v>554</v>
      </c>
      <c r="B606" s="138" t="s">
        <v>1417</v>
      </c>
      <c r="C606" s="138" t="e">
        <f>VLOOKUP($B606,#REF!,MATCH(C$2,#REF!,0),0)</f>
        <v>#REF!</v>
      </c>
      <c r="D606" s="83"/>
      <c r="E606" s="83"/>
      <c r="F606" s="136" t="e">
        <f>VLOOKUP($B606,#REF!,MATCH(F$2,#REF!,0),0)</f>
        <v>#REF!</v>
      </c>
      <c r="G606" s="137" t="e">
        <f>VLOOKUP($B606,#REF!,MATCH(G$2,#REF!,0),0)</f>
        <v>#REF!</v>
      </c>
      <c r="H606" s="48"/>
      <c r="I606" s="48"/>
      <c r="J606" s="48"/>
      <c r="K606" s="48"/>
      <c r="L606" s="48"/>
      <c r="M606" s="48"/>
      <c r="N606" s="48"/>
      <c r="O606" s="48"/>
      <c r="P606" s="48"/>
      <c r="Q606" s="48"/>
      <c r="R606" s="150" t="e">
        <f t="shared" si="596"/>
        <v>#REF!</v>
      </c>
      <c r="S606" s="150" t="e">
        <f t="shared" si="597"/>
        <v>#REF!</v>
      </c>
      <c r="T606" s="150" t="e">
        <f t="shared" si="598"/>
        <v>#REF!</v>
      </c>
      <c r="U606" s="150" t="e">
        <f t="shared" si="599"/>
        <v>#REF!</v>
      </c>
      <c r="V606" s="150" t="e">
        <f t="shared" si="600"/>
        <v>#REF!</v>
      </c>
      <c r="W606" s="150" t="e">
        <f t="shared" si="601"/>
        <v>#REF!</v>
      </c>
      <c r="X606" s="150" t="e">
        <f t="shared" si="602"/>
        <v>#REF!</v>
      </c>
      <c r="Y606" s="150" t="e">
        <f t="shared" si="603"/>
        <v>#REF!</v>
      </c>
      <c r="Z606" s="150" t="e">
        <f t="shared" si="604"/>
        <v>#REF!</v>
      </c>
      <c r="AA606" s="150" t="e">
        <f t="shared" si="605"/>
        <v>#REF!</v>
      </c>
      <c r="AB606" s="50"/>
    </row>
    <row r="607" s="28" customFormat="1" ht="28.8" outlineLevel="3" spans="1:28">
      <c r="A607" s="52">
        <f>MAX($A$6:A606)+1</f>
        <v>555</v>
      </c>
      <c r="B607" s="138" t="s">
        <v>1418</v>
      </c>
      <c r="C607" s="138" t="e">
        <f>VLOOKUP($B607,#REF!,MATCH(C$2,#REF!,0),0)</f>
        <v>#REF!</v>
      </c>
      <c r="D607" s="83"/>
      <c r="E607" s="83"/>
      <c r="F607" s="136" t="e">
        <f>VLOOKUP($B607,#REF!,MATCH(F$2,#REF!,0),0)</f>
        <v>#REF!</v>
      </c>
      <c r="G607" s="137" t="e">
        <f>VLOOKUP($B607,#REF!,MATCH(G$2,#REF!,0),0)</f>
        <v>#REF!</v>
      </c>
      <c r="H607" s="48"/>
      <c r="I607" s="48"/>
      <c r="J607" s="48"/>
      <c r="K607" s="48"/>
      <c r="L607" s="48"/>
      <c r="M607" s="48"/>
      <c r="N607" s="48"/>
      <c r="O607" s="48"/>
      <c r="P607" s="48"/>
      <c r="Q607" s="48"/>
      <c r="R607" s="150" t="e">
        <f t="shared" si="596"/>
        <v>#REF!</v>
      </c>
      <c r="S607" s="150" t="e">
        <f t="shared" si="597"/>
        <v>#REF!</v>
      </c>
      <c r="T607" s="150" t="e">
        <f t="shared" si="598"/>
        <v>#REF!</v>
      </c>
      <c r="U607" s="150" t="e">
        <f t="shared" si="599"/>
        <v>#REF!</v>
      </c>
      <c r="V607" s="150" t="e">
        <f t="shared" si="600"/>
        <v>#REF!</v>
      </c>
      <c r="W607" s="150" t="e">
        <f t="shared" si="601"/>
        <v>#REF!</v>
      </c>
      <c r="X607" s="150" t="e">
        <f t="shared" si="602"/>
        <v>#REF!</v>
      </c>
      <c r="Y607" s="150" t="e">
        <f t="shared" si="603"/>
        <v>#REF!</v>
      </c>
      <c r="Z607" s="150" t="e">
        <f t="shared" si="604"/>
        <v>#REF!</v>
      </c>
      <c r="AA607" s="150" t="e">
        <f t="shared" si="605"/>
        <v>#REF!</v>
      </c>
      <c r="AB607" s="50"/>
    </row>
    <row r="608" s="28" customFormat="1" ht="28.8" outlineLevel="3" spans="1:28">
      <c r="A608" s="52">
        <f>MAX($A$6:A607)+1</f>
        <v>556</v>
      </c>
      <c r="B608" s="138" t="s">
        <v>1419</v>
      </c>
      <c r="C608" s="138" t="e">
        <f>VLOOKUP($B608,#REF!,MATCH(C$2,#REF!,0),0)</f>
        <v>#REF!</v>
      </c>
      <c r="D608" s="83"/>
      <c r="E608" s="83"/>
      <c r="F608" s="136" t="e">
        <f>VLOOKUP($B608,#REF!,MATCH(F$2,#REF!,0),0)</f>
        <v>#REF!</v>
      </c>
      <c r="G608" s="137" t="e">
        <f>VLOOKUP($B608,#REF!,MATCH(G$2,#REF!,0),0)</f>
        <v>#REF!</v>
      </c>
      <c r="H608" s="48"/>
      <c r="I608" s="48"/>
      <c r="J608" s="48"/>
      <c r="K608" s="48"/>
      <c r="L608" s="48"/>
      <c r="M608" s="48"/>
      <c r="N608" s="48"/>
      <c r="O608" s="48"/>
      <c r="P608" s="48"/>
      <c r="Q608" s="48"/>
      <c r="R608" s="150" t="e">
        <f t="shared" si="596"/>
        <v>#REF!</v>
      </c>
      <c r="S608" s="150" t="e">
        <f t="shared" si="597"/>
        <v>#REF!</v>
      </c>
      <c r="T608" s="150" t="e">
        <f t="shared" si="598"/>
        <v>#REF!</v>
      </c>
      <c r="U608" s="150" t="e">
        <f t="shared" si="599"/>
        <v>#REF!</v>
      </c>
      <c r="V608" s="150" t="e">
        <f t="shared" si="600"/>
        <v>#REF!</v>
      </c>
      <c r="W608" s="150" t="e">
        <f t="shared" si="601"/>
        <v>#REF!</v>
      </c>
      <c r="X608" s="150" t="e">
        <f t="shared" si="602"/>
        <v>#REF!</v>
      </c>
      <c r="Y608" s="150" t="e">
        <f t="shared" si="603"/>
        <v>#REF!</v>
      </c>
      <c r="Z608" s="150" t="e">
        <f t="shared" si="604"/>
        <v>#REF!</v>
      </c>
      <c r="AA608" s="150" t="e">
        <f t="shared" si="605"/>
        <v>#REF!</v>
      </c>
      <c r="AB608" s="50"/>
    </row>
    <row r="609" s="28" customFormat="1" ht="28.8" outlineLevel="3" spans="1:28">
      <c r="A609" s="52">
        <f>MAX($A$6:A608)+1</f>
        <v>557</v>
      </c>
      <c r="B609" s="138" t="s">
        <v>1420</v>
      </c>
      <c r="C609" s="138" t="e">
        <f>VLOOKUP($B609,#REF!,MATCH(C$2,#REF!,0),0)</f>
        <v>#REF!</v>
      </c>
      <c r="D609" s="83"/>
      <c r="E609" s="83"/>
      <c r="F609" s="136" t="e">
        <f>VLOOKUP($B609,#REF!,MATCH(F$2,#REF!,0),0)</f>
        <v>#REF!</v>
      </c>
      <c r="G609" s="137" t="e">
        <f>VLOOKUP($B609,#REF!,MATCH(G$2,#REF!,0),0)</f>
        <v>#REF!</v>
      </c>
      <c r="H609" s="48"/>
      <c r="I609" s="48"/>
      <c r="J609" s="48"/>
      <c r="K609" s="48"/>
      <c r="L609" s="48"/>
      <c r="M609" s="48"/>
      <c r="N609" s="48"/>
      <c r="O609" s="48"/>
      <c r="P609" s="48"/>
      <c r="Q609" s="48"/>
      <c r="R609" s="150" t="e">
        <f t="shared" si="596"/>
        <v>#REF!</v>
      </c>
      <c r="S609" s="150" t="e">
        <f t="shared" si="597"/>
        <v>#REF!</v>
      </c>
      <c r="T609" s="150" t="e">
        <f t="shared" si="598"/>
        <v>#REF!</v>
      </c>
      <c r="U609" s="150" t="e">
        <f t="shared" si="599"/>
        <v>#REF!</v>
      </c>
      <c r="V609" s="150" t="e">
        <f t="shared" si="600"/>
        <v>#REF!</v>
      </c>
      <c r="W609" s="150" t="e">
        <f t="shared" si="601"/>
        <v>#REF!</v>
      </c>
      <c r="X609" s="150" t="e">
        <f t="shared" si="602"/>
        <v>#REF!</v>
      </c>
      <c r="Y609" s="150" t="e">
        <f t="shared" si="603"/>
        <v>#REF!</v>
      </c>
      <c r="Z609" s="150" t="e">
        <f t="shared" si="604"/>
        <v>#REF!</v>
      </c>
      <c r="AA609" s="150" t="e">
        <f t="shared" si="605"/>
        <v>#REF!</v>
      </c>
      <c r="AB609" s="50"/>
    </row>
    <row r="610" s="28" customFormat="1" ht="28.8" outlineLevel="3" spans="1:28">
      <c r="A610" s="52">
        <f>MAX($A$6:A609)+1</f>
        <v>558</v>
      </c>
      <c r="B610" s="138" t="s">
        <v>1421</v>
      </c>
      <c r="C610" s="138" t="e">
        <f>VLOOKUP($B610,#REF!,MATCH(C$2,#REF!,0),0)</f>
        <v>#REF!</v>
      </c>
      <c r="D610" s="83"/>
      <c r="E610" s="83"/>
      <c r="F610" s="136" t="e">
        <f>VLOOKUP($B610,#REF!,MATCH(F$2,#REF!,0),0)</f>
        <v>#REF!</v>
      </c>
      <c r="G610" s="137" t="e">
        <f>VLOOKUP($B610,#REF!,MATCH(G$2,#REF!,0),0)</f>
        <v>#REF!</v>
      </c>
      <c r="H610" s="48"/>
      <c r="I610" s="48"/>
      <c r="J610" s="48"/>
      <c r="K610" s="48"/>
      <c r="L610" s="48"/>
      <c r="M610" s="48"/>
      <c r="N610" s="48"/>
      <c r="O610" s="48"/>
      <c r="P610" s="48"/>
      <c r="Q610" s="48"/>
      <c r="R610" s="150" t="e">
        <f t="shared" si="596"/>
        <v>#REF!</v>
      </c>
      <c r="S610" s="150" t="e">
        <f t="shared" si="597"/>
        <v>#REF!</v>
      </c>
      <c r="T610" s="150" t="e">
        <f t="shared" si="598"/>
        <v>#REF!</v>
      </c>
      <c r="U610" s="150" t="e">
        <f t="shared" si="599"/>
        <v>#REF!</v>
      </c>
      <c r="V610" s="150" t="e">
        <f t="shared" si="600"/>
        <v>#REF!</v>
      </c>
      <c r="W610" s="150" t="e">
        <f t="shared" si="601"/>
        <v>#REF!</v>
      </c>
      <c r="X610" s="150" t="e">
        <f t="shared" si="602"/>
        <v>#REF!</v>
      </c>
      <c r="Y610" s="150" t="e">
        <f t="shared" si="603"/>
        <v>#REF!</v>
      </c>
      <c r="Z610" s="150" t="e">
        <f t="shared" si="604"/>
        <v>#REF!</v>
      </c>
      <c r="AA610" s="150" t="e">
        <f t="shared" si="605"/>
        <v>#REF!</v>
      </c>
      <c r="AB610" s="50"/>
    </row>
    <row r="611" s="28" customFormat="1" ht="28.8" outlineLevel="3" spans="1:28">
      <c r="A611" s="52">
        <f>MAX($A$6:A610)+1</f>
        <v>559</v>
      </c>
      <c r="B611" s="138" t="s">
        <v>1422</v>
      </c>
      <c r="C611" s="138" t="e">
        <f>VLOOKUP($B611,#REF!,MATCH(C$2,#REF!,0),0)</f>
        <v>#REF!</v>
      </c>
      <c r="D611" s="83"/>
      <c r="E611" s="83"/>
      <c r="F611" s="136" t="e">
        <f>VLOOKUP($B611,#REF!,MATCH(F$2,#REF!,0),0)</f>
        <v>#REF!</v>
      </c>
      <c r="G611" s="137" t="e">
        <f>VLOOKUP($B611,#REF!,MATCH(G$2,#REF!,0),0)</f>
        <v>#REF!</v>
      </c>
      <c r="H611" s="48"/>
      <c r="I611" s="48"/>
      <c r="J611" s="48"/>
      <c r="K611" s="48"/>
      <c r="L611" s="48"/>
      <c r="M611" s="48"/>
      <c r="N611" s="48"/>
      <c r="O611" s="48"/>
      <c r="P611" s="48"/>
      <c r="Q611" s="48"/>
      <c r="R611" s="150" t="e">
        <f t="shared" si="596"/>
        <v>#REF!</v>
      </c>
      <c r="S611" s="150" t="e">
        <f t="shared" si="597"/>
        <v>#REF!</v>
      </c>
      <c r="T611" s="150" t="e">
        <f t="shared" si="598"/>
        <v>#REF!</v>
      </c>
      <c r="U611" s="150" t="e">
        <f t="shared" si="599"/>
        <v>#REF!</v>
      </c>
      <c r="V611" s="150" t="e">
        <f t="shared" si="600"/>
        <v>#REF!</v>
      </c>
      <c r="W611" s="150" t="e">
        <f t="shared" si="601"/>
        <v>#REF!</v>
      </c>
      <c r="X611" s="150" t="e">
        <f t="shared" si="602"/>
        <v>#REF!</v>
      </c>
      <c r="Y611" s="150" t="e">
        <f t="shared" si="603"/>
        <v>#REF!</v>
      </c>
      <c r="Z611" s="150" t="e">
        <f t="shared" si="604"/>
        <v>#REF!</v>
      </c>
      <c r="AA611" s="150" t="e">
        <f t="shared" si="605"/>
        <v>#REF!</v>
      </c>
      <c r="AB611" s="50"/>
    </row>
    <row r="612" s="28" customFormat="1" outlineLevel="3" spans="1:28">
      <c r="A612" s="52">
        <f>MAX($A$6:A611)+1</f>
        <v>560</v>
      </c>
      <c r="B612" s="138" t="s">
        <v>2225</v>
      </c>
      <c r="C612" s="138" t="e">
        <f>VLOOKUP($B612,#REF!,MATCH(C$2,#REF!,0),0)</f>
        <v>#REF!</v>
      </c>
      <c r="D612" s="83"/>
      <c r="E612" s="83"/>
      <c r="F612" s="136" t="e">
        <f>VLOOKUP($B612,#REF!,MATCH(F$2,#REF!,0),0)</f>
        <v>#REF!</v>
      </c>
      <c r="G612" s="137" t="e">
        <f>VLOOKUP($B612,#REF!,MATCH(G$2,#REF!,0),0)</f>
        <v>#REF!</v>
      </c>
      <c r="H612" s="48"/>
      <c r="I612" s="48"/>
      <c r="J612" s="48"/>
      <c r="K612" s="48"/>
      <c r="L612" s="48"/>
      <c r="M612" s="48"/>
      <c r="N612" s="48"/>
      <c r="O612" s="48"/>
      <c r="P612" s="48"/>
      <c r="Q612" s="48"/>
      <c r="R612" s="150" t="e">
        <f t="shared" ref="R612:Z612" si="606">$G612*H612</f>
        <v>#REF!</v>
      </c>
      <c r="S612" s="150" t="e">
        <f t="shared" si="606"/>
        <v>#REF!</v>
      </c>
      <c r="T612" s="150" t="e">
        <f t="shared" si="606"/>
        <v>#REF!</v>
      </c>
      <c r="U612" s="150" t="e">
        <f t="shared" si="606"/>
        <v>#REF!</v>
      </c>
      <c r="V612" s="150" t="e">
        <f t="shared" si="606"/>
        <v>#REF!</v>
      </c>
      <c r="W612" s="150" t="e">
        <f t="shared" si="606"/>
        <v>#REF!</v>
      </c>
      <c r="X612" s="150" t="e">
        <f t="shared" si="606"/>
        <v>#REF!</v>
      </c>
      <c r="Y612" s="150" t="e">
        <f t="shared" si="603"/>
        <v>#REF!</v>
      </c>
      <c r="Z612" s="150" t="e">
        <f t="shared" si="604"/>
        <v>#REF!</v>
      </c>
      <c r="AA612" s="150" t="e">
        <f t="shared" si="605"/>
        <v>#REF!</v>
      </c>
      <c r="AB612" s="50"/>
    </row>
    <row r="613" s="28" customFormat="1" ht="28.8" outlineLevel="3" spans="1:28">
      <c r="A613" s="52">
        <f>MAX($A$6:A612)+1</f>
        <v>561</v>
      </c>
      <c r="B613" s="138" t="s">
        <v>2226</v>
      </c>
      <c r="C613" s="138" t="e">
        <f>VLOOKUP($B613,#REF!,MATCH(C$2,#REF!,0),0)</f>
        <v>#REF!</v>
      </c>
      <c r="D613" s="83"/>
      <c r="E613" s="83"/>
      <c r="F613" s="136" t="e">
        <f>VLOOKUP($B613,#REF!,MATCH(F$2,#REF!,0),0)</f>
        <v>#REF!</v>
      </c>
      <c r="G613" s="137" t="e">
        <f>VLOOKUP($B613,#REF!,MATCH(G$2,#REF!,0),0)</f>
        <v>#REF!</v>
      </c>
      <c r="H613" s="48"/>
      <c r="I613" s="48"/>
      <c r="J613" s="48"/>
      <c r="K613" s="48"/>
      <c r="L613" s="48"/>
      <c r="M613" s="48"/>
      <c r="N613" s="48"/>
      <c r="O613" s="48"/>
      <c r="P613" s="48"/>
      <c r="Q613" s="48"/>
      <c r="R613" s="150" t="e">
        <f t="shared" ref="R613:Z613" si="607">$G613*H613</f>
        <v>#REF!</v>
      </c>
      <c r="S613" s="150" t="e">
        <f t="shared" si="607"/>
        <v>#REF!</v>
      </c>
      <c r="T613" s="150" t="e">
        <f t="shared" si="607"/>
        <v>#REF!</v>
      </c>
      <c r="U613" s="150" t="e">
        <f t="shared" si="607"/>
        <v>#REF!</v>
      </c>
      <c r="V613" s="150" t="e">
        <f t="shared" si="607"/>
        <v>#REF!</v>
      </c>
      <c r="W613" s="150" t="e">
        <f t="shared" si="607"/>
        <v>#REF!</v>
      </c>
      <c r="X613" s="150" t="e">
        <f t="shared" si="607"/>
        <v>#REF!</v>
      </c>
      <c r="Y613" s="150" t="e">
        <f t="shared" si="603"/>
        <v>#REF!</v>
      </c>
      <c r="Z613" s="150" t="e">
        <f t="shared" si="604"/>
        <v>#REF!</v>
      </c>
      <c r="AA613" s="150" t="e">
        <f t="shared" si="605"/>
        <v>#REF!</v>
      </c>
      <c r="AB613" s="50"/>
    </row>
    <row r="614" s="28" customFormat="1" outlineLevel="3" spans="1:28">
      <c r="A614" s="52">
        <f>MAX($A$6:A613)+1</f>
        <v>562</v>
      </c>
      <c r="B614" s="138" t="s">
        <v>2227</v>
      </c>
      <c r="C614" s="138" t="e">
        <f>VLOOKUP($B614,#REF!,MATCH(C$2,#REF!,0),0)</f>
        <v>#REF!</v>
      </c>
      <c r="D614" s="83"/>
      <c r="E614" s="83"/>
      <c r="F614" s="136" t="e">
        <f>VLOOKUP($B614,#REF!,MATCH(F$2,#REF!,0),0)</f>
        <v>#REF!</v>
      </c>
      <c r="G614" s="137" t="e">
        <f>VLOOKUP($B614,#REF!,MATCH(G$2,#REF!,0),0)</f>
        <v>#REF!</v>
      </c>
      <c r="H614" s="48">
        <v>3</v>
      </c>
      <c r="I614" s="48">
        <v>3</v>
      </c>
      <c r="J614" s="48">
        <v>2</v>
      </c>
      <c r="K614" s="48">
        <v>2</v>
      </c>
      <c r="L614" s="48">
        <v>1</v>
      </c>
      <c r="M614" s="48"/>
      <c r="N614" s="48"/>
      <c r="O614" s="48"/>
      <c r="P614" s="48">
        <v>7</v>
      </c>
      <c r="Q614" s="48">
        <v>18</v>
      </c>
      <c r="R614" s="150" t="e">
        <f t="shared" ref="R614:Z614" si="608">$G614*H614</f>
        <v>#REF!</v>
      </c>
      <c r="S614" s="150" t="e">
        <f t="shared" si="608"/>
        <v>#REF!</v>
      </c>
      <c r="T614" s="150" t="e">
        <f t="shared" si="608"/>
        <v>#REF!</v>
      </c>
      <c r="U614" s="150" t="e">
        <f t="shared" si="608"/>
        <v>#REF!</v>
      </c>
      <c r="V614" s="150" t="e">
        <f t="shared" si="608"/>
        <v>#REF!</v>
      </c>
      <c r="W614" s="150" t="e">
        <f t="shared" si="608"/>
        <v>#REF!</v>
      </c>
      <c r="X614" s="150" t="e">
        <f t="shared" si="608"/>
        <v>#REF!</v>
      </c>
      <c r="Y614" s="150" t="e">
        <f t="shared" si="603"/>
        <v>#REF!</v>
      </c>
      <c r="Z614" s="150" t="e">
        <f t="shared" si="604"/>
        <v>#REF!</v>
      </c>
      <c r="AA614" s="150" t="e">
        <f t="shared" si="605"/>
        <v>#REF!</v>
      </c>
      <c r="AB614" s="50"/>
    </row>
    <row r="615" s="28" customFormat="1" outlineLevel="3" spans="1:28">
      <c r="A615" s="52">
        <f>MAX($A$6:A614)+1</f>
        <v>563</v>
      </c>
      <c r="B615" s="138" t="s">
        <v>2228</v>
      </c>
      <c r="C615" s="138" t="e">
        <f>VLOOKUP($B615,#REF!,MATCH(C$2,#REF!,0),0)</f>
        <v>#REF!</v>
      </c>
      <c r="D615" s="83"/>
      <c r="E615" s="83"/>
      <c r="F615" s="136" t="e">
        <f>VLOOKUP($B615,#REF!,MATCH(F$2,#REF!,0),0)</f>
        <v>#REF!</v>
      </c>
      <c r="G615" s="137" t="e">
        <f>VLOOKUP($B615,#REF!,MATCH(G$2,#REF!,0),0)</f>
        <v>#REF!</v>
      </c>
      <c r="H615" s="48">
        <v>9</v>
      </c>
      <c r="I615" s="48">
        <v>9</v>
      </c>
      <c r="J615" s="48">
        <v>4</v>
      </c>
      <c r="K615" s="48">
        <v>4</v>
      </c>
      <c r="L615" s="48">
        <v>3</v>
      </c>
      <c r="M615" s="48"/>
      <c r="N615" s="48"/>
      <c r="O615" s="48"/>
      <c r="P615" s="48">
        <v>27</v>
      </c>
      <c r="Q615" s="48">
        <v>48</v>
      </c>
      <c r="R615" s="150" t="e">
        <f t="shared" ref="R615:Z615" si="609">$G615*H615</f>
        <v>#REF!</v>
      </c>
      <c r="S615" s="150" t="e">
        <f t="shared" si="609"/>
        <v>#REF!</v>
      </c>
      <c r="T615" s="150" t="e">
        <f t="shared" si="609"/>
        <v>#REF!</v>
      </c>
      <c r="U615" s="150" t="e">
        <f t="shared" si="609"/>
        <v>#REF!</v>
      </c>
      <c r="V615" s="150" t="e">
        <f t="shared" si="609"/>
        <v>#REF!</v>
      </c>
      <c r="W615" s="150" t="e">
        <f t="shared" si="609"/>
        <v>#REF!</v>
      </c>
      <c r="X615" s="150" t="e">
        <f t="shared" si="609"/>
        <v>#REF!</v>
      </c>
      <c r="Y615" s="150" t="e">
        <f t="shared" si="603"/>
        <v>#REF!</v>
      </c>
      <c r="Z615" s="150" t="e">
        <f t="shared" si="604"/>
        <v>#REF!</v>
      </c>
      <c r="AA615" s="150" t="e">
        <f t="shared" si="605"/>
        <v>#REF!</v>
      </c>
      <c r="AB615" s="50"/>
    </row>
    <row r="616" s="28" customFormat="1" ht="28.8" outlineLevel="3" spans="1:28">
      <c r="A616" s="52">
        <f>MAX($A$6:A615)+1</f>
        <v>564</v>
      </c>
      <c r="B616" s="138" t="s">
        <v>2229</v>
      </c>
      <c r="C616" s="138" t="e">
        <f>VLOOKUP($B616,#REF!,MATCH(C$2,#REF!,0),0)</f>
        <v>#REF!</v>
      </c>
      <c r="D616" s="83"/>
      <c r="E616" s="83"/>
      <c r="F616" s="136" t="e">
        <f>VLOOKUP($B616,#REF!,MATCH(F$2,#REF!,0),0)</f>
        <v>#REF!</v>
      </c>
      <c r="G616" s="137" t="e">
        <f>VLOOKUP($B616,#REF!,MATCH(G$2,#REF!,0),0)</f>
        <v>#REF!</v>
      </c>
      <c r="H616" s="48">
        <v>3</v>
      </c>
      <c r="I616" s="48">
        <v>3</v>
      </c>
      <c r="J616" s="48">
        <v>2</v>
      </c>
      <c r="K616" s="48">
        <v>2</v>
      </c>
      <c r="L616" s="48"/>
      <c r="M616" s="48"/>
      <c r="N616" s="48"/>
      <c r="O616" s="48"/>
      <c r="P616" s="48">
        <v>18</v>
      </c>
      <c r="Q616" s="48">
        <v>39</v>
      </c>
      <c r="R616" s="150" t="e">
        <f t="shared" ref="R616:Z616" si="610">$G616*H616</f>
        <v>#REF!</v>
      </c>
      <c r="S616" s="150" t="e">
        <f t="shared" si="610"/>
        <v>#REF!</v>
      </c>
      <c r="T616" s="150" t="e">
        <f t="shared" si="610"/>
        <v>#REF!</v>
      </c>
      <c r="U616" s="150" t="e">
        <f t="shared" si="610"/>
        <v>#REF!</v>
      </c>
      <c r="V616" s="150" t="e">
        <f t="shared" si="610"/>
        <v>#REF!</v>
      </c>
      <c r="W616" s="150" t="e">
        <f t="shared" si="610"/>
        <v>#REF!</v>
      </c>
      <c r="X616" s="150" t="e">
        <f t="shared" si="610"/>
        <v>#REF!</v>
      </c>
      <c r="Y616" s="150" t="e">
        <f t="shared" si="603"/>
        <v>#REF!</v>
      </c>
      <c r="Z616" s="150" t="e">
        <f t="shared" si="604"/>
        <v>#REF!</v>
      </c>
      <c r="AA616" s="150" t="e">
        <f t="shared" si="605"/>
        <v>#REF!</v>
      </c>
      <c r="AB616" s="50"/>
    </row>
    <row r="617" s="28" customFormat="1" ht="28.8" outlineLevel="3" spans="1:28">
      <c r="A617" s="52">
        <f>MAX($A$6:A616)+1</f>
        <v>565</v>
      </c>
      <c r="B617" s="138" t="s">
        <v>2230</v>
      </c>
      <c r="C617" s="138" t="e">
        <f>VLOOKUP($B617,#REF!,MATCH(C$2,#REF!,0),0)</f>
        <v>#REF!</v>
      </c>
      <c r="D617" s="83"/>
      <c r="E617" s="83"/>
      <c r="F617" s="136" t="e">
        <f>VLOOKUP($B617,#REF!,MATCH(F$2,#REF!,0),0)</f>
        <v>#REF!</v>
      </c>
      <c r="G617" s="137" t="e">
        <f>VLOOKUP($B617,#REF!,MATCH(G$2,#REF!,0),0)</f>
        <v>#REF!</v>
      </c>
      <c r="H617" s="48">
        <v>12</v>
      </c>
      <c r="I617" s="48">
        <v>11</v>
      </c>
      <c r="J617" s="48">
        <v>1</v>
      </c>
      <c r="K617" s="48">
        <v>1</v>
      </c>
      <c r="L617" s="48">
        <v>1</v>
      </c>
      <c r="M617" s="48"/>
      <c r="N617" s="48"/>
      <c r="O617" s="48"/>
      <c r="P617" s="48"/>
      <c r="Q617" s="48"/>
      <c r="R617" s="150" t="e">
        <f t="shared" ref="R617:Z617" si="611">$G617*H617</f>
        <v>#REF!</v>
      </c>
      <c r="S617" s="150" t="e">
        <f t="shared" si="611"/>
        <v>#REF!</v>
      </c>
      <c r="T617" s="150" t="e">
        <f t="shared" si="611"/>
        <v>#REF!</v>
      </c>
      <c r="U617" s="150" t="e">
        <f t="shared" si="611"/>
        <v>#REF!</v>
      </c>
      <c r="V617" s="150" t="e">
        <f t="shared" si="611"/>
        <v>#REF!</v>
      </c>
      <c r="W617" s="150" t="e">
        <f t="shared" si="611"/>
        <v>#REF!</v>
      </c>
      <c r="X617" s="150" t="e">
        <f t="shared" si="611"/>
        <v>#REF!</v>
      </c>
      <c r="Y617" s="150" t="e">
        <f t="shared" si="603"/>
        <v>#REF!</v>
      </c>
      <c r="Z617" s="150" t="e">
        <f t="shared" si="604"/>
        <v>#REF!</v>
      </c>
      <c r="AA617" s="150" t="e">
        <f t="shared" si="605"/>
        <v>#REF!</v>
      </c>
      <c r="AB617" s="50"/>
    </row>
    <row r="618" s="28" customFormat="1" ht="28.8" outlineLevel="3" spans="1:28">
      <c r="A618" s="52">
        <f>MAX($A$6:A617)+1</f>
        <v>566</v>
      </c>
      <c r="B618" s="138" t="s">
        <v>2231</v>
      </c>
      <c r="C618" s="138" t="e">
        <f>VLOOKUP($B618,#REF!,MATCH(C$2,#REF!,0),0)</f>
        <v>#REF!</v>
      </c>
      <c r="D618" s="83"/>
      <c r="E618" s="83"/>
      <c r="F618" s="136" t="e">
        <f>VLOOKUP($B618,#REF!,MATCH(F$2,#REF!,0),0)</f>
        <v>#REF!</v>
      </c>
      <c r="G618" s="137" t="e">
        <f>VLOOKUP($B618,#REF!,MATCH(G$2,#REF!,0),0)</f>
        <v>#REF!</v>
      </c>
      <c r="H618" s="48">
        <v>18</v>
      </c>
      <c r="I618" s="48">
        <v>18</v>
      </c>
      <c r="J618" s="48">
        <v>10</v>
      </c>
      <c r="K618" s="48">
        <v>10</v>
      </c>
      <c r="L618" s="48">
        <v>9</v>
      </c>
      <c r="M618" s="48"/>
      <c r="N618" s="48"/>
      <c r="O618" s="48"/>
      <c r="P618" s="48"/>
      <c r="Q618" s="48"/>
      <c r="R618" s="150" t="e">
        <f t="shared" ref="R618:Z618" si="612">$G618*H618</f>
        <v>#REF!</v>
      </c>
      <c r="S618" s="150" t="e">
        <f t="shared" si="612"/>
        <v>#REF!</v>
      </c>
      <c r="T618" s="150" t="e">
        <f t="shared" si="612"/>
        <v>#REF!</v>
      </c>
      <c r="U618" s="150" t="e">
        <f t="shared" si="612"/>
        <v>#REF!</v>
      </c>
      <c r="V618" s="150" t="e">
        <f t="shared" si="612"/>
        <v>#REF!</v>
      </c>
      <c r="W618" s="150" t="e">
        <f t="shared" si="612"/>
        <v>#REF!</v>
      </c>
      <c r="X618" s="150" t="e">
        <f t="shared" si="612"/>
        <v>#REF!</v>
      </c>
      <c r="Y618" s="150" t="e">
        <f t="shared" si="603"/>
        <v>#REF!</v>
      </c>
      <c r="Z618" s="150" t="e">
        <f t="shared" si="604"/>
        <v>#REF!</v>
      </c>
      <c r="AA618" s="150" t="e">
        <f t="shared" si="605"/>
        <v>#REF!</v>
      </c>
      <c r="AB618" s="50"/>
    </row>
    <row r="619" s="28" customFormat="1" ht="28.8" outlineLevel="3" spans="1:28">
      <c r="A619" s="52">
        <f>MAX($A$6:A618)+1</f>
        <v>567</v>
      </c>
      <c r="B619" s="138" t="s">
        <v>2232</v>
      </c>
      <c r="C619" s="138" t="e">
        <f>VLOOKUP($B619,#REF!,MATCH(C$2,#REF!,0),0)</f>
        <v>#REF!</v>
      </c>
      <c r="D619" s="83"/>
      <c r="E619" s="83"/>
      <c r="F619" s="136" t="e">
        <f>VLOOKUP($B619,#REF!,MATCH(F$2,#REF!,0),0)</f>
        <v>#REF!</v>
      </c>
      <c r="G619" s="137" t="e">
        <f>VLOOKUP($B619,#REF!,MATCH(G$2,#REF!,0),0)</f>
        <v>#REF!</v>
      </c>
      <c r="H619" s="48">
        <v>4</v>
      </c>
      <c r="I619" s="48">
        <v>3</v>
      </c>
      <c r="J619" s="48">
        <v>2</v>
      </c>
      <c r="K619" s="48">
        <v>2</v>
      </c>
      <c r="L619" s="48">
        <v>2</v>
      </c>
      <c r="M619" s="48"/>
      <c r="N619" s="48"/>
      <c r="O619" s="48"/>
      <c r="P619" s="48">
        <v>64</v>
      </c>
      <c r="Q619" s="48">
        <v>245</v>
      </c>
      <c r="R619" s="150" t="e">
        <f t="shared" ref="R619:Z619" si="613">$G619*H619</f>
        <v>#REF!</v>
      </c>
      <c r="S619" s="150" t="e">
        <f t="shared" si="613"/>
        <v>#REF!</v>
      </c>
      <c r="T619" s="150" t="e">
        <f t="shared" si="613"/>
        <v>#REF!</v>
      </c>
      <c r="U619" s="150" t="e">
        <f t="shared" si="613"/>
        <v>#REF!</v>
      </c>
      <c r="V619" s="150" t="e">
        <f t="shared" si="613"/>
        <v>#REF!</v>
      </c>
      <c r="W619" s="150" t="e">
        <f t="shared" si="613"/>
        <v>#REF!</v>
      </c>
      <c r="X619" s="150" t="e">
        <f t="shared" si="613"/>
        <v>#REF!</v>
      </c>
      <c r="Y619" s="150" t="e">
        <f t="shared" si="603"/>
        <v>#REF!</v>
      </c>
      <c r="Z619" s="150" t="e">
        <f t="shared" si="604"/>
        <v>#REF!</v>
      </c>
      <c r="AA619" s="150" t="e">
        <f t="shared" si="605"/>
        <v>#REF!</v>
      </c>
      <c r="AB619" s="50"/>
    </row>
    <row r="620" s="28" customFormat="1" outlineLevel="3" spans="1:28">
      <c r="A620" s="52">
        <f>MAX($A$6:A619)+1</f>
        <v>568</v>
      </c>
      <c r="B620" s="138" t="s">
        <v>2233</v>
      </c>
      <c r="C620" s="138" t="e">
        <f>VLOOKUP($B620,#REF!,MATCH(C$2,#REF!,0),0)</f>
        <v>#REF!</v>
      </c>
      <c r="D620" s="83"/>
      <c r="E620" s="83"/>
      <c r="F620" s="136" t="e">
        <f>VLOOKUP($B620,#REF!,MATCH(F$2,#REF!,0),0)</f>
        <v>#REF!</v>
      </c>
      <c r="G620" s="137" t="e">
        <f>VLOOKUP($B620,#REF!,MATCH(G$2,#REF!,0),0)</f>
        <v>#REF!</v>
      </c>
      <c r="H620" s="48"/>
      <c r="I620" s="48"/>
      <c r="J620" s="48"/>
      <c r="K620" s="48"/>
      <c r="L620" s="48"/>
      <c r="M620" s="48"/>
      <c r="N620" s="48"/>
      <c r="O620" s="48"/>
      <c r="P620" s="48">
        <v>122</v>
      </c>
      <c r="Q620" s="48">
        <v>414</v>
      </c>
      <c r="R620" s="150" t="e">
        <f t="shared" ref="R620:Z620" si="614">$G620*H620</f>
        <v>#REF!</v>
      </c>
      <c r="S620" s="150" t="e">
        <f t="shared" si="614"/>
        <v>#REF!</v>
      </c>
      <c r="T620" s="150" t="e">
        <f t="shared" si="614"/>
        <v>#REF!</v>
      </c>
      <c r="U620" s="150" t="e">
        <f t="shared" si="614"/>
        <v>#REF!</v>
      </c>
      <c r="V620" s="150" t="e">
        <f t="shared" si="614"/>
        <v>#REF!</v>
      </c>
      <c r="W620" s="150" t="e">
        <f t="shared" si="614"/>
        <v>#REF!</v>
      </c>
      <c r="X620" s="150" t="e">
        <f t="shared" si="614"/>
        <v>#REF!</v>
      </c>
      <c r="Y620" s="150" t="e">
        <f t="shared" si="603"/>
        <v>#REF!</v>
      </c>
      <c r="Z620" s="150" t="e">
        <f t="shared" si="604"/>
        <v>#REF!</v>
      </c>
      <c r="AA620" s="150" t="e">
        <f t="shared" si="605"/>
        <v>#REF!</v>
      </c>
      <c r="AB620" s="50"/>
    </row>
    <row r="621" s="28" customFormat="1" outlineLevel="3" spans="1:28">
      <c r="A621" s="52">
        <f>MAX($A$6:A620)+1</f>
        <v>569</v>
      </c>
      <c r="B621" s="138" t="s">
        <v>2234</v>
      </c>
      <c r="C621" s="138" t="e">
        <f>VLOOKUP($B621,#REF!,MATCH(C$2,#REF!,0),0)</f>
        <v>#REF!</v>
      </c>
      <c r="D621" s="83"/>
      <c r="E621" s="83"/>
      <c r="F621" s="136" t="e">
        <f>VLOOKUP($B621,#REF!,MATCH(F$2,#REF!,0),0)</f>
        <v>#REF!</v>
      </c>
      <c r="G621" s="137" t="e">
        <f>VLOOKUP($B621,#REF!,MATCH(G$2,#REF!,0),0)</f>
        <v>#REF!</v>
      </c>
      <c r="H621" s="48"/>
      <c r="I621" s="48"/>
      <c r="J621" s="48"/>
      <c r="K621" s="48"/>
      <c r="L621" s="48"/>
      <c r="M621" s="48"/>
      <c r="N621" s="48"/>
      <c r="O621" s="48"/>
      <c r="P621" s="48">
        <v>1</v>
      </c>
      <c r="Q621" s="48">
        <v>1</v>
      </c>
      <c r="R621" s="150" t="e">
        <f t="shared" ref="R621:Z621" si="615">$G621*H621</f>
        <v>#REF!</v>
      </c>
      <c r="S621" s="150" t="e">
        <f t="shared" si="615"/>
        <v>#REF!</v>
      </c>
      <c r="T621" s="150" t="e">
        <f t="shared" si="615"/>
        <v>#REF!</v>
      </c>
      <c r="U621" s="150" t="e">
        <f t="shared" si="615"/>
        <v>#REF!</v>
      </c>
      <c r="V621" s="150" t="e">
        <f t="shared" si="615"/>
        <v>#REF!</v>
      </c>
      <c r="W621" s="150" t="e">
        <f t="shared" si="615"/>
        <v>#REF!</v>
      </c>
      <c r="X621" s="150" t="e">
        <f t="shared" si="615"/>
        <v>#REF!</v>
      </c>
      <c r="Y621" s="150" t="e">
        <f t="shared" si="603"/>
        <v>#REF!</v>
      </c>
      <c r="Z621" s="150" t="e">
        <f t="shared" si="604"/>
        <v>#REF!</v>
      </c>
      <c r="AA621" s="150" t="e">
        <f t="shared" si="605"/>
        <v>#REF!</v>
      </c>
      <c r="AB621" s="50"/>
    </row>
    <row r="622" s="29" customFormat="1" outlineLevel="2" spans="1:28">
      <c r="A622" s="40"/>
      <c r="B622" s="41" t="s">
        <v>2235</v>
      </c>
      <c r="C622" s="41"/>
      <c r="D622" s="140"/>
      <c r="E622" s="140"/>
      <c r="F622" s="141"/>
      <c r="G622" s="142"/>
      <c r="H622" s="43"/>
      <c r="I622" s="43"/>
      <c r="J622" s="43"/>
      <c r="K622" s="43"/>
      <c r="L622" s="43"/>
      <c r="M622" s="43"/>
      <c r="N622" s="43"/>
      <c r="O622" s="43"/>
      <c r="P622" s="43"/>
      <c r="Q622" s="43"/>
      <c r="R622" s="149" t="e">
        <f t="shared" ref="R622:AA622" si="616">SUM(R623:R644)</f>
        <v>#REF!</v>
      </c>
      <c r="S622" s="149" t="e">
        <f t="shared" si="616"/>
        <v>#REF!</v>
      </c>
      <c r="T622" s="149" t="e">
        <f t="shared" si="616"/>
        <v>#REF!</v>
      </c>
      <c r="U622" s="149" t="e">
        <f t="shared" si="616"/>
        <v>#REF!</v>
      </c>
      <c r="V622" s="149" t="e">
        <f t="shared" si="616"/>
        <v>#REF!</v>
      </c>
      <c r="W622" s="149" t="e">
        <f t="shared" si="616"/>
        <v>#REF!</v>
      </c>
      <c r="X622" s="149" t="e">
        <f t="shared" si="616"/>
        <v>#REF!</v>
      </c>
      <c r="Y622" s="149" t="e">
        <f t="shared" si="616"/>
        <v>#REF!</v>
      </c>
      <c r="Z622" s="149" t="e">
        <f t="shared" si="616"/>
        <v>#REF!</v>
      </c>
      <c r="AA622" s="149" t="e">
        <f t="shared" si="616"/>
        <v>#REF!</v>
      </c>
      <c r="AB622" s="40"/>
    </row>
    <row r="623" s="28" customFormat="1" outlineLevel="3" spans="1:28">
      <c r="A623" s="52">
        <f>MAX($A$6:A622)+1</f>
        <v>570</v>
      </c>
      <c r="B623" s="138" t="s">
        <v>1427</v>
      </c>
      <c r="C623" s="51" t="e">
        <f>VLOOKUP($B623,#REF!,MATCH(C$2,#REF!,0),0)</f>
        <v>#REF!</v>
      </c>
      <c r="D623" s="83"/>
      <c r="E623" s="83"/>
      <c r="F623" s="136" t="e">
        <f>VLOOKUP($B623,#REF!,MATCH(F$2,#REF!,0),0)</f>
        <v>#REF!</v>
      </c>
      <c r="G623" s="137" t="e">
        <f>VLOOKUP($B623,#REF!,MATCH(G$2,#REF!,0),0)</f>
        <v>#REF!</v>
      </c>
      <c r="H623" s="48">
        <v>16</v>
      </c>
      <c r="I623" s="48">
        <v>14</v>
      </c>
      <c r="J623" s="48">
        <v>2</v>
      </c>
      <c r="K623" s="48">
        <v>2</v>
      </c>
      <c r="L623" s="48"/>
      <c r="M623" s="48"/>
      <c r="N623" s="48"/>
      <c r="O623" s="48"/>
      <c r="P623" s="48">
        <v>95</v>
      </c>
      <c r="Q623" s="48">
        <v>167</v>
      </c>
      <c r="R623" s="150" t="e">
        <f t="shared" ref="R623:AA623" si="617">$G623*H623</f>
        <v>#REF!</v>
      </c>
      <c r="S623" s="150" t="e">
        <f t="shared" si="617"/>
        <v>#REF!</v>
      </c>
      <c r="T623" s="150" t="e">
        <f t="shared" si="617"/>
        <v>#REF!</v>
      </c>
      <c r="U623" s="150" t="e">
        <f t="shared" si="617"/>
        <v>#REF!</v>
      </c>
      <c r="V623" s="150" t="e">
        <f t="shared" si="617"/>
        <v>#REF!</v>
      </c>
      <c r="W623" s="150" t="e">
        <f t="shared" si="617"/>
        <v>#REF!</v>
      </c>
      <c r="X623" s="150" t="e">
        <f t="shared" si="617"/>
        <v>#REF!</v>
      </c>
      <c r="Y623" s="150" t="e">
        <f t="shared" si="617"/>
        <v>#REF!</v>
      </c>
      <c r="Z623" s="150" t="e">
        <f t="shared" si="617"/>
        <v>#REF!</v>
      </c>
      <c r="AA623" s="150" t="e">
        <f t="shared" si="617"/>
        <v>#REF!</v>
      </c>
      <c r="AB623" s="50"/>
    </row>
    <row r="624" s="28" customFormat="1" outlineLevel="3" spans="1:28">
      <c r="A624" s="52">
        <f>MAX($A$6:A623)+1</f>
        <v>571</v>
      </c>
      <c r="B624" s="138" t="s">
        <v>1428</v>
      </c>
      <c r="C624" s="51" t="e">
        <f>VLOOKUP($B624,#REF!,MATCH(C$2,#REF!,0),0)</f>
        <v>#REF!</v>
      </c>
      <c r="D624" s="83"/>
      <c r="E624" s="83"/>
      <c r="F624" s="136" t="e">
        <f>VLOOKUP($B624,#REF!,MATCH(F$2,#REF!,0),0)</f>
        <v>#REF!</v>
      </c>
      <c r="G624" s="137" t="e">
        <f>VLOOKUP($B624,#REF!,MATCH(G$2,#REF!,0),0)</f>
        <v>#REF!</v>
      </c>
      <c r="H624" s="48">
        <v>3</v>
      </c>
      <c r="I624" s="48">
        <v>3</v>
      </c>
      <c r="J624" s="48">
        <v>2</v>
      </c>
      <c r="K624" s="48">
        <v>2</v>
      </c>
      <c r="L624" s="48"/>
      <c r="M624" s="48"/>
      <c r="N624" s="48"/>
      <c r="O624" s="48"/>
      <c r="P624" s="48"/>
      <c r="Q624" s="48"/>
      <c r="R624" s="150" t="e">
        <f t="shared" ref="R624:AA624" si="618">$G624*H624</f>
        <v>#REF!</v>
      </c>
      <c r="S624" s="150" t="e">
        <f t="shared" si="618"/>
        <v>#REF!</v>
      </c>
      <c r="T624" s="150" t="e">
        <f t="shared" si="618"/>
        <v>#REF!</v>
      </c>
      <c r="U624" s="150" t="e">
        <f t="shared" si="618"/>
        <v>#REF!</v>
      </c>
      <c r="V624" s="150" t="e">
        <f t="shared" si="618"/>
        <v>#REF!</v>
      </c>
      <c r="W624" s="150" t="e">
        <f t="shared" si="618"/>
        <v>#REF!</v>
      </c>
      <c r="X624" s="150" t="e">
        <f t="shared" si="618"/>
        <v>#REF!</v>
      </c>
      <c r="Y624" s="150" t="e">
        <f t="shared" si="618"/>
        <v>#REF!</v>
      </c>
      <c r="Z624" s="150" t="e">
        <f t="shared" si="618"/>
        <v>#REF!</v>
      </c>
      <c r="AA624" s="150" t="e">
        <f t="shared" si="618"/>
        <v>#REF!</v>
      </c>
      <c r="AB624" s="50"/>
    </row>
    <row r="625" s="28" customFormat="1" outlineLevel="3" spans="1:28">
      <c r="A625" s="52">
        <f>MAX($A$6:A624)+1</f>
        <v>572</v>
      </c>
      <c r="B625" s="138" t="s">
        <v>1429</v>
      </c>
      <c r="C625" s="51" t="e">
        <f>VLOOKUP($B625,#REF!,MATCH(C$2,#REF!,0),0)</f>
        <v>#REF!</v>
      </c>
      <c r="D625" s="83"/>
      <c r="E625" s="83"/>
      <c r="F625" s="136" t="e">
        <f>VLOOKUP($B625,#REF!,MATCH(F$2,#REF!,0),0)</f>
        <v>#REF!</v>
      </c>
      <c r="G625" s="137" t="e">
        <f>VLOOKUP($B625,#REF!,MATCH(G$2,#REF!,0),0)</f>
        <v>#REF!</v>
      </c>
      <c r="H625" s="48">
        <v>4</v>
      </c>
      <c r="I625" s="48">
        <v>4</v>
      </c>
      <c r="J625" s="48">
        <v>5</v>
      </c>
      <c r="K625" s="48">
        <v>5</v>
      </c>
      <c r="L625" s="48">
        <v>3</v>
      </c>
      <c r="M625" s="48"/>
      <c r="N625" s="48"/>
      <c r="O625" s="48"/>
      <c r="P625" s="48">
        <v>13</v>
      </c>
      <c r="Q625" s="48">
        <v>58</v>
      </c>
      <c r="R625" s="150" t="e">
        <f t="shared" ref="R625:AA625" si="619">$G625*H625</f>
        <v>#REF!</v>
      </c>
      <c r="S625" s="150" t="e">
        <f t="shared" si="619"/>
        <v>#REF!</v>
      </c>
      <c r="T625" s="150" t="e">
        <f t="shared" si="619"/>
        <v>#REF!</v>
      </c>
      <c r="U625" s="150" t="e">
        <f t="shared" si="619"/>
        <v>#REF!</v>
      </c>
      <c r="V625" s="150" t="e">
        <f t="shared" si="619"/>
        <v>#REF!</v>
      </c>
      <c r="W625" s="150" t="e">
        <f t="shared" si="619"/>
        <v>#REF!</v>
      </c>
      <c r="X625" s="150" t="e">
        <f t="shared" si="619"/>
        <v>#REF!</v>
      </c>
      <c r="Y625" s="150" t="e">
        <f t="shared" si="619"/>
        <v>#REF!</v>
      </c>
      <c r="Z625" s="150" t="e">
        <f t="shared" si="619"/>
        <v>#REF!</v>
      </c>
      <c r="AA625" s="150" t="e">
        <f t="shared" si="619"/>
        <v>#REF!</v>
      </c>
      <c r="AB625" s="50"/>
    </row>
    <row r="626" s="28" customFormat="1" outlineLevel="3" spans="1:28">
      <c r="A626" s="52">
        <f>MAX($A$6:A625)+1</f>
        <v>573</v>
      </c>
      <c r="B626" s="138" t="s">
        <v>1430</v>
      </c>
      <c r="C626" s="51" t="e">
        <f>VLOOKUP($B626,#REF!,MATCH(C$2,#REF!,0),0)</f>
        <v>#REF!</v>
      </c>
      <c r="D626" s="83"/>
      <c r="E626" s="83"/>
      <c r="F626" s="136" t="e">
        <f>VLOOKUP($B626,#REF!,MATCH(F$2,#REF!,0),0)</f>
        <v>#REF!</v>
      </c>
      <c r="G626" s="137" t="e">
        <f>VLOOKUP($B626,#REF!,MATCH(G$2,#REF!,0),0)</f>
        <v>#REF!</v>
      </c>
      <c r="H626" s="48">
        <v>1</v>
      </c>
      <c r="I626" s="48">
        <v>1</v>
      </c>
      <c r="J626" s="48">
        <v>1</v>
      </c>
      <c r="K626" s="48">
        <v>1</v>
      </c>
      <c r="L626" s="48"/>
      <c r="M626" s="48"/>
      <c r="N626" s="48"/>
      <c r="O626" s="48"/>
      <c r="P626" s="48"/>
      <c r="Q626" s="48">
        <v>10</v>
      </c>
      <c r="R626" s="150" t="e">
        <f t="shared" ref="R626:AA626" si="620">$G626*H626</f>
        <v>#REF!</v>
      </c>
      <c r="S626" s="150" t="e">
        <f t="shared" si="620"/>
        <v>#REF!</v>
      </c>
      <c r="T626" s="150" t="e">
        <f t="shared" si="620"/>
        <v>#REF!</v>
      </c>
      <c r="U626" s="150" t="e">
        <f t="shared" si="620"/>
        <v>#REF!</v>
      </c>
      <c r="V626" s="150" t="e">
        <f t="shared" si="620"/>
        <v>#REF!</v>
      </c>
      <c r="W626" s="150" t="e">
        <f t="shared" si="620"/>
        <v>#REF!</v>
      </c>
      <c r="X626" s="150" t="e">
        <f t="shared" si="620"/>
        <v>#REF!</v>
      </c>
      <c r="Y626" s="150" t="e">
        <f t="shared" si="620"/>
        <v>#REF!</v>
      </c>
      <c r="Z626" s="150" t="e">
        <f t="shared" si="620"/>
        <v>#REF!</v>
      </c>
      <c r="AA626" s="150" t="e">
        <f t="shared" si="620"/>
        <v>#REF!</v>
      </c>
      <c r="AB626" s="50"/>
    </row>
    <row r="627" s="28" customFormat="1" outlineLevel="3" spans="1:28">
      <c r="A627" s="52">
        <f>MAX($A$6:A626)+1</f>
        <v>574</v>
      </c>
      <c r="B627" s="138" t="s">
        <v>1431</v>
      </c>
      <c r="C627" s="51" t="e">
        <f>VLOOKUP($B627,#REF!,MATCH(C$2,#REF!,0),0)</f>
        <v>#REF!</v>
      </c>
      <c r="D627" s="83"/>
      <c r="E627" s="83"/>
      <c r="F627" s="136" t="e">
        <f>VLOOKUP($B627,#REF!,MATCH(F$2,#REF!,0),0)</f>
        <v>#REF!</v>
      </c>
      <c r="G627" s="137" t="e">
        <f>VLOOKUP($B627,#REF!,MATCH(G$2,#REF!,0),0)</f>
        <v>#REF!</v>
      </c>
      <c r="H627" s="48"/>
      <c r="I627" s="48"/>
      <c r="J627" s="48"/>
      <c r="K627" s="48"/>
      <c r="L627" s="48">
        <v>1</v>
      </c>
      <c r="M627" s="48"/>
      <c r="N627" s="48"/>
      <c r="O627" s="48"/>
      <c r="P627" s="48"/>
      <c r="Q627" s="48">
        <v>10</v>
      </c>
      <c r="R627" s="150" t="e">
        <f t="shared" ref="R627:AA627" si="621">$G627*H627</f>
        <v>#REF!</v>
      </c>
      <c r="S627" s="150" t="e">
        <f t="shared" si="621"/>
        <v>#REF!</v>
      </c>
      <c r="T627" s="150" t="e">
        <f t="shared" si="621"/>
        <v>#REF!</v>
      </c>
      <c r="U627" s="150" t="e">
        <f t="shared" si="621"/>
        <v>#REF!</v>
      </c>
      <c r="V627" s="150" t="e">
        <f t="shared" si="621"/>
        <v>#REF!</v>
      </c>
      <c r="W627" s="150" t="e">
        <f t="shared" si="621"/>
        <v>#REF!</v>
      </c>
      <c r="X627" s="150" t="e">
        <f t="shared" si="621"/>
        <v>#REF!</v>
      </c>
      <c r="Y627" s="150" t="e">
        <f t="shared" si="621"/>
        <v>#REF!</v>
      </c>
      <c r="Z627" s="150" t="e">
        <f t="shared" si="621"/>
        <v>#REF!</v>
      </c>
      <c r="AA627" s="150" t="e">
        <f t="shared" si="621"/>
        <v>#REF!</v>
      </c>
      <c r="AB627" s="50"/>
    </row>
    <row r="628" s="28" customFormat="1" outlineLevel="3" spans="1:28">
      <c r="A628" s="52">
        <f>MAX($A$6:A627)+1</f>
        <v>575</v>
      </c>
      <c r="B628" s="138" t="s">
        <v>1438</v>
      </c>
      <c r="C628" s="51" t="e">
        <f>VLOOKUP($B628,#REF!,MATCH(C$2,#REF!,0),0)</f>
        <v>#REF!</v>
      </c>
      <c r="D628" s="83"/>
      <c r="E628" s="83"/>
      <c r="F628" s="136" t="e">
        <f>VLOOKUP($B628,#REF!,MATCH(F$2,#REF!,0),0)</f>
        <v>#REF!</v>
      </c>
      <c r="G628" s="137" t="e">
        <f>VLOOKUP($B628,#REF!,MATCH(G$2,#REF!,0),0)</f>
        <v>#REF!</v>
      </c>
      <c r="H628" s="48">
        <v>18</v>
      </c>
      <c r="I628" s="48">
        <v>16</v>
      </c>
      <c r="J628" s="48">
        <v>6</v>
      </c>
      <c r="K628" s="48">
        <v>6</v>
      </c>
      <c r="L628" s="48">
        <v>5</v>
      </c>
      <c r="M628" s="48"/>
      <c r="N628" s="48"/>
      <c r="O628" s="48"/>
      <c r="P628" s="48"/>
      <c r="Q628" s="48"/>
      <c r="R628" s="150" t="e">
        <f t="shared" ref="R628:AA628" si="622">$G628*H628</f>
        <v>#REF!</v>
      </c>
      <c r="S628" s="150" t="e">
        <f t="shared" si="622"/>
        <v>#REF!</v>
      </c>
      <c r="T628" s="150" t="e">
        <f t="shared" si="622"/>
        <v>#REF!</v>
      </c>
      <c r="U628" s="150" t="e">
        <f t="shared" si="622"/>
        <v>#REF!</v>
      </c>
      <c r="V628" s="150" t="e">
        <f t="shared" si="622"/>
        <v>#REF!</v>
      </c>
      <c r="W628" s="150" t="e">
        <f t="shared" si="622"/>
        <v>#REF!</v>
      </c>
      <c r="X628" s="150" t="e">
        <f t="shared" si="622"/>
        <v>#REF!</v>
      </c>
      <c r="Y628" s="150" t="e">
        <f t="shared" si="622"/>
        <v>#REF!</v>
      </c>
      <c r="Z628" s="150" t="e">
        <f t="shared" si="622"/>
        <v>#REF!</v>
      </c>
      <c r="AA628" s="150" t="e">
        <f t="shared" si="622"/>
        <v>#REF!</v>
      </c>
      <c r="AB628" s="50"/>
    </row>
    <row r="629" s="28" customFormat="1" outlineLevel="3" spans="1:28">
      <c r="A629" s="52">
        <f>MAX($A$6:A628)+1</f>
        <v>576</v>
      </c>
      <c r="B629" s="138" t="s">
        <v>1452</v>
      </c>
      <c r="C629" s="51" t="e">
        <f>VLOOKUP($B629,#REF!,MATCH(C$2,#REF!,0),0)</f>
        <v>#REF!</v>
      </c>
      <c r="D629" s="83"/>
      <c r="E629" s="83"/>
      <c r="F629" s="136" t="e">
        <f>VLOOKUP($B629,#REF!,MATCH(F$2,#REF!,0),0)</f>
        <v>#REF!</v>
      </c>
      <c r="G629" s="137" t="e">
        <f>VLOOKUP($B629,#REF!,MATCH(G$2,#REF!,0),0)</f>
        <v>#REF!</v>
      </c>
      <c r="H629" s="48">
        <v>3</v>
      </c>
      <c r="I629" s="48">
        <v>3</v>
      </c>
      <c r="J629" s="48">
        <v>2</v>
      </c>
      <c r="K629" s="48">
        <v>2</v>
      </c>
      <c r="L629" s="48">
        <v>1</v>
      </c>
      <c r="M629" s="48">
        <v>1</v>
      </c>
      <c r="N629" s="48">
        <v>1</v>
      </c>
      <c r="O629" s="48">
        <v>1</v>
      </c>
      <c r="P629" s="48"/>
      <c r="Q629" s="48"/>
      <c r="R629" s="150" t="e">
        <f t="shared" ref="R629:AA629" si="623">$G629*H629</f>
        <v>#REF!</v>
      </c>
      <c r="S629" s="150" t="e">
        <f t="shared" si="623"/>
        <v>#REF!</v>
      </c>
      <c r="T629" s="150" t="e">
        <f t="shared" si="623"/>
        <v>#REF!</v>
      </c>
      <c r="U629" s="150" t="e">
        <f t="shared" si="623"/>
        <v>#REF!</v>
      </c>
      <c r="V629" s="150" t="e">
        <f t="shared" si="623"/>
        <v>#REF!</v>
      </c>
      <c r="W629" s="150" t="e">
        <f t="shared" si="623"/>
        <v>#REF!</v>
      </c>
      <c r="X629" s="150" t="e">
        <f t="shared" si="623"/>
        <v>#REF!</v>
      </c>
      <c r="Y629" s="150" t="e">
        <f t="shared" si="623"/>
        <v>#REF!</v>
      </c>
      <c r="Z629" s="150" t="e">
        <f t="shared" si="623"/>
        <v>#REF!</v>
      </c>
      <c r="AA629" s="150" t="e">
        <f t="shared" si="623"/>
        <v>#REF!</v>
      </c>
      <c r="AB629" s="50"/>
    </row>
    <row r="630" s="28" customFormat="1" ht="28.8" outlineLevel="3" spans="1:28">
      <c r="A630" s="52">
        <f>MAX($A$6:A629)+1</f>
        <v>577</v>
      </c>
      <c r="B630" s="138" t="s">
        <v>2236</v>
      </c>
      <c r="C630" s="51" t="e">
        <f>VLOOKUP($B630,#REF!,MATCH(C$2,#REF!,0),0)</f>
        <v>#REF!</v>
      </c>
      <c r="D630" s="83"/>
      <c r="E630" s="83"/>
      <c r="F630" s="136" t="e">
        <f>VLOOKUP($B630,#REF!,MATCH(F$2,#REF!,0),0)</f>
        <v>#REF!</v>
      </c>
      <c r="G630" s="137" t="e">
        <f>VLOOKUP($B630,#REF!,MATCH(G$2,#REF!,0),0)</f>
        <v>#REF!</v>
      </c>
      <c r="H630" s="48"/>
      <c r="I630" s="48"/>
      <c r="J630" s="48"/>
      <c r="K630" s="48"/>
      <c r="L630" s="48"/>
      <c r="M630" s="48"/>
      <c r="N630" s="48"/>
      <c r="O630" s="48"/>
      <c r="P630" s="48"/>
      <c r="Q630" s="48"/>
      <c r="R630" s="150" t="e">
        <f t="shared" ref="R630:AA630" si="624">$G630*H630</f>
        <v>#REF!</v>
      </c>
      <c r="S630" s="150" t="e">
        <f t="shared" si="624"/>
        <v>#REF!</v>
      </c>
      <c r="T630" s="150" t="e">
        <f t="shared" si="624"/>
        <v>#REF!</v>
      </c>
      <c r="U630" s="150" t="e">
        <f t="shared" si="624"/>
        <v>#REF!</v>
      </c>
      <c r="V630" s="150" t="e">
        <f t="shared" si="624"/>
        <v>#REF!</v>
      </c>
      <c r="W630" s="150" t="e">
        <f t="shared" si="624"/>
        <v>#REF!</v>
      </c>
      <c r="X630" s="150" t="e">
        <f t="shared" si="624"/>
        <v>#REF!</v>
      </c>
      <c r="Y630" s="150" t="e">
        <f t="shared" si="624"/>
        <v>#REF!</v>
      </c>
      <c r="Z630" s="150" t="e">
        <f t="shared" si="624"/>
        <v>#REF!</v>
      </c>
      <c r="AA630" s="150" t="e">
        <f t="shared" si="624"/>
        <v>#REF!</v>
      </c>
      <c r="AB630" s="50"/>
    </row>
    <row r="631" s="28" customFormat="1" ht="28.8" outlineLevel="3" spans="1:28">
      <c r="A631" s="52">
        <f>MAX($A$6:A630)+1</f>
        <v>578</v>
      </c>
      <c r="B631" s="138" t="s">
        <v>1449</v>
      </c>
      <c r="C631" s="51" t="e">
        <f>VLOOKUP($B631,#REF!,MATCH(C$2,#REF!,0),0)</f>
        <v>#REF!</v>
      </c>
      <c r="D631" s="83"/>
      <c r="E631" s="83"/>
      <c r="F631" s="136" t="e">
        <f>VLOOKUP($B631,#REF!,MATCH(F$2,#REF!,0),0)</f>
        <v>#REF!</v>
      </c>
      <c r="G631" s="137" t="e">
        <f>VLOOKUP($B631,#REF!,MATCH(G$2,#REF!,0),0)</f>
        <v>#REF!</v>
      </c>
      <c r="H631" s="48"/>
      <c r="I631" s="48"/>
      <c r="J631" s="48"/>
      <c r="K631" s="48"/>
      <c r="L631" s="48"/>
      <c r="M631" s="48"/>
      <c r="N631" s="48"/>
      <c r="O631" s="48"/>
      <c r="P631" s="48"/>
      <c r="Q631" s="48"/>
      <c r="R631" s="150" t="e">
        <f t="shared" ref="R631:AA631" si="625">$G631*H631</f>
        <v>#REF!</v>
      </c>
      <c r="S631" s="150" t="e">
        <f t="shared" si="625"/>
        <v>#REF!</v>
      </c>
      <c r="T631" s="150" t="e">
        <f t="shared" si="625"/>
        <v>#REF!</v>
      </c>
      <c r="U631" s="150" t="e">
        <f t="shared" si="625"/>
        <v>#REF!</v>
      </c>
      <c r="V631" s="150" t="e">
        <f t="shared" si="625"/>
        <v>#REF!</v>
      </c>
      <c r="W631" s="150" t="e">
        <f t="shared" si="625"/>
        <v>#REF!</v>
      </c>
      <c r="X631" s="150" t="e">
        <f t="shared" si="625"/>
        <v>#REF!</v>
      </c>
      <c r="Y631" s="150" t="e">
        <f t="shared" si="625"/>
        <v>#REF!</v>
      </c>
      <c r="Z631" s="150" t="e">
        <f t="shared" si="625"/>
        <v>#REF!</v>
      </c>
      <c r="AA631" s="150" t="e">
        <f t="shared" si="625"/>
        <v>#REF!</v>
      </c>
      <c r="AB631" s="50"/>
    </row>
    <row r="632" s="28" customFormat="1" ht="28.8" outlineLevel="3" spans="1:28">
      <c r="A632" s="52">
        <f>MAX($A$6:A631)+1</f>
        <v>579</v>
      </c>
      <c r="B632" s="138" t="s">
        <v>2237</v>
      </c>
      <c r="C632" s="51" t="e">
        <f>VLOOKUP($B632,#REF!,MATCH(C$2,#REF!,0),0)</f>
        <v>#REF!</v>
      </c>
      <c r="D632" s="83"/>
      <c r="E632" s="83"/>
      <c r="F632" s="136" t="e">
        <f>VLOOKUP($B632,#REF!,MATCH(F$2,#REF!,0),0)</f>
        <v>#REF!</v>
      </c>
      <c r="G632" s="137" t="e">
        <f>VLOOKUP($B632,#REF!,MATCH(G$2,#REF!,0),0)</f>
        <v>#REF!</v>
      </c>
      <c r="H632" s="48"/>
      <c r="I632" s="48"/>
      <c r="J632" s="48"/>
      <c r="K632" s="48"/>
      <c r="L632" s="48"/>
      <c r="M632" s="48">
        <v>30</v>
      </c>
      <c r="N632" s="48">
        <v>30</v>
      </c>
      <c r="O632" s="48">
        <v>30</v>
      </c>
      <c r="P632" s="48"/>
      <c r="Q632" s="48"/>
      <c r="R632" s="150" t="e">
        <f t="shared" ref="R632:AA632" si="626">$G632*H632</f>
        <v>#REF!</v>
      </c>
      <c r="S632" s="150" t="e">
        <f t="shared" si="626"/>
        <v>#REF!</v>
      </c>
      <c r="T632" s="150" t="e">
        <f t="shared" si="626"/>
        <v>#REF!</v>
      </c>
      <c r="U632" s="150" t="e">
        <f t="shared" si="626"/>
        <v>#REF!</v>
      </c>
      <c r="V632" s="150" t="e">
        <f t="shared" si="626"/>
        <v>#REF!</v>
      </c>
      <c r="W632" s="150" t="e">
        <f t="shared" si="626"/>
        <v>#REF!</v>
      </c>
      <c r="X632" s="150" t="e">
        <f t="shared" si="626"/>
        <v>#REF!</v>
      </c>
      <c r="Y632" s="150" t="e">
        <f t="shared" si="626"/>
        <v>#REF!</v>
      </c>
      <c r="Z632" s="150" t="e">
        <f t="shared" si="626"/>
        <v>#REF!</v>
      </c>
      <c r="AA632" s="150" t="e">
        <f t="shared" si="626"/>
        <v>#REF!</v>
      </c>
      <c r="AB632" s="50"/>
    </row>
    <row r="633" s="28" customFormat="1" outlineLevel="3" spans="1:28">
      <c r="A633" s="52">
        <f>MAX($A$6:A632)+1</f>
        <v>580</v>
      </c>
      <c r="B633" s="138" t="s">
        <v>1450</v>
      </c>
      <c r="C633" s="51" t="e">
        <f>VLOOKUP($B633,#REF!,MATCH(C$2,#REF!,0),0)</f>
        <v>#REF!</v>
      </c>
      <c r="D633" s="83"/>
      <c r="E633" s="83"/>
      <c r="F633" s="136" t="e">
        <f>VLOOKUP($B633,#REF!,MATCH(F$2,#REF!,0),0)</f>
        <v>#REF!</v>
      </c>
      <c r="G633" s="137" t="e">
        <f>VLOOKUP($B633,#REF!,MATCH(G$2,#REF!,0),0)</f>
        <v>#REF!</v>
      </c>
      <c r="H633" s="48"/>
      <c r="I633" s="48"/>
      <c r="J633" s="48"/>
      <c r="K633" s="48"/>
      <c r="L633" s="48"/>
      <c r="M633" s="48"/>
      <c r="N633" s="48"/>
      <c r="O633" s="48"/>
      <c r="P633" s="48">
        <v>53</v>
      </c>
      <c r="Q633" s="48">
        <v>153</v>
      </c>
      <c r="R633" s="150" t="e">
        <f t="shared" ref="R633:AA633" si="627">$G633*H633</f>
        <v>#REF!</v>
      </c>
      <c r="S633" s="150" t="e">
        <f t="shared" si="627"/>
        <v>#REF!</v>
      </c>
      <c r="T633" s="150" t="e">
        <f t="shared" si="627"/>
        <v>#REF!</v>
      </c>
      <c r="U633" s="150" t="e">
        <f t="shared" si="627"/>
        <v>#REF!</v>
      </c>
      <c r="V633" s="150" t="e">
        <f t="shared" si="627"/>
        <v>#REF!</v>
      </c>
      <c r="W633" s="150" t="e">
        <f t="shared" si="627"/>
        <v>#REF!</v>
      </c>
      <c r="X633" s="150" t="e">
        <f t="shared" si="627"/>
        <v>#REF!</v>
      </c>
      <c r="Y633" s="150" t="e">
        <f t="shared" si="627"/>
        <v>#REF!</v>
      </c>
      <c r="Z633" s="150" t="e">
        <f t="shared" si="627"/>
        <v>#REF!</v>
      </c>
      <c r="AA633" s="150" t="e">
        <f t="shared" si="627"/>
        <v>#REF!</v>
      </c>
      <c r="AB633" s="50"/>
    </row>
    <row r="634" s="28" customFormat="1" outlineLevel="3" spans="1:28">
      <c r="A634" s="52">
        <f>MAX($A$6:A633)+1</f>
        <v>581</v>
      </c>
      <c r="B634" s="138" t="s">
        <v>1438</v>
      </c>
      <c r="C634" s="51" t="e">
        <f>VLOOKUP($B634,#REF!,MATCH(C$2,#REF!,0),0)</f>
        <v>#REF!</v>
      </c>
      <c r="D634" s="83"/>
      <c r="E634" s="83"/>
      <c r="F634" s="136" t="e">
        <f>VLOOKUP($B634,#REF!,MATCH(F$2,#REF!,0),0)</f>
        <v>#REF!</v>
      </c>
      <c r="G634" s="137" t="e">
        <f>VLOOKUP($B634,#REF!,MATCH(G$2,#REF!,0),0)</f>
        <v>#REF!</v>
      </c>
      <c r="H634" s="48"/>
      <c r="I634" s="48"/>
      <c r="J634" s="48"/>
      <c r="K634" s="48"/>
      <c r="L634" s="48"/>
      <c r="M634" s="48"/>
      <c r="N634" s="48"/>
      <c r="O634" s="48"/>
      <c r="P634" s="48">
        <v>21</v>
      </c>
      <c r="Q634" s="48">
        <v>119</v>
      </c>
      <c r="R634" s="150" t="e">
        <f t="shared" ref="R634:AA634" si="628">$G634*H634</f>
        <v>#REF!</v>
      </c>
      <c r="S634" s="150" t="e">
        <f t="shared" si="628"/>
        <v>#REF!</v>
      </c>
      <c r="T634" s="150" t="e">
        <f t="shared" si="628"/>
        <v>#REF!</v>
      </c>
      <c r="U634" s="150" t="e">
        <f t="shared" si="628"/>
        <v>#REF!</v>
      </c>
      <c r="V634" s="150" t="e">
        <f t="shared" si="628"/>
        <v>#REF!</v>
      </c>
      <c r="W634" s="150" t="e">
        <f t="shared" si="628"/>
        <v>#REF!</v>
      </c>
      <c r="X634" s="150" t="e">
        <f t="shared" si="628"/>
        <v>#REF!</v>
      </c>
      <c r="Y634" s="150" t="e">
        <f t="shared" si="628"/>
        <v>#REF!</v>
      </c>
      <c r="Z634" s="150" t="e">
        <f t="shared" si="628"/>
        <v>#REF!</v>
      </c>
      <c r="AA634" s="150" t="e">
        <f t="shared" si="628"/>
        <v>#REF!</v>
      </c>
      <c r="AB634" s="50"/>
    </row>
    <row r="635" s="28" customFormat="1" outlineLevel="3" spans="1:28">
      <c r="A635" s="52">
        <f>MAX($A$6:A634)+1</f>
        <v>582</v>
      </c>
      <c r="B635" s="138" t="s">
        <v>1448</v>
      </c>
      <c r="C635" s="51" t="e">
        <f>VLOOKUP($B635,#REF!,MATCH(C$2,#REF!,0),0)</f>
        <v>#REF!</v>
      </c>
      <c r="D635" s="83"/>
      <c r="E635" s="83"/>
      <c r="F635" s="136" t="e">
        <f>VLOOKUP($B635,#REF!,MATCH(F$2,#REF!,0),0)</f>
        <v>#REF!</v>
      </c>
      <c r="G635" s="137" t="e">
        <f>VLOOKUP($B635,#REF!,MATCH(G$2,#REF!,0),0)</f>
        <v>#REF!</v>
      </c>
      <c r="H635" s="48"/>
      <c r="I635" s="48"/>
      <c r="J635" s="48"/>
      <c r="K635" s="48"/>
      <c r="L635" s="48"/>
      <c r="M635" s="48"/>
      <c r="N635" s="48"/>
      <c r="O635" s="48"/>
      <c r="P635" s="48">
        <v>2</v>
      </c>
      <c r="Q635" s="48">
        <v>8</v>
      </c>
      <c r="R635" s="150" t="e">
        <f t="shared" ref="R635:AA635" si="629">$G635*H635</f>
        <v>#REF!</v>
      </c>
      <c r="S635" s="150" t="e">
        <f t="shared" si="629"/>
        <v>#REF!</v>
      </c>
      <c r="T635" s="150" t="e">
        <f t="shared" si="629"/>
        <v>#REF!</v>
      </c>
      <c r="U635" s="150" t="e">
        <f t="shared" si="629"/>
        <v>#REF!</v>
      </c>
      <c r="V635" s="150" t="e">
        <f t="shared" si="629"/>
        <v>#REF!</v>
      </c>
      <c r="W635" s="150" t="e">
        <f t="shared" si="629"/>
        <v>#REF!</v>
      </c>
      <c r="X635" s="150" t="e">
        <f t="shared" si="629"/>
        <v>#REF!</v>
      </c>
      <c r="Y635" s="150" t="e">
        <f t="shared" si="629"/>
        <v>#REF!</v>
      </c>
      <c r="Z635" s="150" t="e">
        <f t="shared" si="629"/>
        <v>#REF!</v>
      </c>
      <c r="AA635" s="150" t="e">
        <f t="shared" si="629"/>
        <v>#REF!</v>
      </c>
      <c r="AB635" s="50"/>
    </row>
    <row r="636" s="28" customFormat="1" outlineLevel="3" spans="1:28">
      <c r="A636" s="52">
        <f>MAX($A$6:A635)+1</f>
        <v>583</v>
      </c>
      <c r="B636" s="138" t="s">
        <v>1453</v>
      </c>
      <c r="C636" s="51" t="e">
        <f>VLOOKUP($B636,#REF!,MATCH(C$2,#REF!,0),0)</f>
        <v>#REF!</v>
      </c>
      <c r="D636" s="83"/>
      <c r="E636" s="83"/>
      <c r="F636" s="136" t="e">
        <f>VLOOKUP($B636,#REF!,MATCH(F$2,#REF!,0),0)</f>
        <v>#REF!</v>
      </c>
      <c r="G636" s="137" t="e">
        <f>VLOOKUP($B636,#REF!,MATCH(G$2,#REF!,0),0)</f>
        <v>#REF!</v>
      </c>
      <c r="H636" s="48"/>
      <c r="I636" s="48"/>
      <c r="J636" s="48"/>
      <c r="K636" s="48"/>
      <c r="L636" s="48"/>
      <c r="M636" s="48"/>
      <c r="N636" s="48"/>
      <c r="O636" s="48"/>
      <c r="P636" s="48">
        <v>12</v>
      </c>
      <c r="Q636" s="48"/>
      <c r="R636" s="150" t="e">
        <f t="shared" ref="R636:AA636" si="630">$G636*H636</f>
        <v>#REF!</v>
      </c>
      <c r="S636" s="150" t="e">
        <f t="shared" si="630"/>
        <v>#REF!</v>
      </c>
      <c r="T636" s="150" t="e">
        <f t="shared" si="630"/>
        <v>#REF!</v>
      </c>
      <c r="U636" s="150" t="e">
        <f t="shared" si="630"/>
        <v>#REF!</v>
      </c>
      <c r="V636" s="150" t="e">
        <f t="shared" si="630"/>
        <v>#REF!</v>
      </c>
      <c r="W636" s="150" t="e">
        <f t="shared" si="630"/>
        <v>#REF!</v>
      </c>
      <c r="X636" s="150" t="e">
        <f t="shared" si="630"/>
        <v>#REF!</v>
      </c>
      <c r="Y636" s="150" t="e">
        <f t="shared" si="630"/>
        <v>#REF!</v>
      </c>
      <c r="Z636" s="150" t="e">
        <f t="shared" si="630"/>
        <v>#REF!</v>
      </c>
      <c r="AA636" s="150" t="e">
        <f t="shared" si="630"/>
        <v>#REF!</v>
      </c>
      <c r="AB636" s="50"/>
    </row>
    <row r="637" s="28" customFormat="1" outlineLevel="3" spans="1:28">
      <c r="A637" s="52">
        <f>MAX($A$6:A636)+1</f>
        <v>584</v>
      </c>
      <c r="B637" s="138" t="s">
        <v>1439</v>
      </c>
      <c r="C637" s="51" t="e">
        <f>VLOOKUP($B637,#REF!,MATCH(C$2,#REF!,0),0)</f>
        <v>#REF!</v>
      </c>
      <c r="D637" s="83"/>
      <c r="E637" s="83"/>
      <c r="F637" s="136" t="e">
        <f>VLOOKUP($B637,#REF!,MATCH(F$2,#REF!,0),0)</f>
        <v>#REF!</v>
      </c>
      <c r="G637" s="137" t="e">
        <f>VLOOKUP($B637,#REF!,MATCH(G$2,#REF!,0),0)</f>
        <v>#REF!</v>
      </c>
      <c r="H637" s="48"/>
      <c r="I637" s="48"/>
      <c r="J637" s="48"/>
      <c r="K637" s="48"/>
      <c r="L637" s="48"/>
      <c r="M637" s="48"/>
      <c r="N637" s="48"/>
      <c r="O637" s="48"/>
      <c r="P637" s="48">
        <v>18</v>
      </c>
      <c r="Q637" s="48"/>
      <c r="R637" s="150" t="e">
        <f t="shared" ref="R637:AA637" si="631">$G637*H637</f>
        <v>#REF!</v>
      </c>
      <c r="S637" s="150" t="e">
        <f t="shared" si="631"/>
        <v>#REF!</v>
      </c>
      <c r="T637" s="150" t="e">
        <f t="shared" si="631"/>
        <v>#REF!</v>
      </c>
      <c r="U637" s="150" t="e">
        <f t="shared" si="631"/>
        <v>#REF!</v>
      </c>
      <c r="V637" s="150" t="e">
        <f t="shared" si="631"/>
        <v>#REF!</v>
      </c>
      <c r="W637" s="150" t="e">
        <f t="shared" si="631"/>
        <v>#REF!</v>
      </c>
      <c r="X637" s="150" t="e">
        <f t="shared" si="631"/>
        <v>#REF!</v>
      </c>
      <c r="Y637" s="150" t="e">
        <f t="shared" si="631"/>
        <v>#REF!</v>
      </c>
      <c r="Z637" s="150" t="e">
        <f t="shared" si="631"/>
        <v>#REF!</v>
      </c>
      <c r="AA637" s="150" t="e">
        <f t="shared" si="631"/>
        <v>#REF!</v>
      </c>
      <c r="AB637" s="50"/>
    </row>
    <row r="638" s="28" customFormat="1" outlineLevel="3" spans="1:28">
      <c r="A638" s="52">
        <f>MAX($A$6:A637)+1</f>
        <v>585</v>
      </c>
      <c r="B638" s="138" t="s">
        <v>2238</v>
      </c>
      <c r="C638" s="51" t="e">
        <f>VLOOKUP($B638,#REF!,MATCH(C$2,#REF!,0),0)</f>
        <v>#REF!</v>
      </c>
      <c r="D638" s="83"/>
      <c r="E638" s="83"/>
      <c r="F638" s="136" t="e">
        <f>VLOOKUP($B638,#REF!,MATCH(F$2,#REF!,0),0)</f>
        <v>#REF!</v>
      </c>
      <c r="G638" s="137" t="e">
        <f>VLOOKUP($B638,#REF!,MATCH(G$2,#REF!,0),0)</f>
        <v>#REF!</v>
      </c>
      <c r="H638" s="48"/>
      <c r="I638" s="48"/>
      <c r="J638" s="48"/>
      <c r="K638" s="48"/>
      <c r="L638" s="48"/>
      <c r="M638" s="48"/>
      <c r="N638" s="48"/>
      <c r="O638" s="48"/>
      <c r="P638" s="48">
        <v>6</v>
      </c>
      <c r="Q638" s="48"/>
      <c r="R638" s="150" t="e">
        <f t="shared" ref="R638:AA638" si="632">$G638*H638</f>
        <v>#REF!</v>
      </c>
      <c r="S638" s="150" t="e">
        <f t="shared" si="632"/>
        <v>#REF!</v>
      </c>
      <c r="T638" s="150" t="e">
        <f t="shared" si="632"/>
        <v>#REF!</v>
      </c>
      <c r="U638" s="150" t="e">
        <f t="shared" si="632"/>
        <v>#REF!</v>
      </c>
      <c r="V638" s="150" t="e">
        <f t="shared" si="632"/>
        <v>#REF!</v>
      </c>
      <c r="W638" s="150" t="e">
        <f t="shared" si="632"/>
        <v>#REF!</v>
      </c>
      <c r="X638" s="150" t="e">
        <f t="shared" si="632"/>
        <v>#REF!</v>
      </c>
      <c r="Y638" s="150" t="e">
        <f t="shared" si="632"/>
        <v>#REF!</v>
      </c>
      <c r="Z638" s="150" t="e">
        <f t="shared" si="632"/>
        <v>#REF!</v>
      </c>
      <c r="AA638" s="150" t="e">
        <f t="shared" si="632"/>
        <v>#REF!</v>
      </c>
      <c r="AB638" s="50"/>
    </row>
    <row r="639" s="28" customFormat="1" outlineLevel="3" spans="1:28">
      <c r="A639" s="52">
        <f>MAX($A$6:A638)+1</f>
        <v>586</v>
      </c>
      <c r="B639" s="138" t="s">
        <v>1455</v>
      </c>
      <c r="C639" s="51" t="e">
        <f>VLOOKUP($B639,#REF!,MATCH(C$2,#REF!,0),0)</f>
        <v>#REF!</v>
      </c>
      <c r="D639" s="83"/>
      <c r="E639" s="83"/>
      <c r="F639" s="136" t="e">
        <f>VLOOKUP($B639,#REF!,MATCH(F$2,#REF!,0),0)</f>
        <v>#REF!</v>
      </c>
      <c r="G639" s="137" t="e">
        <f>VLOOKUP($B639,#REF!,MATCH(G$2,#REF!,0),0)</f>
        <v>#REF!</v>
      </c>
      <c r="H639" s="48"/>
      <c r="I639" s="48"/>
      <c r="J639" s="48"/>
      <c r="K639" s="48"/>
      <c r="L639" s="48"/>
      <c r="M639" s="48"/>
      <c r="N639" s="48"/>
      <c r="O639" s="48"/>
      <c r="P639" s="48">
        <v>12</v>
      </c>
      <c r="Q639" s="48"/>
      <c r="R639" s="150" t="e">
        <f t="shared" ref="R639:AA639" si="633">$G639*H639</f>
        <v>#REF!</v>
      </c>
      <c r="S639" s="150" t="e">
        <f t="shared" si="633"/>
        <v>#REF!</v>
      </c>
      <c r="T639" s="150" t="e">
        <f t="shared" si="633"/>
        <v>#REF!</v>
      </c>
      <c r="U639" s="150" t="e">
        <f t="shared" si="633"/>
        <v>#REF!</v>
      </c>
      <c r="V639" s="150" t="e">
        <f t="shared" si="633"/>
        <v>#REF!</v>
      </c>
      <c r="W639" s="150" t="e">
        <f t="shared" si="633"/>
        <v>#REF!</v>
      </c>
      <c r="X639" s="150" t="e">
        <f t="shared" si="633"/>
        <v>#REF!</v>
      </c>
      <c r="Y639" s="150" t="e">
        <f t="shared" si="633"/>
        <v>#REF!</v>
      </c>
      <c r="Z639" s="150" t="e">
        <f t="shared" si="633"/>
        <v>#REF!</v>
      </c>
      <c r="AA639" s="150" t="e">
        <f t="shared" si="633"/>
        <v>#REF!</v>
      </c>
      <c r="AB639" s="50"/>
    </row>
    <row r="640" s="28" customFormat="1" ht="28.8" outlineLevel="3" spans="1:28">
      <c r="A640" s="52">
        <f>MAX($A$6:A639)+1</f>
        <v>587</v>
      </c>
      <c r="B640" s="138" t="s">
        <v>2239</v>
      </c>
      <c r="C640" s="51" t="e">
        <f>VLOOKUP($B640,#REF!,MATCH(C$2,#REF!,0),0)</f>
        <v>#REF!</v>
      </c>
      <c r="D640" s="83"/>
      <c r="E640" s="83"/>
      <c r="F640" s="136" t="e">
        <f>VLOOKUP($B640,#REF!,MATCH(F$2,#REF!,0),0)</f>
        <v>#REF!</v>
      </c>
      <c r="G640" s="137" t="e">
        <f>VLOOKUP($B640,#REF!,MATCH(G$2,#REF!,0),0)</f>
        <v>#REF!</v>
      </c>
      <c r="H640" s="48"/>
      <c r="I640" s="48"/>
      <c r="J640" s="48"/>
      <c r="K640" s="48"/>
      <c r="L640" s="48"/>
      <c r="M640" s="48"/>
      <c r="N640" s="48"/>
      <c r="O640" s="48"/>
      <c r="P640" s="48"/>
      <c r="Q640" s="48">
        <v>16</v>
      </c>
      <c r="R640" s="150" t="e">
        <f t="shared" ref="R640:AA640" si="634">$G640*H640</f>
        <v>#REF!</v>
      </c>
      <c r="S640" s="150" t="e">
        <f t="shared" si="634"/>
        <v>#REF!</v>
      </c>
      <c r="T640" s="150" t="e">
        <f t="shared" si="634"/>
        <v>#REF!</v>
      </c>
      <c r="U640" s="150" t="e">
        <f t="shared" si="634"/>
        <v>#REF!</v>
      </c>
      <c r="V640" s="150" t="e">
        <f t="shared" si="634"/>
        <v>#REF!</v>
      </c>
      <c r="W640" s="150" t="e">
        <f t="shared" si="634"/>
        <v>#REF!</v>
      </c>
      <c r="X640" s="150" t="e">
        <f t="shared" si="634"/>
        <v>#REF!</v>
      </c>
      <c r="Y640" s="150" t="e">
        <f t="shared" si="634"/>
        <v>#REF!</v>
      </c>
      <c r="Z640" s="150" t="e">
        <f t="shared" si="634"/>
        <v>#REF!</v>
      </c>
      <c r="AA640" s="150" t="e">
        <f t="shared" si="634"/>
        <v>#REF!</v>
      </c>
      <c r="AB640" s="50"/>
    </row>
    <row r="641" s="1" customFormat="1" outlineLevel="3" spans="1:28">
      <c r="A641" s="52">
        <f>MAX($A$6:A640)+1</f>
        <v>588</v>
      </c>
      <c r="B641" s="138" t="s">
        <v>1466</v>
      </c>
      <c r="C641" s="51" t="e">
        <f>VLOOKUP($B641,#REF!,MATCH(C$2,#REF!,0),0)</f>
        <v>#REF!</v>
      </c>
      <c r="D641" s="83"/>
      <c r="E641" s="83"/>
      <c r="F641" s="136" t="e">
        <f>VLOOKUP($B641,#REF!,MATCH(F$2,#REF!,0),0)</f>
        <v>#REF!</v>
      </c>
      <c r="G641" s="137" t="e">
        <f>VLOOKUP($B641,#REF!,MATCH(G$2,#REF!,0),0)</f>
        <v>#REF!</v>
      </c>
      <c r="H641" s="139"/>
      <c r="I641" s="139"/>
      <c r="J641" s="139"/>
      <c r="K641" s="139"/>
      <c r="L641" s="139"/>
      <c r="M641" s="139"/>
      <c r="N641" s="139"/>
      <c r="O641" s="139"/>
      <c r="P641" s="139"/>
      <c r="Q641" s="139">
        <v>16</v>
      </c>
      <c r="R641" s="150" t="e">
        <f t="shared" ref="R641:AA641" si="635">$G641*H641</f>
        <v>#REF!</v>
      </c>
      <c r="S641" s="150" t="e">
        <f t="shared" si="635"/>
        <v>#REF!</v>
      </c>
      <c r="T641" s="150" t="e">
        <f t="shared" si="635"/>
        <v>#REF!</v>
      </c>
      <c r="U641" s="150" t="e">
        <f t="shared" si="635"/>
        <v>#REF!</v>
      </c>
      <c r="V641" s="150" t="e">
        <f t="shared" si="635"/>
        <v>#REF!</v>
      </c>
      <c r="W641" s="150" t="e">
        <f t="shared" si="635"/>
        <v>#REF!</v>
      </c>
      <c r="X641" s="150" t="e">
        <f t="shared" si="635"/>
        <v>#REF!</v>
      </c>
      <c r="Y641" s="150" t="e">
        <f t="shared" si="635"/>
        <v>#REF!</v>
      </c>
      <c r="Z641" s="150" t="e">
        <f t="shared" si="635"/>
        <v>#REF!</v>
      </c>
      <c r="AA641" s="150" t="e">
        <f t="shared" si="635"/>
        <v>#REF!</v>
      </c>
      <c r="AB641" s="26"/>
    </row>
    <row r="642" s="28" customFormat="1" outlineLevel="3" spans="1:28">
      <c r="A642" s="52">
        <f>MAX($A$6:A641)+1</f>
        <v>589</v>
      </c>
      <c r="B642" s="138" t="s">
        <v>2240</v>
      </c>
      <c r="C642" s="51" t="e">
        <f>VLOOKUP($B642,#REF!,MATCH(C$2,#REF!,0),0)</f>
        <v>#REF!</v>
      </c>
      <c r="D642" s="83"/>
      <c r="E642" s="83"/>
      <c r="F642" s="136" t="e">
        <f>VLOOKUP($B642,#REF!,MATCH(F$2,#REF!,0),0)</f>
        <v>#REF!</v>
      </c>
      <c r="G642" s="137" t="e">
        <f>VLOOKUP($B642,#REF!,MATCH(G$2,#REF!,0),0)</f>
        <v>#REF!</v>
      </c>
      <c r="H642" s="48">
        <v>75</v>
      </c>
      <c r="I642" s="48">
        <v>69</v>
      </c>
      <c r="J642" s="48">
        <v>32</v>
      </c>
      <c r="K642" s="48">
        <v>32</v>
      </c>
      <c r="L642" s="48">
        <v>9</v>
      </c>
      <c r="M642" s="48">
        <v>33</v>
      </c>
      <c r="N642" s="48">
        <v>33</v>
      </c>
      <c r="O642" s="48">
        <v>33</v>
      </c>
      <c r="P642" s="48"/>
      <c r="Q642" s="48">
        <f>1829+212</f>
        <v>2041</v>
      </c>
      <c r="R642" s="150" t="e">
        <f t="shared" ref="R642:AA642" si="636">$G642*H642</f>
        <v>#REF!</v>
      </c>
      <c r="S642" s="150" t="e">
        <f t="shared" si="636"/>
        <v>#REF!</v>
      </c>
      <c r="T642" s="150" t="e">
        <f t="shared" si="636"/>
        <v>#REF!</v>
      </c>
      <c r="U642" s="150" t="e">
        <f t="shared" si="636"/>
        <v>#REF!</v>
      </c>
      <c r="V642" s="150" t="e">
        <f t="shared" si="636"/>
        <v>#REF!</v>
      </c>
      <c r="W642" s="150" t="e">
        <f t="shared" si="636"/>
        <v>#REF!</v>
      </c>
      <c r="X642" s="150" t="e">
        <f t="shared" si="636"/>
        <v>#REF!</v>
      </c>
      <c r="Y642" s="150" t="e">
        <f t="shared" si="636"/>
        <v>#REF!</v>
      </c>
      <c r="Z642" s="150" t="e">
        <f t="shared" si="636"/>
        <v>#REF!</v>
      </c>
      <c r="AA642" s="150" t="e">
        <f t="shared" si="636"/>
        <v>#REF!</v>
      </c>
      <c r="AB642" s="50"/>
    </row>
    <row r="643" s="28" customFormat="1" outlineLevel="3" spans="1:28">
      <c r="A643" s="52">
        <f>MAX($A$6:A642)+1</f>
        <v>590</v>
      </c>
      <c r="B643" s="138" t="s">
        <v>2241</v>
      </c>
      <c r="C643" s="51" t="e">
        <f>VLOOKUP($B643,#REF!,MATCH(C$2,#REF!,0),0)</f>
        <v>#REF!</v>
      </c>
      <c r="D643" s="83"/>
      <c r="E643" s="83"/>
      <c r="F643" s="136" t="e">
        <f>VLOOKUP($B643,#REF!,MATCH(F$2,#REF!,0),0)</f>
        <v>#REF!</v>
      </c>
      <c r="G643" s="137" t="e">
        <f>VLOOKUP($B643,#REF!,MATCH(G$2,#REF!,0),0)</f>
        <v>#REF!</v>
      </c>
      <c r="H643" s="48">
        <v>49</v>
      </c>
      <c r="I643" s="48">
        <v>47</v>
      </c>
      <c r="J643" s="48">
        <v>21</v>
      </c>
      <c r="K643" s="48">
        <v>21</v>
      </c>
      <c r="L643" s="48">
        <v>31</v>
      </c>
      <c r="M643" s="48"/>
      <c r="N643" s="48"/>
      <c r="O643" s="48"/>
      <c r="P643" s="48">
        <f>1026+114</f>
        <v>1140</v>
      </c>
      <c r="Q643" s="48">
        <v>796</v>
      </c>
      <c r="R643" s="150" t="e">
        <f t="shared" ref="R643:AA643" si="637">$G643*H643</f>
        <v>#REF!</v>
      </c>
      <c r="S643" s="150" t="e">
        <f t="shared" si="637"/>
        <v>#REF!</v>
      </c>
      <c r="T643" s="150" t="e">
        <f t="shared" si="637"/>
        <v>#REF!</v>
      </c>
      <c r="U643" s="150" t="e">
        <f t="shared" si="637"/>
        <v>#REF!</v>
      </c>
      <c r="V643" s="150" t="e">
        <f t="shared" si="637"/>
        <v>#REF!</v>
      </c>
      <c r="W643" s="150" t="e">
        <f t="shared" si="637"/>
        <v>#REF!</v>
      </c>
      <c r="X643" s="150" t="e">
        <f t="shared" si="637"/>
        <v>#REF!</v>
      </c>
      <c r="Y643" s="150" t="e">
        <f t="shared" si="637"/>
        <v>#REF!</v>
      </c>
      <c r="Z643" s="150" t="e">
        <f t="shared" si="637"/>
        <v>#REF!</v>
      </c>
      <c r="AA643" s="150" t="e">
        <f t="shared" si="637"/>
        <v>#REF!</v>
      </c>
      <c r="AB643" s="50"/>
    </row>
    <row r="644" s="28" customFormat="1" outlineLevel="3" spans="1:28">
      <c r="A644" s="52">
        <f>MAX($A$6:A643)+1</f>
        <v>591</v>
      </c>
      <c r="B644" s="138" t="s">
        <v>1467</v>
      </c>
      <c r="C644" s="51" t="e">
        <f>VLOOKUP($B644,#REF!,MATCH(C$2,#REF!,0),0)</f>
        <v>#REF!</v>
      </c>
      <c r="D644" s="83"/>
      <c r="E644" s="83"/>
      <c r="F644" s="136" t="e">
        <f>VLOOKUP($B644,#REF!,MATCH(F$2,#REF!,0),0)</f>
        <v>#REF!</v>
      </c>
      <c r="G644" s="137" t="e">
        <f>VLOOKUP($B644,#REF!,MATCH(G$2,#REF!,0),0)</f>
        <v>#REF!</v>
      </c>
      <c r="H644" s="48"/>
      <c r="I644" s="48"/>
      <c r="J644" s="48"/>
      <c r="K644" s="48"/>
      <c r="L644" s="48"/>
      <c r="M644" s="48"/>
      <c r="N644" s="48"/>
      <c r="O644" s="48"/>
      <c r="P644" s="48">
        <v>29</v>
      </c>
      <c r="Q644" s="48"/>
      <c r="R644" s="150" t="e">
        <f t="shared" ref="R644:AA644" si="638">$G644*H644</f>
        <v>#REF!</v>
      </c>
      <c r="S644" s="150" t="e">
        <f t="shared" si="638"/>
        <v>#REF!</v>
      </c>
      <c r="T644" s="150" t="e">
        <f t="shared" si="638"/>
        <v>#REF!</v>
      </c>
      <c r="U644" s="150" t="e">
        <f t="shared" si="638"/>
        <v>#REF!</v>
      </c>
      <c r="V644" s="150" t="e">
        <f t="shared" si="638"/>
        <v>#REF!</v>
      </c>
      <c r="W644" s="150" t="e">
        <f t="shared" si="638"/>
        <v>#REF!</v>
      </c>
      <c r="X644" s="150" t="e">
        <f t="shared" si="638"/>
        <v>#REF!</v>
      </c>
      <c r="Y644" s="150" t="e">
        <f t="shared" si="638"/>
        <v>#REF!</v>
      </c>
      <c r="Z644" s="150" t="e">
        <f t="shared" si="638"/>
        <v>#REF!</v>
      </c>
      <c r="AA644" s="150" t="e">
        <f t="shared" si="638"/>
        <v>#REF!</v>
      </c>
      <c r="AB644" s="50"/>
    </row>
    <row r="645" s="29" customFormat="1" outlineLevel="2" spans="1:28">
      <c r="A645" s="40"/>
      <c r="B645" s="41" t="s">
        <v>2242</v>
      </c>
      <c r="C645" s="41"/>
      <c r="D645" s="140"/>
      <c r="E645" s="140"/>
      <c r="F645" s="141"/>
      <c r="G645" s="142"/>
      <c r="H645" s="43"/>
      <c r="I645" s="43"/>
      <c r="J645" s="43"/>
      <c r="K645" s="43"/>
      <c r="L645" s="43"/>
      <c r="M645" s="43"/>
      <c r="N645" s="43"/>
      <c r="O645" s="43"/>
      <c r="P645" s="43"/>
      <c r="Q645" s="43"/>
      <c r="R645" s="149" t="e">
        <f t="shared" ref="R645:AA645" si="639">SUM(R646:R661)</f>
        <v>#REF!</v>
      </c>
      <c r="S645" s="149" t="e">
        <f t="shared" si="639"/>
        <v>#REF!</v>
      </c>
      <c r="T645" s="149" t="e">
        <f t="shared" si="639"/>
        <v>#REF!</v>
      </c>
      <c r="U645" s="149" t="e">
        <f t="shared" si="639"/>
        <v>#REF!</v>
      </c>
      <c r="V645" s="149" t="e">
        <f t="shared" si="639"/>
        <v>#REF!</v>
      </c>
      <c r="W645" s="149" t="e">
        <f t="shared" si="639"/>
        <v>#REF!</v>
      </c>
      <c r="X645" s="149" t="e">
        <f t="shared" si="639"/>
        <v>#REF!</v>
      </c>
      <c r="Y645" s="149" t="e">
        <f t="shared" si="639"/>
        <v>#REF!</v>
      </c>
      <c r="Z645" s="149" t="e">
        <f t="shared" si="639"/>
        <v>#REF!</v>
      </c>
      <c r="AA645" s="149" t="e">
        <f t="shared" si="639"/>
        <v>#REF!</v>
      </c>
      <c r="AB645" s="40"/>
    </row>
    <row r="646" s="28" customFormat="1" outlineLevel="3" spans="1:28">
      <c r="A646" s="52">
        <f>MAX($A$6:A645)+1</f>
        <v>592</v>
      </c>
      <c r="B646" s="138" t="s">
        <v>1472</v>
      </c>
      <c r="C646" s="51" t="e">
        <f>VLOOKUP($B646,#REF!,MATCH(C$2,#REF!,0),0)</f>
        <v>#REF!</v>
      </c>
      <c r="D646" s="83"/>
      <c r="E646" s="83"/>
      <c r="F646" s="136" t="e">
        <f>VLOOKUP($B646,#REF!,MATCH(F$2,#REF!,0),0)</f>
        <v>#REF!</v>
      </c>
      <c r="G646" s="137" t="e">
        <f>VLOOKUP($B646,#REF!,MATCH(G$2,#REF!,0),0)</f>
        <v>#REF!</v>
      </c>
      <c r="H646" s="48">
        <v>926.25</v>
      </c>
      <c r="I646" s="48">
        <v>895.39</v>
      </c>
      <c r="J646" s="48">
        <v>792.41</v>
      </c>
      <c r="K646" s="48">
        <v>792.41</v>
      </c>
      <c r="L646" s="48">
        <v>477.32</v>
      </c>
      <c r="M646" s="48">
        <v>1</v>
      </c>
      <c r="N646" s="48">
        <v>1</v>
      </c>
      <c r="O646" s="48">
        <v>1</v>
      </c>
      <c r="P646" s="48"/>
      <c r="Q646" s="48"/>
      <c r="R646" s="150" t="e">
        <f t="shared" ref="R646:AA646" si="640">$G646*H646</f>
        <v>#REF!</v>
      </c>
      <c r="S646" s="150" t="e">
        <f t="shared" si="640"/>
        <v>#REF!</v>
      </c>
      <c r="T646" s="150" t="e">
        <f t="shared" si="640"/>
        <v>#REF!</v>
      </c>
      <c r="U646" s="150" t="e">
        <f t="shared" si="640"/>
        <v>#REF!</v>
      </c>
      <c r="V646" s="150" t="e">
        <f t="shared" si="640"/>
        <v>#REF!</v>
      </c>
      <c r="W646" s="150" t="e">
        <f t="shared" si="640"/>
        <v>#REF!</v>
      </c>
      <c r="X646" s="150" t="e">
        <f t="shared" si="640"/>
        <v>#REF!</v>
      </c>
      <c r="Y646" s="150" t="e">
        <f t="shared" si="640"/>
        <v>#REF!</v>
      </c>
      <c r="Z646" s="150" t="e">
        <f t="shared" si="640"/>
        <v>#REF!</v>
      </c>
      <c r="AA646" s="150" t="e">
        <f t="shared" si="640"/>
        <v>#REF!</v>
      </c>
      <c r="AB646" s="50"/>
    </row>
    <row r="647" s="28" customFormat="1" outlineLevel="3" spans="1:28">
      <c r="A647" s="52">
        <f>MAX($A$6:A646)+1</f>
        <v>593</v>
      </c>
      <c r="B647" s="138" t="s">
        <v>2243</v>
      </c>
      <c r="C647" s="51" t="e">
        <f>VLOOKUP($B647,#REF!,MATCH(C$2,#REF!,0),0)</f>
        <v>#REF!</v>
      </c>
      <c r="D647" s="83"/>
      <c r="E647" s="83"/>
      <c r="F647" s="136" t="e">
        <f>VLOOKUP($B647,#REF!,MATCH(F$2,#REF!,0),0)</f>
        <v>#REF!</v>
      </c>
      <c r="G647" s="137" t="e">
        <f>VLOOKUP($B647,#REF!,MATCH(G$2,#REF!,0),0)</f>
        <v>#REF!</v>
      </c>
      <c r="H647" s="48">
        <v>88.94</v>
      </c>
      <c r="I647" s="48">
        <v>88.94</v>
      </c>
      <c r="J647" s="48">
        <v>98.91</v>
      </c>
      <c r="K647" s="48">
        <v>98.91</v>
      </c>
      <c r="L647" s="48">
        <v>62.86</v>
      </c>
      <c r="M647" s="48"/>
      <c r="N647" s="48"/>
      <c r="O647" s="48"/>
      <c r="P647" s="48"/>
      <c r="Q647" s="48"/>
      <c r="R647" s="150" t="e">
        <f t="shared" ref="R647:AA647" si="641">$G647*H647</f>
        <v>#REF!</v>
      </c>
      <c r="S647" s="150" t="e">
        <f t="shared" si="641"/>
        <v>#REF!</v>
      </c>
      <c r="T647" s="150" t="e">
        <f t="shared" si="641"/>
        <v>#REF!</v>
      </c>
      <c r="U647" s="150" t="e">
        <f t="shared" si="641"/>
        <v>#REF!</v>
      </c>
      <c r="V647" s="150" t="e">
        <f t="shared" si="641"/>
        <v>#REF!</v>
      </c>
      <c r="W647" s="150" t="e">
        <f t="shared" si="641"/>
        <v>#REF!</v>
      </c>
      <c r="X647" s="150" t="e">
        <f t="shared" si="641"/>
        <v>#REF!</v>
      </c>
      <c r="Y647" s="150" t="e">
        <f t="shared" si="641"/>
        <v>#REF!</v>
      </c>
      <c r="Z647" s="150" t="e">
        <f t="shared" si="641"/>
        <v>#REF!</v>
      </c>
      <c r="AA647" s="150" t="e">
        <f t="shared" si="641"/>
        <v>#REF!</v>
      </c>
      <c r="AB647" s="50"/>
    </row>
    <row r="648" s="28" customFormat="1" outlineLevel="3" spans="1:28">
      <c r="A648" s="52">
        <f>MAX($A$6:A647)+1</f>
        <v>594</v>
      </c>
      <c r="B648" s="138" t="s">
        <v>2244</v>
      </c>
      <c r="C648" s="51" t="e">
        <f>VLOOKUP($B648,#REF!,MATCH(C$2,#REF!,0),0)</f>
        <v>#REF!</v>
      </c>
      <c r="D648" s="83"/>
      <c r="E648" s="83"/>
      <c r="F648" s="136" t="e">
        <f>VLOOKUP($B648,#REF!,MATCH(F$2,#REF!,0),0)</f>
        <v>#REF!</v>
      </c>
      <c r="G648" s="137" t="e">
        <f>VLOOKUP($B648,#REF!,MATCH(G$2,#REF!,0),0)</f>
        <v>#REF!</v>
      </c>
      <c r="H648" s="48">
        <v>3</v>
      </c>
      <c r="I648" s="48">
        <v>3</v>
      </c>
      <c r="J648" s="48">
        <v>4</v>
      </c>
      <c r="K648" s="48">
        <v>4</v>
      </c>
      <c r="L648" s="48">
        <v>2</v>
      </c>
      <c r="M648" s="48"/>
      <c r="N648" s="48"/>
      <c r="O648" s="48"/>
      <c r="P648" s="48">
        <v>20</v>
      </c>
      <c r="Q648" s="48"/>
      <c r="R648" s="150" t="e">
        <f t="shared" ref="R648:AA648" si="642">$G648*H648</f>
        <v>#REF!</v>
      </c>
      <c r="S648" s="150" t="e">
        <f t="shared" si="642"/>
        <v>#REF!</v>
      </c>
      <c r="T648" s="150" t="e">
        <f t="shared" si="642"/>
        <v>#REF!</v>
      </c>
      <c r="U648" s="150" t="e">
        <f t="shared" si="642"/>
        <v>#REF!</v>
      </c>
      <c r="V648" s="150" t="e">
        <f t="shared" si="642"/>
        <v>#REF!</v>
      </c>
      <c r="W648" s="150" t="e">
        <f t="shared" si="642"/>
        <v>#REF!</v>
      </c>
      <c r="X648" s="150" t="e">
        <f t="shared" si="642"/>
        <v>#REF!</v>
      </c>
      <c r="Y648" s="150" t="e">
        <f t="shared" si="642"/>
        <v>#REF!</v>
      </c>
      <c r="Z648" s="150" t="e">
        <f t="shared" si="642"/>
        <v>#REF!</v>
      </c>
      <c r="AA648" s="150" t="e">
        <f t="shared" si="642"/>
        <v>#REF!</v>
      </c>
      <c r="AB648" s="50"/>
    </row>
    <row r="649" s="28" customFormat="1" outlineLevel="3" spans="1:28">
      <c r="A649" s="52">
        <f>MAX($A$6:A648)+1</f>
        <v>595</v>
      </c>
      <c r="B649" s="138" t="s">
        <v>2245</v>
      </c>
      <c r="C649" s="51" t="e">
        <f>VLOOKUP($B649,#REF!,MATCH(C$2,#REF!,0),0)</f>
        <v>#REF!</v>
      </c>
      <c r="D649" s="83"/>
      <c r="E649" s="83"/>
      <c r="F649" s="136" t="e">
        <f>VLOOKUP($B649,#REF!,MATCH(F$2,#REF!,0),0)</f>
        <v>#REF!</v>
      </c>
      <c r="G649" s="137" t="e">
        <f>VLOOKUP($B649,#REF!,MATCH(G$2,#REF!,0),0)</f>
        <v>#REF!</v>
      </c>
      <c r="H649" s="48">
        <v>4</v>
      </c>
      <c r="I649" s="48">
        <v>4</v>
      </c>
      <c r="J649" s="48">
        <v>2</v>
      </c>
      <c r="K649" s="48">
        <v>2</v>
      </c>
      <c r="L649" s="48">
        <v>1</v>
      </c>
      <c r="M649" s="48">
        <v>1</v>
      </c>
      <c r="N649" s="48">
        <v>1</v>
      </c>
      <c r="O649" s="48">
        <v>1</v>
      </c>
      <c r="P649" s="48"/>
      <c r="Q649" s="48"/>
      <c r="R649" s="150" t="e">
        <f t="shared" ref="R649:AA649" si="643">$G649*H649</f>
        <v>#REF!</v>
      </c>
      <c r="S649" s="150" t="e">
        <f t="shared" si="643"/>
        <v>#REF!</v>
      </c>
      <c r="T649" s="150" t="e">
        <f t="shared" si="643"/>
        <v>#REF!</v>
      </c>
      <c r="U649" s="150" t="e">
        <f t="shared" si="643"/>
        <v>#REF!</v>
      </c>
      <c r="V649" s="150" t="e">
        <f t="shared" si="643"/>
        <v>#REF!</v>
      </c>
      <c r="W649" s="150" t="e">
        <f t="shared" si="643"/>
        <v>#REF!</v>
      </c>
      <c r="X649" s="150" t="e">
        <f t="shared" si="643"/>
        <v>#REF!</v>
      </c>
      <c r="Y649" s="150" t="e">
        <f t="shared" si="643"/>
        <v>#REF!</v>
      </c>
      <c r="Z649" s="150" t="e">
        <f t="shared" si="643"/>
        <v>#REF!</v>
      </c>
      <c r="AA649" s="150" t="e">
        <f t="shared" si="643"/>
        <v>#REF!</v>
      </c>
      <c r="AB649" s="50"/>
    </row>
    <row r="650" s="28" customFormat="1" ht="28.8" outlineLevel="3" spans="1:28">
      <c r="A650" s="52">
        <f>MAX($A$6:A649)+1</f>
        <v>596</v>
      </c>
      <c r="B650" s="138" t="s">
        <v>1490</v>
      </c>
      <c r="C650" s="51" t="e">
        <f>VLOOKUP($B650,#REF!,MATCH(C$2,#REF!,0),0)</f>
        <v>#REF!</v>
      </c>
      <c r="D650" s="83"/>
      <c r="E650" s="83"/>
      <c r="F650" s="136" t="e">
        <f>VLOOKUP($B650,#REF!,MATCH(F$2,#REF!,0),0)</f>
        <v>#REF!</v>
      </c>
      <c r="G650" s="137" t="e">
        <f>VLOOKUP($B650,#REF!,MATCH(G$2,#REF!,0),0)</f>
        <v>#REF!</v>
      </c>
      <c r="H650" s="48">
        <v>10</v>
      </c>
      <c r="I650" s="48">
        <v>10</v>
      </c>
      <c r="J650" s="48">
        <v>10</v>
      </c>
      <c r="K650" s="48">
        <v>10</v>
      </c>
      <c r="L650" s="48"/>
      <c r="M650" s="48">
        <v>10</v>
      </c>
      <c r="N650" s="48">
        <v>10</v>
      </c>
      <c r="O650" s="48">
        <v>10</v>
      </c>
      <c r="P650" s="48"/>
      <c r="Q650" s="48"/>
      <c r="R650" s="150" t="e">
        <f t="shared" ref="R650:AA650" si="644">$G650*H650</f>
        <v>#REF!</v>
      </c>
      <c r="S650" s="150" t="e">
        <f t="shared" si="644"/>
        <v>#REF!</v>
      </c>
      <c r="T650" s="150" t="e">
        <f t="shared" si="644"/>
        <v>#REF!</v>
      </c>
      <c r="U650" s="150" t="e">
        <f t="shared" si="644"/>
        <v>#REF!</v>
      </c>
      <c r="V650" s="150" t="e">
        <f t="shared" si="644"/>
        <v>#REF!</v>
      </c>
      <c r="W650" s="150" t="e">
        <f t="shared" si="644"/>
        <v>#REF!</v>
      </c>
      <c r="X650" s="150" t="e">
        <f t="shared" si="644"/>
        <v>#REF!</v>
      </c>
      <c r="Y650" s="150" t="e">
        <f t="shared" si="644"/>
        <v>#REF!</v>
      </c>
      <c r="Z650" s="150" t="e">
        <f t="shared" si="644"/>
        <v>#REF!</v>
      </c>
      <c r="AA650" s="150" t="e">
        <f t="shared" si="644"/>
        <v>#REF!</v>
      </c>
      <c r="AB650" s="50"/>
    </row>
    <row r="651" s="28" customFormat="1" outlineLevel="3" spans="1:28">
      <c r="A651" s="52">
        <f>MAX($A$6:A650)+1</f>
        <v>597</v>
      </c>
      <c r="B651" s="138" t="s">
        <v>1489</v>
      </c>
      <c r="C651" s="51" t="e">
        <f>VLOOKUP($B651,#REF!,MATCH(C$2,#REF!,0),0)</f>
        <v>#REF!</v>
      </c>
      <c r="D651" s="83"/>
      <c r="E651" s="83"/>
      <c r="F651" s="136" t="e">
        <f>VLOOKUP($B651,#REF!,MATCH(F$2,#REF!,0),0)</f>
        <v>#REF!</v>
      </c>
      <c r="G651" s="137" t="e">
        <f>VLOOKUP($B651,#REF!,MATCH(G$2,#REF!,0),0)</f>
        <v>#REF!</v>
      </c>
      <c r="H651" s="48"/>
      <c r="I651" s="48"/>
      <c r="J651" s="48"/>
      <c r="K651" s="48"/>
      <c r="L651" s="48"/>
      <c r="M651" s="48"/>
      <c r="N651" s="48"/>
      <c r="O651" s="48"/>
      <c r="P651" s="48">
        <v>98</v>
      </c>
      <c r="Q651" s="48"/>
      <c r="R651" s="150" t="e">
        <f t="shared" ref="R651:AA651" si="645">$G651*H651</f>
        <v>#REF!</v>
      </c>
      <c r="S651" s="150" t="e">
        <f t="shared" si="645"/>
        <v>#REF!</v>
      </c>
      <c r="T651" s="150" t="e">
        <f t="shared" si="645"/>
        <v>#REF!</v>
      </c>
      <c r="U651" s="150" t="e">
        <f t="shared" si="645"/>
        <v>#REF!</v>
      </c>
      <c r="V651" s="150" t="e">
        <f t="shared" si="645"/>
        <v>#REF!</v>
      </c>
      <c r="W651" s="150" t="e">
        <f t="shared" si="645"/>
        <v>#REF!</v>
      </c>
      <c r="X651" s="150" t="e">
        <f t="shared" si="645"/>
        <v>#REF!</v>
      </c>
      <c r="Y651" s="150" t="e">
        <f t="shared" si="645"/>
        <v>#REF!</v>
      </c>
      <c r="Z651" s="150" t="e">
        <f t="shared" si="645"/>
        <v>#REF!</v>
      </c>
      <c r="AA651" s="150" t="e">
        <f t="shared" si="645"/>
        <v>#REF!</v>
      </c>
      <c r="AB651" s="50"/>
    </row>
    <row r="652" s="28" customFormat="1" outlineLevel="3" spans="1:28">
      <c r="A652" s="52">
        <f>MAX($A$6:A651)+1</f>
        <v>598</v>
      </c>
      <c r="B652" s="138" t="s">
        <v>1491</v>
      </c>
      <c r="C652" s="51" t="e">
        <f>VLOOKUP($B652,#REF!,MATCH(C$2,#REF!,0),0)</f>
        <v>#REF!</v>
      </c>
      <c r="D652" s="83"/>
      <c r="E652" s="83"/>
      <c r="F652" s="136" t="e">
        <f>VLOOKUP($B652,#REF!,MATCH(F$2,#REF!,0),0)</f>
        <v>#REF!</v>
      </c>
      <c r="G652" s="137" t="e">
        <f>VLOOKUP($B652,#REF!,MATCH(G$2,#REF!,0),0)</f>
        <v>#REF!</v>
      </c>
      <c r="H652" s="48">
        <v>20</v>
      </c>
      <c r="I652" s="48">
        <v>20</v>
      </c>
      <c r="J652" s="48">
        <v>8</v>
      </c>
      <c r="K652" s="48">
        <v>8</v>
      </c>
      <c r="L652" s="48">
        <v>45</v>
      </c>
      <c r="M652" s="48"/>
      <c r="N652" s="48"/>
      <c r="O652" s="48"/>
      <c r="P652" s="48"/>
      <c r="Q652" s="48">
        <v>26</v>
      </c>
      <c r="R652" s="150" t="e">
        <f t="shared" ref="R652:AA652" si="646">$G652*H652</f>
        <v>#REF!</v>
      </c>
      <c r="S652" s="150" t="e">
        <f t="shared" si="646"/>
        <v>#REF!</v>
      </c>
      <c r="T652" s="150" t="e">
        <f t="shared" si="646"/>
        <v>#REF!</v>
      </c>
      <c r="U652" s="150" t="e">
        <f t="shared" si="646"/>
        <v>#REF!</v>
      </c>
      <c r="V652" s="150" t="e">
        <f t="shared" si="646"/>
        <v>#REF!</v>
      </c>
      <c r="W652" s="150" t="e">
        <f t="shared" si="646"/>
        <v>#REF!</v>
      </c>
      <c r="X652" s="150" t="e">
        <f t="shared" si="646"/>
        <v>#REF!</v>
      </c>
      <c r="Y652" s="150" t="e">
        <f t="shared" si="646"/>
        <v>#REF!</v>
      </c>
      <c r="Z652" s="150" t="e">
        <f t="shared" si="646"/>
        <v>#REF!</v>
      </c>
      <c r="AA652" s="150" t="e">
        <f t="shared" si="646"/>
        <v>#REF!</v>
      </c>
      <c r="AB652" s="50"/>
    </row>
    <row r="653" s="28" customFormat="1" outlineLevel="3" spans="1:28">
      <c r="A653" s="52">
        <f>MAX($A$6:A652)+1</f>
        <v>599</v>
      </c>
      <c r="B653" s="138" t="s">
        <v>1487</v>
      </c>
      <c r="C653" s="51" t="e">
        <f>VLOOKUP($B653,#REF!,MATCH(C$2,#REF!,0),0)</f>
        <v>#REF!</v>
      </c>
      <c r="D653" s="83"/>
      <c r="E653" s="83"/>
      <c r="F653" s="136" t="e">
        <f>VLOOKUP($B653,#REF!,MATCH(F$2,#REF!,0),0)</f>
        <v>#REF!</v>
      </c>
      <c r="G653" s="137" t="e">
        <f>VLOOKUP($B653,#REF!,MATCH(G$2,#REF!,0),0)</f>
        <v>#REF!</v>
      </c>
      <c r="H653" s="48"/>
      <c r="I653" s="48"/>
      <c r="J653" s="48"/>
      <c r="K653" s="48"/>
      <c r="L653" s="48"/>
      <c r="M653" s="48"/>
      <c r="N653" s="48"/>
      <c r="O653" s="48"/>
      <c r="P653" s="48">
        <v>48</v>
      </c>
      <c r="Q653" s="48">
        <v>109</v>
      </c>
      <c r="R653" s="150" t="e">
        <f t="shared" ref="R653:AA653" si="647">$G653*H653</f>
        <v>#REF!</v>
      </c>
      <c r="S653" s="150" t="e">
        <f t="shared" si="647"/>
        <v>#REF!</v>
      </c>
      <c r="T653" s="150" t="e">
        <f t="shared" si="647"/>
        <v>#REF!</v>
      </c>
      <c r="U653" s="150" t="e">
        <f t="shared" si="647"/>
        <v>#REF!</v>
      </c>
      <c r="V653" s="150" t="e">
        <f t="shared" si="647"/>
        <v>#REF!</v>
      </c>
      <c r="W653" s="150" t="e">
        <f t="shared" si="647"/>
        <v>#REF!</v>
      </c>
      <c r="X653" s="150" t="e">
        <f t="shared" si="647"/>
        <v>#REF!</v>
      </c>
      <c r="Y653" s="150" t="e">
        <f t="shared" si="647"/>
        <v>#REF!</v>
      </c>
      <c r="Z653" s="150" t="e">
        <f t="shared" si="647"/>
        <v>#REF!</v>
      </c>
      <c r="AA653" s="150" t="e">
        <f t="shared" si="647"/>
        <v>#REF!</v>
      </c>
      <c r="AB653" s="50"/>
    </row>
    <row r="654" s="28" customFormat="1" outlineLevel="3" spans="1:28">
      <c r="A654" s="52">
        <f>MAX($A$6:A653)+1</f>
        <v>600</v>
      </c>
      <c r="B654" s="138" t="s">
        <v>2246</v>
      </c>
      <c r="C654" s="51" t="e">
        <f>VLOOKUP($B654,#REF!,MATCH(C$2,#REF!,0),0)</f>
        <v>#REF!</v>
      </c>
      <c r="D654" s="83"/>
      <c r="E654" s="83"/>
      <c r="F654" s="136" t="e">
        <f>VLOOKUP($B654,#REF!,MATCH(F$2,#REF!,0),0)</f>
        <v>#REF!</v>
      </c>
      <c r="G654" s="137" t="e">
        <f>VLOOKUP($B654,#REF!,MATCH(G$2,#REF!,0),0)</f>
        <v>#REF!</v>
      </c>
      <c r="H654" s="48">
        <v>1</v>
      </c>
      <c r="I654" s="48">
        <v>1</v>
      </c>
      <c r="J654" s="48">
        <v>1</v>
      </c>
      <c r="K654" s="48">
        <v>1</v>
      </c>
      <c r="L654" s="48"/>
      <c r="M654" s="48"/>
      <c r="N654" s="48"/>
      <c r="O654" s="48"/>
      <c r="P654" s="48"/>
      <c r="Q654" s="48"/>
      <c r="R654" s="150" t="e">
        <f t="shared" ref="R654:AA654" si="648">$G654*H654</f>
        <v>#REF!</v>
      </c>
      <c r="S654" s="150" t="e">
        <f t="shared" si="648"/>
        <v>#REF!</v>
      </c>
      <c r="T654" s="150" t="e">
        <f t="shared" si="648"/>
        <v>#REF!</v>
      </c>
      <c r="U654" s="150" t="e">
        <f t="shared" si="648"/>
        <v>#REF!</v>
      </c>
      <c r="V654" s="150" t="e">
        <f t="shared" si="648"/>
        <v>#REF!</v>
      </c>
      <c r="W654" s="150" t="e">
        <f t="shared" si="648"/>
        <v>#REF!</v>
      </c>
      <c r="X654" s="150" t="e">
        <f t="shared" si="648"/>
        <v>#REF!</v>
      </c>
      <c r="Y654" s="150" t="e">
        <f t="shared" si="648"/>
        <v>#REF!</v>
      </c>
      <c r="Z654" s="150" t="e">
        <f t="shared" si="648"/>
        <v>#REF!</v>
      </c>
      <c r="AA654" s="150" t="e">
        <f t="shared" si="648"/>
        <v>#REF!</v>
      </c>
      <c r="AB654" s="50"/>
    </row>
    <row r="655" s="28" customFormat="1" outlineLevel="3" spans="1:28">
      <c r="A655" s="52">
        <f>MAX($A$6:A654)+1</f>
        <v>601</v>
      </c>
      <c r="B655" s="138" t="s">
        <v>2247</v>
      </c>
      <c r="C655" s="51" t="e">
        <f>VLOOKUP($B655,#REF!,MATCH(C$2,#REF!,0),0)</f>
        <v>#REF!</v>
      </c>
      <c r="D655" s="83"/>
      <c r="E655" s="83"/>
      <c r="F655" s="136" t="e">
        <f>VLOOKUP($B655,#REF!,MATCH(F$2,#REF!,0),0)</f>
        <v>#REF!</v>
      </c>
      <c r="G655" s="137" t="e">
        <f>VLOOKUP($B655,#REF!,MATCH(G$2,#REF!,0),0)</f>
        <v>#REF!</v>
      </c>
      <c r="H655" s="48"/>
      <c r="I655" s="48"/>
      <c r="J655" s="48"/>
      <c r="K655" s="48"/>
      <c r="L655" s="48"/>
      <c r="M655" s="48"/>
      <c r="N655" s="48"/>
      <c r="O655" s="48"/>
      <c r="P655" s="48">
        <v>6</v>
      </c>
      <c r="Q655" s="48">
        <v>6</v>
      </c>
      <c r="R655" s="150" t="e">
        <f t="shared" ref="R655:AA655" si="649">$G655*H655</f>
        <v>#REF!</v>
      </c>
      <c r="S655" s="150" t="e">
        <f t="shared" si="649"/>
        <v>#REF!</v>
      </c>
      <c r="T655" s="150" t="e">
        <f t="shared" si="649"/>
        <v>#REF!</v>
      </c>
      <c r="U655" s="150" t="e">
        <f t="shared" si="649"/>
        <v>#REF!</v>
      </c>
      <c r="V655" s="150" t="e">
        <f t="shared" si="649"/>
        <v>#REF!</v>
      </c>
      <c r="W655" s="150" t="e">
        <f t="shared" si="649"/>
        <v>#REF!</v>
      </c>
      <c r="X655" s="150" t="e">
        <f t="shared" si="649"/>
        <v>#REF!</v>
      </c>
      <c r="Y655" s="150" t="e">
        <f t="shared" si="649"/>
        <v>#REF!</v>
      </c>
      <c r="Z655" s="150" t="e">
        <f t="shared" si="649"/>
        <v>#REF!</v>
      </c>
      <c r="AA655" s="150" t="e">
        <f t="shared" si="649"/>
        <v>#REF!</v>
      </c>
      <c r="AB655" s="50"/>
    </row>
    <row r="656" s="29" customFormat="1" ht="28.8" outlineLevel="3" spans="1:28">
      <c r="A656" s="52">
        <f>MAX($A$6:A655)+1</f>
        <v>602</v>
      </c>
      <c r="B656" s="138" t="s">
        <v>2248</v>
      </c>
      <c r="C656" s="51" t="e">
        <f>VLOOKUP($B656,#REF!,MATCH(C$2,#REF!,0),0)</f>
        <v>#REF!</v>
      </c>
      <c r="D656" s="83"/>
      <c r="E656" s="83"/>
      <c r="F656" s="136" t="e">
        <f>VLOOKUP($B656,#REF!,MATCH(F$2,#REF!,0),0)</f>
        <v>#REF!</v>
      </c>
      <c r="G656" s="137" t="e">
        <f>VLOOKUP($B656,#REF!,MATCH(G$2,#REF!,0),0)</f>
        <v>#REF!</v>
      </c>
      <c r="H656" s="48">
        <v>2.6</v>
      </c>
      <c r="I656" s="48">
        <v>2.6</v>
      </c>
      <c r="J656" s="48">
        <v>28</v>
      </c>
      <c r="K656" s="48">
        <v>28</v>
      </c>
      <c r="L656" s="48"/>
      <c r="M656" s="48"/>
      <c r="N656" s="48"/>
      <c r="O656" s="48"/>
      <c r="P656" s="48"/>
      <c r="Q656" s="48"/>
      <c r="R656" s="150" t="e">
        <f t="shared" ref="R656:AA656" si="650">$G656*H656</f>
        <v>#REF!</v>
      </c>
      <c r="S656" s="150" t="e">
        <f t="shared" si="650"/>
        <v>#REF!</v>
      </c>
      <c r="T656" s="150" t="e">
        <f t="shared" si="650"/>
        <v>#REF!</v>
      </c>
      <c r="U656" s="150" t="e">
        <f t="shared" si="650"/>
        <v>#REF!</v>
      </c>
      <c r="V656" s="150" t="e">
        <f t="shared" si="650"/>
        <v>#REF!</v>
      </c>
      <c r="W656" s="150" t="e">
        <f t="shared" si="650"/>
        <v>#REF!</v>
      </c>
      <c r="X656" s="150" t="e">
        <f t="shared" si="650"/>
        <v>#REF!</v>
      </c>
      <c r="Y656" s="150" t="e">
        <f t="shared" si="650"/>
        <v>#REF!</v>
      </c>
      <c r="Z656" s="150" t="e">
        <f t="shared" si="650"/>
        <v>#REF!</v>
      </c>
      <c r="AA656" s="150" t="e">
        <f t="shared" si="650"/>
        <v>#REF!</v>
      </c>
      <c r="AB656" s="50"/>
    </row>
    <row r="657" s="28" customFormat="1" outlineLevel="3" spans="1:28">
      <c r="A657" s="52">
        <f>MAX($A$6:A656)+1</f>
        <v>603</v>
      </c>
      <c r="B657" s="138" t="s">
        <v>2249</v>
      </c>
      <c r="C657" s="51" t="e">
        <f>VLOOKUP($B657,#REF!,MATCH(C$2,#REF!,0),0)</f>
        <v>#REF!</v>
      </c>
      <c r="D657" s="83"/>
      <c r="E657" s="83"/>
      <c r="F657" s="136" t="e">
        <f>VLOOKUP($B657,#REF!,MATCH(F$2,#REF!,0),0)</f>
        <v>#REF!</v>
      </c>
      <c r="G657" s="137" t="e">
        <f>VLOOKUP($B657,#REF!,MATCH(G$2,#REF!,0),0)</f>
        <v>#REF!</v>
      </c>
      <c r="H657" s="48"/>
      <c r="I657" s="48"/>
      <c r="J657" s="48"/>
      <c r="K657" s="48"/>
      <c r="L657" s="48"/>
      <c r="M657" s="48"/>
      <c r="N657" s="48"/>
      <c r="O657" s="48"/>
      <c r="P657" s="48"/>
      <c r="Q657" s="48">
        <v>224.23</v>
      </c>
      <c r="R657" s="150" t="e">
        <f t="shared" ref="R657:AA657" si="651">$G657*H657</f>
        <v>#REF!</v>
      </c>
      <c r="S657" s="150" t="e">
        <f t="shared" si="651"/>
        <v>#REF!</v>
      </c>
      <c r="T657" s="150" t="e">
        <f t="shared" si="651"/>
        <v>#REF!</v>
      </c>
      <c r="U657" s="150" t="e">
        <f t="shared" si="651"/>
        <v>#REF!</v>
      </c>
      <c r="V657" s="150" t="e">
        <f t="shared" si="651"/>
        <v>#REF!</v>
      </c>
      <c r="W657" s="150" t="e">
        <f t="shared" si="651"/>
        <v>#REF!</v>
      </c>
      <c r="X657" s="150" t="e">
        <f t="shared" si="651"/>
        <v>#REF!</v>
      </c>
      <c r="Y657" s="150" t="e">
        <f t="shared" si="651"/>
        <v>#REF!</v>
      </c>
      <c r="Z657" s="150" t="e">
        <f t="shared" si="651"/>
        <v>#REF!</v>
      </c>
      <c r="AA657" s="150" t="e">
        <f t="shared" si="651"/>
        <v>#REF!</v>
      </c>
      <c r="AB657" s="50"/>
    </row>
    <row r="658" s="28" customFormat="1" outlineLevel="3" spans="1:28">
      <c r="A658" s="52">
        <f>MAX($A$6:A657)+1</f>
        <v>604</v>
      </c>
      <c r="B658" s="138" t="s">
        <v>2250</v>
      </c>
      <c r="C658" s="51" t="e">
        <f>VLOOKUP($B658,#REF!,MATCH(C$2,#REF!,0),0)</f>
        <v>#REF!</v>
      </c>
      <c r="D658" s="83"/>
      <c r="E658" s="83"/>
      <c r="F658" s="136" t="e">
        <f>VLOOKUP($B658,#REF!,MATCH(F$2,#REF!,0),0)</f>
        <v>#REF!</v>
      </c>
      <c r="G658" s="137" t="e">
        <f>VLOOKUP($B658,#REF!,MATCH(G$2,#REF!,0),0)</f>
        <v>#REF!</v>
      </c>
      <c r="H658" s="48">
        <v>310.07</v>
      </c>
      <c r="I658" s="48">
        <v>310.07</v>
      </c>
      <c r="J658" s="48">
        <v>29</v>
      </c>
      <c r="K658" s="48">
        <v>29</v>
      </c>
      <c r="L658" s="48"/>
      <c r="M658" s="48"/>
      <c r="N658" s="48"/>
      <c r="O658" s="48"/>
      <c r="P658" s="48">
        <v>1988.74</v>
      </c>
      <c r="Q658" s="48">
        <v>3526.35</v>
      </c>
      <c r="R658" s="150" t="e">
        <f>$G658*H658</f>
        <v>#REF!</v>
      </c>
      <c r="S658" s="150" t="e">
        <f t="shared" ref="S658:AA658" si="652">$G658*I658</f>
        <v>#REF!</v>
      </c>
      <c r="T658" s="150" t="e">
        <f t="shared" si="652"/>
        <v>#REF!</v>
      </c>
      <c r="U658" s="150" t="e">
        <f t="shared" si="652"/>
        <v>#REF!</v>
      </c>
      <c r="V658" s="150" t="e">
        <f t="shared" si="652"/>
        <v>#REF!</v>
      </c>
      <c r="W658" s="150" t="e">
        <f t="shared" si="652"/>
        <v>#REF!</v>
      </c>
      <c r="X658" s="150" t="e">
        <f t="shared" si="652"/>
        <v>#REF!</v>
      </c>
      <c r="Y658" s="150" t="e">
        <f t="shared" si="652"/>
        <v>#REF!</v>
      </c>
      <c r="Z658" s="150" t="e">
        <f t="shared" si="652"/>
        <v>#REF!</v>
      </c>
      <c r="AA658" s="150" t="e">
        <f t="shared" si="652"/>
        <v>#REF!</v>
      </c>
      <c r="AB658" s="50"/>
    </row>
    <row r="659" s="28" customFormat="1" ht="28.8" outlineLevel="3" spans="1:28">
      <c r="A659" s="52">
        <f>MAX($A$6:A658)+1</f>
        <v>605</v>
      </c>
      <c r="B659" s="138" t="s">
        <v>2168</v>
      </c>
      <c r="C659" s="51" t="e">
        <f>VLOOKUP($B659,#REF!,MATCH(C$2,#REF!,0),0)</f>
        <v>#REF!</v>
      </c>
      <c r="D659" s="83"/>
      <c r="E659" s="83"/>
      <c r="F659" s="136" t="e">
        <f>VLOOKUP($B659,#REF!,MATCH(F$2,#REF!,0),0)</f>
        <v>#REF!</v>
      </c>
      <c r="G659" s="137" t="e">
        <f>VLOOKUP($B659,#REF!,MATCH(G$2,#REF!,0),0)</f>
        <v>#REF!</v>
      </c>
      <c r="H659" s="48">
        <v>1.35</v>
      </c>
      <c r="I659" s="48">
        <v>1.35</v>
      </c>
      <c r="J659" s="48">
        <v>1.35</v>
      </c>
      <c r="K659" s="48">
        <v>1.35</v>
      </c>
      <c r="L659" s="48">
        <v>1.06</v>
      </c>
      <c r="M659" s="48">
        <v>1</v>
      </c>
      <c r="N659" s="48">
        <v>1</v>
      </c>
      <c r="O659" s="48">
        <v>1</v>
      </c>
      <c r="P659" s="48"/>
      <c r="Q659" s="48"/>
      <c r="R659" s="150" t="e">
        <f t="shared" ref="R659:AA659" si="653">$G659*H659</f>
        <v>#REF!</v>
      </c>
      <c r="S659" s="150" t="e">
        <f t="shared" si="653"/>
        <v>#REF!</v>
      </c>
      <c r="T659" s="150" t="e">
        <f t="shared" si="653"/>
        <v>#REF!</v>
      </c>
      <c r="U659" s="150" t="e">
        <f t="shared" si="653"/>
        <v>#REF!</v>
      </c>
      <c r="V659" s="150" t="e">
        <f t="shared" si="653"/>
        <v>#REF!</v>
      </c>
      <c r="W659" s="150" t="e">
        <f t="shared" si="653"/>
        <v>#REF!</v>
      </c>
      <c r="X659" s="150" t="e">
        <f t="shared" si="653"/>
        <v>#REF!</v>
      </c>
      <c r="Y659" s="150" t="e">
        <f t="shared" si="653"/>
        <v>#REF!</v>
      </c>
      <c r="Z659" s="150" t="e">
        <f t="shared" si="653"/>
        <v>#REF!</v>
      </c>
      <c r="AA659" s="150" t="e">
        <f t="shared" si="653"/>
        <v>#REF!</v>
      </c>
      <c r="AB659" s="50"/>
    </row>
    <row r="660" s="1" customFormat="1" outlineLevel="3" spans="1:28">
      <c r="A660" s="52">
        <f>MAX($A$6:A659)+1</f>
        <v>606</v>
      </c>
      <c r="B660" s="138" t="s">
        <v>2197</v>
      </c>
      <c r="C660" s="51" t="e">
        <f>VLOOKUP($B660,#REF!,MATCH(C$2,#REF!,0),0)</f>
        <v>#REF!</v>
      </c>
      <c r="D660" s="83"/>
      <c r="E660" s="83"/>
      <c r="F660" s="136" t="e">
        <f>VLOOKUP($B660,#REF!,MATCH(F$2,#REF!,0),0)</f>
        <v>#REF!</v>
      </c>
      <c r="G660" s="137" t="e">
        <f>VLOOKUP($B660,#REF!,MATCH(G$2,#REF!,0),0)</f>
        <v>#REF!</v>
      </c>
      <c r="H660" s="48">
        <v>1.35</v>
      </c>
      <c r="I660" s="48">
        <v>1.35</v>
      </c>
      <c r="J660" s="48">
        <v>1.35</v>
      </c>
      <c r="K660" s="48">
        <v>1.35</v>
      </c>
      <c r="L660" s="48">
        <v>1.06</v>
      </c>
      <c r="M660" s="48">
        <v>1</v>
      </c>
      <c r="N660" s="48">
        <v>1</v>
      </c>
      <c r="O660" s="48">
        <v>1</v>
      </c>
      <c r="P660" s="48"/>
      <c r="Q660" s="48"/>
      <c r="R660" s="150" t="e">
        <f t="shared" ref="R660:AA660" si="654">$G660*H660</f>
        <v>#REF!</v>
      </c>
      <c r="S660" s="150" t="e">
        <f t="shared" si="654"/>
        <v>#REF!</v>
      </c>
      <c r="T660" s="150" t="e">
        <f t="shared" si="654"/>
        <v>#REF!</v>
      </c>
      <c r="U660" s="150" t="e">
        <f t="shared" si="654"/>
        <v>#REF!</v>
      </c>
      <c r="V660" s="150" t="e">
        <f t="shared" si="654"/>
        <v>#REF!</v>
      </c>
      <c r="W660" s="150" t="e">
        <f t="shared" si="654"/>
        <v>#REF!</v>
      </c>
      <c r="X660" s="150" t="e">
        <f t="shared" si="654"/>
        <v>#REF!</v>
      </c>
      <c r="Y660" s="150" t="e">
        <f t="shared" si="654"/>
        <v>#REF!</v>
      </c>
      <c r="Z660" s="150" t="e">
        <f t="shared" si="654"/>
        <v>#REF!</v>
      </c>
      <c r="AA660" s="150" t="e">
        <f t="shared" si="654"/>
        <v>#REF!</v>
      </c>
      <c r="AB660" s="50"/>
    </row>
    <row r="661" s="28" customFormat="1" outlineLevel="3" spans="1:28">
      <c r="A661" s="52">
        <f>MAX($A$6:A660)+1</f>
        <v>607</v>
      </c>
      <c r="B661" s="138" t="s">
        <v>2251</v>
      </c>
      <c r="C661" s="51" t="e">
        <f>VLOOKUP($B661,#REF!,MATCH(C$2,#REF!,0),0)</f>
        <v>#REF!</v>
      </c>
      <c r="D661" s="83"/>
      <c r="E661" s="83"/>
      <c r="F661" s="136" t="e">
        <f>VLOOKUP($B661,#REF!,MATCH(F$2,#REF!,0),0)</f>
        <v>#REF!</v>
      </c>
      <c r="G661" s="137" t="e">
        <f>VLOOKUP($B661,#REF!,MATCH(G$2,#REF!,0),0)</f>
        <v>#REF!</v>
      </c>
      <c r="H661" s="48">
        <v>1</v>
      </c>
      <c r="I661" s="48">
        <v>1</v>
      </c>
      <c r="J661" s="48">
        <v>1</v>
      </c>
      <c r="K661" s="48">
        <v>1</v>
      </c>
      <c r="L661" s="48">
        <v>1</v>
      </c>
      <c r="M661" s="48">
        <v>1</v>
      </c>
      <c r="N661" s="48">
        <v>1</v>
      </c>
      <c r="O661" s="48">
        <v>1</v>
      </c>
      <c r="P661" s="48">
        <v>1</v>
      </c>
      <c r="Q661" s="48">
        <v>1</v>
      </c>
      <c r="R661" s="150" t="e">
        <f t="shared" ref="R661:AA661" si="655">$G661*H661</f>
        <v>#REF!</v>
      </c>
      <c r="S661" s="150" t="e">
        <f t="shared" si="655"/>
        <v>#REF!</v>
      </c>
      <c r="T661" s="150" t="e">
        <f t="shared" si="655"/>
        <v>#REF!</v>
      </c>
      <c r="U661" s="150" t="e">
        <f t="shared" si="655"/>
        <v>#REF!</v>
      </c>
      <c r="V661" s="150" t="e">
        <f t="shared" si="655"/>
        <v>#REF!</v>
      </c>
      <c r="W661" s="150" t="e">
        <f t="shared" si="655"/>
        <v>#REF!</v>
      </c>
      <c r="X661" s="150" t="e">
        <f t="shared" si="655"/>
        <v>#REF!</v>
      </c>
      <c r="Y661" s="150" t="e">
        <f t="shared" si="655"/>
        <v>#REF!</v>
      </c>
      <c r="Z661" s="150" t="e">
        <f t="shared" si="655"/>
        <v>#REF!</v>
      </c>
      <c r="AA661" s="150" t="e">
        <f t="shared" si="655"/>
        <v>#REF!</v>
      </c>
      <c r="AB661" s="50"/>
    </row>
    <row r="662" s="122" customFormat="1" outlineLevel="1" spans="1:28">
      <c r="A662" s="130"/>
      <c r="B662" s="131" t="s">
        <v>2252</v>
      </c>
      <c r="C662" s="131"/>
      <c r="D662" s="153"/>
      <c r="E662" s="153"/>
      <c r="F662" s="154"/>
      <c r="G662" s="155"/>
      <c r="H662" s="134"/>
      <c r="I662" s="134"/>
      <c r="J662" s="134"/>
      <c r="K662" s="134"/>
      <c r="L662" s="134"/>
      <c r="M662" s="134"/>
      <c r="N662" s="134"/>
      <c r="O662" s="134"/>
      <c r="P662" s="134"/>
      <c r="Q662" s="134"/>
      <c r="R662" s="148" t="e">
        <f t="shared" ref="R662:AA662" si="656">SUM(R663:R684)</f>
        <v>#REF!</v>
      </c>
      <c r="S662" s="148" t="e">
        <f t="shared" si="656"/>
        <v>#REF!</v>
      </c>
      <c r="T662" s="148" t="e">
        <f t="shared" si="656"/>
        <v>#REF!</v>
      </c>
      <c r="U662" s="148" t="e">
        <f t="shared" si="656"/>
        <v>#REF!</v>
      </c>
      <c r="V662" s="148" t="e">
        <f t="shared" si="656"/>
        <v>#REF!</v>
      </c>
      <c r="W662" s="148" t="e">
        <f t="shared" si="656"/>
        <v>#REF!</v>
      </c>
      <c r="X662" s="148" t="e">
        <f t="shared" si="656"/>
        <v>#REF!</v>
      </c>
      <c r="Y662" s="148" t="e">
        <f t="shared" si="656"/>
        <v>#REF!</v>
      </c>
      <c r="Z662" s="148" t="e">
        <f t="shared" si="656"/>
        <v>#REF!</v>
      </c>
      <c r="AA662" s="148" t="e">
        <f t="shared" si="656"/>
        <v>#REF!</v>
      </c>
      <c r="AB662" s="130"/>
    </row>
    <row r="663" s="28" customFormat="1" outlineLevel="3" spans="1:28">
      <c r="A663" s="52">
        <f>MAX($A$6:A662)+1</f>
        <v>608</v>
      </c>
      <c r="B663" s="138" t="s">
        <v>1244</v>
      </c>
      <c r="C663" s="51" t="e">
        <f>VLOOKUP($B663,#REF!,MATCH(C$2,#REF!,0),0)</f>
        <v>#REF!</v>
      </c>
      <c r="D663" s="83"/>
      <c r="E663" s="83"/>
      <c r="F663" s="136" t="e">
        <f>VLOOKUP($B663,#REF!,MATCH(F$2,#REF!,0),0)</f>
        <v>#REF!</v>
      </c>
      <c r="G663" s="137" t="e">
        <f>VLOOKUP($B663,#REF!,MATCH(G$2,#REF!,0),0)</f>
        <v>#REF!</v>
      </c>
      <c r="H663" s="48"/>
      <c r="I663" s="48"/>
      <c r="J663" s="48">
        <v>15</v>
      </c>
      <c r="K663" s="48">
        <v>15</v>
      </c>
      <c r="L663" s="48">
        <v>13.817</v>
      </c>
      <c r="M663" s="48"/>
      <c r="N663" s="48"/>
      <c r="O663" s="48"/>
      <c r="P663" s="48">
        <v>532.52</v>
      </c>
      <c r="Q663" s="48">
        <v>10.49</v>
      </c>
      <c r="R663" s="150" t="e">
        <f t="shared" ref="R663:AA663" si="657">$G663*H663</f>
        <v>#REF!</v>
      </c>
      <c r="S663" s="150" t="e">
        <f t="shared" si="657"/>
        <v>#REF!</v>
      </c>
      <c r="T663" s="150" t="e">
        <f t="shared" si="657"/>
        <v>#REF!</v>
      </c>
      <c r="U663" s="150" t="e">
        <f t="shared" si="657"/>
        <v>#REF!</v>
      </c>
      <c r="V663" s="150" t="e">
        <f t="shared" si="657"/>
        <v>#REF!</v>
      </c>
      <c r="W663" s="150" t="e">
        <f t="shared" si="657"/>
        <v>#REF!</v>
      </c>
      <c r="X663" s="150" t="e">
        <f t="shared" si="657"/>
        <v>#REF!</v>
      </c>
      <c r="Y663" s="150" t="e">
        <f t="shared" si="657"/>
        <v>#REF!</v>
      </c>
      <c r="Z663" s="150" t="e">
        <f t="shared" si="657"/>
        <v>#REF!</v>
      </c>
      <c r="AA663" s="150" t="e">
        <f t="shared" si="657"/>
        <v>#REF!</v>
      </c>
      <c r="AB663" s="50"/>
    </row>
    <row r="664" s="28" customFormat="1" outlineLevel="3" spans="1:28">
      <c r="A664" s="52">
        <f>MAX($A$6:A663)+1</f>
        <v>609</v>
      </c>
      <c r="B664" s="138" t="s">
        <v>1251</v>
      </c>
      <c r="C664" s="51" t="e">
        <f>VLOOKUP($B664,#REF!,MATCH(C$2,#REF!,0),0)</f>
        <v>#REF!</v>
      </c>
      <c r="D664" s="83"/>
      <c r="E664" s="83"/>
      <c r="F664" s="136" t="e">
        <f>VLOOKUP($B664,#REF!,MATCH(F$2,#REF!,0),0)</f>
        <v>#REF!</v>
      </c>
      <c r="G664" s="137" t="e">
        <f>VLOOKUP($B664,#REF!,MATCH(G$2,#REF!,0),0)</f>
        <v>#REF!</v>
      </c>
      <c r="H664" s="48"/>
      <c r="I664" s="48"/>
      <c r="J664" s="48"/>
      <c r="K664" s="48"/>
      <c r="L664" s="48"/>
      <c r="M664" s="48"/>
      <c r="N664" s="48"/>
      <c r="O664" s="48"/>
      <c r="P664" s="48"/>
      <c r="Q664" s="48">
        <v>60.32</v>
      </c>
      <c r="R664" s="150" t="e">
        <f t="shared" ref="R664:AA664" si="658">$G664*H664</f>
        <v>#REF!</v>
      </c>
      <c r="S664" s="150" t="e">
        <f t="shared" si="658"/>
        <v>#REF!</v>
      </c>
      <c r="T664" s="150" t="e">
        <f t="shared" si="658"/>
        <v>#REF!</v>
      </c>
      <c r="U664" s="150" t="e">
        <f t="shared" si="658"/>
        <v>#REF!</v>
      </c>
      <c r="V664" s="150" t="e">
        <f t="shared" si="658"/>
        <v>#REF!</v>
      </c>
      <c r="W664" s="150" t="e">
        <f t="shared" si="658"/>
        <v>#REF!</v>
      </c>
      <c r="X664" s="150" t="e">
        <f t="shared" si="658"/>
        <v>#REF!</v>
      </c>
      <c r="Y664" s="150" t="e">
        <f t="shared" si="658"/>
        <v>#REF!</v>
      </c>
      <c r="Z664" s="150" t="e">
        <f t="shared" si="658"/>
        <v>#REF!</v>
      </c>
      <c r="AA664" s="150" t="e">
        <f t="shared" si="658"/>
        <v>#REF!</v>
      </c>
      <c r="AB664" s="50"/>
    </row>
    <row r="665" s="28" customFormat="1" outlineLevel="3" spans="1:28">
      <c r="A665" s="52">
        <f>MAX($A$6:A664)+1</f>
        <v>610</v>
      </c>
      <c r="B665" s="138" t="s">
        <v>1248</v>
      </c>
      <c r="C665" s="51" t="e">
        <f>VLOOKUP($B665,#REF!,MATCH(C$2,#REF!,0),0)</f>
        <v>#REF!</v>
      </c>
      <c r="D665" s="83"/>
      <c r="E665" s="83"/>
      <c r="F665" s="136" t="e">
        <f>VLOOKUP($B665,#REF!,MATCH(F$2,#REF!,0),0)</f>
        <v>#REF!</v>
      </c>
      <c r="G665" s="137" t="e">
        <f>VLOOKUP($B665,#REF!,MATCH(G$2,#REF!,0),0)</f>
        <v>#REF!</v>
      </c>
      <c r="H665" s="48"/>
      <c r="I665" s="48"/>
      <c r="J665" s="48"/>
      <c r="K665" s="48"/>
      <c r="L665" s="48"/>
      <c r="M665" s="48"/>
      <c r="N665" s="48"/>
      <c r="O665" s="48"/>
      <c r="P665" s="48"/>
      <c r="Q665" s="48">
        <v>399.33</v>
      </c>
      <c r="R665" s="150" t="e">
        <f t="shared" ref="R665:AA665" si="659">$G665*H665</f>
        <v>#REF!</v>
      </c>
      <c r="S665" s="150" t="e">
        <f t="shared" si="659"/>
        <v>#REF!</v>
      </c>
      <c r="T665" s="150" t="e">
        <f t="shared" si="659"/>
        <v>#REF!</v>
      </c>
      <c r="U665" s="150" t="e">
        <f t="shared" si="659"/>
        <v>#REF!</v>
      </c>
      <c r="V665" s="150" t="e">
        <f t="shared" si="659"/>
        <v>#REF!</v>
      </c>
      <c r="W665" s="150" t="e">
        <f t="shared" si="659"/>
        <v>#REF!</v>
      </c>
      <c r="X665" s="150" t="e">
        <f t="shared" si="659"/>
        <v>#REF!</v>
      </c>
      <c r="Y665" s="150" t="e">
        <f t="shared" si="659"/>
        <v>#REF!</v>
      </c>
      <c r="Z665" s="150" t="e">
        <f t="shared" si="659"/>
        <v>#REF!</v>
      </c>
      <c r="AA665" s="150" t="e">
        <f t="shared" si="659"/>
        <v>#REF!</v>
      </c>
      <c r="AB665" s="50"/>
    </row>
    <row r="666" s="28" customFormat="1" outlineLevel="3" spans="1:28">
      <c r="A666" s="52">
        <f>MAX($A$6:A665)+1</f>
        <v>611</v>
      </c>
      <c r="B666" s="138" t="s">
        <v>1246</v>
      </c>
      <c r="C666" s="51" t="e">
        <f>VLOOKUP($B666,#REF!,MATCH(C$2,#REF!,0),0)</f>
        <v>#REF!</v>
      </c>
      <c r="D666" s="83"/>
      <c r="E666" s="83"/>
      <c r="F666" s="136" t="e">
        <f>VLOOKUP($B666,#REF!,MATCH(F$2,#REF!,0),0)</f>
        <v>#REF!</v>
      </c>
      <c r="G666" s="137" t="e">
        <f>VLOOKUP($B666,#REF!,MATCH(G$2,#REF!,0),0)</f>
        <v>#REF!</v>
      </c>
      <c r="H666" s="48">
        <v>24.55</v>
      </c>
      <c r="I666" s="48">
        <v>16.96</v>
      </c>
      <c r="J666" s="48">
        <v>18</v>
      </c>
      <c r="K666" s="48">
        <v>18</v>
      </c>
      <c r="L666" s="48"/>
      <c r="M666" s="48">
        <v>1</v>
      </c>
      <c r="N666" s="48">
        <v>1</v>
      </c>
      <c r="O666" s="48">
        <v>1</v>
      </c>
      <c r="P666" s="48"/>
      <c r="Q666" s="48"/>
      <c r="R666" s="150" t="e">
        <f t="shared" ref="R666:AA666" si="660">$G666*H666</f>
        <v>#REF!</v>
      </c>
      <c r="S666" s="150" t="e">
        <f t="shared" si="660"/>
        <v>#REF!</v>
      </c>
      <c r="T666" s="150" t="e">
        <f t="shared" si="660"/>
        <v>#REF!</v>
      </c>
      <c r="U666" s="150" t="e">
        <f t="shared" si="660"/>
        <v>#REF!</v>
      </c>
      <c r="V666" s="150" t="e">
        <f t="shared" si="660"/>
        <v>#REF!</v>
      </c>
      <c r="W666" s="150" t="e">
        <f t="shared" si="660"/>
        <v>#REF!</v>
      </c>
      <c r="X666" s="150" t="e">
        <f t="shared" si="660"/>
        <v>#REF!</v>
      </c>
      <c r="Y666" s="150" t="e">
        <f t="shared" si="660"/>
        <v>#REF!</v>
      </c>
      <c r="Z666" s="150" t="e">
        <f t="shared" si="660"/>
        <v>#REF!</v>
      </c>
      <c r="AA666" s="150" t="e">
        <f t="shared" si="660"/>
        <v>#REF!</v>
      </c>
      <c r="AB666" s="50"/>
    </row>
    <row r="667" s="28" customFormat="1" outlineLevel="3" spans="1:28">
      <c r="A667" s="52">
        <f>MAX($A$6:A666)+1</f>
        <v>612</v>
      </c>
      <c r="B667" s="138" t="s">
        <v>1245</v>
      </c>
      <c r="C667" s="51" t="e">
        <f>VLOOKUP($B667,#REF!,MATCH(C$2,#REF!,0),0)</f>
        <v>#REF!</v>
      </c>
      <c r="D667" s="83"/>
      <c r="E667" s="83"/>
      <c r="F667" s="136" t="e">
        <f>VLOOKUP($B667,#REF!,MATCH(F$2,#REF!,0),0)</f>
        <v>#REF!</v>
      </c>
      <c r="G667" s="137" t="e">
        <f>VLOOKUP($B667,#REF!,MATCH(G$2,#REF!,0),0)</f>
        <v>#REF!</v>
      </c>
      <c r="H667" s="48">
        <v>23.19</v>
      </c>
      <c r="I667" s="48">
        <v>52.66</v>
      </c>
      <c r="J667" s="48">
        <v>1</v>
      </c>
      <c r="K667" s="48">
        <v>1</v>
      </c>
      <c r="L667" s="48"/>
      <c r="M667" s="48">
        <v>1</v>
      </c>
      <c r="N667" s="48">
        <v>1</v>
      </c>
      <c r="O667" s="48">
        <v>1</v>
      </c>
      <c r="P667" s="48"/>
      <c r="Q667" s="48"/>
      <c r="R667" s="150" t="e">
        <f t="shared" ref="R667:AA667" si="661">$G667*H667</f>
        <v>#REF!</v>
      </c>
      <c r="S667" s="150" t="e">
        <f t="shared" si="661"/>
        <v>#REF!</v>
      </c>
      <c r="T667" s="150" t="e">
        <f t="shared" si="661"/>
        <v>#REF!</v>
      </c>
      <c r="U667" s="150" t="e">
        <f t="shared" si="661"/>
        <v>#REF!</v>
      </c>
      <c r="V667" s="150" t="e">
        <f t="shared" si="661"/>
        <v>#REF!</v>
      </c>
      <c r="W667" s="150" t="e">
        <f t="shared" si="661"/>
        <v>#REF!</v>
      </c>
      <c r="X667" s="150" t="e">
        <f t="shared" si="661"/>
        <v>#REF!</v>
      </c>
      <c r="Y667" s="150" t="e">
        <f t="shared" si="661"/>
        <v>#REF!</v>
      </c>
      <c r="Z667" s="150" t="e">
        <f t="shared" si="661"/>
        <v>#REF!</v>
      </c>
      <c r="AA667" s="150" t="e">
        <f t="shared" si="661"/>
        <v>#REF!</v>
      </c>
      <c r="AB667" s="50"/>
    </row>
    <row r="668" s="28" customFormat="1" outlineLevel="3" spans="1:28">
      <c r="A668" s="52">
        <f>MAX($A$6:A667)+1</f>
        <v>613</v>
      </c>
      <c r="B668" s="138" t="s">
        <v>1245</v>
      </c>
      <c r="C668" s="51" t="e">
        <f>VLOOKUP($B668,#REF!,MATCH(C$2,#REF!,0),0)</f>
        <v>#REF!</v>
      </c>
      <c r="D668" s="83"/>
      <c r="E668" s="83"/>
      <c r="F668" s="136" t="e">
        <f>VLOOKUP($B668,#REF!,MATCH(F$2,#REF!,0),0)</f>
        <v>#REF!</v>
      </c>
      <c r="G668" s="137" t="e">
        <f>VLOOKUP($B668,#REF!,MATCH(G$2,#REF!,0),0)</f>
        <v>#REF!</v>
      </c>
      <c r="H668" s="48"/>
      <c r="I668" s="48"/>
      <c r="J668" s="48"/>
      <c r="K668" s="48"/>
      <c r="L668" s="48"/>
      <c r="M668" s="48"/>
      <c r="N668" s="48"/>
      <c r="O668" s="48"/>
      <c r="P668" s="48"/>
      <c r="Q668" s="48">
        <v>245.5</v>
      </c>
      <c r="R668" s="150" t="e">
        <f t="shared" ref="R668:AA668" si="662">$G668*H668</f>
        <v>#REF!</v>
      </c>
      <c r="S668" s="150" t="e">
        <f t="shared" si="662"/>
        <v>#REF!</v>
      </c>
      <c r="T668" s="150" t="e">
        <f t="shared" si="662"/>
        <v>#REF!</v>
      </c>
      <c r="U668" s="150" t="e">
        <f t="shared" si="662"/>
        <v>#REF!</v>
      </c>
      <c r="V668" s="150" t="e">
        <f t="shared" si="662"/>
        <v>#REF!</v>
      </c>
      <c r="W668" s="150" t="e">
        <f t="shared" si="662"/>
        <v>#REF!</v>
      </c>
      <c r="X668" s="150" t="e">
        <f t="shared" si="662"/>
        <v>#REF!</v>
      </c>
      <c r="Y668" s="150" t="e">
        <f t="shared" si="662"/>
        <v>#REF!</v>
      </c>
      <c r="Z668" s="150" t="e">
        <f t="shared" si="662"/>
        <v>#REF!</v>
      </c>
      <c r="AA668" s="150" t="e">
        <f t="shared" si="662"/>
        <v>#REF!</v>
      </c>
      <c r="AB668" s="50"/>
    </row>
    <row r="669" s="28" customFormat="1" outlineLevel="3" spans="1:28">
      <c r="A669" s="52">
        <f>MAX($A$6:A668)+1</f>
        <v>614</v>
      </c>
      <c r="B669" s="138" t="s">
        <v>1246</v>
      </c>
      <c r="C669" s="51" t="e">
        <f>VLOOKUP($B669,#REF!,MATCH(C$2,#REF!,0),0)</f>
        <v>#REF!</v>
      </c>
      <c r="D669" s="83"/>
      <c r="E669" s="83"/>
      <c r="F669" s="136" t="e">
        <f>VLOOKUP($B669,#REF!,MATCH(F$2,#REF!,0),0)</f>
        <v>#REF!</v>
      </c>
      <c r="G669" s="137" t="e">
        <f>VLOOKUP($B669,#REF!,MATCH(G$2,#REF!,0),0)</f>
        <v>#REF!</v>
      </c>
      <c r="H669" s="48"/>
      <c r="I669" s="48"/>
      <c r="J669" s="48"/>
      <c r="K669" s="48"/>
      <c r="L669" s="48"/>
      <c r="M669" s="48"/>
      <c r="N669" s="48"/>
      <c r="O669" s="48"/>
      <c r="P669" s="48"/>
      <c r="Q669" s="48">
        <v>390.33</v>
      </c>
      <c r="R669" s="150" t="e">
        <f t="shared" ref="R669:AA669" si="663">$G669*H669</f>
        <v>#REF!</v>
      </c>
      <c r="S669" s="150" t="e">
        <f t="shared" si="663"/>
        <v>#REF!</v>
      </c>
      <c r="T669" s="150" t="e">
        <f t="shared" si="663"/>
        <v>#REF!</v>
      </c>
      <c r="U669" s="150" t="e">
        <f t="shared" si="663"/>
        <v>#REF!</v>
      </c>
      <c r="V669" s="150" t="e">
        <f t="shared" si="663"/>
        <v>#REF!</v>
      </c>
      <c r="W669" s="150" t="e">
        <f t="shared" si="663"/>
        <v>#REF!</v>
      </c>
      <c r="X669" s="150" t="e">
        <f t="shared" si="663"/>
        <v>#REF!</v>
      </c>
      <c r="Y669" s="150" t="e">
        <f t="shared" si="663"/>
        <v>#REF!</v>
      </c>
      <c r="Z669" s="150" t="e">
        <f t="shared" si="663"/>
        <v>#REF!</v>
      </c>
      <c r="AA669" s="150" t="e">
        <f t="shared" si="663"/>
        <v>#REF!</v>
      </c>
      <c r="AB669" s="50"/>
    </row>
    <row r="670" s="28" customFormat="1" outlineLevel="3" spans="1:28">
      <c r="A670" s="52">
        <f>MAX($A$6:A669)+1</f>
        <v>615</v>
      </c>
      <c r="B670" s="138" t="s">
        <v>1242</v>
      </c>
      <c r="C670" s="51" t="e">
        <f>VLOOKUP($B670,#REF!,MATCH(C$2,#REF!,0),0)</f>
        <v>#REF!</v>
      </c>
      <c r="D670" s="83"/>
      <c r="E670" s="83"/>
      <c r="F670" s="136" t="e">
        <f>VLOOKUP($B670,#REF!,MATCH(F$2,#REF!,0),0)</f>
        <v>#REF!</v>
      </c>
      <c r="G670" s="137" t="e">
        <f>VLOOKUP($B670,#REF!,MATCH(G$2,#REF!,0),0)</f>
        <v>#REF!</v>
      </c>
      <c r="H670" s="48"/>
      <c r="I670" s="48"/>
      <c r="J670" s="48"/>
      <c r="K670" s="48"/>
      <c r="L670" s="48"/>
      <c r="M670" s="48"/>
      <c r="N670" s="48"/>
      <c r="O670" s="48"/>
      <c r="P670" s="48"/>
      <c r="Q670" s="48">
        <v>55.84</v>
      </c>
      <c r="R670" s="150" t="e">
        <f t="shared" ref="R670:AA670" si="664">$G670*H670</f>
        <v>#REF!</v>
      </c>
      <c r="S670" s="150" t="e">
        <f t="shared" si="664"/>
        <v>#REF!</v>
      </c>
      <c r="T670" s="150" t="e">
        <f t="shared" si="664"/>
        <v>#REF!</v>
      </c>
      <c r="U670" s="150" t="e">
        <f t="shared" si="664"/>
        <v>#REF!</v>
      </c>
      <c r="V670" s="150" t="e">
        <f t="shared" si="664"/>
        <v>#REF!</v>
      </c>
      <c r="W670" s="150" t="e">
        <f t="shared" si="664"/>
        <v>#REF!</v>
      </c>
      <c r="X670" s="150" t="e">
        <f t="shared" si="664"/>
        <v>#REF!</v>
      </c>
      <c r="Y670" s="150" t="e">
        <f t="shared" si="664"/>
        <v>#REF!</v>
      </c>
      <c r="Z670" s="150" t="e">
        <f t="shared" si="664"/>
        <v>#REF!</v>
      </c>
      <c r="AA670" s="150" t="e">
        <f t="shared" si="664"/>
        <v>#REF!</v>
      </c>
      <c r="AB670" s="50"/>
    </row>
    <row r="671" s="28" customFormat="1" outlineLevel="3" spans="1:28">
      <c r="A671" s="52">
        <f>MAX($A$6:A670)+1</f>
        <v>616</v>
      </c>
      <c r="B671" s="138" t="s">
        <v>1243</v>
      </c>
      <c r="C671" s="51" t="e">
        <f>VLOOKUP($B671,#REF!,MATCH(C$2,#REF!,0),0)</f>
        <v>#REF!</v>
      </c>
      <c r="D671" s="83"/>
      <c r="E671" s="83"/>
      <c r="F671" s="136" t="e">
        <f>VLOOKUP($B671,#REF!,MATCH(F$2,#REF!,0),0)</f>
        <v>#REF!</v>
      </c>
      <c r="G671" s="137" t="e">
        <f>VLOOKUP($B671,#REF!,MATCH(G$2,#REF!,0),0)</f>
        <v>#REF!</v>
      </c>
      <c r="H671" s="48"/>
      <c r="I671" s="48"/>
      <c r="J671" s="48"/>
      <c r="K671" s="48"/>
      <c r="L671" s="48"/>
      <c r="M671" s="48"/>
      <c r="N671" s="48"/>
      <c r="O671" s="48"/>
      <c r="P671" s="48"/>
      <c r="Q671" s="48">
        <v>431.39</v>
      </c>
      <c r="R671" s="150" t="e">
        <f t="shared" ref="R671:AA671" si="665">$G671*H671</f>
        <v>#REF!</v>
      </c>
      <c r="S671" s="150" t="e">
        <f t="shared" si="665"/>
        <v>#REF!</v>
      </c>
      <c r="T671" s="150" t="e">
        <f t="shared" si="665"/>
        <v>#REF!</v>
      </c>
      <c r="U671" s="150" t="e">
        <f t="shared" si="665"/>
        <v>#REF!</v>
      </c>
      <c r="V671" s="150" t="e">
        <f t="shared" si="665"/>
        <v>#REF!</v>
      </c>
      <c r="W671" s="150" t="e">
        <f t="shared" si="665"/>
        <v>#REF!</v>
      </c>
      <c r="X671" s="150" t="e">
        <f t="shared" si="665"/>
        <v>#REF!</v>
      </c>
      <c r="Y671" s="150" t="e">
        <f t="shared" si="665"/>
        <v>#REF!</v>
      </c>
      <c r="Z671" s="150" t="e">
        <f t="shared" si="665"/>
        <v>#REF!</v>
      </c>
      <c r="AA671" s="150" t="e">
        <f t="shared" si="665"/>
        <v>#REF!</v>
      </c>
      <c r="AB671" s="50"/>
    </row>
    <row r="672" s="28" customFormat="1" outlineLevel="3" spans="1:28">
      <c r="A672" s="52">
        <f>MAX($A$6:A671)+1</f>
        <v>617</v>
      </c>
      <c r="B672" s="138" t="s">
        <v>1263</v>
      </c>
      <c r="C672" s="51" t="e">
        <f>VLOOKUP($B672,#REF!,MATCH(C$2,#REF!,0),0)</f>
        <v>#REF!</v>
      </c>
      <c r="D672" s="83"/>
      <c r="E672" s="83"/>
      <c r="F672" s="136" t="e">
        <f>VLOOKUP($B672,#REF!,MATCH(F$2,#REF!,0),0)</f>
        <v>#REF!</v>
      </c>
      <c r="G672" s="137" t="e">
        <f>VLOOKUP($B672,#REF!,MATCH(G$2,#REF!,0),0)</f>
        <v>#REF!</v>
      </c>
      <c r="H672" s="48">
        <v>6</v>
      </c>
      <c r="I672" s="48">
        <v>10</v>
      </c>
      <c r="J672" s="48">
        <v>3</v>
      </c>
      <c r="K672" s="48">
        <v>3</v>
      </c>
      <c r="L672" s="48">
        <v>3</v>
      </c>
      <c r="M672" s="48"/>
      <c r="N672" s="48"/>
      <c r="O672" s="48"/>
      <c r="P672" s="48"/>
      <c r="Q672" s="48">
        <v>23</v>
      </c>
      <c r="R672" s="150" t="e">
        <f t="shared" ref="R672:AA672" si="666">$G672*H672</f>
        <v>#REF!</v>
      </c>
      <c r="S672" s="150" t="e">
        <f t="shared" si="666"/>
        <v>#REF!</v>
      </c>
      <c r="T672" s="150" t="e">
        <f t="shared" si="666"/>
        <v>#REF!</v>
      </c>
      <c r="U672" s="150" t="e">
        <f t="shared" si="666"/>
        <v>#REF!</v>
      </c>
      <c r="V672" s="150" t="e">
        <f t="shared" si="666"/>
        <v>#REF!</v>
      </c>
      <c r="W672" s="150" t="e">
        <f t="shared" si="666"/>
        <v>#REF!</v>
      </c>
      <c r="X672" s="150" t="e">
        <f t="shared" si="666"/>
        <v>#REF!</v>
      </c>
      <c r="Y672" s="150" t="e">
        <f t="shared" si="666"/>
        <v>#REF!</v>
      </c>
      <c r="Z672" s="150" t="e">
        <f t="shared" si="666"/>
        <v>#REF!</v>
      </c>
      <c r="AA672" s="150" t="e">
        <f t="shared" si="666"/>
        <v>#REF!</v>
      </c>
      <c r="AB672" s="50"/>
    </row>
    <row r="673" s="28" customFormat="1" ht="28.8" outlineLevel="3" spans="1:28">
      <c r="A673" s="52">
        <f>MAX($A$6:A672)+1</f>
        <v>618</v>
      </c>
      <c r="B673" s="138" t="s">
        <v>2166</v>
      </c>
      <c r="C673" s="51" t="e">
        <f>VLOOKUP($B673,#REF!,MATCH(C$2,#REF!,0),0)</f>
        <v>#REF!</v>
      </c>
      <c r="D673" s="83"/>
      <c r="E673" s="83"/>
      <c r="F673" s="136" t="e">
        <f>VLOOKUP($B673,#REF!,MATCH(F$2,#REF!,0),0)</f>
        <v>#REF!</v>
      </c>
      <c r="G673" s="137" t="e">
        <f>VLOOKUP($B673,#REF!,MATCH(G$2,#REF!,0),0)</f>
        <v>#REF!</v>
      </c>
      <c r="H673" s="48">
        <v>53.81</v>
      </c>
      <c r="I673" s="48">
        <v>30.63</v>
      </c>
      <c r="J673" s="48">
        <v>27.38</v>
      </c>
      <c r="K673" s="48">
        <v>27.38</v>
      </c>
      <c r="L673" s="48"/>
      <c r="M673" s="48"/>
      <c r="N673" s="48"/>
      <c r="O673" s="48"/>
      <c r="P673" s="48">
        <v>123.99</v>
      </c>
      <c r="Q673" s="48">
        <v>333.29</v>
      </c>
      <c r="R673" s="150" t="e">
        <f t="shared" ref="R673:AA673" si="667">$G673*H673</f>
        <v>#REF!</v>
      </c>
      <c r="S673" s="150" t="e">
        <f t="shared" si="667"/>
        <v>#REF!</v>
      </c>
      <c r="T673" s="150" t="e">
        <f t="shared" si="667"/>
        <v>#REF!</v>
      </c>
      <c r="U673" s="150" t="e">
        <f t="shared" si="667"/>
        <v>#REF!</v>
      </c>
      <c r="V673" s="150" t="e">
        <f t="shared" si="667"/>
        <v>#REF!</v>
      </c>
      <c r="W673" s="150" t="e">
        <f t="shared" si="667"/>
        <v>#REF!</v>
      </c>
      <c r="X673" s="150" t="e">
        <f t="shared" si="667"/>
        <v>#REF!</v>
      </c>
      <c r="Y673" s="150" t="e">
        <f t="shared" si="667"/>
        <v>#REF!</v>
      </c>
      <c r="Z673" s="150" t="e">
        <f t="shared" si="667"/>
        <v>#REF!</v>
      </c>
      <c r="AA673" s="150" t="e">
        <f t="shared" si="667"/>
        <v>#REF!</v>
      </c>
      <c r="AB673" s="50"/>
    </row>
    <row r="674" s="28" customFormat="1" ht="28.8" outlineLevel="3" spans="1:28">
      <c r="A674" s="52">
        <f>MAX($A$6:A673)+1</f>
        <v>619</v>
      </c>
      <c r="B674" s="138" t="s">
        <v>2167</v>
      </c>
      <c r="C674" s="51" t="e">
        <f>VLOOKUP($B674,#REF!,MATCH(C$2,#REF!,0),0)</f>
        <v>#REF!</v>
      </c>
      <c r="D674" s="83"/>
      <c r="E674" s="83"/>
      <c r="F674" s="136" t="e">
        <f>VLOOKUP($B674,#REF!,MATCH(F$2,#REF!,0),0)</f>
        <v>#REF!</v>
      </c>
      <c r="G674" s="137" t="e">
        <f>VLOOKUP($B674,#REF!,MATCH(G$2,#REF!,0),0)</f>
        <v>#REF!</v>
      </c>
      <c r="H674" s="48">
        <v>28.53</v>
      </c>
      <c r="I674" s="48">
        <v>10.92</v>
      </c>
      <c r="J674" s="48">
        <v>15.54</v>
      </c>
      <c r="K674" s="48">
        <v>15.54</v>
      </c>
      <c r="L674" s="48"/>
      <c r="M674" s="48"/>
      <c r="N674" s="48"/>
      <c r="O674" s="48"/>
      <c r="P674" s="48"/>
      <c r="Q674" s="48"/>
      <c r="R674" s="150" t="e">
        <f t="shared" ref="R674:AA674" si="668">$G674*H674</f>
        <v>#REF!</v>
      </c>
      <c r="S674" s="150" t="e">
        <f t="shared" si="668"/>
        <v>#REF!</v>
      </c>
      <c r="T674" s="150" t="e">
        <f t="shared" si="668"/>
        <v>#REF!</v>
      </c>
      <c r="U674" s="150" t="e">
        <f t="shared" si="668"/>
        <v>#REF!</v>
      </c>
      <c r="V674" s="150" t="e">
        <f t="shared" si="668"/>
        <v>#REF!</v>
      </c>
      <c r="W674" s="150" t="e">
        <f t="shared" si="668"/>
        <v>#REF!</v>
      </c>
      <c r="X674" s="150" t="e">
        <f t="shared" si="668"/>
        <v>#REF!</v>
      </c>
      <c r="Y674" s="150" t="e">
        <f t="shared" si="668"/>
        <v>#REF!</v>
      </c>
      <c r="Z674" s="150" t="e">
        <f t="shared" si="668"/>
        <v>#REF!</v>
      </c>
      <c r="AA674" s="150" t="e">
        <f t="shared" si="668"/>
        <v>#REF!</v>
      </c>
      <c r="AB674" s="50"/>
    </row>
    <row r="675" s="28" customFormat="1" ht="28.8" outlineLevel="3" spans="1:28">
      <c r="A675" s="52">
        <f>MAX($A$6:A674)+1</f>
        <v>620</v>
      </c>
      <c r="B675" s="138" t="s">
        <v>2176</v>
      </c>
      <c r="C675" s="51" t="e">
        <f>VLOOKUP($B675,#REF!,MATCH(C$2,#REF!,0),0)</f>
        <v>#REF!</v>
      </c>
      <c r="D675" s="83"/>
      <c r="E675" s="83"/>
      <c r="F675" s="136" t="e">
        <f>VLOOKUP($B675,#REF!,MATCH(F$2,#REF!,0),0)</f>
        <v>#REF!</v>
      </c>
      <c r="G675" s="137" t="e">
        <f>VLOOKUP($B675,#REF!,MATCH(G$2,#REF!,0),0)</f>
        <v>#REF!</v>
      </c>
      <c r="H675" s="48"/>
      <c r="I675" s="48"/>
      <c r="J675" s="48"/>
      <c r="K675" s="48"/>
      <c r="L675" s="48">
        <v>10.556</v>
      </c>
      <c r="M675" s="48"/>
      <c r="N675" s="48"/>
      <c r="O675" s="48"/>
      <c r="P675" s="48"/>
      <c r="Q675" s="48"/>
      <c r="R675" s="150" t="e">
        <f t="shared" ref="R675:AA675" si="669">$G675*H675</f>
        <v>#REF!</v>
      </c>
      <c r="S675" s="150" t="e">
        <f t="shared" si="669"/>
        <v>#REF!</v>
      </c>
      <c r="T675" s="150" t="e">
        <f t="shared" si="669"/>
        <v>#REF!</v>
      </c>
      <c r="U675" s="150" t="e">
        <f t="shared" si="669"/>
        <v>#REF!</v>
      </c>
      <c r="V675" s="150" t="e">
        <f t="shared" si="669"/>
        <v>#REF!</v>
      </c>
      <c r="W675" s="150" t="e">
        <f t="shared" si="669"/>
        <v>#REF!</v>
      </c>
      <c r="X675" s="150" t="e">
        <f t="shared" si="669"/>
        <v>#REF!</v>
      </c>
      <c r="Y675" s="150" t="e">
        <f t="shared" si="669"/>
        <v>#REF!</v>
      </c>
      <c r="Z675" s="150" t="e">
        <f t="shared" si="669"/>
        <v>#REF!</v>
      </c>
      <c r="AA675" s="150" t="e">
        <f t="shared" si="669"/>
        <v>#REF!</v>
      </c>
      <c r="AB675" s="50"/>
    </row>
    <row r="676" s="28" customFormat="1" ht="28.8" outlineLevel="3" spans="1:28">
      <c r="A676" s="52">
        <f>MAX($A$6:A675)+1</f>
        <v>621</v>
      </c>
      <c r="B676" s="138" t="s">
        <v>2177</v>
      </c>
      <c r="C676" s="51" t="e">
        <f>VLOOKUP($B676,#REF!,MATCH(C$2,#REF!,0),0)</f>
        <v>#REF!</v>
      </c>
      <c r="D676" s="83"/>
      <c r="E676" s="83"/>
      <c r="F676" s="136" t="e">
        <f>VLOOKUP($B676,#REF!,MATCH(F$2,#REF!,0),0)</f>
        <v>#REF!</v>
      </c>
      <c r="G676" s="137" t="e">
        <f>VLOOKUP($B676,#REF!,MATCH(G$2,#REF!,0),0)</f>
        <v>#REF!</v>
      </c>
      <c r="H676" s="48"/>
      <c r="I676" s="48"/>
      <c r="J676" s="48"/>
      <c r="K676" s="48"/>
      <c r="L676" s="48"/>
      <c r="M676" s="48"/>
      <c r="N676" s="48"/>
      <c r="O676" s="48"/>
      <c r="P676" s="48"/>
      <c r="Q676" s="48"/>
      <c r="R676" s="150" t="e">
        <f t="shared" ref="R676:AA676" si="670">$G676*H676</f>
        <v>#REF!</v>
      </c>
      <c r="S676" s="150" t="e">
        <f t="shared" si="670"/>
        <v>#REF!</v>
      </c>
      <c r="T676" s="150" t="e">
        <f t="shared" si="670"/>
        <v>#REF!</v>
      </c>
      <c r="U676" s="150" t="e">
        <f t="shared" si="670"/>
        <v>#REF!</v>
      </c>
      <c r="V676" s="150" t="e">
        <f t="shared" si="670"/>
        <v>#REF!</v>
      </c>
      <c r="W676" s="150" t="e">
        <f t="shared" si="670"/>
        <v>#REF!</v>
      </c>
      <c r="X676" s="150" t="e">
        <f t="shared" si="670"/>
        <v>#REF!</v>
      </c>
      <c r="Y676" s="150" t="e">
        <f t="shared" si="670"/>
        <v>#REF!</v>
      </c>
      <c r="Z676" s="150" t="e">
        <f t="shared" si="670"/>
        <v>#REF!</v>
      </c>
      <c r="AA676" s="150" t="e">
        <f t="shared" si="670"/>
        <v>#REF!</v>
      </c>
      <c r="AB676" s="50"/>
    </row>
    <row r="677" s="28" customFormat="1" outlineLevel="3" spans="1:28">
      <c r="A677" s="52">
        <f>MAX($A$6:A676)+1</f>
        <v>622</v>
      </c>
      <c r="B677" s="138" t="s">
        <v>1277</v>
      </c>
      <c r="C677" s="51" t="e">
        <f>VLOOKUP($B677,#REF!,MATCH(C$2,#REF!,0),0)</f>
        <v>#REF!</v>
      </c>
      <c r="D677" s="83"/>
      <c r="E677" s="83"/>
      <c r="F677" s="136" t="e">
        <f>VLOOKUP($B677,#REF!,MATCH(F$2,#REF!,0),0)</f>
        <v>#REF!</v>
      </c>
      <c r="G677" s="137" t="e">
        <f>VLOOKUP($B677,#REF!,MATCH(G$2,#REF!,0),0)</f>
        <v>#REF!</v>
      </c>
      <c r="H677" s="48">
        <v>37.54</v>
      </c>
      <c r="I677" s="48">
        <v>14.87</v>
      </c>
      <c r="J677" s="48">
        <v>21.33</v>
      </c>
      <c r="K677" s="48">
        <v>21.33</v>
      </c>
      <c r="L677" s="48"/>
      <c r="M677" s="48"/>
      <c r="N677" s="48"/>
      <c r="O677" s="48"/>
      <c r="P677" s="48">
        <v>181.12</v>
      </c>
      <c r="Q677" s="48">
        <v>503.38</v>
      </c>
      <c r="R677" s="150" t="e">
        <f t="shared" ref="R677:AA677" si="671">$G677*H677</f>
        <v>#REF!</v>
      </c>
      <c r="S677" s="150" t="e">
        <f t="shared" si="671"/>
        <v>#REF!</v>
      </c>
      <c r="T677" s="150" t="e">
        <f t="shared" si="671"/>
        <v>#REF!</v>
      </c>
      <c r="U677" s="150" t="e">
        <f t="shared" si="671"/>
        <v>#REF!</v>
      </c>
      <c r="V677" s="150" t="e">
        <f t="shared" si="671"/>
        <v>#REF!</v>
      </c>
      <c r="W677" s="150" t="e">
        <f t="shared" si="671"/>
        <v>#REF!</v>
      </c>
      <c r="X677" s="150" t="e">
        <f t="shared" si="671"/>
        <v>#REF!</v>
      </c>
      <c r="Y677" s="150" t="e">
        <f t="shared" si="671"/>
        <v>#REF!</v>
      </c>
      <c r="Z677" s="150" t="e">
        <f t="shared" si="671"/>
        <v>#REF!</v>
      </c>
      <c r="AA677" s="150" t="e">
        <f t="shared" si="671"/>
        <v>#REF!</v>
      </c>
      <c r="AB677" s="50"/>
    </row>
    <row r="678" s="28" customFormat="1" outlineLevel="3" spans="1:28">
      <c r="A678" s="52">
        <f>MAX($A$6:A677)+1</f>
        <v>623</v>
      </c>
      <c r="B678" s="138" t="s">
        <v>1280</v>
      </c>
      <c r="C678" s="51" t="e">
        <f>VLOOKUP($B678,#REF!,MATCH(C$2,#REF!,0),0)</f>
        <v>#REF!</v>
      </c>
      <c r="D678" s="83"/>
      <c r="E678" s="83"/>
      <c r="F678" s="136" t="e">
        <f>VLOOKUP($B678,#REF!,MATCH(F$2,#REF!,0),0)</f>
        <v>#REF!</v>
      </c>
      <c r="G678" s="137" t="e">
        <f>VLOOKUP($B678,#REF!,MATCH(G$2,#REF!,0),0)</f>
        <v>#REF!</v>
      </c>
      <c r="H678" s="48"/>
      <c r="I678" s="48"/>
      <c r="J678" s="48"/>
      <c r="K678" s="48"/>
      <c r="L678" s="48"/>
      <c r="M678" s="48">
        <v>11.86</v>
      </c>
      <c r="N678" s="48">
        <v>11.86</v>
      </c>
      <c r="O678" s="48">
        <v>11.86</v>
      </c>
      <c r="P678" s="48"/>
      <c r="Q678" s="48"/>
      <c r="R678" s="150" t="e">
        <f t="shared" ref="R678:AA678" si="672">$G678*H678</f>
        <v>#REF!</v>
      </c>
      <c r="S678" s="150" t="e">
        <f t="shared" si="672"/>
        <v>#REF!</v>
      </c>
      <c r="T678" s="150" t="e">
        <f t="shared" si="672"/>
        <v>#REF!</v>
      </c>
      <c r="U678" s="150" t="e">
        <f t="shared" si="672"/>
        <v>#REF!</v>
      </c>
      <c r="V678" s="150" t="e">
        <f t="shared" si="672"/>
        <v>#REF!</v>
      </c>
      <c r="W678" s="150" t="e">
        <f t="shared" si="672"/>
        <v>#REF!</v>
      </c>
      <c r="X678" s="150" t="e">
        <f t="shared" si="672"/>
        <v>#REF!</v>
      </c>
      <c r="Y678" s="150" t="e">
        <f t="shared" si="672"/>
        <v>#REF!</v>
      </c>
      <c r="Z678" s="150" t="e">
        <f t="shared" si="672"/>
        <v>#REF!</v>
      </c>
      <c r="AA678" s="150" t="e">
        <f t="shared" si="672"/>
        <v>#REF!</v>
      </c>
      <c r="AB678" s="50"/>
    </row>
    <row r="679" s="28" customFormat="1" outlineLevel="3" spans="1:28">
      <c r="A679" s="52">
        <f>MAX($A$6:A678)+1</f>
        <v>624</v>
      </c>
      <c r="B679" s="138" t="s">
        <v>1284</v>
      </c>
      <c r="C679" s="51" t="e">
        <f>VLOOKUP($B679,#REF!,MATCH(C$2,#REF!,0),0)</f>
        <v>#REF!</v>
      </c>
      <c r="D679" s="83"/>
      <c r="E679" s="83"/>
      <c r="F679" s="136" t="e">
        <f>VLOOKUP($B679,#REF!,MATCH(F$2,#REF!,0),0)</f>
        <v>#REF!</v>
      </c>
      <c r="G679" s="137" t="e">
        <f>VLOOKUP($B679,#REF!,MATCH(G$2,#REF!,0),0)</f>
        <v>#REF!</v>
      </c>
      <c r="H679" s="48"/>
      <c r="I679" s="48">
        <v>18.18</v>
      </c>
      <c r="J679" s="48"/>
      <c r="K679" s="48"/>
      <c r="L679" s="48"/>
      <c r="M679" s="48"/>
      <c r="N679" s="48"/>
      <c r="O679" s="48"/>
      <c r="P679" s="48"/>
      <c r="Q679" s="48"/>
      <c r="R679" s="150" t="e">
        <f t="shared" ref="R679:AA679" si="673">$G679*H679</f>
        <v>#REF!</v>
      </c>
      <c r="S679" s="150" t="e">
        <f t="shared" si="673"/>
        <v>#REF!</v>
      </c>
      <c r="T679" s="150" t="e">
        <f t="shared" si="673"/>
        <v>#REF!</v>
      </c>
      <c r="U679" s="150" t="e">
        <f t="shared" si="673"/>
        <v>#REF!</v>
      </c>
      <c r="V679" s="150" t="e">
        <f t="shared" si="673"/>
        <v>#REF!</v>
      </c>
      <c r="W679" s="150" t="e">
        <f t="shared" si="673"/>
        <v>#REF!</v>
      </c>
      <c r="X679" s="150" t="e">
        <f t="shared" si="673"/>
        <v>#REF!</v>
      </c>
      <c r="Y679" s="150" t="e">
        <f t="shared" si="673"/>
        <v>#REF!</v>
      </c>
      <c r="Z679" s="150" t="e">
        <f t="shared" si="673"/>
        <v>#REF!</v>
      </c>
      <c r="AA679" s="150" t="e">
        <f t="shared" si="673"/>
        <v>#REF!</v>
      </c>
      <c r="AB679" s="50"/>
    </row>
    <row r="680" s="28" customFormat="1" outlineLevel="3" spans="1:28">
      <c r="A680" s="52">
        <f>MAX($A$6:A679)+1</f>
        <v>625</v>
      </c>
      <c r="B680" s="138" t="s">
        <v>2240</v>
      </c>
      <c r="C680" s="51" t="e">
        <f>VLOOKUP($B680,#REF!,MATCH(C$2,#REF!,0),0)</f>
        <v>#REF!</v>
      </c>
      <c r="D680" s="83"/>
      <c r="E680" s="83"/>
      <c r="F680" s="136" t="e">
        <f>VLOOKUP($B680,#REF!,MATCH(F$2,#REF!,0),0)</f>
        <v>#REF!</v>
      </c>
      <c r="G680" s="137" t="e">
        <f>VLOOKUP($B680,#REF!,MATCH(G$2,#REF!,0),0)</f>
        <v>#REF!</v>
      </c>
      <c r="H680" s="48">
        <v>8</v>
      </c>
      <c r="I680" s="48">
        <v>6</v>
      </c>
      <c r="J680" s="48">
        <v>4</v>
      </c>
      <c r="K680" s="48">
        <v>4</v>
      </c>
      <c r="L680" s="48"/>
      <c r="M680" s="48"/>
      <c r="N680" s="48"/>
      <c r="O680" s="48"/>
      <c r="P680" s="48"/>
      <c r="Q680" s="48"/>
      <c r="R680" s="150" t="e">
        <f t="shared" ref="R680:AA680" si="674">$G680*H680</f>
        <v>#REF!</v>
      </c>
      <c r="S680" s="150" t="e">
        <f t="shared" si="674"/>
        <v>#REF!</v>
      </c>
      <c r="T680" s="150" t="e">
        <f t="shared" si="674"/>
        <v>#REF!</v>
      </c>
      <c r="U680" s="150" t="e">
        <f t="shared" si="674"/>
        <v>#REF!</v>
      </c>
      <c r="V680" s="150" t="e">
        <f t="shared" si="674"/>
        <v>#REF!</v>
      </c>
      <c r="W680" s="150" t="e">
        <f t="shared" si="674"/>
        <v>#REF!</v>
      </c>
      <c r="X680" s="150" t="e">
        <f t="shared" si="674"/>
        <v>#REF!</v>
      </c>
      <c r="Y680" s="150" t="e">
        <f t="shared" si="674"/>
        <v>#REF!</v>
      </c>
      <c r="Z680" s="150" t="e">
        <f t="shared" si="674"/>
        <v>#REF!</v>
      </c>
      <c r="AA680" s="150" t="e">
        <f t="shared" si="674"/>
        <v>#REF!</v>
      </c>
      <c r="AB680" s="50"/>
    </row>
    <row r="681" s="122" customFormat="1" outlineLevel="3" spans="1:28">
      <c r="A681" s="52">
        <f>MAX($A$6:A680)+1</f>
        <v>626</v>
      </c>
      <c r="B681" s="138" t="s">
        <v>2241</v>
      </c>
      <c r="C681" s="51" t="e">
        <f>VLOOKUP($B681,#REF!,MATCH(C$2,#REF!,0),0)</f>
        <v>#REF!</v>
      </c>
      <c r="D681" s="83"/>
      <c r="E681" s="83"/>
      <c r="F681" s="136" t="e">
        <f>VLOOKUP($B681,#REF!,MATCH(F$2,#REF!,0),0)</f>
        <v>#REF!</v>
      </c>
      <c r="G681" s="137" t="e">
        <f>VLOOKUP($B681,#REF!,MATCH(G$2,#REF!,0),0)</f>
        <v>#REF!</v>
      </c>
      <c r="H681" s="48">
        <v>3</v>
      </c>
      <c r="I681" s="48">
        <v>3</v>
      </c>
      <c r="J681" s="48">
        <v>2</v>
      </c>
      <c r="K681" s="48">
        <v>2</v>
      </c>
      <c r="L681" s="48">
        <v>1</v>
      </c>
      <c r="M681" s="48"/>
      <c r="N681" s="48"/>
      <c r="O681" s="48"/>
      <c r="P681" s="48">
        <v>31</v>
      </c>
      <c r="Q681" s="48">
        <v>51</v>
      </c>
      <c r="R681" s="150" t="e">
        <f t="shared" ref="R681:AA681" si="675">$G681*H681</f>
        <v>#REF!</v>
      </c>
      <c r="S681" s="150" t="e">
        <f t="shared" si="675"/>
        <v>#REF!</v>
      </c>
      <c r="T681" s="150" t="e">
        <f t="shared" si="675"/>
        <v>#REF!</v>
      </c>
      <c r="U681" s="150" t="e">
        <f t="shared" si="675"/>
        <v>#REF!</v>
      </c>
      <c r="V681" s="150" t="e">
        <f t="shared" si="675"/>
        <v>#REF!</v>
      </c>
      <c r="W681" s="150" t="e">
        <f t="shared" si="675"/>
        <v>#REF!</v>
      </c>
      <c r="X681" s="150" t="e">
        <f t="shared" si="675"/>
        <v>#REF!</v>
      </c>
      <c r="Y681" s="150" t="e">
        <f t="shared" si="675"/>
        <v>#REF!</v>
      </c>
      <c r="Z681" s="150" t="e">
        <f t="shared" si="675"/>
        <v>#REF!</v>
      </c>
      <c r="AA681" s="150" t="e">
        <f t="shared" si="675"/>
        <v>#REF!</v>
      </c>
      <c r="AB681" s="50"/>
    </row>
    <row r="682" s="29" customFormat="1" outlineLevel="3" spans="1:28">
      <c r="A682" s="52">
        <f>MAX($A$6:A681)+1</f>
        <v>627</v>
      </c>
      <c r="B682" s="138" t="s">
        <v>1466</v>
      </c>
      <c r="C682" s="51" t="e">
        <f>VLOOKUP($B682,#REF!,MATCH(C$2,#REF!,0),0)</f>
        <v>#REF!</v>
      </c>
      <c r="D682" s="83"/>
      <c r="E682" s="83"/>
      <c r="F682" s="136" t="e">
        <f>VLOOKUP($B682,#REF!,MATCH(F$2,#REF!,0),0)</f>
        <v>#REF!</v>
      </c>
      <c r="G682" s="137" t="e">
        <f>VLOOKUP($B682,#REF!,MATCH(G$2,#REF!,0),0)</f>
        <v>#REF!</v>
      </c>
      <c r="H682" s="48">
        <v>11</v>
      </c>
      <c r="I682" s="48">
        <v>9</v>
      </c>
      <c r="J682" s="48">
        <v>6</v>
      </c>
      <c r="K682" s="48">
        <v>6</v>
      </c>
      <c r="L682" s="48">
        <v>1</v>
      </c>
      <c r="M682" s="48"/>
      <c r="N682" s="48"/>
      <c r="O682" s="48"/>
      <c r="P682" s="48"/>
      <c r="Q682" s="48"/>
      <c r="R682" s="150" t="e">
        <f t="shared" ref="R682:AA682" si="676">$G682*H682</f>
        <v>#REF!</v>
      </c>
      <c r="S682" s="150" t="e">
        <f t="shared" si="676"/>
        <v>#REF!</v>
      </c>
      <c r="T682" s="150" t="e">
        <f t="shared" si="676"/>
        <v>#REF!</v>
      </c>
      <c r="U682" s="150" t="e">
        <f t="shared" si="676"/>
        <v>#REF!</v>
      </c>
      <c r="V682" s="150" t="e">
        <f t="shared" si="676"/>
        <v>#REF!</v>
      </c>
      <c r="W682" s="150" t="e">
        <f t="shared" si="676"/>
        <v>#REF!</v>
      </c>
      <c r="X682" s="150" t="e">
        <f t="shared" si="676"/>
        <v>#REF!</v>
      </c>
      <c r="Y682" s="150" t="e">
        <f t="shared" si="676"/>
        <v>#REF!</v>
      </c>
      <c r="Z682" s="150" t="e">
        <f t="shared" si="676"/>
        <v>#REF!</v>
      </c>
      <c r="AA682" s="150" t="e">
        <f t="shared" si="676"/>
        <v>#REF!</v>
      </c>
      <c r="AB682" s="50"/>
    </row>
    <row r="683" s="28" customFormat="1" outlineLevel="3" spans="1:28">
      <c r="A683" s="52">
        <f>MAX($A$6:A682)+1</f>
        <v>628</v>
      </c>
      <c r="B683" s="138" t="s">
        <v>1330</v>
      </c>
      <c r="C683" s="51" t="e">
        <f>VLOOKUP($B683,#REF!,MATCH(C$2,#REF!,0),0)</f>
        <v>#REF!</v>
      </c>
      <c r="D683" s="83"/>
      <c r="E683" s="83"/>
      <c r="F683" s="136" t="e">
        <f>VLOOKUP($B683,#REF!,MATCH(F$2,#REF!,0),0)</f>
        <v>#REF!</v>
      </c>
      <c r="G683" s="137" t="e">
        <f>VLOOKUP($B683,#REF!,MATCH(G$2,#REF!,0),0)</f>
        <v>#REF!</v>
      </c>
      <c r="H683" s="48">
        <v>119.88</v>
      </c>
      <c r="I683" s="48">
        <v>74.6</v>
      </c>
      <c r="J683" s="48">
        <v>64.25</v>
      </c>
      <c r="K683" s="48">
        <v>64.25</v>
      </c>
      <c r="L683" s="48">
        <v>10.556</v>
      </c>
      <c r="M683" s="48"/>
      <c r="N683" s="48"/>
      <c r="O683" s="48"/>
      <c r="P683" s="48">
        <v>305.11</v>
      </c>
      <c r="Q683" s="48">
        <v>836.67</v>
      </c>
      <c r="R683" s="150" t="e">
        <f t="shared" ref="R683:AA683" si="677">$G683*H683</f>
        <v>#REF!</v>
      </c>
      <c r="S683" s="150" t="e">
        <f t="shared" si="677"/>
        <v>#REF!</v>
      </c>
      <c r="T683" s="150" t="e">
        <f t="shared" si="677"/>
        <v>#REF!</v>
      </c>
      <c r="U683" s="150" t="e">
        <f t="shared" si="677"/>
        <v>#REF!</v>
      </c>
      <c r="V683" s="150" t="e">
        <f t="shared" si="677"/>
        <v>#REF!</v>
      </c>
      <c r="W683" s="150" t="e">
        <f t="shared" si="677"/>
        <v>#REF!</v>
      </c>
      <c r="X683" s="150" t="e">
        <f t="shared" si="677"/>
        <v>#REF!</v>
      </c>
      <c r="Y683" s="150" t="e">
        <f t="shared" si="677"/>
        <v>#REF!</v>
      </c>
      <c r="Z683" s="150" t="e">
        <f t="shared" si="677"/>
        <v>#REF!</v>
      </c>
      <c r="AA683" s="150" t="e">
        <f t="shared" si="677"/>
        <v>#REF!</v>
      </c>
      <c r="AB683" s="50"/>
    </row>
    <row r="684" s="28" customFormat="1" outlineLevel="3" spans="1:28">
      <c r="A684" s="52">
        <f>MAX($A$6:A683)+1</f>
        <v>629</v>
      </c>
      <c r="B684" s="138" t="s">
        <v>1520</v>
      </c>
      <c r="C684" s="51" t="e">
        <f>VLOOKUP($B684,#REF!,MATCH(C$2,#REF!,0),0)</f>
        <v>#REF!</v>
      </c>
      <c r="D684" s="83"/>
      <c r="E684" s="83"/>
      <c r="F684" s="136" t="e">
        <f>VLOOKUP($B684,#REF!,MATCH(F$2,#REF!,0),0)</f>
        <v>#REF!</v>
      </c>
      <c r="G684" s="137" t="e">
        <f>VLOOKUP($B684,#REF!,MATCH(G$2,#REF!,0),0)</f>
        <v>#REF!</v>
      </c>
      <c r="H684" s="48"/>
      <c r="I684" s="48">
        <v>9</v>
      </c>
      <c r="J684" s="48"/>
      <c r="K684" s="48"/>
      <c r="L684" s="48"/>
      <c r="M684" s="48"/>
      <c r="N684" s="48"/>
      <c r="O684" s="48"/>
      <c r="P684" s="48"/>
      <c r="Q684" s="48"/>
      <c r="R684" s="150" t="e">
        <f t="shared" ref="R684:AA684" si="678">$G684*H684</f>
        <v>#REF!</v>
      </c>
      <c r="S684" s="150" t="e">
        <f t="shared" si="678"/>
        <v>#REF!</v>
      </c>
      <c r="T684" s="150" t="e">
        <f t="shared" si="678"/>
        <v>#REF!</v>
      </c>
      <c r="U684" s="150" t="e">
        <f t="shared" si="678"/>
        <v>#REF!</v>
      </c>
      <c r="V684" s="150" t="e">
        <f t="shared" si="678"/>
        <v>#REF!</v>
      </c>
      <c r="W684" s="150" t="e">
        <f t="shared" si="678"/>
        <v>#REF!</v>
      </c>
      <c r="X684" s="150" t="e">
        <f t="shared" si="678"/>
        <v>#REF!</v>
      </c>
      <c r="Y684" s="150" t="e">
        <f t="shared" si="678"/>
        <v>#REF!</v>
      </c>
      <c r="Z684" s="150" t="e">
        <f t="shared" si="678"/>
        <v>#REF!</v>
      </c>
      <c r="AA684" s="150" t="e">
        <f t="shared" si="678"/>
        <v>#REF!</v>
      </c>
      <c r="AB684" s="50"/>
    </row>
    <row r="685" s="122" customFormat="1" outlineLevel="1" spans="1:28">
      <c r="A685" s="130"/>
      <c r="B685" s="131" t="s">
        <v>2253</v>
      </c>
      <c r="C685" s="131"/>
      <c r="D685" s="153"/>
      <c r="E685" s="153"/>
      <c r="F685" s="154"/>
      <c r="G685" s="155"/>
      <c r="H685" s="134"/>
      <c r="I685" s="134"/>
      <c r="J685" s="134"/>
      <c r="K685" s="134"/>
      <c r="L685" s="134"/>
      <c r="M685" s="134"/>
      <c r="N685" s="134"/>
      <c r="O685" s="134"/>
      <c r="P685" s="134"/>
      <c r="Q685" s="134"/>
      <c r="R685" s="148" t="e">
        <f t="shared" ref="R685:AA685" si="679">SUM(R686:R701)</f>
        <v>#REF!</v>
      </c>
      <c r="S685" s="148" t="e">
        <f t="shared" si="679"/>
        <v>#REF!</v>
      </c>
      <c r="T685" s="148" t="e">
        <f t="shared" si="679"/>
        <v>#REF!</v>
      </c>
      <c r="U685" s="148" t="e">
        <f t="shared" si="679"/>
        <v>#REF!</v>
      </c>
      <c r="V685" s="148" t="e">
        <f t="shared" si="679"/>
        <v>#REF!</v>
      </c>
      <c r="W685" s="148" t="e">
        <f t="shared" si="679"/>
        <v>#REF!</v>
      </c>
      <c r="X685" s="148" t="e">
        <f t="shared" si="679"/>
        <v>#REF!</v>
      </c>
      <c r="Y685" s="148" t="e">
        <f t="shared" si="679"/>
        <v>#REF!</v>
      </c>
      <c r="Z685" s="148" t="e">
        <f t="shared" si="679"/>
        <v>#REF!</v>
      </c>
      <c r="AA685" s="148" t="e">
        <f t="shared" si="679"/>
        <v>#REF!</v>
      </c>
      <c r="AB685" s="130"/>
    </row>
    <row r="686" s="28" customFormat="1" outlineLevel="3" spans="1:28">
      <c r="A686" s="52">
        <f>MAX($A$6:A685)+1</f>
        <v>630</v>
      </c>
      <c r="B686" s="138" t="s">
        <v>1224</v>
      </c>
      <c r="C686" s="51" t="e">
        <f>VLOOKUP($B686,#REF!,MATCH(C$2,#REF!,0),0)</f>
        <v>#REF!</v>
      </c>
      <c r="D686" s="83"/>
      <c r="E686" s="83"/>
      <c r="F686" s="136" t="e">
        <f>VLOOKUP($B686,#REF!,MATCH(F$2,#REF!,0),0)</f>
        <v>#REF!</v>
      </c>
      <c r="G686" s="137" t="e">
        <f>VLOOKUP($B686,#REF!,MATCH(G$2,#REF!,0),0)</f>
        <v>#REF!</v>
      </c>
      <c r="H686" s="48">
        <v>62.18</v>
      </c>
      <c r="I686" s="48">
        <v>67.6</v>
      </c>
      <c r="J686" s="48">
        <v>31.6</v>
      </c>
      <c r="K686" s="48">
        <v>31.6</v>
      </c>
      <c r="L686" s="48">
        <v>13.273</v>
      </c>
      <c r="M686" s="48">
        <v>1</v>
      </c>
      <c r="N686" s="48">
        <v>1</v>
      </c>
      <c r="O686" s="48">
        <v>1</v>
      </c>
      <c r="P686" s="48">
        <v>505.44</v>
      </c>
      <c r="Q686" s="48">
        <v>1239.77</v>
      </c>
      <c r="R686" s="150" t="e">
        <f t="shared" ref="R686:AA686" si="680">$G686*H686</f>
        <v>#REF!</v>
      </c>
      <c r="S686" s="150" t="e">
        <f t="shared" si="680"/>
        <v>#REF!</v>
      </c>
      <c r="T686" s="150" t="e">
        <f t="shared" si="680"/>
        <v>#REF!</v>
      </c>
      <c r="U686" s="150" t="e">
        <f t="shared" si="680"/>
        <v>#REF!</v>
      </c>
      <c r="V686" s="150" t="e">
        <f t="shared" si="680"/>
        <v>#REF!</v>
      </c>
      <c r="W686" s="150" t="e">
        <f t="shared" si="680"/>
        <v>#REF!</v>
      </c>
      <c r="X686" s="150" t="e">
        <f t="shared" si="680"/>
        <v>#REF!</v>
      </c>
      <c r="Y686" s="150" t="e">
        <f t="shared" si="680"/>
        <v>#REF!</v>
      </c>
      <c r="Z686" s="150" t="e">
        <f t="shared" si="680"/>
        <v>#REF!</v>
      </c>
      <c r="AA686" s="150" t="e">
        <f t="shared" si="680"/>
        <v>#REF!</v>
      </c>
      <c r="AB686" s="50"/>
    </row>
    <row r="687" s="28" customFormat="1" outlineLevel="3" spans="1:28">
      <c r="A687" s="52">
        <f>MAX($A$6:A686)+1</f>
        <v>631</v>
      </c>
      <c r="B687" s="138" t="s">
        <v>1226</v>
      </c>
      <c r="C687" s="51" t="e">
        <f>VLOOKUP($B687,#REF!,MATCH(C$2,#REF!,0),0)</f>
        <v>#REF!</v>
      </c>
      <c r="D687" s="83"/>
      <c r="E687" s="83"/>
      <c r="F687" s="136" t="e">
        <f>VLOOKUP($B687,#REF!,MATCH(F$2,#REF!,0),0)</f>
        <v>#REF!</v>
      </c>
      <c r="G687" s="137" t="e">
        <f>VLOOKUP($B687,#REF!,MATCH(G$2,#REF!,0),0)</f>
        <v>#REF!</v>
      </c>
      <c r="H687" s="48"/>
      <c r="I687" s="48"/>
      <c r="J687" s="48"/>
      <c r="K687" s="48"/>
      <c r="L687" s="48"/>
      <c r="M687" s="48"/>
      <c r="N687" s="48"/>
      <c r="O687" s="48"/>
      <c r="P687" s="48"/>
      <c r="Q687" s="48">
        <v>176.61</v>
      </c>
      <c r="R687" s="150" t="e">
        <f t="shared" ref="R687:AA687" si="681">$G687*H687</f>
        <v>#REF!</v>
      </c>
      <c r="S687" s="150" t="e">
        <f t="shared" si="681"/>
        <v>#REF!</v>
      </c>
      <c r="T687" s="150" t="e">
        <f t="shared" si="681"/>
        <v>#REF!</v>
      </c>
      <c r="U687" s="150" t="e">
        <f t="shared" si="681"/>
        <v>#REF!</v>
      </c>
      <c r="V687" s="150" t="e">
        <f t="shared" si="681"/>
        <v>#REF!</v>
      </c>
      <c r="W687" s="150" t="e">
        <f t="shared" si="681"/>
        <v>#REF!</v>
      </c>
      <c r="X687" s="150" t="e">
        <f t="shared" si="681"/>
        <v>#REF!</v>
      </c>
      <c r="Y687" s="150" t="e">
        <f t="shared" si="681"/>
        <v>#REF!</v>
      </c>
      <c r="Z687" s="150" t="e">
        <f t="shared" si="681"/>
        <v>#REF!</v>
      </c>
      <c r="AA687" s="150" t="e">
        <f t="shared" si="681"/>
        <v>#REF!</v>
      </c>
      <c r="AB687" s="50"/>
    </row>
    <row r="688" s="28" customFormat="1" outlineLevel="3" spans="1:28">
      <c r="A688" s="52">
        <f>MAX($A$6:A687)+1</f>
        <v>632</v>
      </c>
      <c r="B688" s="138" t="s">
        <v>1227</v>
      </c>
      <c r="C688" s="51" t="e">
        <f>VLOOKUP($B688,#REF!,MATCH(C$2,#REF!,0),0)</f>
        <v>#REF!</v>
      </c>
      <c r="D688" s="83"/>
      <c r="E688" s="83"/>
      <c r="F688" s="136" t="e">
        <f>VLOOKUP($B688,#REF!,MATCH(F$2,#REF!,0),0)</f>
        <v>#REF!</v>
      </c>
      <c r="G688" s="137" t="e">
        <f>VLOOKUP($B688,#REF!,MATCH(G$2,#REF!,0),0)</f>
        <v>#REF!</v>
      </c>
      <c r="H688" s="48"/>
      <c r="I688" s="48"/>
      <c r="J688" s="48"/>
      <c r="K688" s="48"/>
      <c r="L688" s="48"/>
      <c r="M688" s="48"/>
      <c r="N688" s="48"/>
      <c r="O688" s="48"/>
      <c r="P688" s="48"/>
      <c r="Q688" s="48"/>
      <c r="R688" s="150" t="e">
        <f t="shared" ref="R688:AA688" si="682">$G688*H688</f>
        <v>#REF!</v>
      </c>
      <c r="S688" s="150" t="e">
        <f t="shared" si="682"/>
        <v>#REF!</v>
      </c>
      <c r="T688" s="150" t="e">
        <f t="shared" si="682"/>
        <v>#REF!</v>
      </c>
      <c r="U688" s="150" t="e">
        <f t="shared" si="682"/>
        <v>#REF!</v>
      </c>
      <c r="V688" s="150" t="e">
        <f t="shared" si="682"/>
        <v>#REF!</v>
      </c>
      <c r="W688" s="150" t="e">
        <f t="shared" si="682"/>
        <v>#REF!</v>
      </c>
      <c r="X688" s="150" t="e">
        <f t="shared" si="682"/>
        <v>#REF!</v>
      </c>
      <c r="Y688" s="150" t="e">
        <f t="shared" si="682"/>
        <v>#REF!</v>
      </c>
      <c r="Z688" s="150" t="e">
        <f t="shared" si="682"/>
        <v>#REF!</v>
      </c>
      <c r="AA688" s="150" t="e">
        <f t="shared" si="682"/>
        <v>#REF!</v>
      </c>
      <c r="AB688" s="50"/>
    </row>
    <row r="689" s="28" customFormat="1" outlineLevel="3" spans="1:28">
      <c r="A689" s="52">
        <f>MAX($A$6:A688)+1</f>
        <v>633</v>
      </c>
      <c r="B689" s="138" t="s">
        <v>1228</v>
      </c>
      <c r="C689" s="51" t="e">
        <f>VLOOKUP($B689,#REF!,MATCH(C$2,#REF!,0),0)</f>
        <v>#REF!</v>
      </c>
      <c r="D689" s="83"/>
      <c r="E689" s="83"/>
      <c r="F689" s="136" t="e">
        <f>VLOOKUP($B689,#REF!,MATCH(F$2,#REF!,0),0)</f>
        <v>#REF!</v>
      </c>
      <c r="G689" s="137" t="e">
        <f>VLOOKUP($B689,#REF!,MATCH(G$2,#REF!,0),0)</f>
        <v>#REF!</v>
      </c>
      <c r="H689" s="48"/>
      <c r="I689" s="48"/>
      <c r="J689" s="48"/>
      <c r="K689" s="48"/>
      <c r="L689" s="48"/>
      <c r="M689" s="48"/>
      <c r="N689" s="48"/>
      <c r="O689" s="48"/>
      <c r="P689" s="48"/>
      <c r="Q689" s="48">
        <v>206.65</v>
      </c>
      <c r="R689" s="150" t="e">
        <f t="shared" ref="R689:AA689" si="683">$G689*H689</f>
        <v>#REF!</v>
      </c>
      <c r="S689" s="150" t="e">
        <f t="shared" si="683"/>
        <v>#REF!</v>
      </c>
      <c r="T689" s="150" t="e">
        <f t="shared" si="683"/>
        <v>#REF!</v>
      </c>
      <c r="U689" s="150" t="e">
        <f t="shared" si="683"/>
        <v>#REF!</v>
      </c>
      <c r="V689" s="150" t="e">
        <f t="shared" si="683"/>
        <v>#REF!</v>
      </c>
      <c r="W689" s="150" t="e">
        <f t="shared" si="683"/>
        <v>#REF!</v>
      </c>
      <c r="X689" s="150" t="e">
        <f t="shared" si="683"/>
        <v>#REF!</v>
      </c>
      <c r="Y689" s="150" t="e">
        <f t="shared" si="683"/>
        <v>#REF!</v>
      </c>
      <c r="Z689" s="150" t="e">
        <f t="shared" si="683"/>
        <v>#REF!</v>
      </c>
      <c r="AA689" s="150" t="e">
        <f t="shared" si="683"/>
        <v>#REF!</v>
      </c>
      <c r="AB689" s="50"/>
    </row>
    <row r="690" s="28" customFormat="1" outlineLevel="3" spans="1:28">
      <c r="A690" s="52">
        <f>MAX($A$6:A689)+1</f>
        <v>634</v>
      </c>
      <c r="B690" s="51" t="s">
        <v>1232</v>
      </c>
      <c r="C690" s="51" t="e">
        <f>VLOOKUP($B690,#REF!,MATCH(C$2,#REF!,0),0)</f>
        <v>#REF!</v>
      </c>
      <c r="D690" s="83"/>
      <c r="E690" s="83"/>
      <c r="F690" s="136" t="e">
        <f>VLOOKUP($B690,#REF!,MATCH(F$2,#REF!,0),0)</f>
        <v>#REF!</v>
      </c>
      <c r="G690" s="137" t="e">
        <f>VLOOKUP($B690,#REF!,MATCH(G$2,#REF!,0),0)</f>
        <v>#REF!</v>
      </c>
      <c r="H690" s="48"/>
      <c r="I690" s="48"/>
      <c r="J690" s="48"/>
      <c r="K690" s="48"/>
      <c r="L690" s="48"/>
      <c r="M690" s="48"/>
      <c r="N690" s="48"/>
      <c r="O690" s="48"/>
      <c r="P690" s="48"/>
      <c r="Q690" s="48"/>
      <c r="R690" s="150" t="e">
        <f t="shared" ref="R690:AA690" si="684">$G690*H690</f>
        <v>#REF!</v>
      </c>
      <c r="S690" s="150" t="e">
        <f t="shared" si="684"/>
        <v>#REF!</v>
      </c>
      <c r="T690" s="150" t="e">
        <f t="shared" si="684"/>
        <v>#REF!</v>
      </c>
      <c r="U690" s="150" t="e">
        <f t="shared" si="684"/>
        <v>#REF!</v>
      </c>
      <c r="V690" s="150" t="e">
        <f t="shared" si="684"/>
        <v>#REF!</v>
      </c>
      <c r="W690" s="150" t="e">
        <f t="shared" si="684"/>
        <v>#REF!</v>
      </c>
      <c r="X690" s="150" t="e">
        <f t="shared" si="684"/>
        <v>#REF!</v>
      </c>
      <c r="Y690" s="150" t="e">
        <f t="shared" si="684"/>
        <v>#REF!</v>
      </c>
      <c r="Z690" s="150" t="e">
        <f t="shared" si="684"/>
        <v>#REF!</v>
      </c>
      <c r="AA690" s="150" t="e">
        <f t="shared" si="684"/>
        <v>#REF!</v>
      </c>
      <c r="AB690" s="50"/>
    </row>
    <row r="691" s="28" customFormat="1" outlineLevel="3" spans="1:28">
      <c r="A691" s="52">
        <f>MAX($A$6:A690)+1</f>
        <v>635</v>
      </c>
      <c r="B691" s="138" t="s">
        <v>1233</v>
      </c>
      <c r="C691" s="51" t="e">
        <f>VLOOKUP($B691,#REF!,MATCH(C$2,#REF!,0),0)</f>
        <v>#REF!</v>
      </c>
      <c r="D691" s="83"/>
      <c r="E691" s="83"/>
      <c r="F691" s="136" t="e">
        <f>VLOOKUP($B691,#REF!,MATCH(F$2,#REF!,0),0)</f>
        <v>#REF!</v>
      </c>
      <c r="G691" s="137" t="e">
        <f>VLOOKUP($B691,#REF!,MATCH(G$2,#REF!,0),0)</f>
        <v>#REF!</v>
      </c>
      <c r="H691" s="48"/>
      <c r="I691" s="48"/>
      <c r="J691" s="48"/>
      <c r="K691" s="48"/>
      <c r="L691" s="48"/>
      <c r="M691" s="48"/>
      <c r="N691" s="48"/>
      <c r="O691" s="48"/>
      <c r="P691" s="48"/>
      <c r="Q691" s="48">
        <v>11.14</v>
      </c>
      <c r="R691" s="150" t="e">
        <f t="shared" ref="R691:AA691" si="685">$G691*H691</f>
        <v>#REF!</v>
      </c>
      <c r="S691" s="150" t="e">
        <f t="shared" si="685"/>
        <v>#REF!</v>
      </c>
      <c r="T691" s="150" t="e">
        <f t="shared" si="685"/>
        <v>#REF!</v>
      </c>
      <c r="U691" s="150" t="e">
        <f t="shared" si="685"/>
        <v>#REF!</v>
      </c>
      <c r="V691" s="150" t="e">
        <f t="shared" si="685"/>
        <v>#REF!</v>
      </c>
      <c r="W691" s="150" t="e">
        <f t="shared" si="685"/>
        <v>#REF!</v>
      </c>
      <c r="X691" s="150" t="e">
        <f t="shared" si="685"/>
        <v>#REF!</v>
      </c>
      <c r="Y691" s="150" t="e">
        <f t="shared" si="685"/>
        <v>#REF!</v>
      </c>
      <c r="Z691" s="150" t="e">
        <f t="shared" si="685"/>
        <v>#REF!</v>
      </c>
      <c r="AA691" s="150" t="e">
        <f t="shared" si="685"/>
        <v>#REF!</v>
      </c>
      <c r="AB691" s="50"/>
    </row>
    <row r="692" s="28" customFormat="1" outlineLevel="3" spans="1:28">
      <c r="A692" s="52">
        <f>MAX($A$6:A691)+1</f>
        <v>636</v>
      </c>
      <c r="B692" s="51" t="s">
        <v>1235</v>
      </c>
      <c r="C692" s="51" t="e">
        <f>VLOOKUP($B692,#REF!,MATCH(C$2,#REF!,0),0)</f>
        <v>#REF!</v>
      </c>
      <c r="D692" s="83"/>
      <c r="E692" s="83"/>
      <c r="F692" s="136" t="e">
        <f>VLOOKUP($B692,#REF!,MATCH(F$2,#REF!,0),0)</f>
        <v>#REF!</v>
      </c>
      <c r="G692" s="137" t="e">
        <f>VLOOKUP($B692,#REF!,MATCH(G$2,#REF!,0),0)</f>
        <v>#REF!</v>
      </c>
      <c r="H692" s="48"/>
      <c r="I692" s="48"/>
      <c r="J692" s="48"/>
      <c r="K692" s="48"/>
      <c r="L692" s="48"/>
      <c r="M692" s="48"/>
      <c r="N692" s="48"/>
      <c r="O692" s="48"/>
      <c r="P692" s="48"/>
      <c r="Q692" s="48"/>
      <c r="R692" s="150" t="e">
        <f t="shared" ref="R692:AA692" si="686">$G692*H692</f>
        <v>#REF!</v>
      </c>
      <c r="S692" s="150" t="e">
        <f t="shared" si="686"/>
        <v>#REF!</v>
      </c>
      <c r="T692" s="150" t="e">
        <f t="shared" si="686"/>
        <v>#REF!</v>
      </c>
      <c r="U692" s="150" t="e">
        <f t="shared" si="686"/>
        <v>#REF!</v>
      </c>
      <c r="V692" s="150" t="e">
        <f t="shared" si="686"/>
        <v>#REF!</v>
      </c>
      <c r="W692" s="150" t="e">
        <f t="shared" si="686"/>
        <v>#REF!</v>
      </c>
      <c r="X692" s="150" t="e">
        <f t="shared" si="686"/>
        <v>#REF!</v>
      </c>
      <c r="Y692" s="150" t="e">
        <f t="shared" si="686"/>
        <v>#REF!</v>
      </c>
      <c r="Z692" s="150" t="e">
        <f t="shared" si="686"/>
        <v>#REF!</v>
      </c>
      <c r="AA692" s="150" t="e">
        <f t="shared" si="686"/>
        <v>#REF!</v>
      </c>
      <c r="AB692" s="50"/>
    </row>
    <row r="693" s="28" customFormat="1" outlineLevel="3" spans="1:28">
      <c r="A693" s="52">
        <f>MAX($A$6:A692)+1</f>
        <v>637</v>
      </c>
      <c r="B693" s="51" t="s">
        <v>1236</v>
      </c>
      <c r="C693" s="51" t="e">
        <f>VLOOKUP($B693,#REF!,MATCH(C$2,#REF!,0),0)</f>
        <v>#REF!</v>
      </c>
      <c r="D693" s="83"/>
      <c r="E693" s="83"/>
      <c r="F693" s="136" t="e">
        <f>VLOOKUP($B693,#REF!,MATCH(F$2,#REF!,0),0)</f>
        <v>#REF!</v>
      </c>
      <c r="G693" s="137" t="e">
        <f>VLOOKUP($B693,#REF!,MATCH(G$2,#REF!,0),0)</f>
        <v>#REF!</v>
      </c>
      <c r="H693" s="48"/>
      <c r="I693" s="48"/>
      <c r="J693" s="48"/>
      <c r="K693" s="48"/>
      <c r="L693" s="48"/>
      <c r="M693" s="48"/>
      <c r="N693" s="48"/>
      <c r="O693" s="48"/>
      <c r="P693" s="48"/>
      <c r="Q693" s="48"/>
      <c r="R693" s="150" t="e">
        <f t="shared" ref="R693:AA693" si="687">$G693*H693</f>
        <v>#REF!</v>
      </c>
      <c r="S693" s="150" t="e">
        <f t="shared" si="687"/>
        <v>#REF!</v>
      </c>
      <c r="T693" s="150" t="e">
        <f t="shared" si="687"/>
        <v>#REF!</v>
      </c>
      <c r="U693" s="150" t="e">
        <f t="shared" si="687"/>
        <v>#REF!</v>
      </c>
      <c r="V693" s="150" t="e">
        <f t="shared" si="687"/>
        <v>#REF!</v>
      </c>
      <c r="W693" s="150" t="e">
        <f t="shared" si="687"/>
        <v>#REF!</v>
      </c>
      <c r="X693" s="150" t="e">
        <f t="shared" si="687"/>
        <v>#REF!</v>
      </c>
      <c r="Y693" s="150" t="e">
        <f t="shared" si="687"/>
        <v>#REF!</v>
      </c>
      <c r="Z693" s="150" t="e">
        <f t="shared" si="687"/>
        <v>#REF!</v>
      </c>
      <c r="AA693" s="150" t="e">
        <f t="shared" si="687"/>
        <v>#REF!</v>
      </c>
      <c r="AB693" s="50"/>
    </row>
    <row r="694" s="28" customFormat="1" outlineLevel="3" spans="1:28">
      <c r="A694" s="52">
        <f>MAX($A$6:A691)+1</f>
        <v>636</v>
      </c>
      <c r="B694" s="138" t="s">
        <v>1263</v>
      </c>
      <c r="C694" s="51" t="e">
        <f>VLOOKUP($B694,#REF!,MATCH(C$2,#REF!,0),0)</f>
        <v>#REF!</v>
      </c>
      <c r="D694" s="83"/>
      <c r="E694" s="83"/>
      <c r="F694" s="136" t="e">
        <f>VLOOKUP($B694,#REF!,MATCH(F$2,#REF!,0),0)</f>
        <v>#REF!</v>
      </c>
      <c r="G694" s="137" t="e">
        <f>VLOOKUP($B694,#REF!,MATCH(G$2,#REF!,0),0)</f>
        <v>#REF!</v>
      </c>
      <c r="H694" s="48">
        <v>6</v>
      </c>
      <c r="I694" s="48">
        <v>10</v>
      </c>
      <c r="J694" s="48">
        <v>5</v>
      </c>
      <c r="K694" s="48">
        <v>5</v>
      </c>
      <c r="L694" s="48">
        <v>3</v>
      </c>
      <c r="M694" s="48">
        <v>1</v>
      </c>
      <c r="N694" s="48">
        <v>1</v>
      </c>
      <c r="O694" s="48">
        <v>1</v>
      </c>
      <c r="P694" s="48">
        <v>10</v>
      </c>
      <c r="Q694" s="48">
        <v>25</v>
      </c>
      <c r="R694" s="150" t="e">
        <f t="shared" ref="R694:AA694" si="688">$G694*H694</f>
        <v>#REF!</v>
      </c>
      <c r="S694" s="150" t="e">
        <f t="shared" si="688"/>
        <v>#REF!</v>
      </c>
      <c r="T694" s="150" t="e">
        <f t="shared" si="688"/>
        <v>#REF!</v>
      </c>
      <c r="U694" s="150" t="e">
        <f t="shared" si="688"/>
        <v>#REF!</v>
      </c>
      <c r="V694" s="150" t="e">
        <f t="shared" si="688"/>
        <v>#REF!</v>
      </c>
      <c r="W694" s="150" t="e">
        <f t="shared" si="688"/>
        <v>#REF!</v>
      </c>
      <c r="X694" s="150" t="e">
        <f t="shared" si="688"/>
        <v>#REF!</v>
      </c>
      <c r="Y694" s="150" t="e">
        <f t="shared" si="688"/>
        <v>#REF!</v>
      </c>
      <c r="Z694" s="150" t="e">
        <f t="shared" si="688"/>
        <v>#REF!</v>
      </c>
      <c r="AA694" s="150" t="e">
        <f t="shared" si="688"/>
        <v>#REF!</v>
      </c>
      <c r="AB694" s="50"/>
    </row>
    <row r="695" s="28" customFormat="1" ht="28.8" outlineLevel="3" spans="1:28">
      <c r="A695" s="52">
        <f>MAX($A$6:A694)+1</f>
        <v>638</v>
      </c>
      <c r="B695" s="138" t="s">
        <v>2176</v>
      </c>
      <c r="C695" s="51" t="e">
        <f>VLOOKUP($B695,#REF!,MATCH(C$2,#REF!,0),0)</f>
        <v>#REF!</v>
      </c>
      <c r="D695" s="83"/>
      <c r="E695" s="83"/>
      <c r="F695" s="136" t="e">
        <f>VLOOKUP($B695,#REF!,MATCH(F$2,#REF!,0),0)</f>
        <v>#REF!</v>
      </c>
      <c r="G695" s="137" t="e">
        <f>VLOOKUP($B695,#REF!,MATCH(G$2,#REF!,0),0)</f>
        <v>#REF!</v>
      </c>
      <c r="H695" s="48"/>
      <c r="I695" s="48"/>
      <c r="J695" s="48"/>
      <c r="K695" s="48"/>
      <c r="L695" s="48">
        <v>165.643</v>
      </c>
      <c r="M695" s="48"/>
      <c r="N695" s="48"/>
      <c r="O695" s="48"/>
      <c r="P695" s="48"/>
      <c r="Q695" s="48"/>
      <c r="R695" s="150" t="e">
        <f t="shared" ref="R695:AA695" si="689">$G695*H695</f>
        <v>#REF!</v>
      </c>
      <c r="S695" s="150" t="e">
        <f t="shared" si="689"/>
        <v>#REF!</v>
      </c>
      <c r="T695" s="150" t="e">
        <f t="shared" si="689"/>
        <v>#REF!</v>
      </c>
      <c r="U695" s="150" t="e">
        <f t="shared" si="689"/>
        <v>#REF!</v>
      </c>
      <c r="V695" s="150" t="e">
        <f t="shared" si="689"/>
        <v>#REF!</v>
      </c>
      <c r="W695" s="150" t="e">
        <f t="shared" si="689"/>
        <v>#REF!</v>
      </c>
      <c r="X695" s="150" t="e">
        <f t="shared" si="689"/>
        <v>#REF!</v>
      </c>
      <c r="Y695" s="150" t="e">
        <f t="shared" si="689"/>
        <v>#REF!</v>
      </c>
      <c r="Z695" s="150" t="e">
        <f t="shared" si="689"/>
        <v>#REF!</v>
      </c>
      <c r="AA695" s="150" t="e">
        <f t="shared" si="689"/>
        <v>#REF!</v>
      </c>
      <c r="AB695" s="50"/>
    </row>
    <row r="696" s="28" customFormat="1" ht="28.8" outlineLevel="3" spans="1:28">
      <c r="A696" s="52">
        <f>MAX($A$6:A695)+1</f>
        <v>639</v>
      </c>
      <c r="B696" s="138" t="s">
        <v>2177</v>
      </c>
      <c r="C696" s="51" t="e">
        <f>VLOOKUP($B696,#REF!,MATCH(C$2,#REF!,0),0)</f>
        <v>#REF!</v>
      </c>
      <c r="D696" s="83"/>
      <c r="E696" s="83"/>
      <c r="F696" s="136" t="e">
        <f>VLOOKUP($B696,#REF!,MATCH(F$2,#REF!,0),0)</f>
        <v>#REF!</v>
      </c>
      <c r="G696" s="137" t="e">
        <f>VLOOKUP($B696,#REF!,MATCH(G$2,#REF!,0),0)</f>
        <v>#REF!</v>
      </c>
      <c r="H696" s="48"/>
      <c r="I696" s="48"/>
      <c r="J696" s="48"/>
      <c r="K696" s="48"/>
      <c r="L696" s="48">
        <v>59.964</v>
      </c>
      <c r="M696" s="48"/>
      <c r="N696" s="48"/>
      <c r="O696" s="48"/>
      <c r="P696" s="48"/>
      <c r="Q696" s="48"/>
      <c r="R696" s="150" t="e">
        <f t="shared" ref="R696:AA696" si="690">$G696*H696</f>
        <v>#REF!</v>
      </c>
      <c r="S696" s="150" t="e">
        <f t="shared" si="690"/>
        <v>#REF!</v>
      </c>
      <c r="T696" s="150" t="e">
        <f t="shared" si="690"/>
        <v>#REF!</v>
      </c>
      <c r="U696" s="150" t="e">
        <f t="shared" si="690"/>
        <v>#REF!</v>
      </c>
      <c r="V696" s="150" t="e">
        <f t="shared" si="690"/>
        <v>#REF!</v>
      </c>
      <c r="W696" s="150" t="e">
        <f t="shared" si="690"/>
        <v>#REF!</v>
      </c>
      <c r="X696" s="150" t="e">
        <f t="shared" si="690"/>
        <v>#REF!</v>
      </c>
      <c r="Y696" s="150" t="e">
        <f t="shared" si="690"/>
        <v>#REF!</v>
      </c>
      <c r="Z696" s="150" t="e">
        <f t="shared" si="690"/>
        <v>#REF!</v>
      </c>
      <c r="AA696" s="150" t="e">
        <f t="shared" si="690"/>
        <v>#REF!</v>
      </c>
      <c r="AB696" s="50"/>
    </row>
    <row r="697" s="28" customFormat="1" outlineLevel="3" spans="1:28">
      <c r="A697" s="52">
        <f>MAX($A$6:A696)+1</f>
        <v>640</v>
      </c>
      <c r="B697" s="138" t="s">
        <v>1276</v>
      </c>
      <c r="C697" s="51" t="e">
        <f>VLOOKUP($B697,#REF!,MATCH(C$2,#REF!,0),0)</f>
        <v>#REF!</v>
      </c>
      <c r="D697" s="83"/>
      <c r="E697" s="83"/>
      <c r="F697" s="136" t="e">
        <f>VLOOKUP($B697,#REF!,MATCH(F$2,#REF!,0),0)</f>
        <v>#REF!</v>
      </c>
      <c r="G697" s="137" t="e">
        <f>VLOOKUP($B697,#REF!,MATCH(G$2,#REF!,0),0)</f>
        <v>#REF!</v>
      </c>
      <c r="H697" s="48">
        <v>3.34</v>
      </c>
      <c r="I697" s="48">
        <v>3.25</v>
      </c>
      <c r="J697" s="48">
        <v>1</v>
      </c>
      <c r="K697" s="48">
        <v>1</v>
      </c>
      <c r="L697" s="48"/>
      <c r="M697" s="48">
        <v>1</v>
      </c>
      <c r="N697" s="48">
        <v>1</v>
      </c>
      <c r="O697" s="48">
        <v>1</v>
      </c>
      <c r="P697" s="48"/>
      <c r="Q697" s="48"/>
      <c r="R697" s="150" t="e">
        <f t="shared" ref="R697:AA697" si="691">$G697*H697</f>
        <v>#REF!</v>
      </c>
      <c r="S697" s="150" t="e">
        <f t="shared" si="691"/>
        <v>#REF!</v>
      </c>
      <c r="T697" s="150" t="e">
        <f t="shared" si="691"/>
        <v>#REF!</v>
      </c>
      <c r="U697" s="150" t="e">
        <f t="shared" si="691"/>
        <v>#REF!</v>
      </c>
      <c r="V697" s="150" t="e">
        <f t="shared" si="691"/>
        <v>#REF!</v>
      </c>
      <c r="W697" s="150" t="e">
        <f t="shared" si="691"/>
        <v>#REF!</v>
      </c>
      <c r="X697" s="150" t="e">
        <f t="shared" si="691"/>
        <v>#REF!</v>
      </c>
      <c r="Y697" s="150" t="e">
        <f t="shared" si="691"/>
        <v>#REF!</v>
      </c>
      <c r="Z697" s="150" t="e">
        <f t="shared" si="691"/>
        <v>#REF!</v>
      </c>
      <c r="AA697" s="150" t="e">
        <f t="shared" si="691"/>
        <v>#REF!</v>
      </c>
      <c r="AB697" s="50"/>
    </row>
    <row r="698" s="28" customFormat="1" outlineLevel="3" spans="1:28">
      <c r="A698" s="52">
        <f>MAX($A$6:A697)+1</f>
        <v>641</v>
      </c>
      <c r="B698" s="138" t="s">
        <v>1277</v>
      </c>
      <c r="C698" s="51" t="e">
        <f>VLOOKUP($B698,#REF!,MATCH(C$2,#REF!,0),0)</f>
        <v>#REF!</v>
      </c>
      <c r="D698" s="83"/>
      <c r="E698" s="83"/>
      <c r="F698" s="136" t="e">
        <f>VLOOKUP($B698,#REF!,MATCH(F$2,#REF!,0),0)</f>
        <v>#REF!</v>
      </c>
      <c r="G698" s="137" t="e">
        <f>VLOOKUP($B698,#REF!,MATCH(G$2,#REF!,0),0)</f>
        <v>#REF!</v>
      </c>
      <c r="H698" s="48">
        <v>702.55</v>
      </c>
      <c r="I698" s="48">
        <v>711.87</v>
      </c>
      <c r="J698" s="48">
        <v>312.97</v>
      </c>
      <c r="K698" s="48">
        <v>312.97</v>
      </c>
      <c r="L698" s="48"/>
      <c r="M698" s="48">
        <v>1</v>
      </c>
      <c r="N698" s="48">
        <v>1</v>
      </c>
      <c r="O698" s="48">
        <v>1</v>
      </c>
      <c r="P698" s="48">
        <v>3246.29</v>
      </c>
      <c r="Q698" s="48">
        <v>9840.43</v>
      </c>
      <c r="R698" s="150" t="e">
        <f t="shared" ref="R698:AA698" si="692">$G698*H698</f>
        <v>#REF!</v>
      </c>
      <c r="S698" s="150" t="e">
        <f t="shared" si="692"/>
        <v>#REF!</v>
      </c>
      <c r="T698" s="150" t="e">
        <f t="shared" si="692"/>
        <v>#REF!</v>
      </c>
      <c r="U698" s="150" t="e">
        <f t="shared" si="692"/>
        <v>#REF!</v>
      </c>
      <c r="V698" s="150" t="e">
        <f t="shared" si="692"/>
        <v>#REF!</v>
      </c>
      <c r="W698" s="150" t="e">
        <f t="shared" si="692"/>
        <v>#REF!</v>
      </c>
      <c r="X698" s="150" t="e">
        <f t="shared" si="692"/>
        <v>#REF!</v>
      </c>
      <c r="Y698" s="150" t="e">
        <f t="shared" si="692"/>
        <v>#REF!</v>
      </c>
      <c r="Z698" s="150" t="e">
        <f t="shared" si="692"/>
        <v>#REF!</v>
      </c>
      <c r="AA698" s="150" t="e">
        <f t="shared" si="692"/>
        <v>#REF!</v>
      </c>
      <c r="AB698" s="50"/>
    </row>
    <row r="699" s="28" customFormat="1" outlineLevel="3" spans="1:28">
      <c r="A699" s="52">
        <f>MAX($A$6:A698)+1</f>
        <v>642</v>
      </c>
      <c r="B699" s="138" t="s">
        <v>1278</v>
      </c>
      <c r="C699" s="51" t="e">
        <f>VLOOKUP($B699,#REF!,MATCH(C$2,#REF!,0),0)</f>
        <v>#REF!</v>
      </c>
      <c r="D699" s="83"/>
      <c r="E699" s="83"/>
      <c r="F699" s="136" t="e">
        <f>VLOOKUP($B699,#REF!,MATCH(F$2,#REF!,0),0)</f>
        <v>#REF!</v>
      </c>
      <c r="G699" s="137" t="e">
        <f>VLOOKUP($B699,#REF!,MATCH(G$2,#REF!,0),0)</f>
        <v>#REF!</v>
      </c>
      <c r="H699" s="48">
        <v>52.98</v>
      </c>
      <c r="I699" s="48">
        <v>50.59</v>
      </c>
      <c r="J699" s="48">
        <v>21.26</v>
      </c>
      <c r="K699" s="48">
        <v>21.26</v>
      </c>
      <c r="L699" s="48"/>
      <c r="M699" s="48">
        <v>1</v>
      </c>
      <c r="N699" s="48">
        <v>1</v>
      </c>
      <c r="O699" s="48">
        <v>1</v>
      </c>
      <c r="P699" s="48">
        <v>81.14</v>
      </c>
      <c r="Q699" s="48">
        <v>218.42</v>
      </c>
      <c r="R699" s="150" t="e">
        <f t="shared" ref="R699:AA699" si="693">$G699*H699</f>
        <v>#REF!</v>
      </c>
      <c r="S699" s="150" t="e">
        <f t="shared" si="693"/>
        <v>#REF!</v>
      </c>
      <c r="T699" s="150" t="e">
        <f t="shared" si="693"/>
        <v>#REF!</v>
      </c>
      <c r="U699" s="150" t="e">
        <f t="shared" si="693"/>
        <v>#REF!</v>
      </c>
      <c r="V699" s="150" t="e">
        <f t="shared" si="693"/>
        <v>#REF!</v>
      </c>
      <c r="W699" s="150" t="e">
        <f t="shared" si="693"/>
        <v>#REF!</v>
      </c>
      <c r="X699" s="150" t="e">
        <f t="shared" si="693"/>
        <v>#REF!</v>
      </c>
      <c r="Y699" s="150" t="e">
        <f t="shared" si="693"/>
        <v>#REF!</v>
      </c>
      <c r="Z699" s="150" t="e">
        <f t="shared" si="693"/>
        <v>#REF!</v>
      </c>
      <c r="AA699" s="150" t="e">
        <f t="shared" si="693"/>
        <v>#REF!</v>
      </c>
      <c r="AB699" s="50"/>
    </row>
    <row r="700" s="28" customFormat="1" outlineLevel="3" spans="1:28">
      <c r="A700" s="52">
        <f>MAX($A$6:A699)+1</f>
        <v>643</v>
      </c>
      <c r="B700" s="138" t="s">
        <v>1330</v>
      </c>
      <c r="C700" s="51" t="e">
        <f>VLOOKUP($B700,#REF!,MATCH(C$2,#REF!,0),0)</f>
        <v>#REF!</v>
      </c>
      <c r="D700" s="83"/>
      <c r="E700" s="83"/>
      <c r="F700" s="136" t="e">
        <f>VLOOKUP($B700,#REF!,MATCH(F$2,#REF!,0),0)</f>
        <v>#REF!</v>
      </c>
      <c r="G700" s="137" t="e">
        <f>VLOOKUP($B700,#REF!,MATCH(G$2,#REF!,0),0)</f>
        <v>#REF!</v>
      </c>
      <c r="H700" s="48">
        <v>758.87</v>
      </c>
      <c r="I700" s="48">
        <v>13.4</v>
      </c>
      <c r="J700" s="48">
        <v>334.23</v>
      </c>
      <c r="K700" s="48">
        <v>334.23</v>
      </c>
      <c r="L700" s="48">
        <v>225.607</v>
      </c>
      <c r="M700" s="48">
        <v>1</v>
      </c>
      <c r="N700" s="48">
        <v>1</v>
      </c>
      <c r="O700" s="48">
        <v>1</v>
      </c>
      <c r="P700" s="48">
        <v>3327.43</v>
      </c>
      <c r="Q700" s="48">
        <v>10058.85</v>
      </c>
      <c r="R700" s="150" t="e">
        <f t="shared" ref="R700:AA700" si="694">$G700*H700</f>
        <v>#REF!</v>
      </c>
      <c r="S700" s="150" t="e">
        <f t="shared" si="694"/>
        <v>#REF!</v>
      </c>
      <c r="T700" s="150" t="e">
        <f t="shared" si="694"/>
        <v>#REF!</v>
      </c>
      <c r="U700" s="150" t="e">
        <f t="shared" si="694"/>
        <v>#REF!</v>
      </c>
      <c r="V700" s="150" t="e">
        <f t="shared" si="694"/>
        <v>#REF!</v>
      </c>
      <c r="W700" s="150" t="e">
        <f t="shared" si="694"/>
        <v>#REF!</v>
      </c>
      <c r="X700" s="150" t="e">
        <f t="shared" si="694"/>
        <v>#REF!</v>
      </c>
      <c r="Y700" s="150" t="e">
        <f t="shared" si="694"/>
        <v>#REF!</v>
      </c>
      <c r="Z700" s="150" t="e">
        <f t="shared" si="694"/>
        <v>#REF!</v>
      </c>
      <c r="AA700" s="150" t="e">
        <f t="shared" si="694"/>
        <v>#REF!</v>
      </c>
      <c r="AB700" s="50"/>
    </row>
    <row r="701" s="28" customFormat="1" outlineLevel="3" spans="1:28">
      <c r="A701" s="52">
        <f>MAX($A$6:A700)+1</f>
        <v>644</v>
      </c>
      <c r="B701" s="138" t="s">
        <v>2241</v>
      </c>
      <c r="C701" s="51" t="e">
        <f>VLOOKUP($B701,#REF!,MATCH(C$2,#REF!,0),0)</f>
        <v>#REF!</v>
      </c>
      <c r="D701" s="83"/>
      <c r="E701" s="83"/>
      <c r="F701" s="136" t="e">
        <f>VLOOKUP($B701,#REF!,MATCH(F$2,#REF!,0),0)</f>
        <v>#REF!</v>
      </c>
      <c r="G701" s="137" t="e">
        <f>VLOOKUP($B701,#REF!,MATCH(G$2,#REF!,0),0)</f>
        <v>#REF!</v>
      </c>
      <c r="H701" s="48">
        <v>106</v>
      </c>
      <c r="I701" s="48">
        <v>103</v>
      </c>
      <c r="J701" s="48">
        <v>42</v>
      </c>
      <c r="K701" s="48">
        <v>42</v>
      </c>
      <c r="L701" s="48">
        <v>30</v>
      </c>
      <c r="M701" s="48">
        <v>1</v>
      </c>
      <c r="N701" s="48">
        <v>1</v>
      </c>
      <c r="O701" s="48">
        <v>1</v>
      </c>
      <c r="P701" s="48">
        <v>595</v>
      </c>
      <c r="Q701" s="48">
        <v>1757</v>
      </c>
      <c r="R701" s="150" t="e">
        <f t="shared" ref="R701:AA701" si="695">$G701*H701</f>
        <v>#REF!</v>
      </c>
      <c r="S701" s="150" t="e">
        <f t="shared" si="695"/>
        <v>#REF!</v>
      </c>
      <c r="T701" s="150" t="e">
        <f t="shared" si="695"/>
        <v>#REF!</v>
      </c>
      <c r="U701" s="150" t="e">
        <f t="shared" si="695"/>
        <v>#REF!</v>
      </c>
      <c r="V701" s="150" t="e">
        <f t="shared" si="695"/>
        <v>#REF!</v>
      </c>
      <c r="W701" s="150" t="e">
        <f t="shared" si="695"/>
        <v>#REF!</v>
      </c>
      <c r="X701" s="150" t="e">
        <f t="shared" si="695"/>
        <v>#REF!</v>
      </c>
      <c r="Y701" s="150" t="e">
        <f t="shared" si="695"/>
        <v>#REF!</v>
      </c>
      <c r="Z701" s="150" t="e">
        <f t="shared" si="695"/>
        <v>#REF!</v>
      </c>
      <c r="AA701" s="150" t="e">
        <f t="shared" si="695"/>
        <v>#REF!</v>
      </c>
      <c r="AB701" s="50"/>
    </row>
    <row r="702" s="123" customFormat="1" spans="1:28">
      <c r="A702" s="125"/>
      <c r="B702" s="126" t="s">
        <v>2254</v>
      </c>
      <c r="C702" s="126"/>
      <c r="D702" s="105"/>
      <c r="E702" s="105"/>
      <c r="F702" s="156"/>
      <c r="G702" s="157"/>
      <c r="H702" s="129"/>
      <c r="I702" s="129"/>
      <c r="J702" s="129"/>
      <c r="K702" s="129"/>
      <c r="L702" s="129"/>
      <c r="M702" s="129"/>
      <c r="N702" s="129"/>
      <c r="O702" s="129"/>
      <c r="P702" s="129"/>
      <c r="Q702" s="129"/>
      <c r="R702" s="147" t="e">
        <f t="shared" ref="R702:AA702" si="696">SUM(R703,R825,R843)</f>
        <v>#REF!</v>
      </c>
      <c r="S702" s="147" t="e">
        <f t="shared" si="696"/>
        <v>#REF!</v>
      </c>
      <c r="T702" s="147" t="e">
        <f t="shared" si="696"/>
        <v>#REF!</v>
      </c>
      <c r="U702" s="147" t="e">
        <f t="shared" si="696"/>
        <v>#REF!</v>
      </c>
      <c r="V702" s="147" t="e">
        <f t="shared" si="696"/>
        <v>#REF!</v>
      </c>
      <c r="W702" s="147" t="e">
        <f t="shared" si="696"/>
        <v>#REF!</v>
      </c>
      <c r="X702" s="147" t="e">
        <f t="shared" si="696"/>
        <v>#REF!</v>
      </c>
      <c r="Y702" s="147" t="e">
        <f t="shared" si="696"/>
        <v>#REF!</v>
      </c>
      <c r="Z702" s="147" t="e">
        <f t="shared" si="696"/>
        <v>#REF!</v>
      </c>
      <c r="AA702" s="147" t="e">
        <f t="shared" si="696"/>
        <v>#REF!</v>
      </c>
      <c r="AB702" s="125"/>
    </row>
    <row r="703" s="122" customFormat="1" outlineLevel="1" spans="1:28">
      <c r="A703" s="130"/>
      <c r="B703" s="131" t="s">
        <v>2255</v>
      </c>
      <c r="C703" s="131"/>
      <c r="D703" s="153"/>
      <c r="E703" s="153"/>
      <c r="F703" s="154"/>
      <c r="G703" s="155"/>
      <c r="H703" s="134"/>
      <c r="I703" s="134"/>
      <c r="J703" s="134"/>
      <c r="K703" s="134"/>
      <c r="L703" s="134"/>
      <c r="M703" s="134"/>
      <c r="N703" s="134"/>
      <c r="O703" s="134"/>
      <c r="P703" s="134"/>
      <c r="Q703" s="134"/>
      <c r="R703" s="148" t="e">
        <f t="shared" ref="R703:AA703" si="697">SUM(R704,R714,R724,R769,R792,R816)</f>
        <v>#REF!</v>
      </c>
      <c r="S703" s="148" t="e">
        <f t="shared" si="697"/>
        <v>#REF!</v>
      </c>
      <c r="T703" s="148" t="e">
        <f t="shared" si="697"/>
        <v>#REF!</v>
      </c>
      <c r="U703" s="148" t="e">
        <f t="shared" si="697"/>
        <v>#REF!</v>
      </c>
      <c r="V703" s="148" t="e">
        <f t="shared" si="697"/>
        <v>#REF!</v>
      </c>
      <c r="W703" s="148" t="e">
        <f t="shared" si="697"/>
        <v>#REF!</v>
      </c>
      <c r="X703" s="148" t="e">
        <f t="shared" si="697"/>
        <v>#REF!</v>
      </c>
      <c r="Y703" s="148" t="e">
        <f t="shared" si="697"/>
        <v>#REF!</v>
      </c>
      <c r="Z703" s="148" t="e">
        <f t="shared" si="697"/>
        <v>#REF!</v>
      </c>
      <c r="AA703" s="148" t="e">
        <f t="shared" si="697"/>
        <v>#REF!</v>
      </c>
      <c r="AB703" s="130"/>
    </row>
    <row r="704" s="29" customFormat="1" outlineLevel="2" spans="1:28">
      <c r="A704" s="40"/>
      <c r="B704" s="41" t="s">
        <v>2256</v>
      </c>
      <c r="C704" s="41"/>
      <c r="D704" s="140"/>
      <c r="E704" s="140"/>
      <c r="F704" s="141"/>
      <c r="G704" s="142"/>
      <c r="H704" s="43"/>
      <c r="I704" s="43"/>
      <c r="J704" s="43"/>
      <c r="K704" s="43"/>
      <c r="L704" s="43"/>
      <c r="M704" s="43"/>
      <c r="N704" s="43"/>
      <c r="O704" s="43"/>
      <c r="P704" s="43"/>
      <c r="Q704" s="43"/>
      <c r="R704" s="149" t="e">
        <f t="shared" ref="R704:AA704" si="698">SUM(R705:R713)</f>
        <v>#REF!</v>
      </c>
      <c r="S704" s="149" t="e">
        <f t="shared" si="698"/>
        <v>#REF!</v>
      </c>
      <c r="T704" s="149" t="e">
        <f t="shared" si="698"/>
        <v>#REF!</v>
      </c>
      <c r="U704" s="149" t="e">
        <f t="shared" si="698"/>
        <v>#REF!</v>
      </c>
      <c r="V704" s="149" t="e">
        <f t="shared" si="698"/>
        <v>#REF!</v>
      </c>
      <c r="W704" s="149" t="e">
        <f t="shared" si="698"/>
        <v>#REF!</v>
      </c>
      <c r="X704" s="149" t="e">
        <f t="shared" si="698"/>
        <v>#REF!</v>
      </c>
      <c r="Y704" s="149" t="e">
        <f t="shared" si="698"/>
        <v>#REF!</v>
      </c>
      <c r="Z704" s="149" t="e">
        <f t="shared" si="698"/>
        <v>#REF!</v>
      </c>
      <c r="AA704" s="149" t="e">
        <f t="shared" si="698"/>
        <v>#REF!</v>
      </c>
      <c r="AB704" s="40"/>
    </row>
    <row r="705" s="28" customFormat="1" outlineLevel="3" spans="1:28">
      <c r="A705" s="52">
        <f>MAX($A$6:A704)+1</f>
        <v>645</v>
      </c>
      <c r="B705" s="138" t="s">
        <v>2257</v>
      </c>
      <c r="C705" s="51" t="e">
        <f>VLOOKUP($B705,#REF!,MATCH(C$2,#REF!,0),0)</f>
        <v>#REF!</v>
      </c>
      <c r="D705" s="83"/>
      <c r="E705" s="83"/>
      <c r="F705" s="136" t="e">
        <f>VLOOKUP($B705,#REF!,MATCH(F$2,#REF!,0),0)</f>
        <v>#REF!</v>
      </c>
      <c r="G705" s="137" t="e">
        <f>VLOOKUP($B705,#REF!,MATCH(G$2,#REF!,0),0)</f>
        <v>#REF!</v>
      </c>
      <c r="H705" s="48">
        <v>104</v>
      </c>
      <c r="I705" s="48">
        <v>104</v>
      </c>
      <c r="J705" s="48">
        <v>44</v>
      </c>
      <c r="K705" s="48">
        <v>44</v>
      </c>
      <c r="L705" s="48">
        <v>18</v>
      </c>
      <c r="M705" s="48"/>
      <c r="N705" s="48"/>
      <c r="O705" s="48"/>
      <c r="P705" s="48"/>
      <c r="Q705" s="48"/>
      <c r="R705" s="150" t="e">
        <f t="shared" ref="R705:AA705" si="699">$G705*H705</f>
        <v>#REF!</v>
      </c>
      <c r="S705" s="150" t="e">
        <f t="shared" si="699"/>
        <v>#REF!</v>
      </c>
      <c r="T705" s="150" t="e">
        <f t="shared" si="699"/>
        <v>#REF!</v>
      </c>
      <c r="U705" s="150" t="e">
        <f t="shared" si="699"/>
        <v>#REF!</v>
      </c>
      <c r="V705" s="150" t="e">
        <f t="shared" si="699"/>
        <v>#REF!</v>
      </c>
      <c r="W705" s="150" t="e">
        <f t="shared" si="699"/>
        <v>#REF!</v>
      </c>
      <c r="X705" s="150" t="e">
        <f t="shared" si="699"/>
        <v>#REF!</v>
      </c>
      <c r="Y705" s="150" t="e">
        <f t="shared" si="699"/>
        <v>#REF!</v>
      </c>
      <c r="Z705" s="150" t="e">
        <f t="shared" si="699"/>
        <v>#REF!</v>
      </c>
      <c r="AA705" s="150" t="e">
        <f t="shared" si="699"/>
        <v>#REF!</v>
      </c>
      <c r="AB705" s="50"/>
    </row>
    <row r="706" s="122" customFormat="1" outlineLevel="3" spans="1:28">
      <c r="A706" s="52">
        <f>MAX($A$6:A705)+1</f>
        <v>646</v>
      </c>
      <c r="B706" s="138" t="s">
        <v>2258</v>
      </c>
      <c r="C706" s="51" t="e">
        <f>VLOOKUP($B706,#REF!,MATCH(C$2,#REF!,0),0)</f>
        <v>#REF!</v>
      </c>
      <c r="D706" s="83"/>
      <c r="E706" s="83"/>
      <c r="F706" s="136" t="e">
        <f>VLOOKUP($B706,#REF!,MATCH(F$2,#REF!,0),0)</f>
        <v>#REF!</v>
      </c>
      <c r="G706" s="137" t="e">
        <f>VLOOKUP($B706,#REF!,MATCH(G$2,#REF!,0),0)</f>
        <v>#REF!</v>
      </c>
      <c r="H706" s="48">
        <v>4</v>
      </c>
      <c r="I706" s="48">
        <v>4</v>
      </c>
      <c r="J706" s="48">
        <v>1</v>
      </c>
      <c r="K706" s="48">
        <v>1</v>
      </c>
      <c r="L706" s="48">
        <v>1</v>
      </c>
      <c r="M706" s="48"/>
      <c r="N706" s="48"/>
      <c r="O706" s="48"/>
      <c r="P706" s="48"/>
      <c r="Q706" s="48"/>
      <c r="R706" s="150" t="e">
        <f t="shared" ref="R706:AA706" si="700">$G706*H706</f>
        <v>#REF!</v>
      </c>
      <c r="S706" s="150" t="e">
        <f t="shared" si="700"/>
        <v>#REF!</v>
      </c>
      <c r="T706" s="150" t="e">
        <f t="shared" si="700"/>
        <v>#REF!</v>
      </c>
      <c r="U706" s="150" t="e">
        <f t="shared" si="700"/>
        <v>#REF!</v>
      </c>
      <c r="V706" s="150" t="e">
        <f t="shared" si="700"/>
        <v>#REF!</v>
      </c>
      <c r="W706" s="150" t="e">
        <f t="shared" si="700"/>
        <v>#REF!</v>
      </c>
      <c r="X706" s="150" t="e">
        <f t="shared" si="700"/>
        <v>#REF!</v>
      </c>
      <c r="Y706" s="150" t="e">
        <f t="shared" si="700"/>
        <v>#REF!</v>
      </c>
      <c r="Z706" s="150" t="e">
        <f t="shared" si="700"/>
        <v>#REF!</v>
      </c>
      <c r="AA706" s="150" t="e">
        <f t="shared" si="700"/>
        <v>#REF!</v>
      </c>
      <c r="AB706" s="50"/>
    </row>
    <row r="707" s="28" customFormat="1" ht="28.8" outlineLevel="3" spans="1:28">
      <c r="A707" s="52">
        <f>MAX($A$6:A706)+1</f>
        <v>647</v>
      </c>
      <c r="B707" s="138" t="s">
        <v>1213</v>
      </c>
      <c r="C707" s="51" t="e">
        <f>VLOOKUP($B707,#REF!,MATCH(C$2,#REF!,0),0)</f>
        <v>#REF!</v>
      </c>
      <c r="D707" s="83"/>
      <c r="E707" s="83"/>
      <c r="F707" s="136" t="e">
        <f>VLOOKUP($B707,#REF!,MATCH(F$2,#REF!,0),0)</f>
        <v>#REF!</v>
      </c>
      <c r="G707" s="137" t="e">
        <f>VLOOKUP($B707,#REF!,MATCH(G$2,#REF!,0),0)</f>
        <v>#REF!</v>
      </c>
      <c r="H707" s="48">
        <v>3</v>
      </c>
      <c r="I707" s="48">
        <v>3</v>
      </c>
      <c r="J707" s="48">
        <v>1</v>
      </c>
      <c r="K707" s="48">
        <v>1</v>
      </c>
      <c r="L707" s="48"/>
      <c r="M707" s="48"/>
      <c r="N707" s="48"/>
      <c r="O707" s="48"/>
      <c r="P707" s="48"/>
      <c r="Q707" s="48"/>
      <c r="R707" s="150" t="e">
        <f t="shared" ref="R707:AA707" si="701">$G707*H707</f>
        <v>#REF!</v>
      </c>
      <c r="S707" s="150" t="e">
        <f t="shared" si="701"/>
        <v>#REF!</v>
      </c>
      <c r="T707" s="150" t="e">
        <f t="shared" si="701"/>
        <v>#REF!</v>
      </c>
      <c r="U707" s="150" t="e">
        <f t="shared" si="701"/>
        <v>#REF!</v>
      </c>
      <c r="V707" s="150" t="e">
        <f t="shared" si="701"/>
        <v>#REF!</v>
      </c>
      <c r="W707" s="150" t="e">
        <f t="shared" si="701"/>
        <v>#REF!</v>
      </c>
      <c r="X707" s="150" t="e">
        <f t="shared" si="701"/>
        <v>#REF!</v>
      </c>
      <c r="Y707" s="150" t="e">
        <f t="shared" si="701"/>
        <v>#REF!</v>
      </c>
      <c r="Z707" s="150" t="e">
        <f t="shared" si="701"/>
        <v>#REF!</v>
      </c>
      <c r="AA707" s="150" t="e">
        <f t="shared" si="701"/>
        <v>#REF!</v>
      </c>
      <c r="AB707" s="50"/>
    </row>
    <row r="708" s="28" customFormat="1" ht="28.8" outlineLevel="3" spans="1:28">
      <c r="A708" s="52">
        <f>MAX($A$6:A707)+1</f>
        <v>648</v>
      </c>
      <c r="B708" s="51" t="s">
        <v>1214</v>
      </c>
      <c r="C708" s="51" t="e">
        <f>VLOOKUP($B708,#REF!,MATCH(C$2,#REF!,0),0)</f>
        <v>#REF!</v>
      </c>
      <c r="D708" s="83"/>
      <c r="E708" s="83"/>
      <c r="F708" s="136" t="e">
        <f>VLOOKUP($B708,#REF!,MATCH(F$2,#REF!,0),0)</f>
        <v>#REF!</v>
      </c>
      <c r="G708" s="137" t="e">
        <f>VLOOKUP($B708,#REF!,MATCH(G$2,#REF!,0),0)</f>
        <v>#REF!</v>
      </c>
      <c r="H708" s="48"/>
      <c r="I708" s="48"/>
      <c r="J708" s="48"/>
      <c r="K708" s="48"/>
      <c r="L708" s="48"/>
      <c r="M708" s="48"/>
      <c r="N708" s="48"/>
      <c r="O708" s="48"/>
      <c r="P708" s="48"/>
      <c r="Q708" s="48"/>
      <c r="R708" s="150" t="e">
        <f t="shared" ref="R708:AA708" si="702">$G708*H708</f>
        <v>#REF!</v>
      </c>
      <c r="S708" s="150" t="e">
        <f t="shared" si="702"/>
        <v>#REF!</v>
      </c>
      <c r="T708" s="150" t="e">
        <f t="shared" si="702"/>
        <v>#REF!</v>
      </c>
      <c r="U708" s="150" t="e">
        <f t="shared" si="702"/>
        <v>#REF!</v>
      </c>
      <c r="V708" s="150" t="e">
        <f t="shared" si="702"/>
        <v>#REF!</v>
      </c>
      <c r="W708" s="150" t="e">
        <f t="shared" si="702"/>
        <v>#REF!</v>
      </c>
      <c r="X708" s="150" t="e">
        <f t="shared" si="702"/>
        <v>#REF!</v>
      </c>
      <c r="Y708" s="150" t="e">
        <f t="shared" si="702"/>
        <v>#REF!</v>
      </c>
      <c r="Z708" s="150" t="e">
        <f t="shared" si="702"/>
        <v>#REF!</v>
      </c>
      <c r="AA708" s="150" t="e">
        <f t="shared" si="702"/>
        <v>#REF!</v>
      </c>
      <c r="AB708" s="50"/>
    </row>
    <row r="709" s="28" customFormat="1" ht="28.8" outlineLevel="3" spans="1:28">
      <c r="A709" s="52">
        <f>MAX($A$6:A708)+1</f>
        <v>649</v>
      </c>
      <c r="B709" s="51" t="s">
        <v>1215</v>
      </c>
      <c r="C709" s="51" t="e">
        <f>VLOOKUP($B709,#REF!,MATCH(C$2,#REF!,0),0)</f>
        <v>#REF!</v>
      </c>
      <c r="D709" s="83"/>
      <c r="E709" s="83"/>
      <c r="F709" s="136" t="e">
        <f>VLOOKUP($B709,#REF!,MATCH(F$2,#REF!,0),0)</f>
        <v>#REF!</v>
      </c>
      <c r="G709" s="137" t="e">
        <f>VLOOKUP($B709,#REF!,MATCH(G$2,#REF!,0),0)</f>
        <v>#REF!</v>
      </c>
      <c r="H709" s="48"/>
      <c r="I709" s="48"/>
      <c r="J709" s="48"/>
      <c r="K709" s="48"/>
      <c r="L709" s="48"/>
      <c r="M709" s="48"/>
      <c r="N709" s="48"/>
      <c r="O709" s="48"/>
      <c r="P709" s="48"/>
      <c r="Q709" s="48"/>
      <c r="R709" s="150" t="e">
        <f t="shared" ref="R709:AA709" si="703">$G709*H709</f>
        <v>#REF!</v>
      </c>
      <c r="S709" s="150" t="e">
        <f t="shared" si="703"/>
        <v>#REF!</v>
      </c>
      <c r="T709" s="150" t="e">
        <f t="shared" si="703"/>
        <v>#REF!</v>
      </c>
      <c r="U709" s="150" t="e">
        <f t="shared" si="703"/>
        <v>#REF!</v>
      </c>
      <c r="V709" s="150" t="e">
        <f t="shared" si="703"/>
        <v>#REF!</v>
      </c>
      <c r="W709" s="150" t="e">
        <f t="shared" si="703"/>
        <v>#REF!</v>
      </c>
      <c r="X709" s="150" t="e">
        <f t="shared" si="703"/>
        <v>#REF!</v>
      </c>
      <c r="Y709" s="150" t="e">
        <f t="shared" si="703"/>
        <v>#REF!</v>
      </c>
      <c r="Z709" s="150" t="e">
        <f t="shared" si="703"/>
        <v>#REF!</v>
      </c>
      <c r="AA709" s="150" t="e">
        <f t="shared" si="703"/>
        <v>#REF!</v>
      </c>
      <c r="AB709" s="50"/>
    </row>
    <row r="710" s="28" customFormat="1" ht="28.8" outlineLevel="3" spans="1:28">
      <c r="A710" s="52">
        <f>MAX($A$6:A709)+1</f>
        <v>650</v>
      </c>
      <c r="B710" s="138" t="s">
        <v>1209</v>
      </c>
      <c r="C710" s="51" t="e">
        <f>VLOOKUP($B710,#REF!,MATCH(C$2,#REF!,0),0)</f>
        <v>#REF!</v>
      </c>
      <c r="D710" s="83"/>
      <c r="E710" s="83"/>
      <c r="F710" s="136" t="e">
        <f>VLOOKUP($B710,#REF!,MATCH(F$2,#REF!,0),0)</f>
        <v>#REF!</v>
      </c>
      <c r="G710" s="137" t="e">
        <f>VLOOKUP($B710,#REF!,MATCH(G$2,#REF!,0),0)</f>
        <v>#REF!</v>
      </c>
      <c r="H710" s="48"/>
      <c r="I710" s="48"/>
      <c r="J710" s="48">
        <v>2</v>
      </c>
      <c r="K710" s="48">
        <v>2</v>
      </c>
      <c r="L710" s="48"/>
      <c r="M710" s="48"/>
      <c r="N710" s="48"/>
      <c r="O710" s="48"/>
      <c r="P710" s="48"/>
      <c r="Q710" s="48"/>
      <c r="R710" s="150" t="e">
        <f t="shared" ref="R710:AA710" si="704">$G710*H710</f>
        <v>#REF!</v>
      </c>
      <c r="S710" s="150" t="e">
        <f t="shared" si="704"/>
        <v>#REF!</v>
      </c>
      <c r="T710" s="150" t="e">
        <f t="shared" si="704"/>
        <v>#REF!</v>
      </c>
      <c r="U710" s="150" t="e">
        <f t="shared" si="704"/>
        <v>#REF!</v>
      </c>
      <c r="V710" s="150" t="e">
        <f t="shared" si="704"/>
        <v>#REF!</v>
      </c>
      <c r="W710" s="150" t="e">
        <f t="shared" si="704"/>
        <v>#REF!</v>
      </c>
      <c r="X710" s="150" t="e">
        <f t="shared" si="704"/>
        <v>#REF!</v>
      </c>
      <c r="Y710" s="150" t="e">
        <f t="shared" si="704"/>
        <v>#REF!</v>
      </c>
      <c r="Z710" s="150" t="e">
        <f t="shared" si="704"/>
        <v>#REF!</v>
      </c>
      <c r="AA710" s="150" t="e">
        <f t="shared" si="704"/>
        <v>#REF!</v>
      </c>
      <c r="AB710" s="50"/>
    </row>
    <row r="711" s="28" customFormat="1" ht="28.8" outlineLevel="3" spans="1:28">
      <c r="A711" s="52">
        <f>MAX($A$6:A710)+1</f>
        <v>651</v>
      </c>
      <c r="B711" s="51" t="s">
        <v>1210</v>
      </c>
      <c r="C711" s="51" t="e">
        <f>VLOOKUP($B711,#REF!,MATCH(C$2,#REF!,0),0)</f>
        <v>#REF!</v>
      </c>
      <c r="D711" s="83"/>
      <c r="E711" s="83"/>
      <c r="F711" s="136" t="e">
        <f>VLOOKUP($B711,#REF!,MATCH(F$2,#REF!,0),0)</f>
        <v>#REF!</v>
      </c>
      <c r="G711" s="137" t="e">
        <f>VLOOKUP($B711,#REF!,MATCH(G$2,#REF!,0),0)</f>
        <v>#REF!</v>
      </c>
      <c r="H711" s="48"/>
      <c r="I711" s="48"/>
      <c r="J711" s="48">
        <v>2</v>
      </c>
      <c r="K711" s="48">
        <v>2</v>
      </c>
      <c r="L711" s="48">
        <v>2</v>
      </c>
      <c r="M711" s="48">
        <v>3</v>
      </c>
      <c r="N711" s="48">
        <v>3</v>
      </c>
      <c r="O711" s="48">
        <v>3</v>
      </c>
      <c r="P711" s="48"/>
      <c r="Q711" s="48"/>
      <c r="R711" s="150" t="e">
        <f t="shared" ref="R711:Z711" si="705">$G711*H711</f>
        <v>#REF!</v>
      </c>
      <c r="S711" s="150" t="e">
        <f t="shared" si="705"/>
        <v>#REF!</v>
      </c>
      <c r="T711" s="150" t="e">
        <f t="shared" si="705"/>
        <v>#REF!</v>
      </c>
      <c r="U711" s="150" t="e">
        <f t="shared" si="705"/>
        <v>#REF!</v>
      </c>
      <c r="V711" s="150" t="e">
        <f t="shared" si="705"/>
        <v>#REF!</v>
      </c>
      <c r="W711" s="150" t="e">
        <f t="shared" si="705"/>
        <v>#REF!</v>
      </c>
      <c r="X711" s="150" t="e">
        <f t="shared" si="705"/>
        <v>#REF!</v>
      </c>
      <c r="Y711" s="150" t="e">
        <f t="shared" si="705"/>
        <v>#REF!</v>
      </c>
      <c r="Z711" s="150" t="e">
        <f t="shared" si="705"/>
        <v>#REF!</v>
      </c>
      <c r="AA711" s="150"/>
      <c r="AB711" s="50"/>
    </row>
    <row r="712" s="28" customFormat="1" ht="28.8" outlineLevel="3" spans="1:28">
      <c r="A712" s="52">
        <f>MAX($A$6:A711)+1</f>
        <v>652</v>
      </c>
      <c r="B712" s="51" t="s">
        <v>1211</v>
      </c>
      <c r="C712" s="51" t="e">
        <f>VLOOKUP($B712,#REF!,MATCH(C$2,#REF!,0),0)</f>
        <v>#REF!</v>
      </c>
      <c r="D712" s="83"/>
      <c r="E712" s="83"/>
      <c r="F712" s="136" t="e">
        <f>VLOOKUP($B712,#REF!,MATCH(F$2,#REF!,0),0)</f>
        <v>#REF!</v>
      </c>
      <c r="G712" s="137" t="e">
        <f>VLOOKUP($B712,#REF!,MATCH(G$2,#REF!,0),0)</f>
        <v>#REF!</v>
      </c>
      <c r="H712" s="48"/>
      <c r="I712" s="48"/>
      <c r="J712" s="48"/>
      <c r="K712" s="48"/>
      <c r="L712" s="48"/>
      <c r="M712" s="48"/>
      <c r="N712" s="48"/>
      <c r="O712" s="48"/>
      <c r="P712" s="48"/>
      <c r="Q712" s="48"/>
      <c r="R712" s="150" t="e">
        <f t="shared" ref="R712:Z712" si="706">$G712*H712</f>
        <v>#REF!</v>
      </c>
      <c r="S712" s="150" t="e">
        <f t="shared" si="706"/>
        <v>#REF!</v>
      </c>
      <c r="T712" s="150" t="e">
        <f t="shared" si="706"/>
        <v>#REF!</v>
      </c>
      <c r="U712" s="150" t="e">
        <f t="shared" si="706"/>
        <v>#REF!</v>
      </c>
      <c r="V712" s="150" t="e">
        <f t="shared" si="706"/>
        <v>#REF!</v>
      </c>
      <c r="W712" s="150" t="e">
        <f t="shared" si="706"/>
        <v>#REF!</v>
      </c>
      <c r="X712" s="150" t="e">
        <f t="shared" si="706"/>
        <v>#REF!</v>
      </c>
      <c r="Y712" s="150" t="e">
        <f t="shared" si="706"/>
        <v>#REF!</v>
      </c>
      <c r="Z712" s="150" t="e">
        <f t="shared" si="706"/>
        <v>#REF!</v>
      </c>
      <c r="AA712" s="150"/>
      <c r="AB712" s="50"/>
    </row>
    <row r="713" s="28" customFormat="1" outlineLevel="3" spans="1:28">
      <c r="A713" s="52">
        <f>MAX($A$6:A712)+1</f>
        <v>653</v>
      </c>
      <c r="B713" s="138" t="s">
        <v>1207</v>
      </c>
      <c r="C713" s="51" t="e">
        <f>VLOOKUP($B713,#REF!,MATCH(C$2,#REF!,0),0)</f>
        <v>#REF!</v>
      </c>
      <c r="D713" s="83"/>
      <c r="E713" s="83"/>
      <c r="F713" s="136" t="e">
        <f>VLOOKUP($B713,#REF!,MATCH(F$2,#REF!,0),0)</f>
        <v>#REF!</v>
      </c>
      <c r="G713" s="137" t="e">
        <f>VLOOKUP($B713,#REF!,MATCH(G$2,#REF!,0),0)</f>
        <v>#REF!</v>
      </c>
      <c r="H713" s="48">
        <v>2</v>
      </c>
      <c r="I713" s="48">
        <v>2</v>
      </c>
      <c r="J713" s="48">
        <v>2</v>
      </c>
      <c r="K713" s="48">
        <v>2</v>
      </c>
      <c r="L713" s="48"/>
      <c r="M713" s="48">
        <v>2</v>
      </c>
      <c r="N713" s="48">
        <v>2</v>
      </c>
      <c r="O713" s="48">
        <v>2</v>
      </c>
      <c r="P713" s="48"/>
      <c r="Q713" s="48"/>
      <c r="R713" s="150" t="e">
        <f t="shared" ref="R713:AA713" si="707">$G713*H713</f>
        <v>#REF!</v>
      </c>
      <c r="S713" s="150" t="e">
        <f t="shared" si="707"/>
        <v>#REF!</v>
      </c>
      <c r="T713" s="150" t="e">
        <f t="shared" si="707"/>
        <v>#REF!</v>
      </c>
      <c r="U713" s="150" t="e">
        <f t="shared" si="707"/>
        <v>#REF!</v>
      </c>
      <c r="V713" s="150" t="e">
        <f t="shared" si="707"/>
        <v>#REF!</v>
      </c>
      <c r="W713" s="150" t="e">
        <f t="shared" si="707"/>
        <v>#REF!</v>
      </c>
      <c r="X713" s="150" t="e">
        <f t="shared" si="707"/>
        <v>#REF!</v>
      </c>
      <c r="Y713" s="150" t="e">
        <f t="shared" si="707"/>
        <v>#REF!</v>
      </c>
      <c r="Z713" s="150" t="e">
        <f t="shared" si="707"/>
        <v>#REF!</v>
      </c>
      <c r="AA713" s="150" t="e">
        <f t="shared" si="707"/>
        <v>#REF!</v>
      </c>
      <c r="AB713" s="50"/>
    </row>
    <row r="714" s="29" customFormat="1" outlineLevel="2" spans="1:28">
      <c r="A714" s="40"/>
      <c r="B714" s="41" t="s">
        <v>2259</v>
      </c>
      <c r="C714" s="41"/>
      <c r="D714" s="140"/>
      <c r="E714" s="140"/>
      <c r="F714" s="141"/>
      <c r="G714" s="142"/>
      <c r="H714" s="43"/>
      <c r="I714" s="43"/>
      <c r="J714" s="43"/>
      <c r="K714" s="43"/>
      <c r="L714" s="43"/>
      <c r="M714" s="43"/>
      <c r="N714" s="43"/>
      <c r="O714" s="43"/>
      <c r="P714" s="43"/>
      <c r="Q714" s="43"/>
      <c r="R714" s="149" t="e">
        <f t="shared" ref="R714:AA714" si="708">SUM(R715:R723)</f>
        <v>#REF!</v>
      </c>
      <c r="S714" s="149" t="e">
        <f t="shared" si="708"/>
        <v>#REF!</v>
      </c>
      <c r="T714" s="149" t="e">
        <f t="shared" si="708"/>
        <v>#REF!</v>
      </c>
      <c r="U714" s="149" t="e">
        <f t="shared" si="708"/>
        <v>#REF!</v>
      </c>
      <c r="V714" s="149" t="e">
        <f t="shared" si="708"/>
        <v>#REF!</v>
      </c>
      <c r="W714" s="149" t="e">
        <f t="shared" si="708"/>
        <v>#REF!</v>
      </c>
      <c r="X714" s="149" t="e">
        <f t="shared" si="708"/>
        <v>#REF!</v>
      </c>
      <c r="Y714" s="149" t="e">
        <f t="shared" si="708"/>
        <v>#REF!</v>
      </c>
      <c r="Z714" s="149" t="e">
        <f t="shared" si="708"/>
        <v>#REF!</v>
      </c>
      <c r="AA714" s="149" t="e">
        <f t="shared" si="708"/>
        <v>#REF!</v>
      </c>
      <c r="AB714" s="40"/>
    </row>
    <row r="715" s="28" customFormat="1" outlineLevel="3" spans="1:28">
      <c r="A715" s="52">
        <f>MAX($A$6:A714)+1</f>
        <v>654</v>
      </c>
      <c r="B715" s="138" t="s">
        <v>1224</v>
      </c>
      <c r="C715" s="51" t="e">
        <f>VLOOKUP($B715,#REF!,MATCH(C$2,#REF!,0),0)</f>
        <v>#REF!</v>
      </c>
      <c r="D715" s="83"/>
      <c r="E715" s="83"/>
      <c r="F715" s="136" t="e">
        <f>VLOOKUP($B715,#REF!,MATCH(F$2,#REF!,0),0)</f>
        <v>#REF!</v>
      </c>
      <c r="G715" s="137" t="e">
        <f>VLOOKUP($B715,#REF!,MATCH(G$2,#REF!,0),0)</f>
        <v>#REF!</v>
      </c>
      <c r="H715" s="48"/>
      <c r="I715" s="48"/>
      <c r="J715" s="48">
        <v>66.22</v>
      </c>
      <c r="K715" s="48">
        <v>66.22</v>
      </c>
      <c r="L715" s="48">
        <v>32</v>
      </c>
      <c r="M715" s="48"/>
      <c r="N715" s="48"/>
      <c r="O715" s="48"/>
      <c r="P715" s="48"/>
      <c r="Q715" s="48"/>
      <c r="R715" s="150" t="e">
        <f t="shared" ref="R715:AA715" si="709">$G715*H715</f>
        <v>#REF!</v>
      </c>
      <c r="S715" s="150" t="e">
        <f t="shared" si="709"/>
        <v>#REF!</v>
      </c>
      <c r="T715" s="150" t="e">
        <f t="shared" si="709"/>
        <v>#REF!</v>
      </c>
      <c r="U715" s="150" t="e">
        <f t="shared" si="709"/>
        <v>#REF!</v>
      </c>
      <c r="V715" s="150" t="e">
        <f t="shared" si="709"/>
        <v>#REF!</v>
      </c>
      <c r="W715" s="150" t="e">
        <f t="shared" si="709"/>
        <v>#REF!</v>
      </c>
      <c r="X715" s="150" t="e">
        <f t="shared" si="709"/>
        <v>#REF!</v>
      </c>
      <c r="Y715" s="150" t="e">
        <f t="shared" si="709"/>
        <v>#REF!</v>
      </c>
      <c r="Z715" s="150" t="e">
        <f t="shared" si="709"/>
        <v>#REF!</v>
      </c>
      <c r="AA715" s="150" t="e">
        <f t="shared" si="709"/>
        <v>#REF!</v>
      </c>
      <c r="AB715" s="50"/>
    </row>
    <row r="716" s="28" customFormat="1" outlineLevel="3" spans="1:28">
      <c r="A716" s="52">
        <f>MAX($A$6:A715)+1</f>
        <v>655</v>
      </c>
      <c r="B716" s="138" t="s">
        <v>1226</v>
      </c>
      <c r="C716" s="51" t="e">
        <f>VLOOKUP($B716,#REF!,MATCH(C$2,#REF!,0),0)</f>
        <v>#REF!</v>
      </c>
      <c r="D716" s="83"/>
      <c r="E716" s="83"/>
      <c r="F716" s="136" t="e">
        <f>VLOOKUP($B716,#REF!,MATCH(F$2,#REF!,0),0)</f>
        <v>#REF!</v>
      </c>
      <c r="G716" s="137" t="e">
        <f>VLOOKUP($B716,#REF!,MATCH(G$2,#REF!,0),0)</f>
        <v>#REF!</v>
      </c>
      <c r="H716" s="48"/>
      <c r="I716" s="48"/>
      <c r="J716" s="48"/>
      <c r="K716" s="48"/>
      <c r="L716" s="48"/>
      <c r="M716" s="48"/>
      <c r="N716" s="48"/>
      <c r="O716" s="48"/>
      <c r="P716" s="48"/>
      <c r="Q716" s="48"/>
      <c r="R716" s="150" t="e">
        <f t="shared" ref="R716:AA716" si="710">$G716*H716</f>
        <v>#REF!</v>
      </c>
      <c r="S716" s="150" t="e">
        <f t="shared" si="710"/>
        <v>#REF!</v>
      </c>
      <c r="T716" s="150" t="e">
        <f t="shared" si="710"/>
        <v>#REF!</v>
      </c>
      <c r="U716" s="150" t="e">
        <f t="shared" si="710"/>
        <v>#REF!</v>
      </c>
      <c r="V716" s="150" t="e">
        <f t="shared" si="710"/>
        <v>#REF!</v>
      </c>
      <c r="W716" s="150" t="e">
        <f t="shared" si="710"/>
        <v>#REF!</v>
      </c>
      <c r="X716" s="150" t="e">
        <f t="shared" si="710"/>
        <v>#REF!</v>
      </c>
      <c r="Y716" s="150" t="e">
        <f t="shared" si="710"/>
        <v>#REF!</v>
      </c>
      <c r="Z716" s="150" t="e">
        <f t="shared" si="710"/>
        <v>#REF!</v>
      </c>
      <c r="AA716" s="150" t="e">
        <f t="shared" si="710"/>
        <v>#REF!</v>
      </c>
      <c r="AB716" s="50"/>
    </row>
    <row r="717" s="28" customFormat="1" outlineLevel="3" spans="1:28">
      <c r="A717" s="52">
        <f>MAX($A$6:A716)+1</f>
        <v>656</v>
      </c>
      <c r="B717" s="138" t="s">
        <v>1232</v>
      </c>
      <c r="C717" s="51" t="e">
        <f>VLOOKUP($B717,#REF!,MATCH(C$2,#REF!,0),0)</f>
        <v>#REF!</v>
      </c>
      <c r="D717" s="83"/>
      <c r="E717" s="83"/>
      <c r="F717" s="136" t="e">
        <f>VLOOKUP($B717,#REF!,MATCH(F$2,#REF!,0),0)</f>
        <v>#REF!</v>
      </c>
      <c r="G717" s="137" t="e">
        <f>VLOOKUP($B717,#REF!,MATCH(G$2,#REF!,0),0)</f>
        <v>#REF!</v>
      </c>
      <c r="H717" s="48">
        <v>156.27</v>
      </c>
      <c r="I717" s="48">
        <v>156.27</v>
      </c>
      <c r="J717" s="48">
        <v>1</v>
      </c>
      <c r="K717" s="48">
        <v>1</v>
      </c>
      <c r="L717" s="48"/>
      <c r="M717" s="48">
        <v>1</v>
      </c>
      <c r="N717" s="48">
        <v>1</v>
      </c>
      <c r="O717" s="48">
        <v>1</v>
      </c>
      <c r="P717" s="48"/>
      <c r="Q717" s="48"/>
      <c r="R717" s="150" t="e">
        <f t="shared" ref="R717:AA717" si="711">$G717*H717</f>
        <v>#REF!</v>
      </c>
      <c r="S717" s="150" t="e">
        <f t="shared" si="711"/>
        <v>#REF!</v>
      </c>
      <c r="T717" s="150" t="e">
        <f t="shared" si="711"/>
        <v>#REF!</v>
      </c>
      <c r="U717" s="150" t="e">
        <f t="shared" si="711"/>
        <v>#REF!</v>
      </c>
      <c r="V717" s="150" t="e">
        <f t="shared" si="711"/>
        <v>#REF!</v>
      </c>
      <c r="W717" s="150" t="e">
        <f t="shared" si="711"/>
        <v>#REF!</v>
      </c>
      <c r="X717" s="150" t="e">
        <f t="shared" si="711"/>
        <v>#REF!</v>
      </c>
      <c r="Y717" s="150" t="e">
        <f t="shared" si="711"/>
        <v>#REF!</v>
      </c>
      <c r="Z717" s="150" t="e">
        <f t="shared" si="711"/>
        <v>#REF!</v>
      </c>
      <c r="AA717" s="150" t="e">
        <f t="shared" si="711"/>
        <v>#REF!</v>
      </c>
      <c r="AB717" s="50"/>
    </row>
    <row r="718" s="28" customFormat="1" outlineLevel="3" spans="1:28">
      <c r="A718" s="52">
        <f>MAX($A$6:A717)+1</f>
        <v>657</v>
      </c>
      <c r="B718" s="152" t="s">
        <v>2162</v>
      </c>
      <c r="C718" s="51" t="e">
        <f>VLOOKUP($B718,#REF!,MATCH(C$2,#REF!,0),0)</f>
        <v>#REF!</v>
      </c>
      <c r="D718" s="83"/>
      <c r="E718" s="83"/>
      <c r="F718" s="136" t="e">
        <f>VLOOKUP($B718,#REF!,MATCH(F$2,#REF!,0),0)</f>
        <v>#REF!</v>
      </c>
      <c r="G718" s="137" t="e">
        <f>VLOOKUP($B718,#REF!,MATCH(G$2,#REF!,0),0)</f>
        <v>#REF!</v>
      </c>
      <c r="H718" s="48"/>
      <c r="I718" s="48"/>
      <c r="J718" s="48"/>
      <c r="K718" s="48"/>
      <c r="L718" s="48"/>
      <c r="M718" s="48"/>
      <c r="N718" s="48"/>
      <c r="O718" s="48"/>
      <c r="P718" s="48"/>
      <c r="Q718" s="48"/>
      <c r="R718" s="150" t="e">
        <f t="shared" ref="R718:R723" si="712">$G718*H718</f>
        <v>#REF!</v>
      </c>
      <c r="S718" s="150" t="e">
        <f t="shared" ref="S718:S723" si="713">$G718*I718</f>
        <v>#REF!</v>
      </c>
      <c r="T718" s="150" t="e">
        <f t="shared" ref="T718:T723" si="714">$G718*J718</f>
        <v>#REF!</v>
      </c>
      <c r="U718" s="150" t="e">
        <f t="shared" ref="U718:U723" si="715">$G718*K718</f>
        <v>#REF!</v>
      </c>
      <c r="V718" s="150" t="e">
        <f t="shared" ref="V718:V723" si="716">$G718*L718</f>
        <v>#REF!</v>
      </c>
      <c r="W718" s="150" t="e">
        <f t="shared" ref="W718:W723" si="717">$G718*M718</f>
        <v>#REF!</v>
      </c>
      <c r="X718" s="150" t="e">
        <f t="shared" ref="X718:X723" si="718">$G718*N718</f>
        <v>#REF!</v>
      </c>
      <c r="Y718" s="150" t="e">
        <f t="shared" ref="Y718:Y723" si="719">$G718*O718</f>
        <v>#REF!</v>
      </c>
      <c r="Z718" s="150" t="e">
        <f t="shared" ref="Z718:Z723" si="720">$G718*P718</f>
        <v>#REF!</v>
      </c>
      <c r="AA718" s="150" t="e">
        <f t="shared" ref="AA718:AA723" si="721">$G718*Q718</f>
        <v>#REF!</v>
      </c>
      <c r="AB718" s="50"/>
    </row>
    <row r="719" s="28" customFormat="1" outlineLevel="3" spans="1:28">
      <c r="A719" s="52">
        <f>MAX($A$6:A718)+1</f>
        <v>658</v>
      </c>
      <c r="B719" s="152" t="s">
        <v>2161</v>
      </c>
      <c r="C719" s="51" t="e">
        <f>VLOOKUP($B719,#REF!,MATCH(C$2,#REF!,0),0)</f>
        <v>#REF!</v>
      </c>
      <c r="D719" s="83"/>
      <c r="E719" s="83"/>
      <c r="F719" s="136" t="e">
        <f>VLOOKUP($B719,#REF!,MATCH(F$2,#REF!,0),0)</f>
        <v>#REF!</v>
      </c>
      <c r="G719" s="137" t="e">
        <f>VLOOKUP($B719,#REF!,MATCH(G$2,#REF!,0),0)</f>
        <v>#REF!</v>
      </c>
      <c r="H719" s="48"/>
      <c r="I719" s="48"/>
      <c r="J719" s="48"/>
      <c r="K719" s="48"/>
      <c r="L719" s="48"/>
      <c r="M719" s="48"/>
      <c r="N719" s="48"/>
      <c r="O719" s="48"/>
      <c r="P719" s="48"/>
      <c r="Q719" s="48"/>
      <c r="R719" s="150" t="e">
        <f t="shared" si="712"/>
        <v>#REF!</v>
      </c>
      <c r="S719" s="150" t="e">
        <f t="shared" si="713"/>
        <v>#REF!</v>
      </c>
      <c r="T719" s="150" t="e">
        <f t="shared" si="714"/>
        <v>#REF!</v>
      </c>
      <c r="U719" s="150" t="e">
        <f t="shared" si="715"/>
        <v>#REF!</v>
      </c>
      <c r="V719" s="150" t="e">
        <f t="shared" si="716"/>
        <v>#REF!</v>
      </c>
      <c r="W719" s="150" t="e">
        <f t="shared" si="717"/>
        <v>#REF!</v>
      </c>
      <c r="X719" s="150" t="e">
        <f t="shared" si="718"/>
        <v>#REF!</v>
      </c>
      <c r="Y719" s="150" t="e">
        <f t="shared" si="719"/>
        <v>#REF!</v>
      </c>
      <c r="Z719" s="150" t="e">
        <f t="shared" si="720"/>
        <v>#REF!</v>
      </c>
      <c r="AA719" s="150" t="e">
        <f t="shared" si="721"/>
        <v>#REF!</v>
      </c>
      <c r="AB719" s="50"/>
    </row>
    <row r="720" s="28" customFormat="1" outlineLevel="3" spans="1:28">
      <c r="A720" s="52">
        <f>MAX($A$6:A719)+1</f>
        <v>659</v>
      </c>
      <c r="B720" s="152" t="s">
        <v>2260</v>
      </c>
      <c r="C720" s="51" t="e">
        <f>VLOOKUP($B720,#REF!,MATCH(C$2,#REF!,0),0)</f>
        <v>#REF!</v>
      </c>
      <c r="D720" s="83"/>
      <c r="E720" s="83"/>
      <c r="F720" s="136" t="e">
        <f>VLOOKUP($B720,#REF!,MATCH(F$2,#REF!,0),0)</f>
        <v>#REF!</v>
      </c>
      <c r="G720" s="137" t="e">
        <f>VLOOKUP($B720,#REF!,MATCH(G$2,#REF!,0),0)</f>
        <v>#REF!</v>
      </c>
      <c r="H720" s="48"/>
      <c r="I720" s="48"/>
      <c r="J720" s="48"/>
      <c r="K720" s="48"/>
      <c r="L720" s="48"/>
      <c r="M720" s="48"/>
      <c r="N720" s="48"/>
      <c r="O720" s="48"/>
      <c r="P720" s="48"/>
      <c r="Q720" s="48"/>
      <c r="R720" s="150" t="e">
        <f t="shared" si="712"/>
        <v>#REF!</v>
      </c>
      <c r="S720" s="150" t="e">
        <f t="shared" si="713"/>
        <v>#REF!</v>
      </c>
      <c r="T720" s="150" t="e">
        <f t="shared" si="714"/>
        <v>#REF!</v>
      </c>
      <c r="U720" s="150" t="e">
        <f t="shared" si="715"/>
        <v>#REF!</v>
      </c>
      <c r="V720" s="150" t="e">
        <f t="shared" si="716"/>
        <v>#REF!</v>
      </c>
      <c r="W720" s="150" t="e">
        <f t="shared" si="717"/>
        <v>#REF!</v>
      </c>
      <c r="X720" s="150" t="e">
        <f t="shared" si="718"/>
        <v>#REF!</v>
      </c>
      <c r="Y720" s="150" t="e">
        <f t="shared" si="719"/>
        <v>#REF!</v>
      </c>
      <c r="Z720" s="150" t="e">
        <f t="shared" si="720"/>
        <v>#REF!</v>
      </c>
      <c r="AA720" s="150" t="e">
        <f t="shared" si="721"/>
        <v>#REF!</v>
      </c>
      <c r="AB720" s="50"/>
    </row>
    <row r="721" s="28" customFormat="1" outlineLevel="3" spans="1:28">
      <c r="A721" s="52">
        <f>MAX($A$6:A720)+1</f>
        <v>660</v>
      </c>
      <c r="B721" s="152" t="s">
        <v>2160</v>
      </c>
      <c r="C721" s="51" t="e">
        <f>VLOOKUP($B721,#REF!,MATCH(C$2,#REF!,0),0)</f>
        <v>#REF!</v>
      </c>
      <c r="D721" s="83"/>
      <c r="E721" s="83"/>
      <c r="F721" s="136" t="e">
        <f>VLOOKUP($B721,#REF!,MATCH(F$2,#REF!,0),0)</f>
        <v>#REF!</v>
      </c>
      <c r="G721" s="137" t="e">
        <f>VLOOKUP($B721,#REF!,MATCH(G$2,#REF!,0),0)</f>
        <v>#REF!</v>
      </c>
      <c r="H721" s="48"/>
      <c r="I721" s="48"/>
      <c r="J721" s="48"/>
      <c r="K721" s="48"/>
      <c r="L721" s="48"/>
      <c r="M721" s="48"/>
      <c r="N721" s="48"/>
      <c r="O721" s="48"/>
      <c r="P721" s="48"/>
      <c r="Q721" s="48"/>
      <c r="R721" s="150" t="e">
        <f t="shared" si="712"/>
        <v>#REF!</v>
      </c>
      <c r="S721" s="150" t="e">
        <f t="shared" si="713"/>
        <v>#REF!</v>
      </c>
      <c r="T721" s="150" t="e">
        <f t="shared" si="714"/>
        <v>#REF!</v>
      </c>
      <c r="U721" s="150" t="e">
        <f t="shared" si="715"/>
        <v>#REF!</v>
      </c>
      <c r="V721" s="150" t="e">
        <f t="shared" si="716"/>
        <v>#REF!</v>
      </c>
      <c r="W721" s="150" t="e">
        <f t="shared" si="717"/>
        <v>#REF!</v>
      </c>
      <c r="X721" s="150" t="e">
        <f t="shared" si="718"/>
        <v>#REF!</v>
      </c>
      <c r="Y721" s="150" t="e">
        <f t="shared" si="719"/>
        <v>#REF!</v>
      </c>
      <c r="Z721" s="150" t="e">
        <f t="shared" si="720"/>
        <v>#REF!</v>
      </c>
      <c r="AA721" s="150" t="e">
        <f t="shared" si="721"/>
        <v>#REF!</v>
      </c>
      <c r="AB721" s="50"/>
    </row>
    <row r="722" s="28" customFormat="1" outlineLevel="3" spans="1:28">
      <c r="A722" s="52">
        <f>MAX($A$6:A721)+1</f>
        <v>661</v>
      </c>
      <c r="B722" s="152" t="s">
        <v>2158</v>
      </c>
      <c r="C722" s="51" t="e">
        <f>VLOOKUP($B722,#REF!,MATCH(C$2,#REF!,0),0)</f>
        <v>#REF!</v>
      </c>
      <c r="D722" s="83"/>
      <c r="E722" s="83"/>
      <c r="F722" s="136" t="e">
        <f>VLOOKUP($B722,#REF!,MATCH(F$2,#REF!,0),0)</f>
        <v>#REF!</v>
      </c>
      <c r="G722" s="137" t="e">
        <f>VLOOKUP($B722,#REF!,MATCH(G$2,#REF!,0),0)</f>
        <v>#REF!</v>
      </c>
      <c r="H722" s="48"/>
      <c r="I722" s="48"/>
      <c r="J722" s="48"/>
      <c r="K722" s="48"/>
      <c r="L722" s="48"/>
      <c r="M722" s="48"/>
      <c r="N722" s="48"/>
      <c r="O722" s="48"/>
      <c r="P722" s="48"/>
      <c r="Q722" s="48"/>
      <c r="R722" s="150" t="e">
        <f t="shared" si="712"/>
        <v>#REF!</v>
      </c>
      <c r="S722" s="150" t="e">
        <f t="shared" si="713"/>
        <v>#REF!</v>
      </c>
      <c r="T722" s="150" t="e">
        <f t="shared" si="714"/>
        <v>#REF!</v>
      </c>
      <c r="U722" s="150" t="e">
        <f t="shared" si="715"/>
        <v>#REF!</v>
      </c>
      <c r="V722" s="150" t="e">
        <f t="shared" si="716"/>
        <v>#REF!</v>
      </c>
      <c r="W722" s="150" t="e">
        <f t="shared" si="717"/>
        <v>#REF!</v>
      </c>
      <c r="X722" s="150" t="e">
        <f t="shared" si="718"/>
        <v>#REF!</v>
      </c>
      <c r="Y722" s="150" t="e">
        <f t="shared" si="719"/>
        <v>#REF!</v>
      </c>
      <c r="Z722" s="150" t="e">
        <f t="shared" si="720"/>
        <v>#REF!</v>
      </c>
      <c r="AA722" s="150" t="e">
        <f t="shared" si="721"/>
        <v>#REF!</v>
      </c>
      <c r="AB722" s="50"/>
    </row>
    <row r="723" s="28" customFormat="1" outlineLevel="3" spans="1:28">
      <c r="A723" s="52">
        <f>MAX($A$6:A722)+1</f>
        <v>662</v>
      </c>
      <c r="B723" s="138" t="s">
        <v>1263</v>
      </c>
      <c r="C723" s="51" t="e">
        <f>VLOOKUP($B723,#REF!,MATCH(C$2,#REF!,0),0)</f>
        <v>#REF!</v>
      </c>
      <c r="D723" s="83"/>
      <c r="E723" s="83"/>
      <c r="F723" s="136" t="e">
        <f>VLOOKUP($B723,#REF!,MATCH(F$2,#REF!,0),0)</f>
        <v>#REF!</v>
      </c>
      <c r="G723" s="137" t="e">
        <f>VLOOKUP($B723,#REF!,MATCH(G$2,#REF!,0),0)</f>
        <v>#REF!</v>
      </c>
      <c r="H723" s="48">
        <v>54</v>
      </c>
      <c r="I723" s="48">
        <v>54</v>
      </c>
      <c r="J723" s="48">
        <v>22</v>
      </c>
      <c r="K723" s="48">
        <v>22</v>
      </c>
      <c r="L723" s="48">
        <v>18</v>
      </c>
      <c r="M723" s="48"/>
      <c r="N723" s="48"/>
      <c r="O723" s="48"/>
      <c r="P723" s="48"/>
      <c r="Q723" s="48"/>
      <c r="R723" s="150" t="e">
        <f t="shared" si="712"/>
        <v>#REF!</v>
      </c>
      <c r="S723" s="150" t="e">
        <f t="shared" si="713"/>
        <v>#REF!</v>
      </c>
      <c r="T723" s="150" t="e">
        <f t="shared" si="714"/>
        <v>#REF!</v>
      </c>
      <c r="U723" s="150" t="e">
        <f t="shared" si="715"/>
        <v>#REF!</v>
      </c>
      <c r="V723" s="150" t="e">
        <f t="shared" si="716"/>
        <v>#REF!</v>
      </c>
      <c r="W723" s="150" t="e">
        <f t="shared" si="717"/>
        <v>#REF!</v>
      </c>
      <c r="X723" s="150" t="e">
        <f t="shared" si="718"/>
        <v>#REF!</v>
      </c>
      <c r="Y723" s="150" t="e">
        <f t="shared" si="719"/>
        <v>#REF!</v>
      </c>
      <c r="Z723" s="150" t="e">
        <f t="shared" si="720"/>
        <v>#REF!</v>
      </c>
      <c r="AA723" s="150" t="e">
        <f t="shared" si="721"/>
        <v>#REF!</v>
      </c>
      <c r="AB723" s="50"/>
    </row>
    <row r="724" s="29" customFormat="1" outlineLevel="2" spans="1:28">
      <c r="A724" s="40"/>
      <c r="B724" s="41" t="s">
        <v>2261</v>
      </c>
      <c r="C724" s="41"/>
      <c r="D724" s="140"/>
      <c r="E724" s="140"/>
      <c r="F724" s="141"/>
      <c r="G724" s="142"/>
      <c r="H724" s="43"/>
      <c r="I724" s="43"/>
      <c r="J724" s="43"/>
      <c r="K724" s="43"/>
      <c r="L724" s="43"/>
      <c r="M724" s="43"/>
      <c r="N724" s="43"/>
      <c r="O724" s="43"/>
      <c r="P724" s="43"/>
      <c r="Q724" s="43"/>
      <c r="R724" s="149" t="e">
        <f t="shared" ref="R724:AA724" si="722">SUM(R725:R768)</f>
        <v>#REF!</v>
      </c>
      <c r="S724" s="149" t="e">
        <f t="shared" si="722"/>
        <v>#REF!</v>
      </c>
      <c r="T724" s="149" t="e">
        <f t="shared" si="722"/>
        <v>#REF!</v>
      </c>
      <c r="U724" s="149" t="e">
        <f t="shared" si="722"/>
        <v>#REF!</v>
      </c>
      <c r="V724" s="149" t="e">
        <f t="shared" si="722"/>
        <v>#REF!</v>
      </c>
      <c r="W724" s="149" t="e">
        <f t="shared" si="722"/>
        <v>#REF!</v>
      </c>
      <c r="X724" s="149" t="e">
        <f t="shared" si="722"/>
        <v>#REF!</v>
      </c>
      <c r="Y724" s="149" t="e">
        <f t="shared" si="722"/>
        <v>#REF!</v>
      </c>
      <c r="Z724" s="149" t="e">
        <f t="shared" si="722"/>
        <v>#REF!</v>
      </c>
      <c r="AA724" s="149" t="e">
        <f t="shared" si="722"/>
        <v>#REF!</v>
      </c>
      <c r="AB724" s="40"/>
    </row>
    <row r="725" s="28" customFormat="1" ht="28.8" outlineLevel="3" spans="1:28">
      <c r="A725" s="52">
        <f>MAX($A$6:A724)+1</f>
        <v>663</v>
      </c>
      <c r="B725" s="138" t="s">
        <v>2166</v>
      </c>
      <c r="C725" s="51" t="e">
        <f>VLOOKUP($B725,#REF!,MATCH(C$2,#REF!,0),0)</f>
        <v>#REF!</v>
      </c>
      <c r="D725" s="83"/>
      <c r="E725" s="83"/>
      <c r="F725" s="136" t="e">
        <f>VLOOKUP($B725,#REF!,MATCH(F$2,#REF!,0),0)</f>
        <v>#REF!</v>
      </c>
      <c r="G725" s="137" t="e">
        <f>VLOOKUP($B725,#REF!,MATCH(G$2,#REF!,0),0)</f>
        <v>#REF!</v>
      </c>
      <c r="H725" s="48">
        <v>11424.48</v>
      </c>
      <c r="I725" s="48">
        <v>556.88</v>
      </c>
      <c r="J725" s="48">
        <v>5982.23</v>
      </c>
      <c r="K725" s="48">
        <v>5982.23</v>
      </c>
      <c r="L725" s="48">
        <f>4138.669+149.966</f>
        <v>4288.635</v>
      </c>
      <c r="M725" s="48">
        <v>815.36</v>
      </c>
      <c r="N725" s="48">
        <v>815.36</v>
      </c>
      <c r="O725" s="48">
        <v>815.36</v>
      </c>
      <c r="P725" s="48"/>
      <c r="Q725" s="48"/>
      <c r="R725" s="150" t="e">
        <f t="shared" ref="R725:AA725" si="723">$G725*H725</f>
        <v>#REF!</v>
      </c>
      <c r="S725" s="150" t="e">
        <f t="shared" si="723"/>
        <v>#REF!</v>
      </c>
      <c r="T725" s="150" t="e">
        <f t="shared" si="723"/>
        <v>#REF!</v>
      </c>
      <c r="U725" s="150" t="e">
        <f t="shared" si="723"/>
        <v>#REF!</v>
      </c>
      <c r="V725" s="150" t="e">
        <f t="shared" si="723"/>
        <v>#REF!</v>
      </c>
      <c r="W725" s="150" t="e">
        <f t="shared" si="723"/>
        <v>#REF!</v>
      </c>
      <c r="X725" s="150" t="e">
        <f t="shared" si="723"/>
        <v>#REF!</v>
      </c>
      <c r="Y725" s="150" t="e">
        <f t="shared" si="723"/>
        <v>#REF!</v>
      </c>
      <c r="Z725" s="150" t="e">
        <f t="shared" si="723"/>
        <v>#REF!</v>
      </c>
      <c r="AA725" s="150" t="e">
        <f t="shared" si="723"/>
        <v>#REF!</v>
      </c>
      <c r="AB725" s="50"/>
    </row>
    <row r="726" s="28" customFormat="1" ht="28.8" outlineLevel="3" spans="1:28">
      <c r="A726" s="52">
        <f>MAX($A$6:A725)+1</f>
        <v>664</v>
      </c>
      <c r="B726" s="138" t="s">
        <v>2167</v>
      </c>
      <c r="C726" s="51" t="e">
        <f>VLOOKUP($B726,#REF!,MATCH(C$2,#REF!,0),0)</f>
        <v>#REF!</v>
      </c>
      <c r="D726" s="83"/>
      <c r="E726" s="83"/>
      <c r="F726" s="136" t="e">
        <f>VLOOKUP($B726,#REF!,MATCH(F$2,#REF!,0),0)</f>
        <v>#REF!</v>
      </c>
      <c r="G726" s="137" t="e">
        <f>VLOOKUP($B726,#REF!,MATCH(G$2,#REF!,0),0)</f>
        <v>#REF!</v>
      </c>
      <c r="H726" s="48">
        <v>8359.68</v>
      </c>
      <c r="I726" s="48">
        <v>12337.86</v>
      </c>
      <c r="J726" s="48">
        <v>3843.05</v>
      </c>
      <c r="K726" s="48">
        <v>3843.05</v>
      </c>
      <c r="L726" s="48">
        <v>459</v>
      </c>
      <c r="M726" s="48">
        <v>430.76</v>
      </c>
      <c r="N726" s="48">
        <v>430.76</v>
      </c>
      <c r="O726" s="48">
        <v>430.76</v>
      </c>
      <c r="P726" s="48"/>
      <c r="Q726" s="48"/>
      <c r="R726" s="150" t="e">
        <f t="shared" ref="R726:AA726" si="724">$G726*H726</f>
        <v>#REF!</v>
      </c>
      <c r="S726" s="150" t="e">
        <f t="shared" si="724"/>
        <v>#REF!</v>
      </c>
      <c r="T726" s="150" t="e">
        <f t="shared" si="724"/>
        <v>#REF!</v>
      </c>
      <c r="U726" s="150" t="e">
        <f t="shared" si="724"/>
        <v>#REF!</v>
      </c>
      <c r="V726" s="150" t="e">
        <f t="shared" si="724"/>
        <v>#REF!</v>
      </c>
      <c r="W726" s="150" t="e">
        <f t="shared" si="724"/>
        <v>#REF!</v>
      </c>
      <c r="X726" s="150" t="e">
        <f t="shared" si="724"/>
        <v>#REF!</v>
      </c>
      <c r="Y726" s="150" t="e">
        <f t="shared" si="724"/>
        <v>#REF!</v>
      </c>
      <c r="Z726" s="150" t="e">
        <f t="shared" si="724"/>
        <v>#REF!</v>
      </c>
      <c r="AA726" s="150" t="e">
        <f t="shared" si="724"/>
        <v>#REF!</v>
      </c>
      <c r="AB726" s="50"/>
    </row>
    <row r="727" s="28" customFormat="1" ht="28.8" outlineLevel="3" spans="1:28">
      <c r="A727" s="52">
        <f>MAX($A$6:A726)+1</f>
        <v>665</v>
      </c>
      <c r="B727" s="138" t="s">
        <v>2168</v>
      </c>
      <c r="C727" s="51" t="e">
        <f>VLOOKUP($B727,#REF!,MATCH(C$2,#REF!,0),0)</f>
        <v>#REF!</v>
      </c>
      <c r="D727" s="83"/>
      <c r="E727" s="83"/>
      <c r="F727" s="136" t="e">
        <f>VLOOKUP($B727,#REF!,MATCH(F$2,#REF!,0),0)</f>
        <v>#REF!</v>
      </c>
      <c r="G727" s="137" t="e">
        <f>VLOOKUP($B727,#REF!,MATCH(G$2,#REF!,0),0)</f>
        <v>#REF!</v>
      </c>
      <c r="H727" s="48">
        <v>233.99</v>
      </c>
      <c r="I727" s="48">
        <v>650.51</v>
      </c>
      <c r="J727" s="48">
        <v>300.25</v>
      </c>
      <c r="K727" s="48">
        <v>300.25</v>
      </c>
      <c r="L727" s="48">
        <v>36.404</v>
      </c>
      <c r="M727" s="48">
        <v>1</v>
      </c>
      <c r="N727" s="48">
        <v>1</v>
      </c>
      <c r="O727" s="48">
        <v>1</v>
      </c>
      <c r="P727" s="48"/>
      <c r="Q727" s="48"/>
      <c r="R727" s="150" t="e">
        <f t="shared" ref="R727:AA727" si="725">$G727*H727</f>
        <v>#REF!</v>
      </c>
      <c r="S727" s="150" t="e">
        <f t="shared" si="725"/>
        <v>#REF!</v>
      </c>
      <c r="T727" s="150" t="e">
        <f t="shared" si="725"/>
        <v>#REF!</v>
      </c>
      <c r="U727" s="150" t="e">
        <f t="shared" si="725"/>
        <v>#REF!</v>
      </c>
      <c r="V727" s="150" t="e">
        <f t="shared" si="725"/>
        <v>#REF!</v>
      </c>
      <c r="W727" s="150" t="e">
        <f t="shared" si="725"/>
        <v>#REF!</v>
      </c>
      <c r="X727" s="150" t="e">
        <f t="shared" si="725"/>
        <v>#REF!</v>
      </c>
      <c r="Y727" s="150" t="e">
        <f t="shared" si="725"/>
        <v>#REF!</v>
      </c>
      <c r="Z727" s="150" t="e">
        <f t="shared" si="725"/>
        <v>#REF!</v>
      </c>
      <c r="AA727" s="150" t="e">
        <f t="shared" si="725"/>
        <v>#REF!</v>
      </c>
      <c r="AB727" s="50"/>
    </row>
    <row r="728" s="28" customFormat="1" ht="28.8" outlineLevel="3" spans="1:28">
      <c r="A728" s="52">
        <f>MAX($A$6:A727)+1</f>
        <v>666</v>
      </c>
      <c r="B728" s="138" t="s">
        <v>2175</v>
      </c>
      <c r="C728" s="51" t="e">
        <f>VLOOKUP($B728,#REF!,MATCH(C$2,#REF!,0),0)</f>
        <v>#REF!</v>
      </c>
      <c r="D728" s="83"/>
      <c r="E728" s="83"/>
      <c r="F728" s="136" t="e">
        <f>VLOOKUP($B728,#REF!,MATCH(F$2,#REF!,0),0)</f>
        <v>#REF!</v>
      </c>
      <c r="G728" s="137" t="e">
        <f>VLOOKUP($B728,#REF!,MATCH(G$2,#REF!,0),0)</f>
        <v>#REF!</v>
      </c>
      <c r="H728" s="48">
        <v>1</v>
      </c>
      <c r="I728" s="48">
        <v>11516.36</v>
      </c>
      <c r="J728" s="48">
        <v>1</v>
      </c>
      <c r="K728" s="48">
        <v>1</v>
      </c>
      <c r="L728" s="48"/>
      <c r="M728" s="48"/>
      <c r="N728" s="48"/>
      <c r="O728" s="48"/>
      <c r="P728" s="48"/>
      <c r="Q728" s="48"/>
      <c r="R728" s="150" t="e">
        <f t="shared" ref="R728:AA728" si="726">$G728*H728</f>
        <v>#REF!</v>
      </c>
      <c r="S728" s="150" t="e">
        <f t="shared" si="726"/>
        <v>#REF!</v>
      </c>
      <c r="T728" s="150" t="e">
        <f t="shared" si="726"/>
        <v>#REF!</v>
      </c>
      <c r="U728" s="150" t="e">
        <f t="shared" si="726"/>
        <v>#REF!</v>
      </c>
      <c r="V728" s="150" t="e">
        <f t="shared" si="726"/>
        <v>#REF!</v>
      </c>
      <c r="W728" s="150" t="e">
        <f t="shared" si="726"/>
        <v>#REF!</v>
      </c>
      <c r="X728" s="150" t="e">
        <f t="shared" si="726"/>
        <v>#REF!</v>
      </c>
      <c r="Y728" s="150" t="e">
        <f t="shared" si="726"/>
        <v>#REF!</v>
      </c>
      <c r="Z728" s="150" t="e">
        <f t="shared" si="726"/>
        <v>#REF!</v>
      </c>
      <c r="AA728" s="150" t="e">
        <f t="shared" si="726"/>
        <v>#REF!</v>
      </c>
      <c r="AB728" s="50"/>
    </row>
    <row r="729" s="28" customFormat="1" ht="28.8" outlineLevel="3" spans="1:28">
      <c r="A729" s="52">
        <f>MAX($A$6:A728)+1</f>
        <v>667</v>
      </c>
      <c r="B729" s="138" t="s">
        <v>2176</v>
      </c>
      <c r="C729" s="51" t="e">
        <f>VLOOKUP($B729,#REF!,MATCH(C$2,#REF!,0),0)</f>
        <v>#REF!</v>
      </c>
      <c r="D729" s="83"/>
      <c r="E729" s="83"/>
      <c r="F729" s="136" t="e">
        <f>VLOOKUP($B729,#REF!,MATCH(F$2,#REF!,0),0)</f>
        <v>#REF!</v>
      </c>
      <c r="G729" s="137" t="e">
        <f>VLOOKUP($B729,#REF!,MATCH(G$2,#REF!,0),0)</f>
        <v>#REF!</v>
      </c>
      <c r="H729" s="48">
        <v>1</v>
      </c>
      <c r="I729" s="48">
        <v>1</v>
      </c>
      <c r="J729" s="48">
        <v>512</v>
      </c>
      <c r="K729" s="48">
        <v>512</v>
      </c>
      <c r="L729" s="48">
        <v>482.219</v>
      </c>
      <c r="M729" s="48"/>
      <c r="N729" s="48"/>
      <c r="O729" s="48"/>
      <c r="P729" s="48"/>
      <c r="Q729" s="48"/>
      <c r="R729" s="150" t="e">
        <f t="shared" ref="R729:AA729" si="727">$G729*H729</f>
        <v>#REF!</v>
      </c>
      <c r="S729" s="150" t="e">
        <f t="shared" si="727"/>
        <v>#REF!</v>
      </c>
      <c r="T729" s="150" t="e">
        <f t="shared" si="727"/>
        <v>#REF!</v>
      </c>
      <c r="U729" s="150" t="e">
        <f t="shared" si="727"/>
        <v>#REF!</v>
      </c>
      <c r="V729" s="150" t="e">
        <f t="shared" si="727"/>
        <v>#REF!</v>
      </c>
      <c r="W729" s="150" t="e">
        <f t="shared" si="727"/>
        <v>#REF!</v>
      </c>
      <c r="X729" s="150" t="e">
        <f t="shared" si="727"/>
        <v>#REF!</v>
      </c>
      <c r="Y729" s="150" t="e">
        <f t="shared" si="727"/>
        <v>#REF!</v>
      </c>
      <c r="Z729" s="150" t="e">
        <f t="shared" si="727"/>
        <v>#REF!</v>
      </c>
      <c r="AA729" s="150" t="e">
        <f t="shared" si="727"/>
        <v>#REF!</v>
      </c>
      <c r="AB729" s="50"/>
    </row>
    <row r="730" s="28" customFormat="1" ht="28.8" outlineLevel="3" spans="1:28">
      <c r="A730" s="52">
        <f>MAX($A$6:A729)+1</f>
        <v>668</v>
      </c>
      <c r="B730" s="138" t="s">
        <v>2177</v>
      </c>
      <c r="C730" s="51" t="e">
        <f>VLOOKUP($B730,#REF!,MATCH(C$2,#REF!,0),0)</f>
        <v>#REF!</v>
      </c>
      <c r="D730" s="83"/>
      <c r="E730" s="83"/>
      <c r="F730" s="136" t="e">
        <f>VLOOKUP($B730,#REF!,MATCH(F$2,#REF!,0),0)</f>
        <v>#REF!</v>
      </c>
      <c r="G730" s="137" t="e">
        <f>VLOOKUP($B730,#REF!,MATCH(G$2,#REF!,0),0)</f>
        <v>#REF!</v>
      </c>
      <c r="H730" s="48">
        <v>1</v>
      </c>
      <c r="I730" s="48">
        <v>1</v>
      </c>
      <c r="J730" s="48">
        <v>1285</v>
      </c>
      <c r="K730" s="48">
        <v>1285</v>
      </c>
      <c r="L730" s="48">
        <v>983.43</v>
      </c>
      <c r="M730" s="48"/>
      <c r="N730" s="48"/>
      <c r="O730" s="48"/>
      <c r="P730" s="48"/>
      <c r="Q730" s="48"/>
      <c r="R730" s="150" t="e">
        <f t="shared" ref="R730:AA730" si="728">$G730*H730</f>
        <v>#REF!</v>
      </c>
      <c r="S730" s="150" t="e">
        <f t="shared" si="728"/>
        <v>#REF!</v>
      </c>
      <c r="T730" s="150" t="e">
        <f t="shared" si="728"/>
        <v>#REF!</v>
      </c>
      <c r="U730" s="150" t="e">
        <f t="shared" si="728"/>
        <v>#REF!</v>
      </c>
      <c r="V730" s="150" t="e">
        <f t="shared" si="728"/>
        <v>#REF!</v>
      </c>
      <c r="W730" s="150" t="e">
        <f t="shared" si="728"/>
        <v>#REF!</v>
      </c>
      <c r="X730" s="150" t="e">
        <f t="shared" si="728"/>
        <v>#REF!</v>
      </c>
      <c r="Y730" s="150" t="e">
        <f t="shared" si="728"/>
        <v>#REF!</v>
      </c>
      <c r="Z730" s="150" t="e">
        <f t="shared" si="728"/>
        <v>#REF!</v>
      </c>
      <c r="AA730" s="150" t="e">
        <f t="shared" si="728"/>
        <v>#REF!</v>
      </c>
      <c r="AB730" s="50"/>
    </row>
    <row r="731" s="28" customFormat="1" ht="28.8" outlineLevel="3" spans="1:28">
      <c r="A731" s="52">
        <f>MAX($A$6:A730)+1</f>
        <v>669</v>
      </c>
      <c r="B731" s="138" t="s">
        <v>2178</v>
      </c>
      <c r="C731" s="51" t="e">
        <f>VLOOKUP($B731,#REF!,MATCH(C$2,#REF!,0),0)</f>
        <v>#REF!</v>
      </c>
      <c r="D731" s="83"/>
      <c r="E731" s="83"/>
      <c r="F731" s="136" t="e">
        <f>VLOOKUP($B731,#REF!,MATCH(F$2,#REF!,0),0)</f>
        <v>#REF!</v>
      </c>
      <c r="G731" s="137" t="e">
        <f>VLOOKUP($B731,#REF!,MATCH(G$2,#REF!,0),0)</f>
        <v>#REF!</v>
      </c>
      <c r="H731" s="48">
        <v>1</v>
      </c>
      <c r="I731" s="48">
        <v>1</v>
      </c>
      <c r="J731" s="48">
        <v>1</v>
      </c>
      <c r="K731" s="48">
        <v>1</v>
      </c>
      <c r="L731" s="48">
        <v>12.475</v>
      </c>
      <c r="M731" s="48"/>
      <c r="N731" s="48"/>
      <c r="O731" s="48"/>
      <c r="P731" s="48"/>
      <c r="Q731" s="48"/>
      <c r="R731" s="150" t="e">
        <f t="shared" ref="R731:AA731" si="729">$G731*H731</f>
        <v>#REF!</v>
      </c>
      <c r="S731" s="150" t="e">
        <f t="shared" si="729"/>
        <v>#REF!</v>
      </c>
      <c r="T731" s="150" t="e">
        <f t="shared" si="729"/>
        <v>#REF!</v>
      </c>
      <c r="U731" s="150" t="e">
        <f t="shared" si="729"/>
        <v>#REF!</v>
      </c>
      <c r="V731" s="150" t="e">
        <f t="shared" si="729"/>
        <v>#REF!</v>
      </c>
      <c r="W731" s="150" t="e">
        <f t="shared" si="729"/>
        <v>#REF!</v>
      </c>
      <c r="X731" s="150" t="e">
        <f t="shared" si="729"/>
        <v>#REF!</v>
      </c>
      <c r="Y731" s="150" t="e">
        <f t="shared" si="729"/>
        <v>#REF!</v>
      </c>
      <c r="Z731" s="150" t="e">
        <f t="shared" si="729"/>
        <v>#REF!</v>
      </c>
      <c r="AA731" s="150" t="e">
        <f t="shared" si="729"/>
        <v>#REF!</v>
      </c>
      <c r="AB731" s="50"/>
    </row>
    <row r="732" s="28" customFormat="1" ht="28.8" outlineLevel="3" spans="1:28">
      <c r="A732" s="52">
        <f>MAX($A$6:A731)+1</f>
        <v>670</v>
      </c>
      <c r="B732" s="138" t="s">
        <v>2179</v>
      </c>
      <c r="C732" s="51" t="e">
        <f>VLOOKUP($B732,#REF!,MATCH(C$2,#REF!,0),0)</f>
        <v>#REF!</v>
      </c>
      <c r="D732" s="83"/>
      <c r="E732" s="83"/>
      <c r="F732" s="136" t="e">
        <f>VLOOKUP($B732,#REF!,MATCH(F$2,#REF!,0),0)</f>
        <v>#REF!</v>
      </c>
      <c r="G732" s="137" t="e">
        <f>VLOOKUP($B732,#REF!,MATCH(G$2,#REF!,0),0)</f>
        <v>#REF!</v>
      </c>
      <c r="H732" s="48">
        <v>1</v>
      </c>
      <c r="I732" s="48">
        <v>1</v>
      </c>
      <c r="J732" s="48">
        <v>1</v>
      </c>
      <c r="K732" s="48">
        <v>1</v>
      </c>
      <c r="L732" s="48">
        <v>83.263</v>
      </c>
      <c r="M732" s="48"/>
      <c r="N732" s="48"/>
      <c r="O732" s="48"/>
      <c r="P732" s="48"/>
      <c r="Q732" s="48"/>
      <c r="R732" s="150" t="e">
        <f>$G732*H732</f>
        <v>#REF!</v>
      </c>
      <c r="S732" s="150" t="e">
        <f t="shared" ref="S732:AA732" si="730">$G732*I732</f>
        <v>#REF!</v>
      </c>
      <c r="T732" s="150" t="e">
        <f t="shared" si="730"/>
        <v>#REF!</v>
      </c>
      <c r="U732" s="150" t="e">
        <f t="shared" si="730"/>
        <v>#REF!</v>
      </c>
      <c r="V732" s="150" t="e">
        <f t="shared" si="730"/>
        <v>#REF!</v>
      </c>
      <c r="W732" s="150" t="e">
        <f t="shared" si="730"/>
        <v>#REF!</v>
      </c>
      <c r="X732" s="150" t="e">
        <f t="shared" si="730"/>
        <v>#REF!</v>
      </c>
      <c r="Y732" s="150" t="e">
        <f t="shared" si="730"/>
        <v>#REF!</v>
      </c>
      <c r="Z732" s="150" t="e">
        <f t="shared" si="730"/>
        <v>#REF!</v>
      </c>
      <c r="AA732" s="150" t="e">
        <f t="shared" si="730"/>
        <v>#REF!</v>
      </c>
      <c r="AB732" s="50"/>
    </row>
    <row r="733" s="28" customFormat="1" ht="28.8" outlineLevel="3" spans="1:28">
      <c r="A733" s="52">
        <f>MAX($A$6:A732)+1</f>
        <v>671</v>
      </c>
      <c r="B733" s="138" t="s">
        <v>2262</v>
      </c>
      <c r="C733" s="51" t="e">
        <f>VLOOKUP($B733,#REF!,MATCH(C$2,#REF!,0),0)</f>
        <v>#REF!</v>
      </c>
      <c r="D733" s="83"/>
      <c r="E733" s="83"/>
      <c r="F733" s="136" t="e">
        <f>VLOOKUP($B733,#REF!,MATCH(F$2,#REF!,0),0)</f>
        <v>#REF!</v>
      </c>
      <c r="G733" s="137" t="e">
        <f>VLOOKUP($B733,#REF!,MATCH(G$2,#REF!,0),0)</f>
        <v>#REF!</v>
      </c>
      <c r="H733" s="48">
        <v>1</v>
      </c>
      <c r="I733" s="48">
        <v>1</v>
      </c>
      <c r="J733" s="48">
        <v>1</v>
      </c>
      <c r="K733" s="48">
        <v>1</v>
      </c>
      <c r="L733" s="48"/>
      <c r="M733" s="48"/>
      <c r="N733" s="48"/>
      <c r="O733" s="48"/>
      <c r="P733" s="48"/>
      <c r="Q733" s="48"/>
      <c r="R733" s="150" t="e">
        <f t="shared" ref="R733:AA733" si="731">$G733*H733</f>
        <v>#REF!</v>
      </c>
      <c r="S733" s="150" t="e">
        <f t="shared" si="731"/>
        <v>#REF!</v>
      </c>
      <c r="T733" s="150" t="e">
        <f t="shared" si="731"/>
        <v>#REF!</v>
      </c>
      <c r="U733" s="150" t="e">
        <f t="shared" si="731"/>
        <v>#REF!</v>
      </c>
      <c r="V733" s="150" t="e">
        <f t="shared" si="731"/>
        <v>#REF!</v>
      </c>
      <c r="W733" s="150" t="e">
        <f t="shared" si="731"/>
        <v>#REF!</v>
      </c>
      <c r="X733" s="150" t="e">
        <f t="shared" si="731"/>
        <v>#REF!</v>
      </c>
      <c r="Y733" s="150" t="e">
        <f t="shared" si="731"/>
        <v>#REF!</v>
      </c>
      <c r="Z733" s="150" t="e">
        <f t="shared" si="731"/>
        <v>#REF!</v>
      </c>
      <c r="AA733" s="150" t="e">
        <f t="shared" si="731"/>
        <v>#REF!</v>
      </c>
      <c r="AB733" s="50"/>
    </row>
    <row r="734" s="28" customFormat="1" ht="28.8" outlineLevel="3" spans="1:28">
      <c r="A734" s="52">
        <f>MAX($A$6:A733)+1</f>
        <v>672</v>
      </c>
      <c r="B734" s="138" t="s">
        <v>2263</v>
      </c>
      <c r="C734" s="51" t="e">
        <f>VLOOKUP($B734,#REF!,MATCH(C$2,#REF!,0),0)</f>
        <v>#REF!</v>
      </c>
      <c r="D734" s="83"/>
      <c r="E734" s="83"/>
      <c r="F734" s="136" t="e">
        <f>VLOOKUP($B734,#REF!,MATCH(F$2,#REF!,0),0)</f>
        <v>#REF!</v>
      </c>
      <c r="G734" s="137" t="e">
        <f>VLOOKUP($B734,#REF!,MATCH(G$2,#REF!,0),0)</f>
        <v>#REF!</v>
      </c>
      <c r="H734" s="48">
        <v>1231.71</v>
      </c>
      <c r="I734" s="48">
        <v>1</v>
      </c>
      <c r="J734" s="48">
        <v>319.01</v>
      </c>
      <c r="K734" s="48">
        <v>319.01</v>
      </c>
      <c r="L734" s="48"/>
      <c r="M734" s="48"/>
      <c r="N734" s="48"/>
      <c r="O734" s="48"/>
      <c r="P734" s="48"/>
      <c r="Q734" s="48"/>
      <c r="R734" s="150" t="e">
        <f t="shared" ref="R734:AA734" si="732">$G734*H734</f>
        <v>#REF!</v>
      </c>
      <c r="S734" s="150" t="e">
        <f t="shared" si="732"/>
        <v>#REF!</v>
      </c>
      <c r="T734" s="150" t="e">
        <f t="shared" si="732"/>
        <v>#REF!</v>
      </c>
      <c r="U734" s="150" t="e">
        <f t="shared" si="732"/>
        <v>#REF!</v>
      </c>
      <c r="V734" s="150" t="e">
        <f t="shared" si="732"/>
        <v>#REF!</v>
      </c>
      <c r="W734" s="150" t="e">
        <f t="shared" si="732"/>
        <v>#REF!</v>
      </c>
      <c r="X734" s="150" t="e">
        <f t="shared" si="732"/>
        <v>#REF!</v>
      </c>
      <c r="Y734" s="150" t="e">
        <f t="shared" si="732"/>
        <v>#REF!</v>
      </c>
      <c r="Z734" s="150" t="e">
        <f t="shared" si="732"/>
        <v>#REF!</v>
      </c>
      <c r="AA734" s="150" t="e">
        <f t="shared" si="732"/>
        <v>#REF!</v>
      </c>
      <c r="AB734" s="50"/>
    </row>
    <row r="735" s="28" customFormat="1" ht="28.8" outlineLevel="3" spans="1:28">
      <c r="A735" s="52">
        <f>MAX($A$6:A734)+1</f>
        <v>673</v>
      </c>
      <c r="B735" s="138" t="s">
        <v>2264</v>
      </c>
      <c r="C735" s="51" t="e">
        <f>VLOOKUP($B735,#REF!,MATCH(C$2,#REF!,0),0)</f>
        <v>#REF!</v>
      </c>
      <c r="D735" s="83"/>
      <c r="E735" s="83"/>
      <c r="F735" s="136" t="e">
        <f>VLOOKUP($B735,#REF!,MATCH(F$2,#REF!,0),0)</f>
        <v>#REF!</v>
      </c>
      <c r="G735" s="137" t="e">
        <f>VLOOKUP($B735,#REF!,MATCH(G$2,#REF!,0),0)</f>
        <v>#REF!</v>
      </c>
      <c r="H735" s="48">
        <v>4108.57</v>
      </c>
      <c r="I735" s="48">
        <v>1</v>
      </c>
      <c r="J735" s="48">
        <v>1</v>
      </c>
      <c r="K735" s="48">
        <v>1</v>
      </c>
      <c r="L735" s="48">
        <v>2257.856</v>
      </c>
      <c r="M735" s="48"/>
      <c r="N735" s="48"/>
      <c r="O735" s="48"/>
      <c r="P735" s="48"/>
      <c r="Q735" s="48"/>
      <c r="R735" s="150" t="e">
        <f t="shared" ref="R735:AA735" si="733">$G735*H735</f>
        <v>#REF!</v>
      </c>
      <c r="S735" s="150" t="e">
        <f t="shared" si="733"/>
        <v>#REF!</v>
      </c>
      <c r="T735" s="150" t="e">
        <f t="shared" si="733"/>
        <v>#REF!</v>
      </c>
      <c r="U735" s="150" t="e">
        <f t="shared" si="733"/>
        <v>#REF!</v>
      </c>
      <c r="V735" s="150" t="e">
        <f t="shared" si="733"/>
        <v>#REF!</v>
      </c>
      <c r="W735" s="150" t="e">
        <f t="shared" si="733"/>
        <v>#REF!</v>
      </c>
      <c r="X735" s="150" t="e">
        <f t="shared" si="733"/>
        <v>#REF!</v>
      </c>
      <c r="Y735" s="150" t="e">
        <f t="shared" si="733"/>
        <v>#REF!</v>
      </c>
      <c r="Z735" s="150" t="e">
        <f t="shared" si="733"/>
        <v>#REF!</v>
      </c>
      <c r="AA735" s="150" t="e">
        <f t="shared" si="733"/>
        <v>#REF!</v>
      </c>
      <c r="AB735" s="50"/>
    </row>
    <row r="736" s="28" customFormat="1" ht="28.8" outlineLevel="3" spans="1:28">
      <c r="A736" s="52">
        <f>MAX($A$6:A735)+1</f>
        <v>674</v>
      </c>
      <c r="B736" s="138" t="s">
        <v>2265</v>
      </c>
      <c r="C736" s="51" t="e">
        <f>VLOOKUP($B736,#REF!,MATCH(C$2,#REF!,0),0)</f>
        <v>#REF!</v>
      </c>
      <c r="D736" s="83"/>
      <c r="E736" s="83"/>
      <c r="F736" s="136" t="e">
        <f>VLOOKUP($B736,#REF!,MATCH(F$2,#REF!,0),0)</f>
        <v>#REF!</v>
      </c>
      <c r="G736" s="137" t="e">
        <f>VLOOKUP($B736,#REF!,MATCH(G$2,#REF!,0),0)</f>
        <v>#REF!</v>
      </c>
      <c r="H736" s="48">
        <v>427.74</v>
      </c>
      <c r="I736" s="48">
        <v>1</v>
      </c>
      <c r="J736" s="48">
        <v>278.97</v>
      </c>
      <c r="K736" s="48">
        <v>278.97</v>
      </c>
      <c r="L736" s="48"/>
      <c r="M736" s="48"/>
      <c r="N736" s="48"/>
      <c r="O736" s="48"/>
      <c r="P736" s="48"/>
      <c r="Q736" s="48"/>
      <c r="R736" s="150" t="e">
        <f t="shared" ref="R736:AA736" si="734">$G736*H736</f>
        <v>#REF!</v>
      </c>
      <c r="S736" s="150" t="e">
        <f t="shared" si="734"/>
        <v>#REF!</v>
      </c>
      <c r="T736" s="150" t="e">
        <f t="shared" si="734"/>
        <v>#REF!</v>
      </c>
      <c r="U736" s="150" t="e">
        <f t="shared" si="734"/>
        <v>#REF!</v>
      </c>
      <c r="V736" s="150" t="e">
        <f t="shared" si="734"/>
        <v>#REF!</v>
      </c>
      <c r="W736" s="150" t="e">
        <f t="shared" si="734"/>
        <v>#REF!</v>
      </c>
      <c r="X736" s="150" t="e">
        <f t="shared" si="734"/>
        <v>#REF!</v>
      </c>
      <c r="Y736" s="150" t="e">
        <f t="shared" si="734"/>
        <v>#REF!</v>
      </c>
      <c r="Z736" s="150" t="e">
        <f t="shared" si="734"/>
        <v>#REF!</v>
      </c>
      <c r="AA736" s="150" t="e">
        <f t="shared" si="734"/>
        <v>#REF!</v>
      </c>
      <c r="AB736" s="50"/>
    </row>
    <row r="737" s="28" customFormat="1" ht="28.8" outlineLevel="3" spans="1:28">
      <c r="A737" s="52">
        <f>MAX($A$6:A736)+1</f>
        <v>675</v>
      </c>
      <c r="B737" s="138" t="s">
        <v>2266</v>
      </c>
      <c r="C737" s="51" t="e">
        <f>VLOOKUP($B737,#REF!,MATCH(C$2,#REF!,0),0)</f>
        <v>#REF!</v>
      </c>
      <c r="D737" s="83"/>
      <c r="E737" s="83"/>
      <c r="F737" s="136" t="e">
        <f>VLOOKUP($B737,#REF!,MATCH(F$2,#REF!,0),0)</f>
        <v>#REF!</v>
      </c>
      <c r="G737" s="137" t="e">
        <f>VLOOKUP($B737,#REF!,MATCH(G$2,#REF!,0),0)</f>
        <v>#REF!</v>
      </c>
      <c r="H737" s="48">
        <v>1</v>
      </c>
      <c r="I737" s="48">
        <v>1</v>
      </c>
      <c r="J737" s="48">
        <v>1</v>
      </c>
      <c r="K737" s="48">
        <v>1</v>
      </c>
      <c r="L737" s="48">
        <v>185.84</v>
      </c>
      <c r="M737" s="48"/>
      <c r="N737" s="48"/>
      <c r="O737" s="48"/>
      <c r="P737" s="48"/>
      <c r="Q737" s="48"/>
      <c r="R737" s="150" t="e">
        <f t="shared" ref="R737:AA737" si="735">$G737*H737</f>
        <v>#REF!</v>
      </c>
      <c r="S737" s="150" t="e">
        <f t="shared" si="735"/>
        <v>#REF!</v>
      </c>
      <c r="T737" s="150" t="e">
        <f t="shared" si="735"/>
        <v>#REF!</v>
      </c>
      <c r="U737" s="150" t="e">
        <f t="shared" si="735"/>
        <v>#REF!</v>
      </c>
      <c r="V737" s="150" t="e">
        <f t="shared" si="735"/>
        <v>#REF!</v>
      </c>
      <c r="W737" s="150" t="e">
        <f t="shared" si="735"/>
        <v>#REF!</v>
      </c>
      <c r="X737" s="150" t="e">
        <f t="shared" si="735"/>
        <v>#REF!</v>
      </c>
      <c r="Y737" s="150" t="e">
        <f t="shared" si="735"/>
        <v>#REF!</v>
      </c>
      <c r="Z737" s="150" t="e">
        <f t="shared" si="735"/>
        <v>#REF!</v>
      </c>
      <c r="AA737" s="150" t="e">
        <f t="shared" si="735"/>
        <v>#REF!</v>
      </c>
      <c r="AB737" s="50"/>
    </row>
    <row r="738" s="28" customFormat="1" outlineLevel="3" spans="1:28">
      <c r="A738" s="52">
        <f>MAX($A$6:A737)+1</f>
        <v>676</v>
      </c>
      <c r="B738" s="51" t="s">
        <v>1276</v>
      </c>
      <c r="C738" s="51" t="e">
        <f>VLOOKUP($B738,#REF!,MATCH(C$2,#REF!,0),0)</f>
        <v>#REF!</v>
      </c>
      <c r="D738" s="83"/>
      <c r="E738" s="83"/>
      <c r="F738" s="136" t="e">
        <f>VLOOKUP($B738,#REF!,MATCH(F$2,#REF!,0),0)</f>
        <v>#REF!</v>
      </c>
      <c r="G738" s="137" t="e">
        <f>VLOOKUP($B738,#REF!,MATCH(G$2,#REF!,0),0)</f>
        <v>#REF!</v>
      </c>
      <c r="H738" s="48"/>
      <c r="I738" s="48"/>
      <c r="J738" s="48"/>
      <c r="K738" s="48"/>
      <c r="L738" s="48"/>
      <c r="M738" s="48"/>
      <c r="N738" s="48"/>
      <c r="O738" s="48"/>
      <c r="P738" s="48"/>
      <c r="Q738" s="48"/>
      <c r="R738" s="150" t="e">
        <f t="shared" ref="R738:AA738" si="736">$G738*H738</f>
        <v>#REF!</v>
      </c>
      <c r="S738" s="150" t="e">
        <f t="shared" si="736"/>
        <v>#REF!</v>
      </c>
      <c r="T738" s="150" t="e">
        <f t="shared" si="736"/>
        <v>#REF!</v>
      </c>
      <c r="U738" s="150" t="e">
        <f t="shared" si="736"/>
        <v>#REF!</v>
      </c>
      <c r="V738" s="150" t="e">
        <f t="shared" si="736"/>
        <v>#REF!</v>
      </c>
      <c r="W738" s="150" t="e">
        <f t="shared" si="736"/>
        <v>#REF!</v>
      </c>
      <c r="X738" s="150" t="e">
        <f t="shared" si="736"/>
        <v>#REF!</v>
      </c>
      <c r="Y738" s="150" t="e">
        <f t="shared" si="736"/>
        <v>#REF!</v>
      </c>
      <c r="Z738" s="150" t="e">
        <f t="shared" si="736"/>
        <v>#REF!</v>
      </c>
      <c r="AA738" s="150" t="e">
        <f t="shared" si="736"/>
        <v>#REF!</v>
      </c>
      <c r="AB738" s="50"/>
    </row>
    <row r="739" s="28" customFormat="1" outlineLevel="3" spans="1:28">
      <c r="A739" s="52">
        <f>MAX($A$6:A738)+1</f>
        <v>677</v>
      </c>
      <c r="B739" s="138" t="s">
        <v>1277</v>
      </c>
      <c r="C739" s="51" t="e">
        <f>VLOOKUP($B739,#REF!,MATCH(C$2,#REF!,0),0)</f>
        <v>#REF!</v>
      </c>
      <c r="D739" s="83"/>
      <c r="E739" s="83"/>
      <c r="F739" s="136" t="e">
        <f>VLOOKUP($B739,#REF!,MATCH(F$2,#REF!,0),0)</f>
        <v>#REF!</v>
      </c>
      <c r="G739" s="137" t="e">
        <f>VLOOKUP($B739,#REF!,MATCH(G$2,#REF!,0),0)</f>
        <v>#REF!</v>
      </c>
      <c r="H739" s="48">
        <v>2221.28</v>
      </c>
      <c r="I739" s="48">
        <v>2448.95</v>
      </c>
      <c r="J739" s="48">
        <v>646.57</v>
      </c>
      <c r="K739" s="48">
        <v>646.57</v>
      </c>
      <c r="L739" s="48"/>
      <c r="M739" s="48">
        <v>590.7</v>
      </c>
      <c r="N739" s="48">
        <v>590.7</v>
      </c>
      <c r="O739" s="48">
        <v>590.7</v>
      </c>
      <c r="P739" s="48"/>
      <c r="Q739" s="48"/>
      <c r="R739" s="150" t="e">
        <f t="shared" ref="R739:AA739" si="737">$G739*H739</f>
        <v>#REF!</v>
      </c>
      <c r="S739" s="150" t="e">
        <f t="shared" si="737"/>
        <v>#REF!</v>
      </c>
      <c r="T739" s="150" t="e">
        <f t="shared" si="737"/>
        <v>#REF!</v>
      </c>
      <c r="U739" s="150" t="e">
        <f t="shared" si="737"/>
        <v>#REF!</v>
      </c>
      <c r="V739" s="150" t="e">
        <f t="shared" si="737"/>
        <v>#REF!</v>
      </c>
      <c r="W739" s="150" t="e">
        <f t="shared" si="737"/>
        <v>#REF!</v>
      </c>
      <c r="X739" s="150" t="e">
        <f t="shared" si="737"/>
        <v>#REF!</v>
      </c>
      <c r="Y739" s="150" t="e">
        <f t="shared" si="737"/>
        <v>#REF!</v>
      </c>
      <c r="Z739" s="150" t="e">
        <f t="shared" si="737"/>
        <v>#REF!</v>
      </c>
      <c r="AA739" s="150" t="e">
        <f t="shared" si="737"/>
        <v>#REF!</v>
      </c>
      <c r="AB739" s="50"/>
    </row>
    <row r="740" s="28" customFormat="1" outlineLevel="3" spans="1:28">
      <c r="A740" s="52">
        <f>MAX($A$6:A739)+1</f>
        <v>678</v>
      </c>
      <c r="B740" s="51" t="s">
        <v>1278</v>
      </c>
      <c r="C740" s="51" t="e">
        <f>VLOOKUP($B740,#REF!,MATCH(C$2,#REF!,0),0)</f>
        <v>#REF!</v>
      </c>
      <c r="D740" s="83"/>
      <c r="E740" s="83"/>
      <c r="F740" s="136" t="e">
        <f>VLOOKUP($B740,#REF!,MATCH(F$2,#REF!,0),0)</f>
        <v>#REF!</v>
      </c>
      <c r="G740" s="137" t="e">
        <f>VLOOKUP($B740,#REF!,MATCH(G$2,#REF!,0),0)</f>
        <v>#REF!</v>
      </c>
      <c r="H740" s="48"/>
      <c r="I740" s="48"/>
      <c r="J740" s="48"/>
      <c r="K740" s="48"/>
      <c r="L740" s="48"/>
      <c r="M740" s="48"/>
      <c r="N740" s="48"/>
      <c r="O740" s="48"/>
      <c r="P740" s="48"/>
      <c r="Q740" s="48"/>
      <c r="R740" s="150" t="e">
        <f t="shared" ref="R740:AA740" si="738">$G740*H740</f>
        <v>#REF!</v>
      </c>
      <c r="S740" s="150" t="e">
        <f t="shared" si="738"/>
        <v>#REF!</v>
      </c>
      <c r="T740" s="150" t="e">
        <f t="shared" si="738"/>
        <v>#REF!</v>
      </c>
      <c r="U740" s="150" t="e">
        <f t="shared" si="738"/>
        <v>#REF!</v>
      </c>
      <c r="V740" s="150" t="e">
        <f t="shared" si="738"/>
        <v>#REF!</v>
      </c>
      <c r="W740" s="150" t="e">
        <f t="shared" si="738"/>
        <v>#REF!</v>
      </c>
      <c r="X740" s="150" t="e">
        <f t="shared" si="738"/>
        <v>#REF!</v>
      </c>
      <c r="Y740" s="150" t="e">
        <f t="shared" si="738"/>
        <v>#REF!</v>
      </c>
      <c r="Z740" s="150" t="e">
        <f t="shared" si="738"/>
        <v>#REF!</v>
      </c>
      <c r="AA740" s="150" t="e">
        <f t="shared" si="738"/>
        <v>#REF!</v>
      </c>
      <c r="AB740" s="50"/>
    </row>
    <row r="741" s="28" customFormat="1" outlineLevel="3" spans="1:28">
      <c r="A741" s="52">
        <f>MAX($A$6:A740)+1</f>
        <v>679</v>
      </c>
      <c r="B741" s="138" t="s">
        <v>1279</v>
      </c>
      <c r="C741" s="51" t="e">
        <f>VLOOKUP($B741,#REF!,MATCH(C$2,#REF!,0),0)</f>
        <v>#REF!</v>
      </c>
      <c r="D741" s="83"/>
      <c r="E741" s="83"/>
      <c r="F741" s="136" t="e">
        <f>VLOOKUP($B741,#REF!,MATCH(F$2,#REF!,0),0)</f>
        <v>#REF!</v>
      </c>
      <c r="G741" s="137" t="e">
        <f>VLOOKUP($B741,#REF!,MATCH(G$2,#REF!,0),0)</f>
        <v>#REF!</v>
      </c>
      <c r="H741" s="48">
        <v>132.62</v>
      </c>
      <c r="I741" s="48">
        <v>149</v>
      </c>
      <c r="J741" s="48">
        <v>7.3</v>
      </c>
      <c r="K741" s="48">
        <v>7.3</v>
      </c>
      <c r="L741" s="48"/>
      <c r="M741" s="48">
        <v>1</v>
      </c>
      <c r="N741" s="48">
        <v>1</v>
      </c>
      <c r="O741" s="48">
        <v>1</v>
      </c>
      <c r="P741" s="48"/>
      <c r="Q741" s="48"/>
      <c r="R741" s="150" t="e">
        <f t="shared" ref="R741:AA741" si="739">$G741*H741</f>
        <v>#REF!</v>
      </c>
      <c r="S741" s="150" t="e">
        <f t="shared" si="739"/>
        <v>#REF!</v>
      </c>
      <c r="T741" s="150" t="e">
        <f t="shared" si="739"/>
        <v>#REF!</v>
      </c>
      <c r="U741" s="150" t="e">
        <f t="shared" si="739"/>
        <v>#REF!</v>
      </c>
      <c r="V741" s="150" t="e">
        <f t="shared" si="739"/>
        <v>#REF!</v>
      </c>
      <c r="W741" s="150" t="e">
        <f t="shared" si="739"/>
        <v>#REF!</v>
      </c>
      <c r="X741" s="150" t="e">
        <f t="shared" si="739"/>
        <v>#REF!</v>
      </c>
      <c r="Y741" s="150" t="e">
        <f t="shared" si="739"/>
        <v>#REF!</v>
      </c>
      <c r="Z741" s="150" t="e">
        <f t="shared" si="739"/>
        <v>#REF!</v>
      </c>
      <c r="AA741" s="150" t="e">
        <f t="shared" si="739"/>
        <v>#REF!</v>
      </c>
      <c r="AB741" s="50"/>
    </row>
    <row r="742" s="28" customFormat="1" outlineLevel="3" spans="1:28">
      <c r="A742" s="52">
        <f>MAX($A$6:A741)+1</f>
        <v>680</v>
      </c>
      <c r="B742" s="138" t="s">
        <v>1280</v>
      </c>
      <c r="C742" s="51" t="e">
        <f>VLOOKUP($B742,#REF!,MATCH(C$2,#REF!,0),0)</f>
        <v>#REF!</v>
      </c>
      <c r="D742" s="83"/>
      <c r="E742" s="83"/>
      <c r="F742" s="136" t="e">
        <f>VLOOKUP($B742,#REF!,MATCH(F$2,#REF!,0),0)</f>
        <v>#REF!</v>
      </c>
      <c r="G742" s="137" t="e">
        <f>VLOOKUP($B742,#REF!,MATCH(G$2,#REF!,0),0)</f>
        <v>#REF!</v>
      </c>
      <c r="H742" s="48"/>
      <c r="I742" s="48"/>
      <c r="J742" s="48">
        <v>17.76</v>
      </c>
      <c r="K742" s="48">
        <v>17.76</v>
      </c>
      <c r="L742" s="48"/>
      <c r="M742" s="48">
        <v>38.69</v>
      </c>
      <c r="N742" s="48">
        <v>38.69</v>
      </c>
      <c r="O742" s="48">
        <v>38.69</v>
      </c>
      <c r="P742" s="48"/>
      <c r="Q742" s="48"/>
      <c r="R742" s="150" t="e">
        <f t="shared" ref="R742:AA742" si="740">$G742*H742</f>
        <v>#REF!</v>
      </c>
      <c r="S742" s="150" t="e">
        <f t="shared" si="740"/>
        <v>#REF!</v>
      </c>
      <c r="T742" s="150" t="e">
        <f t="shared" si="740"/>
        <v>#REF!</v>
      </c>
      <c r="U742" s="150" t="e">
        <f t="shared" si="740"/>
        <v>#REF!</v>
      </c>
      <c r="V742" s="150" t="e">
        <f t="shared" si="740"/>
        <v>#REF!</v>
      </c>
      <c r="W742" s="150" t="e">
        <f t="shared" si="740"/>
        <v>#REF!</v>
      </c>
      <c r="X742" s="150" t="e">
        <f t="shared" si="740"/>
        <v>#REF!</v>
      </c>
      <c r="Y742" s="150" t="e">
        <f t="shared" si="740"/>
        <v>#REF!</v>
      </c>
      <c r="Z742" s="150" t="e">
        <f t="shared" si="740"/>
        <v>#REF!</v>
      </c>
      <c r="AA742" s="150" t="e">
        <f t="shared" si="740"/>
        <v>#REF!</v>
      </c>
      <c r="AB742" s="50"/>
    </row>
    <row r="743" s="28" customFormat="1" outlineLevel="3" spans="1:28">
      <c r="A743" s="52">
        <f>MAX($A$6:A742)+1</f>
        <v>681</v>
      </c>
      <c r="B743" s="138" t="s">
        <v>1281</v>
      </c>
      <c r="C743" s="51" t="e">
        <f>VLOOKUP($B743,#REF!,MATCH(C$2,#REF!,0),0)</f>
        <v>#REF!</v>
      </c>
      <c r="D743" s="83"/>
      <c r="E743" s="83"/>
      <c r="F743" s="136" t="e">
        <f>VLOOKUP($B743,#REF!,MATCH(F$2,#REF!,0),0)</f>
        <v>#REF!</v>
      </c>
      <c r="G743" s="137" t="e">
        <f>VLOOKUP($B743,#REF!,MATCH(G$2,#REF!,0),0)</f>
        <v>#REF!</v>
      </c>
      <c r="H743" s="48">
        <v>13.03</v>
      </c>
      <c r="I743" s="48">
        <v>13.03</v>
      </c>
      <c r="J743" s="48">
        <v>1</v>
      </c>
      <c r="K743" s="48">
        <v>1</v>
      </c>
      <c r="L743" s="48">
        <v>6.8</v>
      </c>
      <c r="M743" s="48">
        <v>5.11</v>
      </c>
      <c r="N743" s="48">
        <v>5.11</v>
      </c>
      <c r="O743" s="48">
        <v>5.11</v>
      </c>
      <c r="P743" s="48"/>
      <c r="Q743" s="48"/>
      <c r="R743" s="150" t="e">
        <f t="shared" ref="R743:AA743" si="741">$G743*H743</f>
        <v>#REF!</v>
      </c>
      <c r="S743" s="150" t="e">
        <f t="shared" si="741"/>
        <v>#REF!</v>
      </c>
      <c r="T743" s="150" t="e">
        <f t="shared" si="741"/>
        <v>#REF!</v>
      </c>
      <c r="U743" s="150" t="e">
        <f t="shared" si="741"/>
        <v>#REF!</v>
      </c>
      <c r="V743" s="150" t="e">
        <f t="shared" si="741"/>
        <v>#REF!</v>
      </c>
      <c r="W743" s="150" t="e">
        <f t="shared" si="741"/>
        <v>#REF!</v>
      </c>
      <c r="X743" s="150" t="e">
        <f t="shared" si="741"/>
        <v>#REF!</v>
      </c>
      <c r="Y743" s="150" t="e">
        <f t="shared" si="741"/>
        <v>#REF!</v>
      </c>
      <c r="Z743" s="150" t="e">
        <f t="shared" si="741"/>
        <v>#REF!</v>
      </c>
      <c r="AA743" s="150" t="e">
        <f t="shared" si="741"/>
        <v>#REF!</v>
      </c>
      <c r="AB743" s="50"/>
    </row>
    <row r="744" s="28" customFormat="1" outlineLevel="3" spans="1:28">
      <c r="A744" s="52">
        <f>MAX($A$6:A743)+1</f>
        <v>682</v>
      </c>
      <c r="B744" s="138" t="s">
        <v>1282</v>
      </c>
      <c r="C744" s="51" t="e">
        <f>VLOOKUP($B744,#REF!,MATCH(C$2,#REF!,0),0)</f>
        <v>#REF!</v>
      </c>
      <c r="D744" s="83"/>
      <c r="E744" s="83"/>
      <c r="F744" s="136" t="e">
        <f>VLOOKUP($B744,#REF!,MATCH(F$2,#REF!,0),0)</f>
        <v>#REF!</v>
      </c>
      <c r="G744" s="137" t="e">
        <f>VLOOKUP($B744,#REF!,MATCH(G$2,#REF!,0),0)</f>
        <v>#REF!</v>
      </c>
      <c r="H744" s="48">
        <v>57.61</v>
      </c>
      <c r="I744" s="48">
        <v>57.61</v>
      </c>
      <c r="J744" s="48">
        <v>17.85</v>
      </c>
      <c r="K744" s="48">
        <v>17.85</v>
      </c>
      <c r="L744" s="48"/>
      <c r="M744" s="48">
        <v>1</v>
      </c>
      <c r="N744" s="48">
        <v>1</v>
      </c>
      <c r="O744" s="48">
        <v>1</v>
      </c>
      <c r="P744" s="48"/>
      <c r="Q744" s="48"/>
      <c r="R744" s="150" t="e">
        <f t="shared" ref="R744:AA744" si="742">$G744*H744</f>
        <v>#REF!</v>
      </c>
      <c r="S744" s="150" t="e">
        <f t="shared" si="742"/>
        <v>#REF!</v>
      </c>
      <c r="T744" s="150" t="e">
        <f t="shared" si="742"/>
        <v>#REF!</v>
      </c>
      <c r="U744" s="150" t="e">
        <f t="shared" si="742"/>
        <v>#REF!</v>
      </c>
      <c r="V744" s="150" t="e">
        <f t="shared" si="742"/>
        <v>#REF!</v>
      </c>
      <c r="W744" s="150" t="e">
        <f t="shared" si="742"/>
        <v>#REF!</v>
      </c>
      <c r="X744" s="150" t="e">
        <f t="shared" si="742"/>
        <v>#REF!</v>
      </c>
      <c r="Y744" s="150" t="e">
        <f t="shared" si="742"/>
        <v>#REF!</v>
      </c>
      <c r="Z744" s="150" t="e">
        <f t="shared" si="742"/>
        <v>#REF!</v>
      </c>
      <c r="AA744" s="150" t="e">
        <f t="shared" si="742"/>
        <v>#REF!</v>
      </c>
      <c r="AB744" s="50"/>
    </row>
    <row r="745" s="28" customFormat="1" outlineLevel="3" spans="1:28">
      <c r="A745" s="52">
        <f>MAX($A$6:A744)+1</f>
        <v>683</v>
      </c>
      <c r="B745" s="138" t="s">
        <v>2267</v>
      </c>
      <c r="C745" s="51" t="e">
        <f>VLOOKUP($B745,#REF!,MATCH(C$2,#REF!,0),0)</f>
        <v>#REF!</v>
      </c>
      <c r="D745" s="83"/>
      <c r="E745" s="83"/>
      <c r="F745" s="136" t="e">
        <f>VLOOKUP($B745,#REF!,MATCH(F$2,#REF!,0),0)</f>
        <v>#REF!</v>
      </c>
      <c r="G745" s="137" t="e">
        <f>VLOOKUP($B745,#REF!,MATCH(G$2,#REF!,0),0)</f>
        <v>#REF!</v>
      </c>
      <c r="H745" s="48">
        <v>420</v>
      </c>
      <c r="I745" s="48">
        <v>1</v>
      </c>
      <c r="J745" s="48">
        <v>22</v>
      </c>
      <c r="K745" s="48">
        <v>22</v>
      </c>
      <c r="L745" s="48"/>
      <c r="M745" s="48"/>
      <c r="N745" s="48"/>
      <c r="O745" s="48"/>
      <c r="P745" s="48"/>
      <c r="Q745" s="48"/>
      <c r="R745" s="150" t="e">
        <f t="shared" ref="R745:AA745" si="743">$G745*H745</f>
        <v>#REF!</v>
      </c>
      <c r="S745" s="150" t="e">
        <f t="shared" si="743"/>
        <v>#REF!</v>
      </c>
      <c r="T745" s="150" t="e">
        <f t="shared" si="743"/>
        <v>#REF!</v>
      </c>
      <c r="U745" s="150" t="e">
        <f t="shared" si="743"/>
        <v>#REF!</v>
      </c>
      <c r="V745" s="150" t="e">
        <f t="shared" si="743"/>
        <v>#REF!</v>
      </c>
      <c r="W745" s="150" t="e">
        <f t="shared" si="743"/>
        <v>#REF!</v>
      </c>
      <c r="X745" s="150" t="e">
        <f t="shared" si="743"/>
        <v>#REF!</v>
      </c>
      <c r="Y745" s="150" t="e">
        <f t="shared" si="743"/>
        <v>#REF!</v>
      </c>
      <c r="Z745" s="150" t="e">
        <f t="shared" si="743"/>
        <v>#REF!</v>
      </c>
      <c r="AA745" s="150" t="e">
        <f t="shared" si="743"/>
        <v>#REF!</v>
      </c>
      <c r="AB745" s="50"/>
    </row>
    <row r="746" s="123" customFormat="1" outlineLevel="3" spans="1:28">
      <c r="A746" s="52">
        <f>MAX($A$6:A745)+1</f>
        <v>684</v>
      </c>
      <c r="B746" s="138" t="s">
        <v>2268</v>
      </c>
      <c r="C746" s="51" t="e">
        <f>VLOOKUP($B746,#REF!,MATCH(C$2,#REF!,0),0)</f>
        <v>#REF!</v>
      </c>
      <c r="D746" s="83"/>
      <c r="E746" s="83"/>
      <c r="F746" s="136" t="e">
        <f>VLOOKUP($B746,#REF!,MATCH(F$2,#REF!,0),0)</f>
        <v>#REF!</v>
      </c>
      <c r="G746" s="137" t="e">
        <f>VLOOKUP($B746,#REF!,MATCH(G$2,#REF!,0),0)</f>
        <v>#REF!</v>
      </c>
      <c r="H746" s="48">
        <v>2</v>
      </c>
      <c r="I746" s="48">
        <v>2</v>
      </c>
      <c r="J746" s="48">
        <v>2</v>
      </c>
      <c r="K746" s="48">
        <v>2</v>
      </c>
      <c r="L746" s="48"/>
      <c r="M746" s="48"/>
      <c r="N746" s="48"/>
      <c r="O746" s="48"/>
      <c r="P746" s="48"/>
      <c r="Q746" s="48"/>
      <c r="R746" s="150" t="e">
        <f t="shared" ref="R746:AA746" si="744">$G746*H746</f>
        <v>#REF!</v>
      </c>
      <c r="S746" s="150" t="e">
        <f t="shared" si="744"/>
        <v>#REF!</v>
      </c>
      <c r="T746" s="150" t="e">
        <f t="shared" si="744"/>
        <v>#REF!</v>
      </c>
      <c r="U746" s="150" t="e">
        <f t="shared" si="744"/>
        <v>#REF!</v>
      </c>
      <c r="V746" s="150" t="e">
        <f t="shared" si="744"/>
        <v>#REF!</v>
      </c>
      <c r="W746" s="150" t="e">
        <f t="shared" si="744"/>
        <v>#REF!</v>
      </c>
      <c r="X746" s="150" t="e">
        <f t="shared" si="744"/>
        <v>#REF!</v>
      </c>
      <c r="Y746" s="150" t="e">
        <f t="shared" si="744"/>
        <v>#REF!</v>
      </c>
      <c r="Z746" s="150" t="e">
        <f t="shared" si="744"/>
        <v>#REF!</v>
      </c>
      <c r="AA746" s="150" t="e">
        <f t="shared" si="744"/>
        <v>#REF!</v>
      </c>
      <c r="AB746" s="50"/>
    </row>
    <row r="747" s="122" customFormat="1" outlineLevel="3" spans="1:28">
      <c r="A747" s="52">
        <f>MAX($A$6:A746)+1</f>
        <v>685</v>
      </c>
      <c r="B747" s="138" t="s">
        <v>2269</v>
      </c>
      <c r="C747" s="51" t="e">
        <f>VLOOKUP($B747,#REF!,MATCH(C$2,#REF!,0),0)</f>
        <v>#REF!</v>
      </c>
      <c r="D747" s="83"/>
      <c r="E747" s="83"/>
      <c r="F747" s="136" t="e">
        <f>VLOOKUP($B747,#REF!,MATCH(F$2,#REF!,0),0)</f>
        <v>#REF!</v>
      </c>
      <c r="G747" s="137" t="e">
        <f>VLOOKUP($B747,#REF!,MATCH(G$2,#REF!,0),0)</f>
        <v>#REF!</v>
      </c>
      <c r="H747" s="48">
        <v>54</v>
      </c>
      <c r="I747" s="48">
        <v>1</v>
      </c>
      <c r="J747" s="48">
        <v>33</v>
      </c>
      <c r="K747" s="48">
        <v>33</v>
      </c>
      <c r="L747" s="48"/>
      <c r="M747" s="48"/>
      <c r="N747" s="48"/>
      <c r="O747" s="48"/>
      <c r="P747" s="48"/>
      <c r="Q747" s="48"/>
      <c r="R747" s="150" t="e">
        <f t="shared" ref="R747:AA747" si="745">$G747*H747</f>
        <v>#REF!</v>
      </c>
      <c r="S747" s="150" t="e">
        <f t="shared" si="745"/>
        <v>#REF!</v>
      </c>
      <c r="T747" s="150" t="e">
        <f t="shared" si="745"/>
        <v>#REF!</v>
      </c>
      <c r="U747" s="150" t="e">
        <f t="shared" si="745"/>
        <v>#REF!</v>
      </c>
      <c r="V747" s="150" t="e">
        <f t="shared" si="745"/>
        <v>#REF!</v>
      </c>
      <c r="W747" s="150" t="e">
        <f t="shared" si="745"/>
        <v>#REF!</v>
      </c>
      <c r="X747" s="150" t="e">
        <f t="shared" si="745"/>
        <v>#REF!</v>
      </c>
      <c r="Y747" s="150" t="e">
        <f t="shared" si="745"/>
        <v>#REF!</v>
      </c>
      <c r="Z747" s="150" t="e">
        <f t="shared" si="745"/>
        <v>#REF!</v>
      </c>
      <c r="AA747" s="150" t="e">
        <f t="shared" si="745"/>
        <v>#REF!</v>
      </c>
      <c r="AB747" s="50"/>
    </row>
    <row r="748" s="29" customFormat="1" outlineLevel="3" spans="1:28">
      <c r="A748" s="52">
        <f>MAX($A$6:A747)+1</f>
        <v>686</v>
      </c>
      <c r="B748" s="138" t="s">
        <v>2192</v>
      </c>
      <c r="C748" s="51" t="e">
        <f>VLOOKUP($B748,#REF!,MATCH(C$2,#REF!,0),0)</f>
        <v>#REF!</v>
      </c>
      <c r="D748" s="83"/>
      <c r="E748" s="83"/>
      <c r="F748" s="136" t="e">
        <f>VLOOKUP($B748,#REF!,MATCH(F$2,#REF!,0),0)</f>
        <v>#REF!</v>
      </c>
      <c r="G748" s="137" t="e">
        <f>VLOOKUP($B748,#REF!,MATCH(G$2,#REF!,0),0)</f>
        <v>#REF!</v>
      </c>
      <c r="H748" s="48">
        <v>38025</v>
      </c>
      <c r="I748" s="48">
        <v>38065</v>
      </c>
      <c r="J748" s="48">
        <v>19520</v>
      </c>
      <c r="K748" s="48">
        <v>19520</v>
      </c>
      <c r="L748" s="48">
        <f>12409.599+533.75</f>
        <v>12943.349</v>
      </c>
      <c r="M748" s="48">
        <v>2801.15</v>
      </c>
      <c r="N748" s="48">
        <v>2801.15</v>
      </c>
      <c r="O748" s="48">
        <v>2801.15</v>
      </c>
      <c r="P748" s="48"/>
      <c r="Q748" s="48"/>
      <c r="R748" s="150" t="e">
        <f t="shared" ref="R748:AA748" si="746">$G748*H748</f>
        <v>#REF!</v>
      </c>
      <c r="S748" s="150" t="e">
        <f t="shared" si="746"/>
        <v>#REF!</v>
      </c>
      <c r="T748" s="150" t="e">
        <f t="shared" si="746"/>
        <v>#REF!</v>
      </c>
      <c r="U748" s="150" t="e">
        <f t="shared" si="746"/>
        <v>#REF!</v>
      </c>
      <c r="V748" s="150" t="e">
        <f t="shared" si="746"/>
        <v>#REF!</v>
      </c>
      <c r="W748" s="150" t="e">
        <f t="shared" si="746"/>
        <v>#REF!</v>
      </c>
      <c r="X748" s="150" t="e">
        <f t="shared" si="746"/>
        <v>#REF!</v>
      </c>
      <c r="Y748" s="150" t="e">
        <f t="shared" si="746"/>
        <v>#REF!</v>
      </c>
      <c r="Z748" s="150" t="e">
        <f t="shared" si="746"/>
        <v>#REF!</v>
      </c>
      <c r="AA748" s="150" t="e">
        <f t="shared" si="746"/>
        <v>#REF!</v>
      </c>
      <c r="AB748" s="50"/>
    </row>
    <row r="749" s="28" customFormat="1" outlineLevel="3" spans="1:28">
      <c r="A749" s="52">
        <f>MAX($A$6:A748)+1</f>
        <v>687</v>
      </c>
      <c r="B749" s="138" t="s">
        <v>2193</v>
      </c>
      <c r="C749" s="51" t="e">
        <f>VLOOKUP($B749,#REF!,MATCH(C$2,#REF!,0),0)</f>
        <v>#REF!</v>
      </c>
      <c r="D749" s="83"/>
      <c r="E749" s="83"/>
      <c r="F749" s="136" t="e">
        <f>VLOOKUP($B749,#REF!,MATCH(F$2,#REF!,0),0)</f>
        <v>#REF!</v>
      </c>
      <c r="G749" s="137" t="e">
        <f>VLOOKUP($B749,#REF!,MATCH(G$2,#REF!,0),0)</f>
        <v>#REF!</v>
      </c>
      <c r="H749" s="48">
        <v>37067.46</v>
      </c>
      <c r="I749" s="48">
        <v>35931.9</v>
      </c>
      <c r="J749" s="48">
        <v>15525.11</v>
      </c>
      <c r="K749" s="48">
        <v>15525.11</v>
      </c>
      <c r="L749" s="48">
        <v>9646.959</v>
      </c>
      <c r="M749" s="48">
        <v>1043.12</v>
      </c>
      <c r="N749" s="48">
        <v>1043.12</v>
      </c>
      <c r="O749" s="48">
        <v>1043.12</v>
      </c>
      <c r="P749" s="48"/>
      <c r="Q749" s="48"/>
      <c r="R749" s="150" t="e">
        <f t="shared" ref="R749:AA749" si="747">$G749*H749</f>
        <v>#REF!</v>
      </c>
      <c r="S749" s="150" t="e">
        <f t="shared" si="747"/>
        <v>#REF!</v>
      </c>
      <c r="T749" s="150" t="e">
        <f t="shared" si="747"/>
        <v>#REF!</v>
      </c>
      <c r="U749" s="150" t="e">
        <f t="shared" si="747"/>
        <v>#REF!</v>
      </c>
      <c r="V749" s="150" t="e">
        <f t="shared" si="747"/>
        <v>#REF!</v>
      </c>
      <c r="W749" s="150" t="e">
        <f t="shared" si="747"/>
        <v>#REF!</v>
      </c>
      <c r="X749" s="150" t="e">
        <f t="shared" si="747"/>
        <v>#REF!</v>
      </c>
      <c r="Y749" s="150" t="e">
        <f t="shared" si="747"/>
        <v>#REF!</v>
      </c>
      <c r="Z749" s="150" t="e">
        <f t="shared" si="747"/>
        <v>#REF!</v>
      </c>
      <c r="AA749" s="150" t="e">
        <f t="shared" si="747"/>
        <v>#REF!</v>
      </c>
      <c r="AB749" s="50"/>
    </row>
    <row r="750" s="28" customFormat="1" outlineLevel="3" spans="1:28">
      <c r="A750" s="52">
        <f>MAX($A$6:A749)+1</f>
        <v>688</v>
      </c>
      <c r="B750" s="138" t="s">
        <v>2194</v>
      </c>
      <c r="C750" s="51" t="e">
        <f>VLOOKUP($B750,#REF!,MATCH(C$2,#REF!,0),0)</f>
        <v>#REF!</v>
      </c>
      <c r="D750" s="83"/>
      <c r="E750" s="83"/>
      <c r="F750" s="136" t="e">
        <f>VLOOKUP($B750,#REF!,MATCH(F$2,#REF!,0),0)</f>
        <v>#REF!</v>
      </c>
      <c r="G750" s="137" t="e">
        <f>VLOOKUP($B750,#REF!,MATCH(G$2,#REF!,0),0)</f>
        <v>#REF!</v>
      </c>
      <c r="H750" s="48">
        <v>10</v>
      </c>
      <c r="I750" s="48">
        <v>10</v>
      </c>
      <c r="J750" s="48">
        <v>10</v>
      </c>
      <c r="K750" s="48">
        <v>10</v>
      </c>
      <c r="L750" s="48">
        <v>187.219</v>
      </c>
      <c r="M750" s="48"/>
      <c r="N750" s="48"/>
      <c r="O750" s="48"/>
      <c r="P750" s="48"/>
      <c r="Q750" s="48"/>
      <c r="R750" s="150" t="e">
        <f t="shared" ref="R750:AA750" si="748">$G750*H750</f>
        <v>#REF!</v>
      </c>
      <c r="S750" s="150" t="e">
        <f t="shared" si="748"/>
        <v>#REF!</v>
      </c>
      <c r="T750" s="150" t="e">
        <f t="shared" si="748"/>
        <v>#REF!</v>
      </c>
      <c r="U750" s="150" t="e">
        <f t="shared" si="748"/>
        <v>#REF!</v>
      </c>
      <c r="V750" s="150" t="e">
        <f t="shared" si="748"/>
        <v>#REF!</v>
      </c>
      <c r="W750" s="150" t="e">
        <f t="shared" si="748"/>
        <v>#REF!</v>
      </c>
      <c r="X750" s="150" t="e">
        <f t="shared" si="748"/>
        <v>#REF!</v>
      </c>
      <c r="Y750" s="150" t="e">
        <f t="shared" si="748"/>
        <v>#REF!</v>
      </c>
      <c r="Z750" s="150" t="e">
        <f t="shared" si="748"/>
        <v>#REF!</v>
      </c>
      <c r="AA750" s="150" t="e">
        <f t="shared" si="748"/>
        <v>#REF!</v>
      </c>
      <c r="AB750" s="50"/>
    </row>
    <row r="751" s="28" customFormat="1" outlineLevel="3" spans="1:28">
      <c r="A751" s="52">
        <f>MAX($A$6:A750)+1</f>
        <v>689</v>
      </c>
      <c r="B751" s="138" t="s">
        <v>2195</v>
      </c>
      <c r="C751" s="51" t="e">
        <f>VLOOKUP($B751,#REF!,MATCH(C$2,#REF!,0),0)</f>
        <v>#REF!</v>
      </c>
      <c r="D751" s="83"/>
      <c r="E751" s="83"/>
      <c r="F751" s="136" t="e">
        <f>VLOOKUP($B751,#REF!,MATCH(F$2,#REF!,0),0)</f>
        <v>#REF!</v>
      </c>
      <c r="G751" s="137" t="e">
        <f>VLOOKUP($B751,#REF!,MATCH(G$2,#REF!,0),0)</f>
        <v>#REF!</v>
      </c>
      <c r="H751" s="48">
        <v>2507.34</v>
      </c>
      <c r="I751" s="48">
        <v>2502.32</v>
      </c>
      <c r="J751" s="48">
        <v>1</v>
      </c>
      <c r="K751" s="48">
        <v>1</v>
      </c>
      <c r="L751" s="48">
        <v>1489.764</v>
      </c>
      <c r="M751" s="48"/>
      <c r="N751" s="48"/>
      <c r="O751" s="48"/>
      <c r="P751" s="48"/>
      <c r="Q751" s="48"/>
      <c r="R751" s="150" t="e">
        <f t="shared" ref="R751:AA751" si="749">$G751*H751</f>
        <v>#REF!</v>
      </c>
      <c r="S751" s="150" t="e">
        <f t="shared" si="749"/>
        <v>#REF!</v>
      </c>
      <c r="T751" s="150" t="e">
        <f t="shared" si="749"/>
        <v>#REF!</v>
      </c>
      <c r="U751" s="150" t="e">
        <f t="shared" si="749"/>
        <v>#REF!</v>
      </c>
      <c r="V751" s="150" t="e">
        <f t="shared" si="749"/>
        <v>#REF!</v>
      </c>
      <c r="W751" s="150" t="e">
        <f t="shared" si="749"/>
        <v>#REF!</v>
      </c>
      <c r="X751" s="150" t="e">
        <f t="shared" si="749"/>
        <v>#REF!</v>
      </c>
      <c r="Y751" s="150" t="e">
        <f t="shared" si="749"/>
        <v>#REF!</v>
      </c>
      <c r="Z751" s="150" t="e">
        <f t="shared" si="749"/>
        <v>#REF!</v>
      </c>
      <c r="AA751" s="150" t="e">
        <f t="shared" si="749"/>
        <v>#REF!</v>
      </c>
      <c r="AB751" s="50"/>
    </row>
    <row r="752" s="28" customFormat="1" outlineLevel="3" spans="1:28">
      <c r="A752" s="52">
        <f>MAX($A$6:A751)+1</f>
        <v>690</v>
      </c>
      <c r="B752" s="138" t="s">
        <v>2196</v>
      </c>
      <c r="C752" s="51" t="e">
        <f>VLOOKUP($B752,#REF!,MATCH(C$2,#REF!,0),0)</f>
        <v>#REF!</v>
      </c>
      <c r="D752" s="83"/>
      <c r="E752" s="83"/>
      <c r="F752" s="136" t="e">
        <f>VLOOKUP($B752,#REF!,MATCH(F$2,#REF!,0),0)</f>
        <v>#REF!</v>
      </c>
      <c r="G752" s="137" t="e">
        <f>VLOOKUP($B752,#REF!,MATCH(G$2,#REF!,0),0)</f>
        <v>#REF!</v>
      </c>
      <c r="H752" s="48"/>
      <c r="I752" s="48"/>
      <c r="J752" s="48">
        <v>1752.07</v>
      </c>
      <c r="K752" s="48">
        <v>1752.07</v>
      </c>
      <c r="L752" s="48">
        <v>56.086</v>
      </c>
      <c r="M752" s="48">
        <v>155.46</v>
      </c>
      <c r="N752" s="48">
        <v>155.46</v>
      </c>
      <c r="O752" s="48">
        <v>155.46</v>
      </c>
      <c r="P752" s="48"/>
      <c r="Q752" s="48"/>
      <c r="R752" s="150" t="e">
        <f t="shared" ref="R752:AA752" si="750">$G752*H752</f>
        <v>#REF!</v>
      </c>
      <c r="S752" s="150" t="e">
        <f t="shared" si="750"/>
        <v>#REF!</v>
      </c>
      <c r="T752" s="150" t="e">
        <f t="shared" si="750"/>
        <v>#REF!</v>
      </c>
      <c r="U752" s="150" t="e">
        <f t="shared" si="750"/>
        <v>#REF!</v>
      </c>
      <c r="V752" s="150" t="e">
        <f t="shared" si="750"/>
        <v>#REF!</v>
      </c>
      <c r="W752" s="150" t="e">
        <f t="shared" si="750"/>
        <v>#REF!</v>
      </c>
      <c r="X752" s="150" t="e">
        <f t="shared" si="750"/>
        <v>#REF!</v>
      </c>
      <c r="Y752" s="150" t="e">
        <f t="shared" si="750"/>
        <v>#REF!</v>
      </c>
      <c r="Z752" s="150" t="e">
        <f t="shared" si="750"/>
        <v>#REF!</v>
      </c>
      <c r="AA752" s="150" t="e">
        <f t="shared" si="750"/>
        <v>#REF!</v>
      </c>
      <c r="AB752" s="50"/>
    </row>
    <row r="753" s="28" customFormat="1" outlineLevel="3" spans="1:28">
      <c r="A753" s="52">
        <f>MAX($A$6:A752)+1</f>
        <v>691</v>
      </c>
      <c r="B753" s="138" t="s">
        <v>2197</v>
      </c>
      <c r="C753" s="51" t="e">
        <f>VLOOKUP($B753,#REF!,MATCH(C$2,#REF!,0),0)</f>
        <v>#REF!</v>
      </c>
      <c r="D753" s="83"/>
      <c r="E753" s="83"/>
      <c r="F753" s="136" t="e">
        <f>VLOOKUP($B753,#REF!,MATCH(F$2,#REF!,0),0)</f>
        <v>#REF!</v>
      </c>
      <c r="G753" s="137" t="e">
        <f>VLOOKUP($B753,#REF!,MATCH(G$2,#REF!,0),0)</f>
        <v>#REF!</v>
      </c>
      <c r="H753" s="48"/>
      <c r="I753" s="48"/>
      <c r="J753" s="48"/>
      <c r="K753" s="48"/>
      <c r="L753" s="48"/>
      <c r="M753" s="48"/>
      <c r="N753" s="48"/>
      <c r="O753" s="48"/>
      <c r="P753" s="48"/>
      <c r="Q753" s="48"/>
      <c r="R753" s="150" t="e">
        <f t="shared" ref="R753:AA753" si="751">$G753*H753</f>
        <v>#REF!</v>
      </c>
      <c r="S753" s="150" t="e">
        <f t="shared" si="751"/>
        <v>#REF!</v>
      </c>
      <c r="T753" s="150" t="e">
        <f t="shared" si="751"/>
        <v>#REF!</v>
      </c>
      <c r="U753" s="150" t="e">
        <f t="shared" si="751"/>
        <v>#REF!</v>
      </c>
      <c r="V753" s="150" t="e">
        <f t="shared" si="751"/>
        <v>#REF!</v>
      </c>
      <c r="W753" s="150" t="e">
        <f t="shared" si="751"/>
        <v>#REF!</v>
      </c>
      <c r="X753" s="150" t="e">
        <f t="shared" si="751"/>
        <v>#REF!</v>
      </c>
      <c r="Y753" s="150" t="e">
        <f t="shared" si="751"/>
        <v>#REF!</v>
      </c>
      <c r="Z753" s="150" t="e">
        <f t="shared" si="751"/>
        <v>#REF!</v>
      </c>
      <c r="AA753" s="150" t="e">
        <f t="shared" si="751"/>
        <v>#REF!</v>
      </c>
      <c r="AB753" s="50"/>
    </row>
    <row r="754" s="28" customFormat="1" outlineLevel="3" spans="1:28">
      <c r="A754" s="52">
        <f>MAX($A$6:A753)+1</f>
        <v>692</v>
      </c>
      <c r="B754" s="138" t="s">
        <v>2270</v>
      </c>
      <c r="C754" s="51" t="e">
        <f>VLOOKUP($B754,#REF!,MATCH(C$2,#REF!,0),0)</f>
        <v>#REF!</v>
      </c>
      <c r="D754" s="83"/>
      <c r="E754" s="83"/>
      <c r="F754" s="136" t="e">
        <f>VLOOKUP($B754,#REF!,MATCH(F$2,#REF!,0),0)</f>
        <v>#REF!</v>
      </c>
      <c r="G754" s="137" t="e">
        <f>VLOOKUP($B754,#REF!,MATCH(G$2,#REF!,0),0)</f>
        <v>#REF!</v>
      </c>
      <c r="H754" s="48">
        <v>183.55</v>
      </c>
      <c r="I754" s="48">
        <v>183.55</v>
      </c>
      <c r="J754" s="48">
        <v>189.83</v>
      </c>
      <c r="K754" s="48">
        <v>189.83</v>
      </c>
      <c r="L754" s="48">
        <v>125.409</v>
      </c>
      <c r="M754" s="48"/>
      <c r="N754" s="48"/>
      <c r="O754" s="48"/>
      <c r="P754" s="48"/>
      <c r="Q754" s="48"/>
      <c r="R754" s="150" t="e">
        <f t="shared" ref="R754:AA754" si="752">$G754*H754</f>
        <v>#REF!</v>
      </c>
      <c r="S754" s="150" t="e">
        <f t="shared" si="752"/>
        <v>#REF!</v>
      </c>
      <c r="T754" s="150" t="e">
        <f t="shared" si="752"/>
        <v>#REF!</v>
      </c>
      <c r="U754" s="150" t="e">
        <f t="shared" si="752"/>
        <v>#REF!</v>
      </c>
      <c r="V754" s="150" t="e">
        <f t="shared" si="752"/>
        <v>#REF!</v>
      </c>
      <c r="W754" s="150" t="e">
        <f t="shared" si="752"/>
        <v>#REF!</v>
      </c>
      <c r="X754" s="150" t="e">
        <f t="shared" si="752"/>
        <v>#REF!</v>
      </c>
      <c r="Y754" s="150" t="e">
        <f t="shared" si="752"/>
        <v>#REF!</v>
      </c>
      <c r="Z754" s="150" t="e">
        <f t="shared" si="752"/>
        <v>#REF!</v>
      </c>
      <c r="AA754" s="150" t="e">
        <f t="shared" si="752"/>
        <v>#REF!</v>
      </c>
      <c r="AB754" s="50"/>
    </row>
    <row r="755" s="28" customFormat="1" outlineLevel="3" spans="1:28">
      <c r="A755" s="52">
        <f>MAX($A$6:A754)+1</f>
        <v>693</v>
      </c>
      <c r="B755" s="138" t="s">
        <v>2201</v>
      </c>
      <c r="C755" s="51" t="e">
        <f>VLOOKUP($B755,#REF!,MATCH(C$2,#REF!,0),0)</f>
        <v>#REF!</v>
      </c>
      <c r="D755" s="83"/>
      <c r="E755" s="83"/>
      <c r="F755" s="136" t="e">
        <f>VLOOKUP($B755,#REF!,MATCH(F$2,#REF!,0),0)</f>
        <v>#REF!</v>
      </c>
      <c r="G755" s="137" t="e">
        <f>VLOOKUP($B755,#REF!,MATCH(G$2,#REF!,0),0)</f>
        <v>#REF!</v>
      </c>
      <c r="H755" s="48">
        <v>719.12</v>
      </c>
      <c r="I755" s="48">
        <v>719.12</v>
      </c>
      <c r="J755" s="48">
        <v>197.56</v>
      </c>
      <c r="K755" s="48">
        <v>197.56</v>
      </c>
      <c r="L755" s="48"/>
      <c r="M755" s="48">
        <v>27.31</v>
      </c>
      <c r="N755" s="48">
        <v>27.31</v>
      </c>
      <c r="O755" s="48">
        <v>27.31</v>
      </c>
      <c r="P755" s="48"/>
      <c r="Q755" s="48"/>
      <c r="R755" s="150" t="e">
        <f t="shared" ref="R755:AA755" si="753">$G755*H755</f>
        <v>#REF!</v>
      </c>
      <c r="S755" s="150" t="e">
        <f t="shared" si="753"/>
        <v>#REF!</v>
      </c>
      <c r="T755" s="150" t="e">
        <f t="shared" si="753"/>
        <v>#REF!</v>
      </c>
      <c r="U755" s="150" t="e">
        <f t="shared" si="753"/>
        <v>#REF!</v>
      </c>
      <c r="V755" s="150" t="e">
        <f t="shared" si="753"/>
        <v>#REF!</v>
      </c>
      <c r="W755" s="150" t="e">
        <f t="shared" si="753"/>
        <v>#REF!</v>
      </c>
      <c r="X755" s="150" t="e">
        <f t="shared" si="753"/>
        <v>#REF!</v>
      </c>
      <c r="Y755" s="150" t="e">
        <f t="shared" si="753"/>
        <v>#REF!</v>
      </c>
      <c r="Z755" s="150" t="e">
        <f t="shared" si="753"/>
        <v>#REF!</v>
      </c>
      <c r="AA755" s="150" t="e">
        <f t="shared" si="753"/>
        <v>#REF!</v>
      </c>
      <c r="AB755" s="50"/>
    </row>
    <row r="756" s="28" customFormat="1" outlineLevel="3" spans="1:28">
      <c r="A756" s="52">
        <f>MAX($A$6:A755)+1</f>
        <v>694</v>
      </c>
      <c r="B756" s="138" t="s">
        <v>2202</v>
      </c>
      <c r="C756" s="51" t="e">
        <f>VLOOKUP($B756,#REF!,MATCH(C$2,#REF!,0),0)</f>
        <v>#REF!</v>
      </c>
      <c r="D756" s="83"/>
      <c r="E756" s="83"/>
      <c r="F756" s="136" t="e">
        <f>VLOOKUP($B756,#REF!,MATCH(F$2,#REF!,0),0)</f>
        <v>#REF!</v>
      </c>
      <c r="G756" s="137" t="e">
        <f>VLOOKUP($B756,#REF!,MATCH(G$2,#REF!,0),0)</f>
        <v>#REF!</v>
      </c>
      <c r="H756" s="48">
        <v>157.39</v>
      </c>
      <c r="I756" s="48">
        <v>157.39</v>
      </c>
      <c r="J756" s="48">
        <v>1</v>
      </c>
      <c r="K756" s="48">
        <v>1</v>
      </c>
      <c r="L756" s="48">
        <f>109.348+19.348</f>
        <v>128.696</v>
      </c>
      <c r="M756" s="48">
        <v>1</v>
      </c>
      <c r="N756" s="48">
        <v>1</v>
      </c>
      <c r="O756" s="48">
        <v>1</v>
      </c>
      <c r="P756" s="48"/>
      <c r="Q756" s="48"/>
      <c r="R756" s="150" t="e">
        <f t="shared" ref="R756:AA756" si="754">$G756*H756</f>
        <v>#REF!</v>
      </c>
      <c r="S756" s="150" t="e">
        <f t="shared" si="754"/>
        <v>#REF!</v>
      </c>
      <c r="T756" s="150" t="e">
        <f t="shared" si="754"/>
        <v>#REF!</v>
      </c>
      <c r="U756" s="150" t="e">
        <f t="shared" si="754"/>
        <v>#REF!</v>
      </c>
      <c r="V756" s="150" t="e">
        <f t="shared" si="754"/>
        <v>#REF!</v>
      </c>
      <c r="W756" s="150" t="e">
        <f t="shared" si="754"/>
        <v>#REF!</v>
      </c>
      <c r="X756" s="150" t="e">
        <f t="shared" si="754"/>
        <v>#REF!</v>
      </c>
      <c r="Y756" s="150" t="e">
        <f t="shared" si="754"/>
        <v>#REF!</v>
      </c>
      <c r="Z756" s="150" t="e">
        <f t="shared" si="754"/>
        <v>#REF!</v>
      </c>
      <c r="AA756" s="150" t="e">
        <f t="shared" si="754"/>
        <v>#REF!</v>
      </c>
      <c r="AB756" s="50"/>
    </row>
    <row r="757" s="28" customFormat="1" outlineLevel="3" spans="1:28">
      <c r="A757" s="52">
        <f>MAX($A$6:A756)+1</f>
        <v>695</v>
      </c>
      <c r="B757" s="138" t="s">
        <v>2203</v>
      </c>
      <c r="C757" s="51" t="e">
        <f>VLOOKUP($B757,#REF!,MATCH(C$2,#REF!,0),0)</f>
        <v>#REF!</v>
      </c>
      <c r="D757" s="83"/>
      <c r="E757" s="83"/>
      <c r="F757" s="136" t="e">
        <f>VLOOKUP($B757,#REF!,MATCH(F$2,#REF!,0),0)</f>
        <v>#REF!</v>
      </c>
      <c r="G757" s="137" t="e">
        <f>VLOOKUP($B757,#REF!,MATCH(G$2,#REF!,0),0)</f>
        <v>#REF!</v>
      </c>
      <c r="H757" s="48">
        <v>916.49</v>
      </c>
      <c r="I757" s="48">
        <v>916.49</v>
      </c>
      <c r="J757" s="48">
        <v>400.09</v>
      </c>
      <c r="K757" s="48">
        <v>400.09</v>
      </c>
      <c r="L757" s="48">
        <v>218.622</v>
      </c>
      <c r="M757" s="48">
        <v>48.81</v>
      </c>
      <c r="N757" s="48">
        <v>48.81</v>
      </c>
      <c r="O757" s="48">
        <v>48.81</v>
      </c>
      <c r="P757" s="48"/>
      <c r="Q757" s="48"/>
      <c r="R757" s="150" t="e">
        <f t="shared" ref="R757:AA757" si="755">$G757*H757</f>
        <v>#REF!</v>
      </c>
      <c r="S757" s="150" t="e">
        <f t="shared" si="755"/>
        <v>#REF!</v>
      </c>
      <c r="T757" s="150" t="e">
        <f t="shared" si="755"/>
        <v>#REF!</v>
      </c>
      <c r="U757" s="150" t="e">
        <f t="shared" si="755"/>
        <v>#REF!</v>
      </c>
      <c r="V757" s="150" t="e">
        <f t="shared" si="755"/>
        <v>#REF!</v>
      </c>
      <c r="W757" s="150" t="e">
        <f t="shared" si="755"/>
        <v>#REF!</v>
      </c>
      <c r="X757" s="150" t="e">
        <f t="shared" si="755"/>
        <v>#REF!</v>
      </c>
      <c r="Y757" s="150" t="e">
        <f t="shared" si="755"/>
        <v>#REF!</v>
      </c>
      <c r="Z757" s="150" t="e">
        <f t="shared" si="755"/>
        <v>#REF!</v>
      </c>
      <c r="AA757" s="150" t="e">
        <f t="shared" si="755"/>
        <v>#REF!</v>
      </c>
      <c r="AB757" s="50"/>
    </row>
    <row r="758" s="28" customFormat="1" outlineLevel="3" spans="1:28">
      <c r="A758" s="52">
        <f>MAX($A$6:A757)+1</f>
        <v>696</v>
      </c>
      <c r="B758" s="138" t="s">
        <v>2205</v>
      </c>
      <c r="C758" s="51" t="e">
        <f>VLOOKUP($B758,#REF!,MATCH(C$2,#REF!,0),0)</f>
        <v>#REF!</v>
      </c>
      <c r="D758" s="83"/>
      <c r="E758" s="83"/>
      <c r="F758" s="136" t="e">
        <f>VLOOKUP($B758,#REF!,MATCH(F$2,#REF!,0),0)</f>
        <v>#REF!</v>
      </c>
      <c r="G758" s="137" t="e">
        <f>VLOOKUP($B758,#REF!,MATCH(G$2,#REF!,0),0)</f>
        <v>#REF!</v>
      </c>
      <c r="H758" s="48">
        <v>10</v>
      </c>
      <c r="I758" s="48">
        <v>10</v>
      </c>
      <c r="J758" s="48">
        <v>10</v>
      </c>
      <c r="K758" s="48">
        <v>10</v>
      </c>
      <c r="L758" s="48"/>
      <c r="M758" s="48"/>
      <c r="N758" s="48"/>
      <c r="O758" s="48"/>
      <c r="P758" s="48"/>
      <c r="Q758" s="48"/>
      <c r="R758" s="150" t="e">
        <f t="shared" ref="R758:AA758" si="756">$G758*H758</f>
        <v>#REF!</v>
      </c>
      <c r="S758" s="150" t="e">
        <f t="shared" si="756"/>
        <v>#REF!</v>
      </c>
      <c r="T758" s="150" t="e">
        <f t="shared" si="756"/>
        <v>#REF!</v>
      </c>
      <c r="U758" s="150" t="e">
        <f t="shared" si="756"/>
        <v>#REF!</v>
      </c>
      <c r="V758" s="150" t="e">
        <f t="shared" si="756"/>
        <v>#REF!</v>
      </c>
      <c r="W758" s="150" t="e">
        <f t="shared" si="756"/>
        <v>#REF!</v>
      </c>
      <c r="X758" s="150" t="e">
        <f t="shared" si="756"/>
        <v>#REF!</v>
      </c>
      <c r="Y758" s="150" t="e">
        <f t="shared" si="756"/>
        <v>#REF!</v>
      </c>
      <c r="Z758" s="150" t="e">
        <f t="shared" si="756"/>
        <v>#REF!</v>
      </c>
      <c r="AA758" s="150" t="e">
        <f t="shared" si="756"/>
        <v>#REF!</v>
      </c>
      <c r="AB758" s="50"/>
    </row>
    <row r="759" s="29" customFormat="1" outlineLevel="3" spans="1:28">
      <c r="A759" s="52">
        <f>MAX($A$6:A758)+1</f>
        <v>697</v>
      </c>
      <c r="B759" s="138" t="s">
        <v>2204</v>
      </c>
      <c r="C759" s="51" t="e">
        <f>VLOOKUP($B759,#REF!,MATCH(C$2,#REF!,0),0)</f>
        <v>#REF!</v>
      </c>
      <c r="D759" s="83"/>
      <c r="E759" s="83"/>
      <c r="F759" s="136" t="e">
        <f>VLOOKUP($B759,#REF!,MATCH(F$2,#REF!,0),0)</f>
        <v>#REF!</v>
      </c>
      <c r="G759" s="137" t="e">
        <f>VLOOKUP($B759,#REF!,MATCH(G$2,#REF!,0),0)</f>
        <v>#REF!</v>
      </c>
      <c r="H759" s="48">
        <v>257.03</v>
      </c>
      <c r="I759" s="48">
        <v>257.03</v>
      </c>
      <c r="J759" s="48">
        <v>1</v>
      </c>
      <c r="K759" s="48">
        <v>1</v>
      </c>
      <c r="L759" s="48"/>
      <c r="M759" s="48"/>
      <c r="N759" s="48"/>
      <c r="O759" s="48"/>
      <c r="P759" s="48"/>
      <c r="Q759" s="48"/>
      <c r="R759" s="150" t="e">
        <f t="shared" ref="R759:AA759" si="757">$G759*H759</f>
        <v>#REF!</v>
      </c>
      <c r="S759" s="150" t="e">
        <f t="shared" si="757"/>
        <v>#REF!</v>
      </c>
      <c r="T759" s="150" t="e">
        <f t="shared" si="757"/>
        <v>#REF!</v>
      </c>
      <c r="U759" s="150" t="e">
        <f t="shared" si="757"/>
        <v>#REF!</v>
      </c>
      <c r="V759" s="150" t="e">
        <f t="shared" si="757"/>
        <v>#REF!</v>
      </c>
      <c r="W759" s="150" t="e">
        <f t="shared" si="757"/>
        <v>#REF!</v>
      </c>
      <c r="X759" s="150" t="e">
        <f t="shared" si="757"/>
        <v>#REF!</v>
      </c>
      <c r="Y759" s="150" t="e">
        <f t="shared" si="757"/>
        <v>#REF!</v>
      </c>
      <c r="Z759" s="150" t="e">
        <f t="shared" si="757"/>
        <v>#REF!</v>
      </c>
      <c r="AA759" s="150" t="e">
        <f t="shared" si="757"/>
        <v>#REF!</v>
      </c>
      <c r="AB759" s="50"/>
    </row>
    <row r="760" s="28" customFormat="1" outlineLevel="3" spans="1:28">
      <c r="A760" s="52">
        <f>MAX($A$6:A759)+1</f>
        <v>698</v>
      </c>
      <c r="B760" s="138" t="s">
        <v>2208</v>
      </c>
      <c r="C760" s="51" t="e">
        <f>VLOOKUP($B760,#REF!,MATCH(C$2,#REF!,0),0)</f>
        <v>#REF!</v>
      </c>
      <c r="D760" s="83"/>
      <c r="E760" s="83"/>
      <c r="F760" s="136" t="e">
        <f>VLOOKUP($B760,#REF!,MATCH(F$2,#REF!,0),0)</f>
        <v>#REF!</v>
      </c>
      <c r="G760" s="137" t="e">
        <f>VLOOKUP($B760,#REF!,MATCH(G$2,#REF!,0),0)</f>
        <v>#REF!</v>
      </c>
      <c r="H760" s="48">
        <v>2482.59</v>
      </c>
      <c r="I760" s="48">
        <v>679.22</v>
      </c>
      <c r="J760" s="48">
        <v>53.37</v>
      </c>
      <c r="K760" s="48">
        <v>53.37</v>
      </c>
      <c r="L760" s="48">
        <v>223</v>
      </c>
      <c r="M760" s="48"/>
      <c r="N760" s="48"/>
      <c r="O760" s="48"/>
      <c r="P760" s="48"/>
      <c r="Q760" s="48"/>
      <c r="R760" s="150" t="e">
        <f t="shared" ref="R760:AA760" si="758">$G760*H760</f>
        <v>#REF!</v>
      </c>
      <c r="S760" s="150" t="e">
        <f t="shared" si="758"/>
        <v>#REF!</v>
      </c>
      <c r="T760" s="150" t="e">
        <f t="shared" si="758"/>
        <v>#REF!</v>
      </c>
      <c r="U760" s="150" t="e">
        <f t="shared" si="758"/>
        <v>#REF!</v>
      </c>
      <c r="V760" s="150" t="e">
        <f t="shared" si="758"/>
        <v>#REF!</v>
      </c>
      <c r="W760" s="150" t="e">
        <f t="shared" si="758"/>
        <v>#REF!</v>
      </c>
      <c r="X760" s="150" t="e">
        <f t="shared" si="758"/>
        <v>#REF!</v>
      </c>
      <c r="Y760" s="150" t="e">
        <f t="shared" si="758"/>
        <v>#REF!</v>
      </c>
      <c r="Z760" s="150" t="e">
        <f t="shared" si="758"/>
        <v>#REF!</v>
      </c>
      <c r="AA760" s="150" t="e">
        <f t="shared" si="758"/>
        <v>#REF!</v>
      </c>
      <c r="AB760" s="50"/>
    </row>
    <row r="761" s="28" customFormat="1" ht="28.8" outlineLevel="3" spans="1:28">
      <c r="A761" s="52">
        <f>MAX($A$6:A760)+1</f>
        <v>699</v>
      </c>
      <c r="B761" s="138" t="s">
        <v>2209</v>
      </c>
      <c r="C761" s="51" t="e">
        <f>VLOOKUP($B761,#REF!,MATCH(C$2,#REF!,0),0)</f>
        <v>#REF!</v>
      </c>
      <c r="D761" s="83"/>
      <c r="E761" s="83"/>
      <c r="F761" s="136" t="e">
        <f>VLOOKUP($B761,#REF!,MATCH(F$2,#REF!,0),0)</f>
        <v>#REF!</v>
      </c>
      <c r="G761" s="137" t="e">
        <f>VLOOKUP($B761,#REF!,MATCH(G$2,#REF!,0),0)</f>
        <v>#REF!</v>
      </c>
      <c r="H761" s="48"/>
      <c r="I761" s="48">
        <v>1723.7</v>
      </c>
      <c r="J761" s="48">
        <v>750</v>
      </c>
      <c r="K761" s="48">
        <v>750</v>
      </c>
      <c r="L761" s="48">
        <v>387.053</v>
      </c>
      <c r="M761" s="48">
        <v>591.99</v>
      </c>
      <c r="N761" s="48">
        <v>591.99</v>
      </c>
      <c r="O761" s="48">
        <v>591.99</v>
      </c>
      <c r="P761" s="48"/>
      <c r="Q761" s="48"/>
      <c r="R761" s="150" t="e">
        <f t="shared" ref="R761:AA761" si="759">$G761*H761</f>
        <v>#REF!</v>
      </c>
      <c r="S761" s="150" t="e">
        <f t="shared" si="759"/>
        <v>#REF!</v>
      </c>
      <c r="T761" s="150" t="e">
        <f t="shared" si="759"/>
        <v>#REF!</v>
      </c>
      <c r="U761" s="150" t="e">
        <f t="shared" si="759"/>
        <v>#REF!</v>
      </c>
      <c r="V761" s="150" t="e">
        <f t="shared" si="759"/>
        <v>#REF!</v>
      </c>
      <c r="W761" s="150" t="e">
        <f t="shared" si="759"/>
        <v>#REF!</v>
      </c>
      <c r="X761" s="150" t="e">
        <f t="shared" si="759"/>
        <v>#REF!</v>
      </c>
      <c r="Y761" s="150" t="e">
        <f t="shared" si="759"/>
        <v>#REF!</v>
      </c>
      <c r="Z761" s="150" t="e">
        <f t="shared" si="759"/>
        <v>#REF!</v>
      </c>
      <c r="AA761" s="150" t="e">
        <f t="shared" si="759"/>
        <v>#REF!</v>
      </c>
      <c r="AB761" s="50"/>
    </row>
    <row r="762" s="28" customFormat="1" outlineLevel="3" spans="1:28">
      <c r="A762" s="52">
        <f>MAX($A$6:A761)+1</f>
        <v>700</v>
      </c>
      <c r="B762" s="138" t="s">
        <v>2271</v>
      </c>
      <c r="C762" s="138" t="e">
        <f>VLOOKUP($B762,#REF!,MATCH(C$2,#REF!,0),0)</f>
        <v>#REF!</v>
      </c>
      <c r="D762" s="83"/>
      <c r="E762" s="83"/>
      <c r="F762" s="136" t="e">
        <f>VLOOKUP($B762,#REF!,MATCH(F$2,#REF!,0),0)</f>
        <v>#REF!</v>
      </c>
      <c r="G762" s="137" t="e">
        <f>VLOOKUP($B762,#REF!,MATCH(G$2,#REF!,0),0)</f>
        <v>#REF!</v>
      </c>
      <c r="H762" s="48"/>
      <c r="I762" s="48"/>
      <c r="J762" s="48"/>
      <c r="K762" s="48"/>
      <c r="L762" s="48"/>
      <c r="M762" s="48"/>
      <c r="N762" s="48"/>
      <c r="O762" s="48"/>
      <c r="P762" s="48"/>
      <c r="Q762" s="48"/>
      <c r="R762" s="150" t="e">
        <f t="shared" ref="R762:R764" si="760">$G762*H762</f>
        <v>#REF!</v>
      </c>
      <c r="S762" s="150" t="e">
        <f t="shared" ref="S762:S764" si="761">$G762*I762</f>
        <v>#REF!</v>
      </c>
      <c r="T762" s="150" t="e">
        <f t="shared" ref="T762:T764" si="762">$G762*J762</f>
        <v>#REF!</v>
      </c>
      <c r="U762" s="150" t="e">
        <f t="shared" ref="U762:U764" si="763">$G762*K762</f>
        <v>#REF!</v>
      </c>
      <c r="V762" s="150" t="e">
        <f t="shared" ref="V762:V764" si="764">$G762*L762</f>
        <v>#REF!</v>
      </c>
      <c r="W762" s="150" t="e">
        <f t="shared" ref="W762:W764" si="765">$G762*M762</f>
        <v>#REF!</v>
      </c>
      <c r="X762" s="150" t="e">
        <f t="shared" ref="X762:X764" si="766">$G762*N762</f>
        <v>#REF!</v>
      </c>
      <c r="Y762" s="150" t="e">
        <f>$G762*O762</f>
        <v>#REF!</v>
      </c>
      <c r="Z762" s="150" t="e">
        <f t="shared" ref="Z762:Z768" si="767">$G762*P762</f>
        <v>#REF!</v>
      </c>
      <c r="AA762" s="150" t="e">
        <f t="shared" ref="AA762:AA768" si="768">$G762*Q762</f>
        <v>#REF!</v>
      </c>
      <c r="AB762" s="50"/>
    </row>
    <row r="763" s="28" customFormat="1" outlineLevel="3" spans="1:28">
      <c r="A763" s="52">
        <f>MAX($A$6:A762)+1</f>
        <v>701</v>
      </c>
      <c r="B763" s="138" t="s">
        <v>2272</v>
      </c>
      <c r="C763" s="138" t="e">
        <f>VLOOKUP($B763,#REF!,MATCH(C$2,#REF!,0),0)</f>
        <v>#REF!</v>
      </c>
      <c r="D763" s="83"/>
      <c r="E763" s="83"/>
      <c r="F763" s="136" t="e">
        <f>VLOOKUP($B763,#REF!,MATCH(F$2,#REF!,0),0)</f>
        <v>#REF!</v>
      </c>
      <c r="G763" s="137" t="e">
        <f>VLOOKUP($B763,#REF!,MATCH(G$2,#REF!,0),0)</f>
        <v>#REF!</v>
      </c>
      <c r="H763" s="48"/>
      <c r="I763" s="48"/>
      <c r="J763" s="48"/>
      <c r="K763" s="48"/>
      <c r="L763" s="48"/>
      <c r="M763" s="48"/>
      <c r="N763" s="48"/>
      <c r="O763" s="48"/>
      <c r="P763" s="48"/>
      <c r="Q763" s="48"/>
      <c r="R763" s="150" t="e">
        <f t="shared" si="760"/>
        <v>#REF!</v>
      </c>
      <c r="S763" s="150" t="e">
        <f t="shared" si="761"/>
        <v>#REF!</v>
      </c>
      <c r="T763" s="150" t="e">
        <f t="shared" si="762"/>
        <v>#REF!</v>
      </c>
      <c r="U763" s="150" t="e">
        <f t="shared" si="763"/>
        <v>#REF!</v>
      </c>
      <c r="V763" s="150" t="e">
        <f t="shared" si="764"/>
        <v>#REF!</v>
      </c>
      <c r="W763" s="150" t="e">
        <f t="shared" si="765"/>
        <v>#REF!</v>
      </c>
      <c r="X763" s="150" t="e">
        <f t="shared" si="766"/>
        <v>#REF!</v>
      </c>
      <c r="Y763" s="150" t="e">
        <f>$G763*O763</f>
        <v>#REF!</v>
      </c>
      <c r="Z763" s="150" t="e">
        <f t="shared" si="767"/>
        <v>#REF!</v>
      </c>
      <c r="AA763" s="150" t="e">
        <f t="shared" si="768"/>
        <v>#REF!</v>
      </c>
      <c r="AB763" s="50"/>
    </row>
    <row r="764" s="28" customFormat="1" outlineLevel="3" spans="1:28">
      <c r="A764" s="52">
        <f>MAX($A$6:A763)+1</f>
        <v>702</v>
      </c>
      <c r="B764" s="138" t="s">
        <v>2273</v>
      </c>
      <c r="C764" s="138" t="e">
        <f>VLOOKUP($B764,#REF!,MATCH(C$2,#REF!,0),0)</f>
        <v>#REF!</v>
      </c>
      <c r="D764" s="83"/>
      <c r="E764" s="83"/>
      <c r="F764" s="136" t="e">
        <f>VLOOKUP($B764,#REF!,MATCH(F$2,#REF!,0),0)</f>
        <v>#REF!</v>
      </c>
      <c r="G764" s="137" t="e">
        <f>VLOOKUP($B764,#REF!,MATCH(G$2,#REF!,0),0)</f>
        <v>#REF!</v>
      </c>
      <c r="H764" s="48"/>
      <c r="I764" s="48"/>
      <c r="J764" s="48"/>
      <c r="K764" s="48"/>
      <c r="L764" s="48"/>
      <c r="M764" s="48"/>
      <c r="N764" s="48"/>
      <c r="O764" s="48"/>
      <c r="P764" s="48"/>
      <c r="Q764" s="48"/>
      <c r="R764" s="150" t="e">
        <f t="shared" si="760"/>
        <v>#REF!</v>
      </c>
      <c r="S764" s="150" t="e">
        <f t="shared" si="761"/>
        <v>#REF!</v>
      </c>
      <c r="T764" s="150" t="e">
        <f t="shared" si="762"/>
        <v>#REF!</v>
      </c>
      <c r="U764" s="150" t="e">
        <f t="shared" si="763"/>
        <v>#REF!</v>
      </c>
      <c r="V764" s="150" t="e">
        <f t="shared" si="764"/>
        <v>#REF!</v>
      </c>
      <c r="W764" s="150" t="e">
        <f t="shared" si="765"/>
        <v>#REF!</v>
      </c>
      <c r="X764" s="150" t="e">
        <f t="shared" si="766"/>
        <v>#REF!</v>
      </c>
      <c r="Y764" s="150" t="e">
        <f>$G764*O764</f>
        <v>#REF!</v>
      </c>
      <c r="Z764" s="150" t="e">
        <f t="shared" si="767"/>
        <v>#REF!</v>
      </c>
      <c r="AA764" s="150" t="e">
        <f t="shared" si="768"/>
        <v>#REF!</v>
      </c>
      <c r="AB764" s="50"/>
    </row>
    <row r="765" s="28" customFormat="1" outlineLevel="3" spans="1:28">
      <c r="A765" s="52">
        <f>MAX($A$6:A764)+1</f>
        <v>703</v>
      </c>
      <c r="B765" s="138" t="s">
        <v>2274</v>
      </c>
      <c r="C765" s="51" t="e">
        <f>VLOOKUP($B765,#REF!,MATCH(C$2,#REF!,0),0)</f>
        <v>#REF!</v>
      </c>
      <c r="D765" s="83"/>
      <c r="E765" s="83"/>
      <c r="F765" s="136" t="e">
        <f>VLOOKUP($B765,#REF!,MATCH(F$2,#REF!,0),0)</f>
        <v>#REF!</v>
      </c>
      <c r="G765" s="137" t="e">
        <f>VLOOKUP($B765,#REF!,MATCH(G$2,#REF!,0),0)</f>
        <v>#REF!</v>
      </c>
      <c r="H765" s="48">
        <v>1137</v>
      </c>
      <c r="I765" s="48">
        <v>1</v>
      </c>
      <c r="J765" s="48">
        <v>682</v>
      </c>
      <c r="K765" s="48">
        <v>682</v>
      </c>
      <c r="L765" s="48">
        <v>144</v>
      </c>
      <c r="M765" s="48"/>
      <c r="N765" s="48"/>
      <c r="O765" s="48"/>
      <c r="P765" s="48"/>
      <c r="Q765" s="48"/>
      <c r="R765" s="150" t="e">
        <f t="shared" ref="R765:Z765" si="769">$G765*H765</f>
        <v>#REF!</v>
      </c>
      <c r="S765" s="150" t="e">
        <f t="shared" si="769"/>
        <v>#REF!</v>
      </c>
      <c r="T765" s="150" t="e">
        <f t="shared" si="769"/>
        <v>#REF!</v>
      </c>
      <c r="U765" s="150" t="e">
        <f t="shared" si="769"/>
        <v>#REF!</v>
      </c>
      <c r="V765" s="150" t="e">
        <f t="shared" si="769"/>
        <v>#REF!</v>
      </c>
      <c r="W765" s="150" t="e">
        <f t="shared" si="769"/>
        <v>#REF!</v>
      </c>
      <c r="X765" s="150" t="e">
        <f t="shared" si="769"/>
        <v>#REF!</v>
      </c>
      <c r="Y765" s="150" t="e">
        <f t="shared" si="769"/>
        <v>#REF!</v>
      </c>
      <c r="Z765" s="150" t="e">
        <f t="shared" si="767"/>
        <v>#REF!</v>
      </c>
      <c r="AA765" s="150" t="e">
        <f t="shared" si="768"/>
        <v>#REF!</v>
      </c>
      <c r="AB765" s="50"/>
    </row>
    <row r="766" s="28" customFormat="1" outlineLevel="3" spans="1:28">
      <c r="A766" s="52">
        <f>MAX($A$6:A765)+1</f>
        <v>704</v>
      </c>
      <c r="B766" s="138" t="s">
        <v>2275</v>
      </c>
      <c r="C766" s="51" t="e">
        <f>VLOOKUP($B766,#REF!,MATCH(C$2,#REF!,0),0)</f>
        <v>#REF!</v>
      </c>
      <c r="D766" s="83"/>
      <c r="E766" s="83"/>
      <c r="F766" s="136" t="e">
        <f>VLOOKUP($B766,#REF!,MATCH(F$2,#REF!,0),0)</f>
        <v>#REF!</v>
      </c>
      <c r="G766" s="137" t="e">
        <f>VLOOKUP($B766,#REF!,MATCH(G$2,#REF!,0),0)</f>
        <v>#REF!</v>
      </c>
      <c r="H766" s="48">
        <v>39</v>
      </c>
      <c r="I766" s="48">
        <v>1</v>
      </c>
      <c r="J766" s="48">
        <v>1</v>
      </c>
      <c r="K766" s="48">
        <v>1</v>
      </c>
      <c r="L766" s="48">
        <v>178</v>
      </c>
      <c r="M766" s="48"/>
      <c r="N766" s="48"/>
      <c r="O766" s="48"/>
      <c r="P766" s="48"/>
      <c r="Q766" s="48"/>
      <c r="R766" s="150" t="e">
        <f t="shared" ref="R766:Z766" si="770">$G766*H766</f>
        <v>#REF!</v>
      </c>
      <c r="S766" s="150" t="e">
        <f t="shared" si="770"/>
        <v>#REF!</v>
      </c>
      <c r="T766" s="150" t="e">
        <f t="shared" si="770"/>
        <v>#REF!</v>
      </c>
      <c r="U766" s="150" t="e">
        <f t="shared" si="770"/>
        <v>#REF!</v>
      </c>
      <c r="V766" s="150" t="e">
        <f t="shared" si="770"/>
        <v>#REF!</v>
      </c>
      <c r="W766" s="150" t="e">
        <f t="shared" si="770"/>
        <v>#REF!</v>
      </c>
      <c r="X766" s="150" t="e">
        <f t="shared" si="770"/>
        <v>#REF!</v>
      </c>
      <c r="Y766" s="150" t="e">
        <f t="shared" si="770"/>
        <v>#REF!</v>
      </c>
      <c r="Z766" s="150" t="e">
        <f t="shared" si="767"/>
        <v>#REF!</v>
      </c>
      <c r="AA766" s="150" t="e">
        <f t="shared" si="768"/>
        <v>#REF!</v>
      </c>
      <c r="AB766" s="50"/>
    </row>
    <row r="767" s="28" customFormat="1" outlineLevel="3" spans="1:28">
      <c r="A767" s="52">
        <f>MAX($A$6:A766)+1</f>
        <v>705</v>
      </c>
      <c r="B767" s="138" t="s">
        <v>2276</v>
      </c>
      <c r="C767" s="51" t="e">
        <f>VLOOKUP($B767,#REF!,MATCH(C$2,#REF!,0),0)</f>
        <v>#REF!</v>
      </c>
      <c r="D767" s="83"/>
      <c r="E767" s="83"/>
      <c r="F767" s="136" t="e">
        <f>VLOOKUP($B767,#REF!,MATCH(F$2,#REF!,0),0)</f>
        <v>#REF!</v>
      </c>
      <c r="G767" s="137" t="e">
        <f>VLOOKUP($B767,#REF!,MATCH(G$2,#REF!,0),0)</f>
        <v>#REF!</v>
      </c>
      <c r="H767" s="48">
        <v>379</v>
      </c>
      <c r="I767" s="48">
        <v>1</v>
      </c>
      <c r="J767" s="48">
        <v>88</v>
      </c>
      <c r="K767" s="48">
        <v>88</v>
      </c>
      <c r="L767" s="48"/>
      <c r="M767" s="48"/>
      <c r="N767" s="48"/>
      <c r="O767" s="48"/>
      <c r="P767" s="48"/>
      <c r="Q767" s="48"/>
      <c r="R767" s="150" t="e">
        <f t="shared" ref="R767:Z767" si="771">$G767*H767</f>
        <v>#REF!</v>
      </c>
      <c r="S767" s="150" t="e">
        <f t="shared" si="771"/>
        <v>#REF!</v>
      </c>
      <c r="T767" s="150" t="e">
        <f t="shared" si="771"/>
        <v>#REF!</v>
      </c>
      <c r="U767" s="150" t="e">
        <f t="shared" si="771"/>
        <v>#REF!</v>
      </c>
      <c r="V767" s="150" t="e">
        <f t="shared" si="771"/>
        <v>#REF!</v>
      </c>
      <c r="W767" s="150" t="e">
        <f t="shared" si="771"/>
        <v>#REF!</v>
      </c>
      <c r="X767" s="150" t="e">
        <f t="shared" si="771"/>
        <v>#REF!</v>
      </c>
      <c r="Y767" s="150" t="e">
        <f t="shared" si="771"/>
        <v>#REF!</v>
      </c>
      <c r="Z767" s="150" t="e">
        <f t="shared" si="767"/>
        <v>#REF!</v>
      </c>
      <c r="AA767" s="150" t="e">
        <f t="shared" si="768"/>
        <v>#REF!</v>
      </c>
      <c r="AB767" s="50"/>
    </row>
    <row r="768" s="28" customFormat="1" outlineLevel="3" spans="1:28">
      <c r="A768" s="52">
        <f>MAX($A$6:A767)+1</f>
        <v>706</v>
      </c>
      <c r="B768" s="138" t="s">
        <v>2277</v>
      </c>
      <c r="C768" s="51" t="e">
        <f>VLOOKUP($B768,#REF!,MATCH(C$2,#REF!,0),0)</f>
        <v>#REF!</v>
      </c>
      <c r="D768" s="83"/>
      <c r="E768" s="83"/>
      <c r="F768" s="136" t="e">
        <f>VLOOKUP($B768,#REF!,MATCH(F$2,#REF!,0),0)</f>
        <v>#REF!</v>
      </c>
      <c r="G768" s="137" t="e">
        <f>VLOOKUP($B768,#REF!,MATCH(G$2,#REF!,0),0)</f>
        <v>#REF!</v>
      </c>
      <c r="H768" s="48">
        <v>9</v>
      </c>
      <c r="I768" s="48">
        <v>1</v>
      </c>
      <c r="J768" s="48">
        <v>1</v>
      </c>
      <c r="K768" s="48">
        <v>1</v>
      </c>
      <c r="L768" s="48"/>
      <c r="M768" s="48"/>
      <c r="N768" s="48"/>
      <c r="O768" s="48"/>
      <c r="P768" s="48"/>
      <c r="Q768" s="48"/>
      <c r="R768" s="150" t="e">
        <f t="shared" ref="R768:Z768" si="772">$G768*H768</f>
        <v>#REF!</v>
      </c>
      <c r="S768" s="150" t="e">
        <f t="shared" si="772"/>
        <v>#REF!</v>
      </c>
      <c r="T768" s="150" t="e">
        <f t="shared" si="772"/>
        <v>#REF!</v>
      </c>
      <c r="U768" s="150" t="e">
        <f t="shared" si="772"/>
        <v>#REF!</v>
      </c>
      <c r="V768" s="150" t="e">
        <f t="shared" si="772"/>
        <v>#REF!</v>
      </c>
      <c r="W768" s="150" t="e">
        <f t="shared" si="772"/>
        <v>#REF!</v>
      </c>
      <c r="X768" s="150" t="e">
        <f t="shared" si="772"/>
        <v>#REF!</v>
      </c>
      <c r="Y768" s="150" t="e">
        <f t="shared" si="772"/>
        <v>#REF!</v>
      </c>
      <c r="Z768" s="150" t="e">
        <f t="shared" si="767"/>
        <v>#REF!</v>
      </c>
      <c r="AA768" s="150" t="e">
        <f t="shared" si="768"/>
        <v>#REF!</v>
      </c>
      <c r="AB768" s="50"/>
    </row>
    <row r="769" s="29" customFormat="1" outlineLevel="2" spans="1:28">
      <c r="A769" s="40"/>
      <c r="B769" s="41" t="s">
        <v>2278</v>
      </c>
      <c r="C769" s="41"/>
      <c r="D769" s="140"/>
      <c r="E769" s="140"/>
      <c r="F769" s="141"/>
      <c r="G769" s="142"/>
      <c r="H769" s="43"/>
      <c r="I769" s="43"/>
      <c r="J769" s="43"/>
      <c r="K769" s="43"/>
      <c r="L769" s="43"/>
      <c r="M769" s="43"/>
      <c r="N769" s="43"/>
      <c r="O769" s="43"/>
      <c r="P769" s="43"/>
      <c r="Q769" s="43"/>
      <c r="R769" s="149" t="e">
        <f t="shared" ref="R769:AA769" si="773">SUM(R770:R791)</f>
        <v>#REF!</v>
      </c>
      <c r="S769" s="149" t="e">
        <f t="shared" si="773"/>
        <v>#REF!</v>
      </c>
      <c r="T769" s="149" t="e">
        <f t="shared" si="773"/>
        <v>#REF!</v>
      </c>
      <c r="U769" s="149" t="e">
        <f t="shared" si="773"/>
        <v>#REF!</v>
      </c>
      <c r="V769" s="149" t="e">
        <f t="shared" si="773"/>
        <v>#REF!</v>
      </c>
      <c r="W769" s="149" t="e">
        <f t="shared" si="773"/>
        <v>#REF!</v>
      </c>
      <c r="X769" s="149" t="e">
        <f t="shared" si="773"/>
        <v>#REF!</v>
      </c>
      <c r="Y769" s="149" t="e">
        <f t="shared" si="773"/>
        <v>#REF!</v>
      </c>
      <c r="Z769" s="149" t="e">
        <f t="shared" si="773"/>
        <v>#REF!</v>
      </c>
      <c r="AA769" s="149" t="e">
        <f t="shared" si="773"/>
        <v>#REF!</v>
      </c>
      <c r="AB769" s="40"/>
    </row>
    <row r="770" s="28" customFormat="1" outlineLevel="3" spans="1:28">
      <c r="A770" s="52">
        <f>MAX($A$6:A769)+1</f>
        <v>707</v>
      </c>
      <c r="B770" s="138" t="s">
        <v>2212</v>
      </c>
      <c r="C770" s="51" t="e">
        <f>VLOOKUP($B770,#REF!,MATCH(C$2,#REF!,0),0)</f>
        <v>#REF!</v>
      </c>
      <c r="D770" s="83"/>
      <c r="E770" s="83"/>
      <c r="F770" s="136" t="e">
        <f>VLOOKUP($B770,#REF!,MATCH(F$2,#REF!,0),0)</f>
        <v>#REF!</v>
      </c>
      <c r="G770" s="137" t="e">
        <f>VLOOKUP($B770,#REF!,MATCH(G$2,#REF!,0),0)</f>
        <v>#REF!</v>
      </c>
      <c r="H770" s="48">
        <v>144</v>
      </c>
      <c r="I770" s="48">
        <v>144</v>
      </c>
      <c r="J770" s="48">
        <v>60</v>
      </c>
      <c r="K770" s="48">
        <v>60</v>
      </c>
      <c r="L770" s="48">
        <v>20</v>
      </c>
      <c r="M770" s="48">
        <v>1</v>
      </c>
      <c r="N770" s="48">
        <v>1</v>
      </c>
      <c r="O770" s="48">
        <v>1</v>
      </c>
      <c r="P770" s="48"/>
      <c r="Q770" s="48"/>
      <c r="R770" s="150" t="e">
        <f t="shared" ref="R770:AA770" si="774">$G770*H770</f>
        <v>#REF!</v>
      </c>
      <c r="S770" s="150" t="e">
        <f t="shared" si="774"/>
        <v>#REF!</v>
      </c>
      <c r="T770" s="150" t="e">
        <f t="shared" si="774"/>
        <v>#REF!</v>
      </c>
      <c r="U770" s="150" t="e">
        <f t="shared" si="774"/>
        <v>#REF!</v>
      </c>
      <c r="V770" s="150" t="e">
        <f t="shared" si="774"/>
        <v>#REF!</v>
      </c>
      <c r="W770" s="150" t="e">
        <f t="shared" si="774"/>
        <v>#REF!</v>
      </c>
      <c r="X770" s="150" t="e">
        <f t="shared" si="774"/>
        <v>#REF!</v>
      </c>
      <c r="Y770" s="150" t="e">
        <f t="shared" si="774"/>
        <v>#REF!</v>
      </c>
      <c r="Z770" s="150" t="e">
        <f t="shared" si="774"/>
        <v>#REF!</v>
      </c>
      <c r="AA770" s="150" t="e">
        <f t="shared" si="774"/>
        <v>#REF!</v>
      </c>
      <c r="AB770" s="50"/>
    </row>
    <row r="771" s="28" customFormat="1" outlineLevel="3" spans="1:28">
      <c r="A771" s="52">
        <f>MAX($A$6:A770)+1</f>
        <v>708</v>
      </c>
      <c r="B771" s="138" t="s">
        <v>2214</v>
      </c>
      <c r="C771" s="51" t="e">
        <f>VLOOKUP($B771,#REF!,MATCH(C$2,#REF!,0),0)</f>
        <v>#REF!</v>
      </c>
      <c r="D771" s="83"/>
      <c r="E771" s="83"/>
      <c r="F771" s="136" t="e">
        <f>VLOOKUP($B771,#REF!,MATCH(F$2,#REF!,0),0)</f>
        <v>#REF!</v>
      </c>
      <c r="G771" s="137" t="e">
        <f>VLOOKUP($B771,#REF!,MATCH(G$2,#REF!,0),0)</f>
        <v>#REF!</v>
      </c>
      <c r="H771" s="48">
        <v>757</v>
      </c>
      <c r="I771" s="48">
        <v>757</v>
      </c>
      <c r="J771" s="48">
        <v>485</v>
      </c>
      <c r="K771" s="48">
        <v>485</v>
      </c>
      <c r="L771" s="48">
        <v>224</v>
      </c>
      <c r="M771" s="48">
        <v>95</v>
      </c>
      <c r="N771" s="48">
        <v>95</v>
      </c>
      <c r="O771" s="48">
        <v>95</v>
      </c>
      <c r="P771" s="48"/>
      <c r="Q771" s="48"/>
      <c r="R771" s="150" t="e">
        <f t="shared" ref="R771:AA771" si="775">$G771*H771</f>
        <v>#REF!</v>
      </c>
      <c r="S771" s="150" t="e">
        <f t="shared" si="775"/>
        <v>#REF!</v>
      </c>
      <c r="T771" s="150" t="e">
        <f t="shared" si="775"/>
        <v>#REF!</v>
      </c>
      <c r="U771" s="150" t="e">
        <f t="shared" si="775"/>
        <v>#REF!</v>
      </c>
      <c r="V771" s="150" t="e">
        <f t="shared" si="775"/>
        <v>#REF!</v>
      </c>
      <c r="W771" s="150" t="e">
        <f t="shared" si="775"/>
        <v>#REF!</v>
      </c>
      <c r="X771" s="150" t="e">
        <f t="shared" si="775"/>
        <v>#REF!</v>
      </c>
      <c r="Y771" s="150" t="e">
        <f t="shared" si="775"/>
        <v>#REF!</v>
      </c>
      <c r="Z771" s="150" t="e">
        <f t="shared" si="775"/>
        <v>#REF!</v>
      </c>
      <c r="AA771" s="150" t="e">
        <f t="shared" si="775"/>
        <v>#REF!</v>
      </c>
      <c r="AB771" s="50"/>
    </row>
    <row r="772" s="28" customFormat="1" ht="28.8" outlineLevel="3" spans="1:28">
      <c r="A772" s="52">
        <f>MAX($A$6:A771)+1</f>
        <v>709</v>
      </c>
      <c r="B772" s="138" t="s">
        <v>2221</v>
      </c>
      <c r="C772" s="51" t="e">
        <f>VLOOKUP($B772,#REF!,MATCH(C$2,#REF!,0),0)</f>
        <v>#REF!</v>
      </c>
      <c r="D772" s="83"/>
      <c r="E772" s="83"/>
      <c r="F772" s="136" t="e">
        <f>VLOOKUP($B772,#REF!,MATCH(F$2,#REF!,0),0)</f>
        <v>#REF!</v>
      </c>
      <c r="G772" s="137" t="e">
        <f>VLOOKUP($B772,#REF!,MATCH(G$2,#REF!,0),0)</f>
        <v>#REF!</v>
      </c>
      <c r="H772" s="48">
        <v>9</v>
      </c>
      <c r="I772" s="48">
        <v>9</v>
      </c>
      <c r="J772" s="48">
        <v>1</v>
      </c>
      <c r="K772" s="48">
        <v>1</v>
      </c>
      <c r="L772" s="48"/>
      <c r="M772" s="48">
        <v>2</v>
      </c>
      <c r="N772" s="48">
        <v>2</v>
      </c>
      <c r="O772" s="48">
        <v>2</v>
      </c>
      <c r="P772" s="48"/>
      <c r="Q772" s="48"/>
      <c r="R772" s="150" t="e">
        <f t="shared" ref="R772:AA772" si="776">$G772*H772</f>
        <v>#REF!</v>
      </c>
      <c r="S772" s="150" t="e">
        <f t="shared" si="776"/>
        <v>#REF!</v>
      </c>
      <c r="T772" s="150" t="e">
        <f t="shared" si="776"/>
        <v>#REF!</v>
      </c>
      <c r="U772" s="150" t="e">
        <f t="shared" si="776"/>
        <v>#REF!</v>
      </c>
      <c r="V772" s="150" t="e">
        <f t="shared" si="776"/>
        <v>#REF!</v>
      </c>
      <c r="W772" s="150" t="e">
        <f t="shared" si="776"/>
        <v>#REF!</v>
      </c>
      <c r="X772" s="150" t="e">
        <f t="shared" si="776"/>
        <v>#REF!</v>
      </c>
      <c r="Y772" s="150" t="e">
        <f t="shared" si="776"/>
        <v>#REF!</v>
      </c>
      <c r="Z772" s="150" t="e">
        <f t="shared" si="776"/>
        <v>#REF!</v>
      </c>
      <c r="AA772" s="150" t="e">
        <f t="shared" si="776"/>
        <v>#REF!</v>
      </c>
      <c r="AB772" s="50"/>
    </row>
    <row r="773" s="28" customFormat="1" ht="28.8" outlineLevel="3" spans="1:28">
      <c r="A773" s="52">
        <f>MAX($A$6:A772)+1</f>
        <v>710</v>
      </c>
      <c r="B773" s="138" t="s">
        <v>1411</v>
      </c>
      <c r="C773" s="138" t="e">
        <f>VLOOKUP($B773,#REF!,MATCH(C$2,#REF!,0),0)</f>
        <v>#REF!</v>
      </c>
      <c r="D773" s="83"/>
      <c r="E773" s="83"/>
      <c r="F773" s="136" t="e">
        <f>VLOOKUP($B773,#REF!,MATCH(F$2,#REF!,0),0)</f>
        <v>#REF!</v>
      </c>
      <c r="G773" s="137" t="e">
        <f>VLOOKUP($B773,#REF!,MATCH(G$2,#REF!,0),0)</f>
        <v>#REF!</v>
      </c>
      <c r="H773" s="48"/>
      <c r="I773" s="48"/>
      <c r="J773" s="48"/>
      <c r="K773" s="48"/>
      <c r="L773" s="48"/>
      <c r="M773" s="48"/>
      <c r="N773" s="48"/>
      <c r="O773" s="48"/>
      <c r="P773" s="48"/>
      <c r="Q773" s="48"/>
      <c r="R773" s="150" t="e">
        <f t="shared" ref="R773:AA773" si="777">$G773*H773</f>
        <v>#REF!</v>
      </c>
      <c r="S773" s="150" t="e">
        <f t="shared" si="777"/>
        <v>#REF!</v>
      </c>
      <c r="T773" s="150" t="e">
        <f t="shared" si="777"/>
        <v>#REF!</v>
      </c>
      <c r="U773" s="150" t="e">
        <f t="shared" si="777"/>
        <v>#REF!</v>
      </c>
      <c r="V773" s="150" t="e">
        <f t="shared" si="777"/>
        <v>#REF!</v>
      </c>
      <c r="W773" s="150" t="e">
        <f t="shared" si="777"/>
        <v>#REF!</v>
      </c>
      <c r="X773" s="150" t="e">
        <f t="shared" si="777"/>
        <v>#REF!</v>
      </c>
      <c r="Y773" s="150" t="e">
        <f t="shared" si="777"/>
        <v>#REF!</v>
      </c>
      <c r="Z773" s="150" t="e">
        <f t="shared" si="777"/>
        <v>#REF!</v>
      </c>
      <c r="AA773" s="150" t="e">
        <f t="shared" si="777"/>
        <v>#REF!</v>
      </c>
      <c r="AB773" s="50"/>
    </row>
    <row r="774" s="28" customFormat="1" ht="28.8" outlineLevel="3" spans="1:28">
      <c r="A774" s="52">
        <f>MAX($A$6:A773)+1</f>
        <v>711</v>
      </c>
      <c r="B774" s="138" t="s">
        <v>1412</v>
      </c>
      <c r="C774" s="138" t="e">
        <f>VLOOKUP($B774,#REF!,MATCH(C$2,#REF!,0),0)</f>
        <v>#REF!</v>
      </c>
      <c r="D774" s="83"/>
      <c r="E774" s="83"/>
      <c r="F774" s="136" t="e">
        <f>VLOOKUP($B774,#REF!,MATCH(F$2,#REF!,0),0)</f>
        <v>#REF!</v>
      </c>
      <c r="G774" s="137" t="e">
        <f>VLOOKUP($B774,#REF!,MATCH(G$2,#REF!,0),0)</f>
        <v>#REF!</v>
      </c>
      <c r="H774" s="48"/>
      <c r="I774" s="48"/>
      <c r="J774" s="48"/>
      <c r="K774" s="48"/>
      <c r="L774" s="48"/>
      <c r="M774" s="48"/>
      <c r="N774" s="48"/>
      <c r="O774" s="48"/>
      <c r="P774" s="48"/>
      <c r="Q774" s="48"/>
      <c r="R774" s="150" t="e">
        <f t="shared" ref="R774:AA774" si="778">$G774*H774</f>
        <v>#REF!</v>
      </c>
      <c r="S774" s="150" t="e">
        <f t="shared" si="778"/>
        <v>#REF!</v>
      </c>
      <c r="T774" s="150" t="e">
        <f t="shared" si="778"/>
        <v>#REF!</v>
      </c>
      <c r="U774" s="150" t="e">
        <f t="shared" si="778"/>
        <v>#REF!</v>
      </c>
      <c r="V774" s="150" t="e">
        <f t="shared" si="778"/>
        <v>#REF!</v>
      </c>
      <c r="W774" s="150" t="e">
        <f t="shared" si="778"/>
        <v>#REF!</v>
      </c>
      <c r="X774" s="150" t="e">
        <f t="shared" si="778"/>
        <v>#REF!</v>
      </c>
      <c r="Y774" s="150" t="e">
        <f t="shared" si="778"/>
        <v>#REF!</v>
      </c>
      <c r="Z774" s="150" t="e">
        <f t="shared" si="778"/>
        <v>#REF!</v>
      </c>
      <c r="AA774" s="150" t="e">
        <f t="shared" si="778"/>
        <v>#REF!</v>
      </c>
      <c r="AB774" s="50"/>
    </row>
    <row r="775" s="28" customFormat="1" ht="28.8" outlineLevel="3" spans="1:28">
      <c r="A775" s="52">
        <f>MAX($A$6:A774)+1</f>
        <v>712</v>
      </c>
      <c r="B775" s="138" t="s">
        <v>1413</v>
      </c>
      <c r="C775" s="138" t="e">
        <f>VLOOKUP($B775,#REF!,MATCH(C$2,#REF!,0),0)</f>
        <v>#REF!</v>
      </c>
      <c r="D775" s="83"/>
      <c r="E775" s="83"/>
      <c r="F775" s="136" t="e">
        <f>VLOOKUP($B775,#REF!,MATCH(F$2,#REF!,0),0)</f>
        <v>#REF!</v>
      </c>
      <c r="G775" s="137" t="e">
        <f>VLOOKUP($B775,#REF!,MATCH(G$2,#REF!,0),0)</f>
        <v>#REF!</v>
      </c>
      <c r="H775" s="48"/>
      <c r="I775" s="48"/>
      <c r="J775" s="48"/>
      <c r="K775" s="48"/>
      <c r="L775" s="48"/>
      <c r="M775" s="48"/>
      <c r="N775" s="48"/>
      <c r="O775" s="48"/>
      <c r="P775" s="48"/>
      <c r="Q775" s="48"/>
      <c r="R775" s="150" t="e">
        <f t="shared" ref="R775:AA775" si="779">$G775*H775</f>
        <v>#REF!</v>
      </c>
      <c r="S775" s="150" t="e">
        <f t="shared" si="779"/>
        <v>#REF!</v>
      </c>
      <c r="T775" s="150" t="e">
        <f t="shared" si="779"/>
        <v>#REF!</v>
      </c>
      <c r="U775" s="150" t="e">
        <f t="shared" si="779"/>
        <v>#REF!</v>
      </c>
      <c r="V775" s="150" t="e">
        <f t="shared" si="779"/>
        <v>#REF!</v>
      </c>
      <c r="W775" s="150" t="e">
        <f t="shared" si="779"/>
        <v>#REF!</v>
      </c>
      <c r="X775" s="150" t="e">
        <f t="shared" si="779"/>
        <v>#REF!</v>
      </c>
      <c r="Y775" s="150" t="e">
        <f t="shared" si="779"/>
        <v>#REF!</v>
      </c>
      <c r="Z775" s="150" t="e">
        <f t="shared" si="779"/>
        <v>#REF!</v>
      </c>
      <c r="AA775" s="150" t="e">
        <f t="shared" si="779"/>
        <v>#REF!</v>
      </c>
      <c r="AB775" s="50"/>
    </row>
    <row r="776" s="28" customFormat="1" ht="28.8" outlineLevel="3" spans="1:28">
      <c r="A776" s="52">
        <f>MAX($A$6:A775)+1</f>
        <v>713</v>
      </c>
      <c r="B776" s="138" t="s">
        <v>1414</v>
      </c>
      <c r="C776" s="138" t="e">
        <f>VLOOKUP($B776,#REF!,MATCH(C$2,#REF!,0),0)</f>
        <v>#REF!</v>
      </c>
      <c r="D776" s="83"/>
      <c r="E776" s="83"/>
      <c r="F776" s="136" t="e">
        <f>VLOOKUP($B776,#REF!,MATCH(F$2,#REF!,0),0)</f>
        <v>#REF!</v>
      </c>
      <c r="G776" s="137" t="e">
        <f>VLOOKUP($B776,#REF!,MATCH(G$2,#REF!,0),0)</f>
        <v>#REF!</v>
      </c>
      <c r="H776" s="48"/>
      <c r="I776" s="48"/>
      <c r="J776" s="48"/>
      <c r="K776" s="48"/>
      <c r="L776" s="48"/>
      <c r="M776" s="48"/>
      <c r="N776" s="48"/>
      <c r="O776" s="48"/>
      <c r="P776" s="48"/>
      <c r="Q776" s="48"/>
      <c r="R776" s="150" t="e">
        <f t="shared" ref="R776:AA776" si="780">$G776*H776</f>
        <v>#REF!</v>
      </c>
      <c r="S776" s="150" t="e">
        <f t="shared" si="780"/>
        <v>#REF!</v>
      </c>
      <c r="T776" s="150" t="e">
        <f t="shared" si="780"/>
        <v>#REF!</v>
      </c>
      <c r="U776" s="150" t="e">
        <f t="shared" si="780"/>
        <v>#REF!</v>
      </c>
      <c r="V776" s="150" t="e">
        <f t="shared" si="780"/>
        <v>#REF!</v>
      </c>
      <c r="W776" s="150" t="e">
        <f t="shared" si="780"/>
        <v>#REF!</v>
      </c>
      <c r="X776" s="150" t="e">
        <f t="shared" si="780"/>
        <v>#REF!</v>
      </c>
      <c r="Y776" s="150" t="e">
        <f t="shared" si="780"/>
        <v>#REF!</v>
      </c>
      <c r="Z776" s="150" t="e">
        <f t="shared" si="780"/>
        <v>#REF!</v>
      </c>
      <c r="AA776" s="150" t="e">
        <f t="shared" si="780"/>
        <v>#REF!</v>
      </c>
      <c r="AB776" s="50"/>
    </row>
    <row r="777" s="28" customFormat="1" ht="28.8" outlineLevel="3" spans="1:28">
      <c r="A777" s="52">
        <f>MAX($A$6:A776)+1</f>
        <v>714</v>
      </c>
      <c r="B777" s="138" t="s">
        <v>1415</v>
      </c>
      <c r="C777" s="138" t="e">
        <f>VLOOKUP($B777,#REF!,MATCH(C$2,#REF!,0),0)</f>
        <v>#REF!</v>
      </c>
      <c r="D777" s="83"/>
      <c r="E777" s="83"/>
      <c r="F777" s="136" t="e">
        <f>VLOOKUP($B777,#REF!,MATCH(F$2,#REF!,0),0)</f>
        <v>#REF!</v>
      </c>
      <c r="G777" s="137" t="e">
        <f>VLOOKUP($B777,#REF!,MATCH(G$2,#REF!,0),0)</f>
        <v>#REF!</v>
      </c>
      <c r="H777" s="48"/>
      <c r="I777" s="48"/>
      <c r="J777" s="48"/>
      <c r="K777" s="48"/>
      <c r="L777" s="48"/>
      <c r="M777" s="48"/>
      <c r="N777" s="48"/>
      <c r="O777" s="48"/>
      <c r="P777" s="48"/>
      <c r="Q777" s="48"/>
      <c r="R777" s="150" t="e">
        <f t="shared" ref="R777:AA777" si="781">$G777*H777</f>
        <v>#REF!</v>
      </c>
      <c r="S777" s="150" t="e">
        <f t="shared" si="781"/>
        <v>#REF!</v>
      </c>
      <c r="T777" s="150" t="e">
        <f t="shared" si="781"/>
        <v>#REF!</v>
      </c>
      <c r="U777" s="150" t="e">
        <f t="shared" si="781"/>
        <v>#REF!</v>
      </c>
      <c r="V777" s="150" t="e">
        <f t="shared" si="781"/>
        <v>#REF!</v>
      </c>
      <c r="W777" s="150" t="e">
        <f t="shared" si="781"/>
        <v>#REF!</v>
      </c>
      <c r="X777" s="150" t="e">
        <f t="shared" si="781"/>
        <v>#REF!</v>
      </c>
      <c r="Y777" s="150" t="e">
        <f t="shared" si="781"/>
        <v>#REF!</v>
      </c>
      <c r="Z777" s="150" t="e">
        <f t="shared" si="781"/>
        <v>#REF!</v>
      </c>
      <c r="AA777" s="150" t="e">
        <f t="shared" si="781"/>
        <v>#REF!</v>
      </c>
      <c r="AB777" s="50"/>
    </row>
    <row r="778" s="28" customFormat="1" ht="28.8" outlineLevel="3" spans="1:28">
      <c r="A778" s="52">
        <f>MAX($A$6:A777)+1</f>
        <v>715</v>
      </c>
      <c r="B778" s="138" t="s">
        <v>1416</v>
      </c>
      <c r="C778" s="138" t="e">
        <f>VLOOKUP($B778,#REF!,MATCH(C$2,#REF!,0),0)</f>
        <v>#REF!</v>
      </c>
      <c r="D778" s="83"/>
      <c r="E778" s="83"/>
      <c r="F778" s="136" t="e">
        <f>VLOOKUP($B778,#REF!,MATCH(F$2,#REF!,0),0)</f>
        <v>#REF!</v>
      </c>
      <c r="G778" s="137" t="e">
        <f>VLOOKUP($B778,#REF!,MATCH(G$2,#REF!,0),0)</f>
        <v>#REF!</v>
      </c>
      <c r="H778" s="48"/>
      <c r="I778" s="48"/>
      <c r="J778" s="48"/>
      <c r="K778" s="48"/>
      <c r="L778" s="48"/>
      <c r="M778" s="48"/>
      <c r="N778" s="48"/>
      <c r="O778" s="48"/>
      <c r="P778" s="48"/>
      <c r="Q778" s="48"/>
      <c r="R778" s="150" t="e">
        <f t="shared" ref="R778:AA778" si="782">$G778*H778</f>
        <v>#REF!</v>
      </c>
      <c r="S778" s="150" t="e">
        <f t="shared" si="782"/>
        <v>#REF!</v>
      </c>
      <c r="T778" s="150" t="e">
        <f t="shared" si="782"/>
        <v>#REF!</v>
      </c>
      <c r="U778" s="150" t="e">
        <f t="shared" si="782"/>
        <v>#REF!</v>
      </c>
      <c r="V778" s="150" t="e">
        <f t="shared" si="782"/>
        <v>#REF!</v>
      </c>
      <c r="W778" s="150" t="e">
        <f t="shared" si="782"/>
        <v>#REF!</v>
      </c>
      <c r="X778" s="150" t="e">
        <f t="shared" si="782"/>
        <v>#REF!</v>
      </c>
      <c r="Y778" s="150" t="e">
        <f t="shared" si="782"/>
        <v>#REF!</v>
      </c>
      <c r="Z778" s="150" t="e">
        <f t="shared" si="782"/>
        <v>#REF!</v>
      </c>
      <c r="AA778" s="150" t="e">
        <f t="shared" si="782"/>
        <v>#REF!</v>
      </c>
      <c r="AB778" s="50"/>
    </row>
    <row r="779" s="28" customFormat="1" ht="28.8" outlineLevel="3" spans="1:28">
      <c r="A779" s="52">
        <f>MAX($A$6:A778)+1</f>
        <v>716</v>
      </c>
      <c r="B779" s="138" t="s">
        <v>1417</v>
      </c>
      <c r="C779" s="138" t="e">
        <f>VLOOKUP($B779,#REF!,MATCH(C$2,#REF!,0),0)</f>
        <v>#REF!</v>
      </c>
      <c r="D779" s="83"/>
      <c r="E779" s="83"/>
      <c r="F779" s="136" t="e">
        <f>VLOOKUP($B779,#REF!,MATCH(F$2,#REF!,0),0)</f>
        <v>#REF!</v>
      </c>
      <c r="G779" s="137" t="e">
        <f>VLOOKUP($B779,#REF!,MATCH(G$2,#REF!,0),0)</f>
        <v>#REF!</v>
      </c>
      <c r="H779" s="48"/>
      <c r="I779" s="48"/>
      <c r="J779" s="48"/>
      <c r="K779" s="48"/>
      <c r="L779" s="48"/>
      <c r="M779" s="48"/>
      <c r="N779" s="48"/>
      <c r="O779" s="48"/>
      <c r="P779" s="48"/>
      <c r="Q779" s="48"/>
      <c r="R779" s="150" t="e">
        <f t="shared" ref="R779:AA779" si="783">$G779*H779</f>
        <v>#REF!</v>
      </c>
      <c r="S779" s="150" t="e">
        <f t="shared" si="783"/>
        <v>#REF!</v>
      </c>
      <c r="T779" s="150" t="e">
        <f t="shared" si="783"/>
        <v>#REF!</v>
      </c>
      <c r="U779" s="150" t="e">
        <f t="shared" si="783"/>
        <v>#REF!</v>
      </c>
      <c r="V779" s="150" t="e">
        <f t="shared" si="783"/>
        <v>#REF!</v>
      </c>
      <c r="W779" s="150" t="e">
        <f t="shared" si="783"/>
        <v>#REF!</v>
      </c>
      <c r="X779" s="150" t="e">
        <f t="shared" si="783"/>
        <v>#REF!</v>
      </c>
      <c r="Y779" s="150" t="e">
        <f t="shared" si="783"/>
        <v>#REF!</v>
      </c>
      <c r="Z779" s="150" t="e">
        <f t="shared" si="783"/>
        <v>#REF!</v>
      </c>
      <c r="AA779" s="150" t="e">
        <f t="shared" si="783"/>
        <v>#REF!</v>
      </c>
      <c r="AB779" s="50"/>
    </row>
    <row r="780" s="28" customFormat="1" ht="28.8" outlineLevel="3" spans="1:28">
      <c r="A780" s="52">
        <f>MAX($A$6:A779)+1</f>
        <v>717</v>
      </c>
      <c r="B780" s="138" t="s">
        <v>1418</v>
      </c>
      <c r="C780" s="138" t="e">
        <f>VLOOKUP($B780,#REF!,MATCH(C$2,#REF!,0),0)</f>
        <v>#REF!</v>
      </c>
      <c r="D780" s="83"/>
      <c r="E780" s="83"/>
      <c r="F780" s="136" t="e">
        <f>VLOOKUP($B780,#REF!,MATCH(F$2,#REF!,0),0)</f>
        <v>#REF!</v>
      </c>
      <c r="G780" s="137" t="e">
        <f>VLOOKUP($B780,#REF!,MATCH(G$2,#REF!,0),0)</f>
        <v>#REF!</v>
      </c>
      <c r="H780" s="48"/>
      <c r="I780" s="48"/>
      <c r="J780" s="48"/>
      <c r="K780" s="48"/>
      <c r="L780" s="48"/>
      <c r="M780" s="48"/>
      <c r="N780" s="48"/>
      <c r="O780" s="48"/>
      <c r="P780" s="48"/>
      <c r="Q780" s="48"/>
      <c r="R780" s="150" t="e">
        <f t="shared" ref="R780:AA780" si="784">$G780*H780</f>
        <v>#REF!</v>
      </c>
      <c r="S780" s="150" t="e">
        <f t="shared" si="784"/>
        <v>#REF!</v>
      </c>
      <c r="T780" s="150" t="e">
        <f t="shared" si="784"/>
        <v>#REF!</v>
      </c>
      <c r="U780" s="150" t="e">
        <f t="shared" si="784"/>
        <v>#REF!</v>
      </c>
      <c r="V780" s="150" t="e">
        <f t="shared" si="784"/>
        <v>#REF!</v>
      </c>
      <c r="W780" s="150" t="e">
        <f t="shared" si="784"/>
        <v>#REF!</v>
      </c>
      <c r="X780" s="150" t="e">
        <f t="shared" si="784"/>
        <v>#REF!</v>
      </c>
      <c r="Y780" s="150" t="e">
        <f t="shared" si="784"/>
        <v>#REF!</v>
      </c>
      <c r="Z780" s="150" t="e">
        <f t="shared" si="784"/>
        <v>#REF!</v>
      </c>
      <c r="AA780" s="150" t="e">
        <f t="shared" si="784"/>
        <v>#REF!</v>
      </c>
      <c r="AB780" s="50"/>
    </row>
    <row r="781" s="28" customFormat="1" ht="28.8" outlineLevel="3" spans="1:28">
      <c r="A781" s="52">
        <f>MAX($A$6:A780)+1</f>
        <v>718</v>
      </c>
      <c r="B781" s="138" t="s">
        <v>1419</v>
      </c>
      <c r="C781" s="138" t="e">
        <f>VLOOKUP($B781,#REF!,MATCH(C$2,#REF!,0),0)</f>
        <v>#REF!</v>
      </c>
      <c r="D781" s="83"/>
      <c r="E781" s="83"/>
      <c r="F781" s="136" t="e">
        <f>VLOOKUP($B781,#REF!,MATCH(F$2,#REF!,0),0)</f>
        <v>#REF!</v>
      </c>
      <c r="G781" s="137" t="e">
        <f>VLOOKUP($B781,#REF!,MATCH(G$2,#REF!,0),0)</f>
        <v>#REF!</v>
      </c>
      <c r="H781" s="48"/>
      <c r="I781" s="48"/>
      <c r="J781" s="48"/>
      <c r="K781" s="48"/>
      <c r="L781" s="48"/>
      <c r="M781" s="48"/>
      <c r="N781" s="48"/>
      <c r="O781" s="48"/>
      <c r="P781" s="48"/>
      <c r="Q781" s="48"/>
      <c r="R781" s="150" t="e">
        <f t="shared" ref="R781:AA781" si="785">$G781*H781</f>
        <v>#REF!</v>
      </c>
      <c r="S781" s="150" t="e">
        <f t="shared" si="785"/>
        <v>#REF!</v>
      </c>
      <c r="T781" s="150" t="e">
        <f t="shared" si="785"/>
        <v>#REF!</v>
      </c>
      <c r="U781" s="150" t="e">
        <f t="shared" si="785"/>
        <v>#REF!</v>
      </c>
      <c r="V781" s="150" t="e">
        <f t="shared" si="785"/>
        <v>#REF!</v>
      </c>
      <c r="W781" s="150" t="e">
        <f t="shared" si="785"/>
        <v>#REF!</v>
      </c>
      <c r="X781" s="150" t="e">
        <f t="shared" si="785"/>
        <v>#REF!</v>
      </c>
      <c r="Y781" s="150" t="e">
        <f t="shared" si="785"/>
        <v>#REF!</v>
      </c>
      <c r="Z781" s="150" t="e">
        <f t="shared" si="785"/>
        <v>#REF!</v>
      </c>
      <c r="AA781" s="150" t="e">
        <f t="shared" si="785"/>
        <v>#REF!</v>
      </c>
      <c r="AB781" s="50"/>
    </row>
    <row r="782" s="28" customFormat="1" ht="28.8" outlineLevel="3" spans="1:28">
      <c r="A782" s="52">
        <f>MAX($A$6:A781)+1</f>
        <v>719</v>
      </c>
      <c r="B782" s="138" t="s">
        <v>1420</v>
      </c>
      <c r="C782" s="138" t="e">
        <f>VLOOKUP($B782,#REF!,MATCH(C$2,#REF!,0),0)</f>
        <v>#REF!</v>
      </c>
      <c r="D782" s="83"/>
      <c r="E782" s="83"/>
      <c r="F782" s="136" t="e">
        <f>VLOOKUP($B782,#REF!,MATCH(F$2,#REF!,0),0)</f>
        <v>#REF!</v>
      </c>
      <c r="G782" s="137" t="e">
        <f>VLOOKUP($B782,#REF!,MATCH(G$2,#REF!,0),0)</f>
        <v>#REF!</v>
      </c>
      <c r="H782" s="48"/>
      <c r="I782" s="48"/>
      <c r="J782" s="48"/>
      <c r="K782" s="48"/>
      <c r="L782" s="48"/>
      <c r="M782" s="48"/>
      <c r="N782" s="48"/>
      <c r="O782" s="48"/>
      <c r="P782" s="48"/>
      <c r="Q782" s="48"/>
      <c r="R782" s="150" t="e">
        <f t="shared" ref="R782:AA782" si="786">$G782*H782</f>
        <v>#REF!</v>
      </c>
      <c r="S782" s="150" t="e">
        <f t="shared" si="786"/>
        <v>#REF!</v>
      </c>
      <c r="T782" s="150" t="e">
        <f t="shared" si="786"/>
        <v>#REF!</v>
      </c>
      <c r="U782" s="150" t="e">
        <f t="shared" si="786"/>
        <v>#REF!</v>
      </c>
      <c r="V782" s="150" t="e">
        <f t="shared" si="786"/>
        <v>#REF!</v>
      </c>
      <c r="W782" s="150" t="e">
        <f t="shared" si="786"/>
        <v>#REF!</v>
      </c>
      <c r="X782" s="150" t="e">
        <f t="shared" si="786"/>
        <v>#REF!</v>
      </c>
      <c r="Y782" s="150" t="e">
        <f t="shared" si="786"/>
        <v>#REF!</v>
      </c>
      <c r="Z782" s="150" t="e">
        <f t="shared" si="786"/>
        <v>#REF!</v>
      </c>
      <c r="AA782" s="150" t="e">
        <f t="shared" si="786"/>
        <v>#REF!</v>
      </c>
      <c r="AB782" s="50"/>
    </row>
    <row r="783" s="28" customFormat="1" ht="28.8" outlineLevel="3" spans="1:28">
      <c r="A783" s="52">
        <f>MAX($A$6:A782)+1</f>
        <v>720</v>
      </c>
      <c r="B783" s="138" t="s">
        <v>1421</v>
      </c>
      <c r="C783" s="138" t="e">
        <f>VLOOKUP($B783,#REF!,MATCH(C$2,#REF!,0),0)</f>
        <v>#REF!</v>
      </c>
      <c r="D783" s="83"/>
      <c r="E783" s="83"/>
      <c r="F783" s="136" t="e">
        <f>VLOOKUP($B783,#REF!,MATCH(F$2,#REF!,0),0)</f>
        <v>#REF!</v>
      </c>
      <c r="G783" s="137" t="e">
        <f>VLOOKUP($B783,#REF!,MATCH(G$2,#REF!,0),0)</f>
        <v>#REF!</v>
      </c>
      <c r="H783" s="48"/>
      <c r="I783" s="48"/>
      <c r="J783" s="48"/>
      <c r="K783" s="48"/>
      <c r="L783" s="48"/>
      <c r="M783" s="48"/>
      <c r="N783" s="48"/>
      <c r="O783" s="48"/>
      <c r="P783" s="48"/>
      <c r="Q783" s="48"/>
      <c r="R783" s="150" t="e">
        <f t="shared" ref="R783:AA783" si="787">$G783*H783</f>
        <v>#REF!</v>
      </c>
      <c r="S783" s="150" t="e">
        <f t="shared" si="787"/>
        <v>#REF!</v>
      </c>
      <c r="T783" s="150" t="e">
        <f t="shared" si="787"/>
        <v>#REF!</v>
      </c>
      <c r="U783" s="150" t="e">
        <f t="shared" si="787"/>
        <v>#REF!</v>
      </c>
      <c r="V783" s="150" t="e">
        <f t="shared" si="787"/>
        <v>#REF!</v>
      </c>
      <c r="W783" s="150" t="e">
        <f t="shared" si="787"/>
        <v>#REF!</v>
      </c>
      <c r="X783" s="150" t="e">
        <f t="shared" si="787"/>
        <v>#REF!</v>
      </c>
      <c r="Y783" s="150" t="e">
        <f t="shared" si="787"/>
        <v>#REF!</v>
      </c>
      <c r="Z783" s="150" t="e">
        <f t="shared" si="787"/>
        <v>#REF!</v>
      </c>
      <c r="AA783" s="150" t="e">
        <f t="shared" si="787"/>
        <v>#REF!</v>
      </c>
      <c r="AB783" s="50"/>
    </row>
    <row r="784" s="28" customFormat="1" ht="28.8" outlineLevel="3" spans="1:28">
      <c r="A784" s="52">
        <f>MAX($A$6:A783)+1</f>
        <v>721</v>
      </c>
      <c r="B784" s="138" t="s">
        <v>1422</v>
      </c>
      <c r="C784" s="138" t="e">
        <f>VLOOKUP($B784,#REF!,MATCH(C$2,#REF!,0),0)</f>
        <v>#REF!</v>
      </c>
      <c r="D784" s="83"/>
      <c r="E784" s="83"/>
      <c r="F784" s="136" t="e">
        <f>VLOOKUP($B784,#REF!,MATCH(F$2,#REF!,0),0)</f>
        <v>#REF!</v>
      </c>
      <c r="G784" s="137" t="e">
        <f>VLOOKUP($B784,#REF!,MATCH(G$2,#REF!,0),0)</f>
        <v>#REF!</v>
      </c>
      <c r="H784" s="48"/>
      <c r="I784" s="48"/>
      <c r="J784" s="48"/>
      <c r="K784" s="48"/>
      <c r="L784" s="48"/>
      <c r="M784" s="48"/>
      <c r="N784" s="48"/>
      <c r="O784" s="48"/>
      <c r="P784" s="48"/>
      <c r="Q784" s="48"/>
      <c r="R784" s="150" t="e">
        <f t="shared" ref="R784:AA784" si="788">$G784*H784</f>
        <v>#REF!</v>
      </c>
      <c r="S784" s="150" t="e">
        <f t="shared" si="788"/>
        <v>#REF!</v>
      </c>
      <c r="T784" s="150" t="e">
        <f t="shared" si="788"/>
        <v>#REF!</v>
      </c>
      <c r="U784" s="150" t="e">
        <f t="shared" si="788"/>
        <v>#REF!</v>
      </c>
      <c r="V784" s="150" t="e">
        <f t="shared" si="788"/>
        <v>#REF!</v>
      </c>
      <c r="W784" s="150" t="e">
        <f t="shared" si="788"/>
        <v>#REF!</v>
      </c>
      <c r="X784" s="150" t="e">
        <f t="shared" si="788"/>
        <v>#REF!</v>
      </c>
      <c r="Y784" s="150" t="e">
        <f t="shared" si="788"/>
        <v>#REF!</v>
      </c>
      <c r="Z784" s="150" t="e">
        <f t="shared" si="788"/>
        <v>#REF!</v>
      </c>
      <c r="AA784" s="150" t="e">
        <f t="shared" si="788"/>
        <v>#REF!</v>
      </c>
      <c r="AB784" s="50"/>
    </row>
    <row r="785" s="28" customFormat="1" outlineLevel="3" spans="1:28">
      <c r="A785" s="52">
        <f>MAX($A$6:A784)+1</f>
        <v>722</v>
      </c>
      <c r="B785" s="138" t="s">
        <v>2225</v>
      </c>
      <c r="C785" s="51" t="e">
        <f>VLOOKUP($B785,#REF!,MATCH(C$2,#REF!,0),0)</f>
        <v>#REF!</v>
      </c>
      <c r="D785" s="83"/>
      <c r="E785" s="83"/>
      <c r="F785" s="136" t="e">
        <f>VLOOKUP($B785,#REF!,MATCH(F$2,#REF!,0),0)</f>
        <v>#REF!</v>
      </c>
      <c r="G785" s="137" t="e">
        <f>VLOOKUP($B785,#REF!,MATCH(G$2,#REF!,0),0)</f>
        <v>#REF!</v>
      </c>
      <c r="H785" s="48">
        <v>3</v>
      </c>
      <c r="I785" s="48">
        <v>3</v>
      </c>
      <c r="J785" s="48">
        <v>4</v>
      </c>
      <c r="K785" s="48">
        <v>4</v>
      </c>
      <c r="L785" s="48">
        <v>1</v>
      </c>
      <c r="M785" s="48">
        <v>4</v>
      </c>
      <c r="N785" s="48">
        <v>4</v>
      </c>
      <c r="O785" s="48">
        <v>4</v>
      </c>
      <c r="P785" s="48"/>
      <c r="Q785" s="48"/>
      <c r="R785" s="150" t="e">
        <f t="shared" ref="R785:AA785" si="789">$G785*H785</f>
        <v>#REF!</v>
      </c>
      <c r="S785" s="150" t="e">
        <f t="shared" si="789"/>
        <v>#REF!</v>
      </c>
      <c r="T785" s="150" t="e">
        <f t="shared" si="789"/>
        <v>#REF!</v>
      </c>
      <c r="U785" s="150" t="e">
        <f t="shared" si="789"/>
        <v>#REF!</v>
      </c>
      <c r="V785" s="150" t="e">
        <f t="shared" si="789"/>
        <v>#REF!</v>
      </c>
      <c r="W785" s="150" t="e">
        <f t="shared" si="789"/>
        <v>#REF!</v>
      </c>
      <c r="X785" s="150" t="e">
        <f t="shared" si="789"/>
        <v>#REF!</v>
      </c>
      <c r="Y785" s="150" t="e">
        <f t="shared" si="789"/>
        <v>#REF!</v>
      </c>
      <c r="Z785" s="150" t="e">
        <f t="shared" si="789"/>
        <v>#REF!</v>
      </c>
      <c r="AA785" s="150" t="e">
        <f t="shared" si="789"/>
        <v>#REF!</v>
      </c>
      <c r="AB785" s="50"/>
    </row>
    <row r="786" s="28" customFormat="1" outlineLevel="3" spans="1:28">
      <c r="A786" s="52">
        <f>MAX($A$6:A785)+1</f>
        <v>723</v>
      </c>
      <c r="B786" s="138" t="s">
        <v>2228</v>
      </c>
      <c r="C786" s="51" t="e">
        <f>VLOOKUP($B786,#REF!,MATCH(C$2,#REF!,0),0)</f>
        <v>#REF!</v>
      </c>
      <c r="D786" s="83"/>
      <c r="E786" s="83"/>
      <c r="F786" s="136" t="e">
        <f>VLOOKUP($B786,#REF!,MATCH(F$2,#REF!,0),0)</f>
        <v>#REF!</v>
      </c>
      <c r="G786" s="137" t="e">
        <f>VLOOKUP($B786,#REF!,MATCH(G$2,#REF!,0),0)</f>
        <v>#REF!</v>
      </c>
      <c r="H786" s="48">
        <v>65</v>
      </c>
      <c r="I786" s="48">
        <v>65</v>
      </c>
      <c r="J786" s="48">
        <v>42</v>
      </c>
      <c r="K786" s="48">
        <v>42</v>
      </c>
      <c r="L786" s="48">
        <v>20</v>
      </c>
      <c r="M786" s="48">
        <v>1</v>
      </c>
      <c r="N786" s="48">
        <v>1</v>
      </c>
      <c r="O786" s="48">
        <v>1</v>
      </c>
      <c r="P786" s="48"/>
      <c r="Q786" s="48"/>
      <c r="R786" s="150" t="e">
        <f t="shared" ref="R786:AA786" si="790">$G786*H786</f>
        <v>#REF!</v>
      </c>
      <c r="S786" s="150" t="e">
        <f t="shared" si="790"/>
        <v>#REF!</v>
      </c>
      <c r="T786" s="150" t="e">
        <f t="shared" si="790"/>
        <v>#REF!</v>
      </c>
      <c r="U786" s="150" t="e">
        <f t="shared" si="790"/>
        <v>#REF!</v>
      </c>
      <c r="V786" s="150" t="e">
        <f t="shared" si="790"/>
        <v>#REF!</v>
      </c>
      <c r="W786" s="150" t="e">
        <f t="shared" si="790"/>
        <v>#REF!</v>
      </c>
      <c r="X786" s="150" t="e">
        <f t="shared" si="790"/>
        <v>#REF!</v>
      </c>
      <c r="Y786" s="150" t="e">
        <f t="shared" si="790"/>
        <v>#REF!</v>
      </c>
      <c r="Z786" s="150" t="e">
        <f t="shared" si="790"/>
        <v>#REF!</v>
      </c>
      <c r="AA786" s="150" t="e">
        <f t="shared" si="790"/>
        <v>#REF!</v>
      </c>
      <c r="AB786" s="50"/>
    </row>
    <row r="787" s="28" customFormat="1" outlineLevel="3" spans="1:28">
      <c r="A787" s="52">
        <f>MAX($A$6:A786)+1</f>
        <v>724</v>
      </c>
      <c r="B787" s="138" t="s">
        <v>2279</v>
      </c>
      <c r="C787" s="51" t="e">
        <f>VLOOKUP($B787,#REF!,MATCH(C$2,#REF!,0),0)</f>
        <v>#REF!</v>
      </c>
      <c r="D787" s="83"/>
      <c r="E787" s="83"/>
      <c r="F787" s="136" t="e">
        <f>VLOOKUP($B787,#REF!,MATCH(F$2,#REF!,0),0)</f>
        <v>#REF!</v>
      </c>
      <c r="G787" s="137" t="e">
        <f>VLOOKUP($B787,#REF!,MATCH(G$2,#REF!,0),0)</f>
        <v>#REF!</v>
      </c>
      <c r="H787" s="48">
        <v>3</v>
      </c>
      <c r="I787" s="48">
        <v>3</v>
      </c>
      <c r="J787" s="48">
        <v>2</v>
      </c>
      <c r="K787" s="48">
        <v>2</v>
      </c>
      <c r="L787" s="48">
        <v>1</v>
      </c>
      <c r="M787" s="48">
        <v>4</v>
      </c>
      <c r="N787" s="48">
        <v>4</v>
      </c>
      <c r="O787" s="48">
        <v>4</v>
      </c>
      <c r="P787" s="48"/>
      <c r="Q787" s="48"/>
      <c r="R787" s="150" t="e">
        <f t="shared" ref="R787:AA787" si="791">$G787*H787</f>
        <v>#REF!</v>
      </c>
      <c r="S787" s="150" t="e">
        <f t="shared" si="791"/>
        <v>#REF!</v>
      </c>
      <c r="T787" s="150" t="e">
        <f t="shared" si="791"/>
        <v>#REF!</v>
      </c>
      <c r="U787" s="150" t="e">
        <f t="shared" si="791"/>
        <v>#REF!</v>
      </c>
      <c r="V787" s="150" t="e">
        <f t="shared" si="791"/>
        <v>#REF!</v>
      </c>
      <c r="W787" s="150" t="e">
        <f t="shared" si="791"/>
        <v>#REF!</v>
      </c>
      <c r="X787" s="150" t="e">
        <f t="shared" si="791"/>
        <v>#REF!</v>
      </c>
      <c r="Y787" s="150" t="e">
        <f t="shared" si="791"/>
        <v>#REF!</v>
      </c>
      <c r="Z787" s="150" t="e">
        <f t="shared" si="791"/>
        <v>#REF!</v>
      </c>
      <c r="AA787" s="150" t="e">
        <f t="shared" si="791"/>
        <v>#REF!</v>
      </c>
      <c r="AB787" s="50"/>
    </row>
    <row r="788" s="28" customFormat="1" outlineLevel="3" spans="1:28">
      <c r="A788" s="52">
        <f>MAX($A$6:A787)+1</f>
        <v>725</v>
      </c>
      <c r="B788" s="138" t="s">
        <v>2227</v>
      </c>
      <c r="C788" s="51" t="e">
        <f>VLOOKUP($B788,#REF!,MATCH(C$2,#REF!,0),0)</f>
        <v>#REF!</v>
      </c>
      <c r="D788" s="83"/>
      <c r="E788" s="83"/>
      <c r="F788" s="136" t="e">
        <f>VLOOKUP($B788,#REF!,MATCH(F$2,#REF!,0),0)</f>
        <v>#REF!</v>
      </c>
      <c r="G788" s="137" t="e">
        <f>VLOOKUP($B788,#REF!,MATCH(G$2,#REF!,0),0)</f>
        <v>#REF!</v>
      </c>
      <c r="H788" s="48">
        <v>60</v>
      </c>
      <c r="I788" s="48">
        <v>60</v>
      </c>
      <c r="J788" s="48">
        <v>26</v>
      </c>
      <c r="K788" s="48">
        <v>26</v>
      </c>
      <c r="L788" s="48">
        <v>12</v>
      </c>
      <c r="M788" s="48">
        <v>6</v>
      </c>
      <c r="N788" s="48">
        <v>6</v>
      </c>
      <c r="O788" s="48">
        <v>6</v>
      </c>
      <c r="P788" s="48"/>
      <c r="Q788" s="48"/>
      <c r="R788" s="150" t="e">
        <f t="shared" ref="R788:AA788" si="792">$G788*H788</f>
        <v>#REF!</v>
      </c>
      <c r="S788" s="150" t="e">
        <f t="shared" si="792"/>
        <v>#REF!</v>
      </c>
      <c r="T788" s="150" t="e">
        <f t="shared" si="792"/>
        <v>#REF!</v>
      </c>
      <c r="U788" s="150" t="e">
        <f t="shared" si="792"/>
        <v>#REF!</v>
      </c>
      <c r="V788" s="150" t="e">
        <f t="shared" si="792"/>
        <v>#REF!</v>
      </c>
      <c r="W788" s="150" t="e">
        <f t="shared" si="792"/>
        <v>#REF!</v>
      </c>
      <c r="X788" s="150" t="e">
        <f t="shared" si="792"/>
        <v>#REF!</v>
      </c>
      <c r="Y788" s="150" t="e">
        <f t="shared" si="792"/>
        <v>#REF!</v>
      </c>
      <c r="Z788" s="150" t="e">
        <f t="shared" si="792"/>
        <v>#REF!</v>
      </c>
      <c r="AA788" s="150" t="e">
        <f t="shared" si="792"/>
        <v>#REF!</v>
      </c>
      <c r="AB788" s="50"/>
    </row>
    <row r="789" s="28" customFormat="1" ht="28.8" outlineLevel="3" spans="1:28">
      <c r="A789" s="52">
        <f>MAX($A$6:A788)+1</f>
        <v>726</v>
      </c>
      <c r="B789" s="138" t="s">
        <v>2230</v>
      </c>
      <c r="C789" s="51" t="e">
        <f>VLOOKUP($B789,#REF!,MATCH(C$2,#REF!,0),0)</f>
        <v>#REF!</v>
      </c>
      <c r="D789" s="83"/>
      <c r="E789" s="83"/>
      <c r="F789" s="136" t="e">
        <f>VLOOKUP($B789,#REF!,MATCH(F$2,#REF!,0),0)</f>
        <v>#REF!</v>
      </c>
      <c r="G789" s="137" t="e">
        <f>VLOOKUP($B789,#REF!,MATCH(G$2,#REF!,0),0)</f>
        <v>#REF!</v>
      </c>
      <c r="H789" s="48">
        <v>3</v>
      </c>
      <c r="I789" s="48">
        <v>3</v>
      </c>
      <c r="J789" s="48">
        <v>2</v>
      </c>
      <c r="K789" s="48">
        <v>2</v>
      </c>
      <c r="L789" s="48">
        <v>2</v>
      </c>
      <c r="M789" s="48">
        <v>52</v>
      </c>
      <c r="N789" s="48">
        <v>52</v>
      </c>
      <c r="O789" s="48">
        <v>52</v>
      </c>
      <c r="P789" s="48"/>
      <c r="Q789" s="48"/>
      <c r="R789" s="150" t="e">
        <f t="shared" ref="R789:AA789" si="793">$G789*H789</f>
        <v>#REF!</v>
      </c>
      <c r="S789" s="150" t="e">
        <f t="shared" si="793"/>
        <v>#REF!</v>
      </c>
      <c r="T789" s="150" t="e">
        <f t="shared" si="793"/>
        <v>#REF!</v>
      </c>
      <c r="U789" s="150" t="e">
        <f t="shared" si="793"/>
        <v>#REF!</v>
      </c>
      <c r="V789" s="150" t="e">
        <f t="shared" si="793"/>
        <v>#REF!</v>
      </c>
      <c r="W789" s="150" t="e">
        <f t="shared" si="793"/>
        <v>#REF!</v>
      </c>
      <c r="X789" s="150" t="e">
        <f t="shared" si="793"/>
        <v>#REF!</v>
      </c>
      <c r="Y789" s="150" t="e">
        <f t="shared" si="793"/>
        <v>#REF!</v>
      </c>
      <c r="Z789" s="150" t="e">
        <f t="shared" si="793"/>
        <v>#REF!</v>
      </c>
      <c r="AA789" s="150" t="e">
        <f t="shared" si="793"/>
        <v>#REF!</v>
      </c>
      <c r="AB789" s="50"/>
    </row>
    <row r="790" s="28" customFormat="1" ht="28.8" outlineLevel="3" spans="1:28">
      <c r="A790" s="52">
        <f>MAX($A$6:A789)+1</f>
        <v>727</v>
      </c>
      <c r="B790" s="138" t="s">
        <v>2231</v>
      </c>
      <c r="C790" s="51" t="e">
        <f>VLOOKUP($B790,#REF!,MATCH(C$2,#REF!,0),0)</f>
        <v>#REF!</v>
      </c>
      <c r="D790" s="83"/>
      <c r="E790" s="83"/>
      <c r="F790" s="136" t="e">
        <f>VLOOKUP($B790,#REF!,MATCH(F$2,#REF!,0),0)</f>
        <v>#REF!</v>
      </c>
      <c r="G790" s="137" t="e">
        <f>VLOOKUP($B790,#REF!,MATCH(G$2,#REF!,0),0)</f>
        <v>#REF!</v>
      </c>
      <c r="H790" s="48">
        <v>246</v>
      </c>
      <c r="I790" s="48">
        <v>246</v>
      </c>
      <c r="J790" s="48">
        <v>122</v>
      </c>
      <c r="K790" s="48">
        <v>122</v>
      </c>
      <c r="L790" s="48">
        <v>56</v>
      </c>
      <c r="M790" s="48">
        <v>2</v>
      </c>
      <c r="N790" s="48">
        <v>2</v>
      </c>
      <c r="O790" s="48">
        <v>2</v>
      </c>
      <c r="P790" s="48"/>
      <c r="Q790" s="48"/>
      <c r="R790" s="150" t="e">
        <f t="shared" ref="R790:AA790" si="794">$G790*H790</f>
        <v>#REF!</v>
      </c>
      <c r="S790" s="150" t="e">
        <f t="shared" si="794"/>
        <v>#REF!</v>
      </c>
      <c r="T790" s="150" t="e">
        <f t="shared" si="794"/>
        <v>#REF!</v>
      </c>
      <c r="U790" s="150" t="e">
        <f t="shared" si="794"/>
        <v>#REF!</v>
      </c>
      <c r="V790" s="150" t="e">
        <f t="shared" si="794"/>
        <v>#REF!</v>
      </c>
      <c r="W790" s="150" t="e">
        <f t="shared" si="794"/>
        <v>#REF!</v>
      </c>
      <c r="X790" s="150" t="e">
        <f t="shared" si="794"/>
        <v>#REF!</v>
      </c>
      <c r="Y790" s="150" t="e">
        <f t="shared" si="794"/>
        <v>#REF!</v>
      </c>
      <c r="Z790" s="150" t="e">
        <f t="shared" si="794"/>
        <v>#REF!</v>
      </c>
      <c r="AA790" s="150" t="e">
        <f t="shared" si="794"/>
        <v>#REF!</v>
      </c>
      <c r="AB790" s="50"/>
    </row>
    <row r="791" s="28" customFormat="1" ht="28.8" outlineLevel="3" spans="1:28">
      <c r="A791" s="52">
        <f>MAX($A$6:A790)+1</f>
        <v>728</v>
      </c>
      <c r="B791" s="138" t="s">
        <v>2232</v>
      </c>
      <c r="C791" s="51" t="e">
        <f>VLOOKUP($B791,#REF!,MATCH(C$2,#REF!,0),0)</f>
        <v>#REF!</v>
      </c>
      <c r="D791" s="83"/>
      <c r="E791" s="83"/>
      <c r="F791" s="136" t="e">
        <f>VLOOKUP($B791,#REF!,MATCH(F$2,#REF!,0),0)</f>
        <v>#REF!</v>
      </c>
      <c r="G791" s="137" t="e">
        <f>VLOOKUP($B791,#REF!,MATCH(G$2,#REF!,0),0)</f>
        <v>#REF!</v>
      </c>
      <c r="H791" s="48">
        <v>55</v>
      </c>
      <c r="I791" s="48">
        <v>55</v>
      </c>
      <c r="J791" s="48">
        <v>24</v>
      </c>
      <c r="K791" s="48">
        <v>24</v>
      </c>
      <c r="L791" s="48">
        <v>12</v>
      </c>
      <c r="M791" s="48">
        <v>18</v>
      </c>
      <c r="N791" s="48">
        <v>18</v>
      </c>
      <c r="O791" s="48">
        <v>18</v>
      </c>
      <c r="P791" s="48"/>
      <c r="Q791" s="48"/>
      <c r="R791" s="150" t="e">
        <f t="shared" ref="R791:AA791" si="795">$G791*H791</f>
        <v>#REF!</v>
      </c>
      <c r="S791" s="150" t="e">
        <f t="shared" si="795"/>
        <v>#REF!</v>
      </c>
      <c r="T791" s="150" t="e">
        <f t="shared" si="795"/>
        <v>#REF!</v>
      </c>
      <c r="U791" s="150" t="e">
        <f t="shared" si="795"/>
        <v>#REF!</v>
      </c>
      <c r="V791" s="150" t="e">
        <f t="shared" si="795"/>
        <v>#REF!</v>
      </c>
      <c r="W791" s="150" t="e">
        <f t="shared" si="795"/>
        <v>#REF!</v>
      </c>
      <c r="X791" s="150" t="e">
        <f t="shared" si="795"/>
        <v>#REF!</v>
      </c>
      <c r="Y791" s="150" t="e">
        <f t="shared" si="795"/>
        <v>#REF!</v>
      </c>
      <c r="Z791" s="150" t="e">
        <f t="shared" si="795"/>
        <v>#REF!</v>
      </c>
      <c r="AA791" s="150" t="e">
        <f t="shared" si="795"/>
        <v>#REF!</v>
      </c>
      <c r="AB791" s="50"/>
    </row>
    <row r="792" s="29" customFormat="1" outlineLevel="2" spans="1:28">
      <c r="A792" s="40"/>
      <c r="B792" s="41" t="s">
        <v>2280</v>
      </c>
      <c r="C792" s="41"/>
      <c r="D792" s="140"/>
      <c r="E792" s="140"/>
      <c r="F792" s="141"/>
      <c r="G792" s="142"/>
      <c r="H792" s="43"/>
      <c r="I792" s="43"/>
      <c r="J792" s="43"/>
      <c r="K792" s="43"/>
      <c r="L792" s="43"/>
      <c r="M792" s="43"/>
      <c r="N792" s="43"/>
      <c r="O792" s="43"/>
      <c r="P792" s="43"/>
      <c r="Q792" s="43"/>
      <c r="R792" s="149" t="e">
        <f t="shared" ref="R792:AA792" si="796">SUM(R793:R815)</f>
        <v>#REF!</v>
      </c>
      <c r="S792" s="149" t="e">
        <f t="shared" si="796"/>
        <v>#REF!</v>
      </c>
      <c r="T792" s="149" t="e">
        <f t="shared" si="796"/>
        <v>#REF!</v>
      </c>
      <c r="U792" s="149" t="e">
        <f t="shared" si="796"/>
        <v>#REF!</v>
      </c>
      <c r="V792" s="149" t="e">
        <f t="shared" si="796"/>
        <v>#REF!</v>
      </c>
      <c r="W792" s="149" t="e">
        <f t="shared" si="796"/>
        <v>#REF!</v>
      </c>
      <c r="X792" s="149" t="e">
        <f t="shared" si="796"/>
        <v>#REF!</v>
      </c>
      <c r="Y792" s="149" t="e">
        <f t="shared" si="796"/>
        <v>#REF!</v>
      </c>
      <c r="Z792" s="149" t="e">
        <f t="shared" si="796"/>
        <v>#REF!</v>
      </c>
      <c r="AA792" s="149" t="e">
        <f t="shared" si="796"/>
        <v>#REF!</v>
      </c>
      <c r="AB792" s="40"/>
    </row>
    <row r="793" s="28" customFormat="1" outlineLevel="3" spans="1:28">
      <c r="A793" s="52">
        <f>MAX($A$6:A792)+1</f>
        <v>729</v>
      </c>
      <c r="B793" s="138" t="s">
        <v>1438</v>
      </c>
      <c r="C793" s="51" t="e">
        <f>VLOOKUP($B793,#REF!,MATCH(C$2,#REF!,0),0)</f>
        <v>#REF!</v>
      </c>
      <c r="D793" s="83"/>
      <c r="E793" s="83"/>
      <c r="F793" s="136" t="e">
        <f>VLOOKUP($B793,#REF!,MATCH(F$2,#REF!,0),0)</f>
        <v>#REF!</v>
      </c>
      <c r="G793" s="137" t="e">
        <f>VLOOKUP($B793,#REF!,MATCH(G$2,#REF!,0),0)</f>
        <v>#REF!</v>
      </c>
      <c r="H793" s="48">
        <v>1248</v>
      </c>
      <c r="I793" s="48">
        <v>1248</v>
      </c>
      <c r="J793" s="48">
        <v>66</v>
      </c>
      <c r="K793" s="48">
        <v>66</v>
      </c>
      <c r="L793" s="48">
        <v>380</v>
      </c>
      <c r="M793" s="48">
        <v>67</v>
      </c>
      <c r="N793" s="48">
        <v>67</v>
      </c>
      <c r="O793" s="48">
        <v>67</v>
      </c>
      <c r="P793" s="48"/>
      <c r="Q793" s="48"/>
      <c r="R793" s="150" t="e">
        <f t="shared" ref="R793:AA793" si="797">$G793*H793</f>
        <v>#REF!</v>
      </c>
      <c r="S793" s="150" t="e">
        <f t="shared" si="797"/>
        <v>#REF!</v>
      </c>
      <c r="T793" s="150" t="e">
        <f t="shared" si="797"/>
        <v>#REF!</v>
      </c>
      <c r="U793" s="150" t="e">
        <f t="shared" si="797"/>
        <v>#REF!</v>
      </c>
      <c r="V793" s="150" t="e">
        <f t="shared" si="797"/>
        <v>#REF!</v>
      </c>
      <c r="W793" s="150" t="e">
        <f t="shared" si="797"/>
        <v>#REF!</v>
      </c>
      <c r="X793" s="150" t="e">
        <f t="shared" si="797"/>
        <v>#REF!</v>
      </c>
      <c r="Y793" s="150" t="e">
        <f t="shared" si="797"/>
        <v>#REF!</v>
      </c>
      <c r="Z793" s="150" t="e">
        <f t="shared" si="797"/>
        <v>#REF!</v>
      </c>
      <c r="AA793" s="150" t="e">
        <f t="shared" si="797"/>
        <v>#REF!</v>
      </c>
      <c r="AB793" s="50"/>
    </row>
    <row r="794" s="28" customFormat="1" outlineLevel="3" spans="1:28">
      <c r="A794" s="52">
        <f>MAX($A$6:A793)+1</f>
        <v>730</v>
      </c>
      <c r="B794" s="138" t="s">
        <v>1448</v>
      </c>
      <c r="C794" s="51" t="e">
        <f>VLOOKUP($B794,#REF!,MATCH(C$2,#REF!,0),0)</f>
        <v>#REF!</v>
      </c>
      <c r="D794" s="83"/>
      <c r="E794" s="83"/>
      <c r="F794" s="136" t="e">
        <f>VLOOKUP($B794,#REF!,MATCH(F$2,#REF!,0),0)</f>
        <v>#REF!</v>
      </c>
      <c r="G794" s="137" t="e">
        <f>VLOOKUP($B794,#REF!,MATCH(G$2,#REF!,0),0)</f>
        <v>#REF!</v>
      </c>
      <c r="H794" s="48">
        <v>3</v>
      </c>
      <c r="I794" s="48">
        <v>3</v>
      </c>
      <c r="J794" s="48">
        <v>1</v>
      </c>
      <c r="K794" s="48">
        <v>1</v>
      </c>
      <c r="L794" s="48"/>
      <c r="M794" s="48"/>
      <c r="N794" s="48"/>
      <c r="O794" s="48"/>
      <c r="P794" s="48"/>
      <c r="Q794" s="48"/>
      <c r="R794" s="150" t="e">
        <f t="shared" ref="R794:AA794" si="798">$G794*H794</f>
        <v>#REF!</v>
      </c>
      <c r="S794" s="150" t="e">
        <f t="shared" si="798"/>
        <v>#REF!</v>
      </c>
      <c r="T794" s="150" t="e">
        <f t="shared" si="798"/>
        <v>#REF!</v>
      </c>
      <c r="U794" s="150" t="e">
        <f t="shared" si="798"/>
        <v>#REF!</v>
      </c>
      <c r="V794" s="150" t="e">
        <f t="shared" si="798"/>
        <v>#REF!</v>
      </c>
      <c r="W794" s="150" t="e">
        <f t="shared" si="798"/>
        <v>#REF!</v>
      </c>
      <c r="X794" s="150" t="e">
        <f t="shared" si="798"/>
        <v>#REF!</v>
      </c>
      <c r="Y794" s="150" t="e">
        <f t="shared" si="798"/>
        <v>#REF!</v>
      </c>
      <c r="Z794" s="150" t="e">
        <f t="shared" si="798"/>
        <v>#REF!</v>
      </c>
      <c r="AA794" s="150" t="e">
        <f t="shared" si="798"/>
        <v>#REF!</v>
      </c>
      <c r="AB794" s="50"/>
    </row>
    <row r="795" s="28" customFormat="1" outlineLevel="3" spans="1:28">
      <c r="A795" s="52">
        <f>MAX($A$6:A794)+1</f>
        <v>731</v>
      </c>
      <c r="B795" s="138" t="s">
        <v>1445</v>
      </c>
      <c r="C795" s="51" t="e">
        <f>VLOOKUP($B795,#REF!,MATCH(C$2,#REF!,0),0)</f>
        <v>#REF!</v>
      </c>
      <c r="D795" s="83"/>
      <c r="E795" s="83"/>
      <c r="F795" s="136" t="e">
        <f>VLOOKUP($B795,#REF!,MATCH(F$2,#REF!,0),0)</f>
        <v>#REF!</v>
      </c>
      <c r="G795" s="137" t="e">
        <f>VLOOKUP($B795,#REF!,MATCH(G$2,#REF!,0),0)</f>
        <v>#REF!</v>
      </c>
      <c r="H795" s="48">
        <v>108</v>
      </c>
      <c r="I795" s="48">
        <v>108</v>
      </c>
      <c r="J795" s="48">
        <v>44</v>
      </c>
      <c r="K795" s="48">
        <v>44</v>
      </c>
      <c r="L795" s="48">
        <v>19</v>
      </c>
      <c r="M795" s="48"/>
      <c r="N795" s="48"/>
      <c r="O795" s="48"/>
      <c r="P795" s="48"/>
      <c r="Q795" s="48"/>
      <c r="R795" s="150" t="e">
        <f t="shared" ref="R795:AA795" si="799">$G795*H795</f>
        <v>#REF!</v>
      </c>
      <c r="S795" s="150" t="e">
        <f t="shared" si="799"/>
        <v>#REF!</v>
      </c>
      <c r="T795" s="150" t="e">
        <f t="shared" si="799"/>
        <v>#REF!</v>
      </c>
      <c r="U795" s="150" t="e">
        <f t="shared" si="799"/>
        <v>#REF!</v>
      </c>
      <c r="V795" s="150" t="e">
        <f t="shared" si="799"/>
        <v>#REF!</v>
      </c>
      <c r="W795" s="150" t="e">
        <f t="shared" si="799"/>
        <v>#REF!</v>
      </c>
      <c r="X795" s="150" t="e">
        <f t="shared" si="799"/>
        <v>#REF!</v>
      </c>
      <c r="Y795" s="150" t="e">
        <f t="shared" si="799"/>
        <v>#REF!</v>
      </c>
      <c r="Z795" s="150" t="e">
        <f t="shared" si="799"/>
        <v>#REF!</v>
      </c>
      <c r="AA795" s="150" t="e">
        <f t="shared" si="799"/>
        <v>#REF!</v>
      </c>
      <c r="AB795" s="50"/>
    </row>
    <row r="796" s="28" customFormat="1" outlineLevel="3" spans="1:28">
      <c r="A796" s="52">
        <f>MAX($A$6:A795)+1</f>
        <v>732</v>
      </c>
      <c r="B796" s="138" t="s">
        <v>2281</v>
      </c>
      <c r="C796" s="51" t="e">
        <f>VLOOKUP($B796,#REF!,MATCH(C$2,#REF!,0),0)</f>
        <v>#REF!</v>
      </c>
      <c r="D796" s="83"/>
      <c r="E796" s="83"/>
      <c r="F796" s="136" t="e">
        <f>VLOOKUP($B796,#REF!,MATCH(F$2,#REF!,0),0)</f>
        <v>#REF!</v>
      </c>
      <c r="G796" s="137" t="e">
        <f>VLOOKUP($B796,#REF!,MATCH(G$2,#REF!,0),0)</f>
        <v>#REF!</v>
      </c>
      <c r="H796" s="48">
        <v>108</v>
      </c>
      <c r="I796" s="48">
        <v>108</v>
      </c>
      <c r="J796" s="48">
        <v>44</v>
      </c>
      <c r="K796" s="48">
        <v>44</v>
      </c>
      <c r="L796" s="48">
        <v>38</v>
      </c>
      <c r="M796" s="48"/>
      <c r="N796" s="48"/>
      <c r="O796" s="48"/>
      <c r="P796" s="48"/>
      <c r="Q796" s="48"/>
      <c r="R796" s="150" t="e">
        <f t="shared" ref="R796:AA796" si="800">$G796*H796</f>
        <v>#REF!</v>
      </c>
      <c r="S796" s="150" t="e">
        <f t="shared" si="800"/>
        <v>#REF!</v>
      </c>
      <c r="T796" s="150" t="e">
        <f t="shared" si="800"/>
        <v>#REF!</v>
      </c>
      <c r="U796" s="150" t="e">
        <f t="shared" si="800"/>
        <v>#REF!</v>
      </c>
      <c r="V796" s="150" t="e">
        <f t="shared" si="800"/>
        <v>#REF!</v>
      </c>
      <c r="W796" s="150" t="e">
        <f t="shared" si="800"/>
        <v>#REF!</v>
      </c>
      <c r="X796" s="150" t="e">
        <f t="shared" si="800"/>
        <v>#REF!</v>
      </c>
      <c r="Y796" s="150" t="e">
        <f t="shared" si="800"/>
        <v>#REF!</v>
      </c>
      <c r="Z796" s="150" t="e">
        <f t="shared" si="800"/>
        <v>#REF!</v>
      </c>
      <c r="AA796" s="150" t="e">
        <f t="shared" si="800"/>
        <v>#REF!</v>
      </c>
      <c r="AB796" s="50"/>
    </row>
    <row r="797" s="28" customFormat="1" outlineLevel="3" spans="1:28">
      <c r="A797" s="52">
        <f>MAX($A$6:A796)+1</f>
        <v>733</v>
      </c>
      <c r="B797" s="138" t="s">
        <v>1451</v>
      </c>
      <c r="C797" s="51" t="e">
        <f>VLOOKUP($B797,#REF!,MATCH(C$2,#REF!,0),0)</f>
        <v>#REF!</v>
      </c>
      <c r="D797" s="83"/>
      <c r="E797" s="83"/>
      <c r="F797" s="136" t="e">
        <f>VLOOKUP($B797,#REF!,MATCH(F$2,#REF!,0),0)</f>
        <v>#REF!</v>
      </c>
      <c r="G797" s="137" t="e">
        <f>VLOOKUP($B797,#REF!,MATCH(G$2,#REF!,0),0)</f>
        <v>#REF!</v>
      </c>
      <c r="H797" s="48">
        <v>108</v>
      </c>
      <c r="I797" s="48">
        <v>108</v>
      </c>
      <c r="J797" s="48">
        <v>44</v>
      </c>
      <c r="K797" s="48">
        <v>44</v>
      </c>
      <c r="L797" s="48">
        <v>1</v>
      </c>
      <c r="M797" s="48"/>
      <c r="N797" s="48"/>
      <c r="O797" s="48"/>
      <c r="P797" s="48"/>
      <c r="Q797" s="48"/>
      <c r="R797" s="150" t="e">
        <f t="shared" ref="R797:AA797" si="801">$G797*H797</f>
        <v>#REF!</v>
      </c>
      <c r="S797" s="150" t="e">
        <f t="shared" si="801"/>
        <v>#REF!</v>
      </c>
      <c r="T797" s="150" t="e">
        <f t="shared" si="801"/>
        <v>#REF!</v>
      </c>
      <c r="U797" s="150" t="e">
        <f t="shared" si="801"/>
        <v>#REF!</v>
      </c>
      <c r="V797" s="150" t="e">
        <f t="shared" si="801"/>
        <v>#REF!</v>
      </c>
      <c r="W797" s="150" t="e">
        <f t="shared" si="801"/>
        <v>#REF!</v>
      </c>
      <c r="X797" s="150" t="e">
        <f t="shared" si="801"/>
        <v>#REF!</v>
      </c>
      <c r="Y797" s="150" t="e">
        <f t="shared" si="801"/>
        <v>#REF!</v>
      </c>
      <c r="Z797" s="150" t="e">
        <f t="shared" si="801"/>
        <v>#REF!</v>
      </c>
      <c r="AA797" s="150" t="e">
        <f t="shared" si="801"/>
        <v>#REF!</v>
      </c>
      <c r="AB797" s="50"/>
    </row>
    <row r="798" s="28" customFormat="1" outlineLevel="3" spans="1:28">
      <c r="A798" s="52">
        <f>MAX($A$6:A797)+1</f>
        <v>734</v>
      </c>
      <c r="B798" s="138" t="s">
        <v>1437</v>
      </c>
      <c r="C798" s="51" t="e">
        <f>VLOOKUP($B798,#REF!,MATCH(C$2,#REF!,0),0)</f>
        <v>#REF!</v>
      </c>
      <c r="D798" s="83"/>
      <c r="E798" s="83"/>
      <c r="F798" s="136" t="e">
        <f>VLOOKUP($B798,#REF!,MATCH(F$2,#REF!,0),0)</f>
        <v>#REF!</v>
      </c>
      <c r="G798" s="137" t="e">
        <f>VLOOKUP($B798,#REF!,MATCH(G$2,#REF!,0),0)</f>
        <v>#REF!</v>
      </c>
      <c r="H798" s="48">
        <v>108</v>
      </c>
      <c r="I798" s="48">
        <v>108</v>
      </c>
      <c r="J798" s="48">
        <v>44</v>
      </c>
      <c r="K798" s="48">
        <v>44</v>
      </c>
      <c r="L798" s="48">
        <v>19</v>
      </c>
      <c r="M798" s="48"/>
      <c r="N798" s="48"/>
      <c r="O798" s="48"/>
      <c r="P798" s="48"/>
      <c r="Q798" s="48"/>
      <c r="R798" s="150" t="e">
        <f t="shared" ref="R798:AA798" si="802">$G798*H798</f>
        <v>#REF!</v>
      </c>
      <c r="S798" s="150" t="e">
        <f t="shared" si="802"/>
        <v>#REF!</v>
      </c>
      <c r="T798" s="150" t="e">
        <f t="shared" si="802"/>
        <v>#REF!</v>
      </c>
      <c r="U798" s="150" t="e">
        <f t="shared" si="802"/>
        <v>#REF!</v>
      </c>
      <c r="V798" s="150" t="e">
        <f t="shared" si="802"/>
        <v>#REF!</v>
      </c>
      <c r="W798" s="150" t="e">
        <f t="shared" si="802"/>
        <v>#REF!</v>
      </c>
      <c r="X798" s="150" t="e">
        <f t="shared" si="802"/>
        <v>#REF!</v>
      </c>
      <c r="Y798" s="150" t="e">
        <f t="shared" si="802"/>
        <v>#REF!</v>
      </c>
      <c r="Z798" s="150" t="e">
        <f t="shared" si="802"/>
        <v>#REF!</v>
      </c>
      <c r="AA798" s="150" t="e">
        <f t="shared" si="802"/>
        <v>#REF!</v>
      </c>
      <c r="AB798" s="50"/>
    </row>
    <row r="799" s="28" customFormat="1" outlineLevel="3" spans="1:28">
      <c r="A799" s="52">
        <f>MAX($A$6:A798)+1</f>
        <v>735</v>
      </c>
      <c r="B799" s="138" t="s">
        <v>2282</v>
      </c>
      <c r="C799" s="51" t="e">
        <f>VLOOKUP($B799,#REF!,MATCH(C$2,#REF!,0),0)</f>
        <v>#REF!</v>
      </c>
      <c r="D799" s="83"/>
      <c r="E799" s="83"/>
      <c r="F799" s="136" t="e">
        <f>VLOOKUP($B799,#REF!,MATCH(F$2,#REF!,0),0)</f>
        <v>#REF!</v>
      </c>
      <c r="G799" s="137" t="e">
        <f>VLOOKUP($B799,#REF!,MATCH(G$2,#REF!,0),0)</f>
        <v>#REF!</v>
      </c>
      <c r="H799" s="48">
        <v>428</v>
      </c>
      <c r="I799" s="48">
        <v>428</v>
      </c>
      <c r="J799" s="48">
        <v>220</v>
      </c>
      <c r="K799" s="48">
        <v>220</v>
      </c>
      <c r="L799" s="48">
        <v>76</v>
      </c>
      <c r="M799" s="48"/>
      <c r="N799" s="48"/>
      <c r="O799" s="48"/>
      <c r="P799" s="48"/>
      <c r="Q799" s="48"/>
      <c r="R799" s="150" t="e">
        <f t="shared" ref="R799:AA799" si="803">$G799*H799</f>
        <v>#REF!</v>
      </c>
      <c r="S799" s="150" t="e">
        <f t="shared" si="803"/>
        <v>#REF!</v>
      </c>
      <c r="T799" s="150" t="e">
        <f t="shared" si="803"/>
        <v>#REF!</v>
      </c>
      <c r="U799" s="150" t="e">
        <f t="shared" si="803"/>
        <v>#REF!</v>
      </c>
      <c r="V799" s="150" t="e">
        <f t="shared" si="803"/>
        <v>#REF!</v>
      </c>
      <c r="W799" s="150" t="e">
        <f t="shared" si="803"/>
        <v>#REF!</v>
      </c>
      <c r="X799" s="150" t="e">
        <f t="shared" si="803"/>
        <v>#REF!</v>
      </c>
      <c r="Y799" s="150" t="e">
        <f t="shared" si="803"/>
        <v>#REF!</v>
      </c>
      <c r="Z799" s="150" t="e">
        <f t="shared" si="803"/>
        <v>#REF!</v>
      </c>
      <c r="AA799" s="150" t="e">
        <f t="shared" si="803"/>
        <v>#REF!</v>
      </c>
      <c r="AB799" s="50"/>
    </row>
    <row r="800" s="28" customFormat="1" outlineLevel="3" spans="1:28">
      <c r="A800" s="52">
        <f>MAX($A$6:A799)+1</f>
        <v>736</v>
      </c>
      <c r="B800" s="138" t="s">
        <v>1443</v>
      </c>
      <c r="C800" s="51" t="e">
        <f>VLOOKUP($B800,#REF!,MATCH(C$2,#REF!,0),0)</f>
        <v>#REF!</v>
      </c>
      <c r="D800" s="83"/>
      <c r="E800" s="83"/>
      <c r="F800" s="136" t="e">
        <f>VLOOKUP($B800,#REF!,MATCH(F$2,#REF!,0),0)</f>
        <v>#REF!</v>
      </c>
      <c r="G800" s="137" t="e">
        <f>VLOOKUP($B800,#REF!,MATCH(G$2,#REF!,0),0)</f>
        <v>#REF!</v>
      </c>
      <c r="H800" s="48">
        <v>212</v>
      </c>
      <c r="I800" s="48">
        <v>212</v>
      </c>
      <c r="J800" s="48">
        <v>88</v>
      </c>
      <c r="K800" s="48">
        <v>88</v>
      </c>
      <c r="L800" s="48">
        <v>58</v>
      </c>
      <c r="M800" s="48">
        <v>3</v>
      </c>
      <c r="N800" s="48">
        <v>3</v>
      </c>
      <c r="O800" s="48">
        <v>3</v>
      </c>
      <c r="P800" s="48"/>
      <c r="Q800" s="48"/>
      <c r="R800" s="150" t="e">
        <f t="shared" ref="R800:AA800" si="804">$G800*H800</f>
        <v>#REF!</v>
      </c>
      <c r="S800" s="150" t="e">
        <f t="shared" si="804"/>
        <v>#REF!</v>
      </c>
      <c r="T800" s="150" t="e">
        <f t="shared" si="804"/>
        <v>#REF!</v>
      </c>
      <c r="U800" s="150" t="e">
        <f t="shared" si="804"/>
        <v>#REF!</v>
      </c>
      <c r="V800" s="150" t="e">
        <f t="shared" si="804"/>
        <v>#REF!</v>
      </c>
      <c r="W800" s="150" t="e">
        <f t="shared" si="804"/>
        <v>#REF!</v>
      </c>
      <c r="X800" s="150" t="e">
        <f t="shared" si="804"/>
        <v>#REF!</v>
      </c>
      <c r="Y800" s="150" t="e">
        <f t="shared" si="804"/>
        <v>#REF!</v>
      </c>
      <c r="Z800" s="150" t="e">
        <f t="shared" si="804"/>
        <v>#REF!</v>
      </c>
      <c r="AA800" s="150" t="e">
        <f t="shared" si="804"/>
        <v>#REF!</v>
      </c>
      <c r="AB800" s="50"/>
    </row>
    <row r="801" s="28" customFormat="1" outlineLevel="3" spans="1:28">
      <c r="A801" s="52">
        <f>MAX($A$6:A800)+1</f>
        <v>737</v>
      </c>
      <c r="B801" s="138" t="s">
        <v>1440</v>
      </c>
      <c r="C801" s="51" t="e">
        <f>VLOOKUP($B801,#REF!,MATCH(C$2,#REF!,0),0)</f>
        <v>#REF!</v>
      </c>
      <c r="D801" s="83"/>
      <c r="E801" s="83"/>
      <c r="F801" s="136" t="e">
        <f>VLOOKUP($B801,#REF!,MATCH(F$2,#REF!,0),0)</f>
        <v>#REF!</v>
      </c>
      <c r="G801" s="137" t="e">
        <f>VLOOKUP($B801,#REF!,MATCH(G$2,#REF!,0),0)</f>
        <v>#REF!</v>
      </c>
      <c r="H801" s="48">
        <v>108</v>
      </c>
      <c r="I801" s="48">
        <v>108</v>
      </c>
      <c r="J801" s="48">
        <v>88</v>
      </c>
      <c r="K801" s="48">
        <v>88</v>
      </c>
      <c r="L801" s="48">
        <v>39</v>
      </c>
      <c r="M801" s="48"/>
      <c r="N801" s="48"/>
      <c r="O801" s="48"/>
      <c r="P801" s="48"/>
      <c r="Q801" s="48"/>
      <c r="R801" s="150" t="e">
        <f t="shared" ref="R801:AA801" si="805">$G801*H801</f>
        <v>#REF!</v>
      </c>
      <c r="S801" s="150" t="e">
        <f t="shared" si="805"/>
        <v>#REF!</v>
      </c>
      <c r="T801" s="150" t="e">
        <f t="shared" si="805"/>
        <v>#REF!</v>
      </c>
      <c r="U801" s="150" t="e">
        <f t="shared" si="805"/>
        <v>#REF!</v>
      </c>
      <c r="V801" s="150" t="e">
        <f t="shared" si="805"/>
        <v>#REF!</v>
      </c>
      <c r="W801" s="150" t="e">
        <f t="shared" si="805"/>
        <v>#REF!</v>
      </c>
      <c r="X801" s="150" t="e">
        <f t="shared" si="805"/>
        <v>#REF!</v>
      </c>
      <c r="Y801" s="150" t="e">
        <f t="shared" si="805"/>
        <v>#REF!</v>
      </c>
      <c r="Z801" s="150" t="e">
        <f t="shared" si="805"/>
        <v>#REF!</v>
      </c>
      <c r="AA801" s="150" t="e">
        <f t="shared" si="805"/>
        <v>#REF!</v>
      </c>
      <c r="AB801" s="50"/>
    </row>
    <row r="802" s="28" customFormat="1" ht="58" customHeight="1" outlineLevel="3" spans="1:28">
      <c r="A802" s="52">
        <f>MAX($A$6:A801)+1</f>
        <v>738</v>
      </c>
      <c r="B802" s="138" t="s">
        <v>1465</v>
      </c>
      <c r="C802" s="51" t="e">
        <f>VLOOKUP($B802,#REF!,MATCH(C$2,#REF!,0),0)</f>
        <v>#REF!</v>
      </c>
      <c r="D802" s="83"/>
      <c r="E802" s="83"/>
      <c r="F802" s="136" t="e">
        <f>VLOOKUP($B802,#REF!,MATCH(F$2,#REF!,0),0)</f>
        <v>#REF!</v>
      </c>
      <c r="G802" s="137" t="e">
        <f>VLOOKUP($B802,#REF!,MATCH(G$2,#REF!,0),0)</f>
        <v>#REF!</v>
      </c>
      <c r="H802" s="48"/>
      <c r="I802" s="48"/>
      <c r="J802" s="48"/>
      <c r="K802" s="48"/>
      <c r="L802" s="48"/>
      <c r="M802" s="48"/>
      <c r="N802" s="48"/>
      <c r="O802" s="48"/>
      <c r="P802" s="48"/>
      <c r="Q802" s="48"/>
      <c r="R802" s="150" t="e">
        <f t="shared" ref="R802:AA802" si="806">$G802*H802</f>
        <v>#REF!</v>
      </c>
      <c r="S802" s="150" t="e">
        <f t="shared" si="806"/>
        <v>#REF!</v>
      </c>
      <c r="T802" s="150" t="e">
        <f t="shared" si="806"/>
        <v>#REF!</v>
      </c>
      <c r="U802" s="150" t="e">
        <f t="shared" si="806"/>
        <v>#REF!</v>
      </c>
      <c r="V802" s="150" t="e">
        <f t="shared" si="806"/>
        <v>#REF!</v>
      </c>
      <c r="W802" s="150" t="e">
        <f t="shared" si="806"/>
        <v>#REF!</v>
      </c>
      <c r="X802" s="150" t="e">
        <f t="shared" si="806"/>
        <v>#REF!</v>
      </c>
      <c r="Y802" s="150" t="e">
        <f t="shared" si="806"/>
        <v>#REF!</v>
      </c>
      <c r="Z802" s="150" t="e">
        <f t="shared" si="806"/>
        <v>#REF!</v>
      </c>
      <c r="AA802" s="150" t="e">
        <f t="shared" si="806"/>
        <v>#REF!</v>
      </c>
      <c r="AB802" s="50"/>
    </row>
    <row r="803" s="28" customFormat="1" outlineLevel="3" spans="1:28">
      <c r="A803" s="52">
        <f>MAX($A$6:A802)+1</f>
        <v>739</v>
      </c>
      <c r="B803" s="138" t="s">
        <v>1446</v>
      </c>
      <c r="C803" s="51" t="e">
        <f>VLOOKUP($B803,#REF!,MATCH(C$2,#REF!,0),0)</f>
        <v>#REF!</v>
      </c>
      <c r="D803" s="83"/>
      <c r="E803" s="83"/>
      <c r="F803" s="136" t="e">
        <f>VLOOKUP($B803,#REF!,MATCH(F$2,#REF!,0),0)</f>
        <v>#REF!</v>
      </c>
      <c r="G803" s="137" t="e">
        <f>VLOOKUP($B803,#REF!,MATCH(G$2,#REF!,0),0)</f>
        <v>#REF!</v>
      </c>
      <c r="H803" s="48">
        <v>212</v>
      </c>
      <c r="I803" s="48">
        <v>212</v>
      </c>
      <c r="J803" s="48">
        <v>88</v>
      </c>
      <c r="K803" s="48">
        <v>88</v>
      </c>
      <c r="L803" s="48">
        <v>58</v>
      </c>
      <c r="M803" s="48"/>
      <c r="N803" s="48"/>
      <c r="O803" s="48"/>
      <c r="P803" s="48"/>
      <c r="Q803" s="48"/>
      <c r="R803" s="150" t="e">
        <f t="shared" ref="R803:AA803" si="807">$G803*H803</f>
        <v>#REF!</v>
      </c>
      <c r="S803" s="150" t="e">
        <f t="shared" si="807"/>
        <v>#REF!</v>
      </c>
      <c r="T803" s="150" t="e">
        <f t="shared" si="807"/>
        <v>#REF!</v>
      </c>
      <c r="U803" s="150" t="e">
        <f t="shared" si="807"/>
        <v>#REF!</v>
      </c>
      <c r="V803" s="150" t="e">
        <f t="shared" si="807"/>
        <v>#REF!</v>
      </c>
      <c r="W803" s="150" t="e">
        <f t="shared" si="807"/>
        <v>#REF!</v>
      </c>
      <c r="X803" s="150" t="e">
        <f t="shared" si="807"/>
        <v>#REF!</v>
      </c>
      <c r="Y803" s="150" t="e">
        <f t="shared" si="807"/>
        <v>#REF!</v>
      </c>
      <c r="Z803" s="150" t="e">
        <f t="shared" si="807"/>
        <v>#REF!</v>
      </c>
      <c r="AA803" s="150" t="e">
        <f t="shared" si="807"/>
        <v>#REF!</v>
      </c>
      <c r="AB803" s="50"/>
    </row>
    <row r="804" s="28" customFormat="1" outlineLevel="3" spans="1:28">
      <c r="A804" s="52">
        <f>MAX($A$6:A803)+1</f>
        <v>740</v>
      </c>
      <c r="B804" s="138" t="s">
        <v>1447</v>
      </c>
      <c r="C804" s="51" t="e">
        <f>VLOOKUP($B804,#REF!,MATCH(C$2,#REF!,0),0)</f>
        <v>#REF!</v>
      </c>
      <c r="D804" s="83"/>
      <c r="E804" s="83"/>
      <c r="F804" s="136" t="e">
        <f>VLOOKUP($B804,#REF!,MATCH(F$2,#REF!,0),0)</f>
        <v>#REF!</v>
      </c>
      <c r="G804" s="137" t="e">
        <f>VLOOKUP($B804,#REF!,MATCH(G$2,#REF!,0),0)</f>
        <v>#REF!</v>
      </c>
      <c r="H804" s="48">
        <v>108</v>
      </c>
      <c r="I804" s="48">
        <v>108</v>
      </c>
      <c r="J804" s="48">
        <v>44</v>
      </c>
      <c r="K804" s="48">
        <v>44</v>
      </c>
      <c r="L804" s="48">
        <v>19</v>
      </c>
      <c r="M804" s="48"/>
      <c r="N804" s="48"/>
      <c r="O804" s="48"/>
      <c r="P804" s="48"/>
      <c r="Q804" s="48"/>
      <c r="R804" s="150" t="e">
        <f t="shared" ref="R804:AA804" si="808">$G804*H804</f>
        <v>#REF!</v>
      </c>
      <c r="S804" s="150" t="e">
        <f t="shared" si="808"/>
        <v>#REF!</v>
      </c>
      <c r="T804" s="150" t="e">
        <f t="shared" si="808"/>
        <v>#REF!</v>
      </c>
      <c r="U804" s="150" t="e">
        <f t="shared" si="808"/>
        <v>#REF!</v>
      </c>
      <c r="V804" s="150" t="e">
        <f t="shared" si="808"/>
        <v>#REF!</v>
      </c>
      <c r="W804" s="150" t="e">
        <f t="shared" si="808"/>
        <v>#REF!</v>
      </c>
      <c r="X804" s="150" t="e">
        <f t="shared" si="808"/>
        <v>#REF!</v>
      </c>
      <c r="Y804" s="150" t="e">
        <f t="shared" si="808"/>
        <v>#REF!</v>
      </c>
      <c r="Z804" s="150" t="e">
        <f t="shared" si="808"/>
        <v>#REF!</v>
      </c>
      <c r="AA804" s="150" t="e">
        <f t="shared" si="808"/>
        <v>#REF!</v>
      </c>
      <c r="AB804" s="50"/>
    </row>
    <row r="805" s="28" customFormat="1" ht="28.8" outlineLevel="3" spans="1:28">
      <c r="A805" s="52">
        <f>MAX($A$6:A804)+1</f>
        <v>741</v>
      </c>
      <c r="B805" s="138" t="s">
        <v>2237</v>
      </c>
      <c r="C805" s="51" t="e">
        <f>VLOOKUP($B805,#REF!,MATCH(C$2,#REF!,0),0)</f>
        <v>#REF!</v>
      </c>
      <c r="D805" s="83"/>
      <c r="E805" s="83"/>
      <c r="F805" s="136" t="e">
        <f>VLOOKUP($B805,#REF!,MATCH(F$2,#REF!,0),0)</f>
        <v>#REF!</v>
      </c>
      <c r="G805" s="137" t="e">
        <f>VLOOKUP($B805,#REF!,MATCH(G$2,#REF!,0),0)</f>
        <v>#REF!</v>
      </c>
      <c r="H805" s="48">
        <v>435</v>
      </c>
      <c r="I805" s="48">
        <v>435</v>
      </c>
      <c r="J805" s="48">
        <v>221</v>
      </c>
      <c r="K805" s="48">
        <v>221</v>
      </c>
      <c r="L805" s="48"/>
      <c r="M805" s="48">
        <v>10</v>
      </c>
      <c r="N805" s="48">
        <v>10</v>
      </c>
      <c r="O805" s="48">
        <v>10</v>
      </c>
      <c r="P805" s="48"/>
      <c r="Q805" s="48"/>
      <c r="R805" s="150" t="e">
        <f t="shared" ref="R805:AA805" si="809">$G805*H805</f>
        <v>#REF!</v>
      </c>
      <c r="S805" s="150" t="e">
        <f t="shared" si="809"/>
        <v>#REF!</v>
      </c>
      <c r="T805" s="150" t="e">
        <f t="shared" si="809"/>
        <v>#REF!</v>
      </c>
      <c r="U805" s="150" t="e">
        <f t="shared" si="809"/>
        <v>#REF!</v>
      </c>
      <c r="V805" s="150" t="e">
        <f t="shared" si="809"/>
        <v>#REF!</v>
      </c>
      <c r="W805" s="150" t="e">
        <f t="shared" si="809"/>
        <v>#REF!</v>
      </c>
      <c r="X805" s="150" t="e">
        <f t="shared" si="809"/>
        <v>#REF!</v>
      </c>
      <c r="Y805" s="150" t="e">
        <f t="shared" si="809"/>
        <v>#REF!</v>
      </c>
      <c r="Z805" s="150" t="e">
        <f t="shared" si="809"/>
        <v>#REF!</v>
      </c>
      <c r="AA805" s="150" t="e">
        <f t="shared" si="809"/>
        <v>#REF!</v>
      </c>
      <c r="AB805" s="50"/>
    </row>
    <row r="806" s="28" customFormat="1" outlineLevel="3" spans="1:28">
      <c r="A806" s="52">
        <f>MAX($A$6:A805)+1</f>
        <v>742</v>
      </c>
      <c r="B806" s="138" t="s">
        <v>1442</v>
      </c>
      <c r="C806" s="51" t="e">
        <f>VLOOKUP($B806,#REF!,MATCH(C$2,#REF!,0),0)</f>
        <v>#REF!</v>
      </c>
      <c r="D806" s="83"/>
      <c r="E806" s="83"/>
      <c r="F806" s="136" t="e">
        <f>VLOOKUP($B806,#REF!,MATCH(F$2,#REF!,0),0)</f>
        <v>#REF!</v>
      </c>
      <c r="G806" s="137" t="e">
        <f>VLOOKUP($B806,#REF!,MATCH(G$2,#REF!,0),0)</f>
        <v>#REF!</v>
      </c>
      <c r="H806" s="48">
        <v>4</v>
      </c>
      <c r="I806" s="48">
        <v>4</v>
      </c>
      <c r="J806" s="48"/>
      <c r="K806" s="48"/>
      <c r="L806" s="48"/>
      <c r="M806" s="48"/>
      <c r="N806" s="48"/>
      <c r="O806" s="48"/>
      <c r="P806" s="48"/>
      <c r="Q806" s="48"/>
      <c r="R806" s="150" t="e">
        <f t="shared" ref="R806:AA806" si="810">$G806*H806</f>
        <v>#REF!</v>
      </c>
      <c r="S806" s="150" t="e">
        <f t="shared" si="810"/>
        <v>#REF!</v>
      </c>
      <c r="T806" s="150" t="e">
        <f t="shared" si="810"/>
        <v>#REF!</v>
      </c>
      <c r="U806" s="150" t="e">
        <f t="shared" si="810"/>
        <v>#REF!</v>
      </c>
      <c r="V806" s="150" t="e">
        <f t="shared" si="810"/>
        <v>#REF!</v>
      </c>
      <c r="W806" s="150" t="e">
        <f t="shared" si="810"/>
        <v>#REF!</v>
      </c>
      <c r="X806" s="150" t="e">
        <f t="shared" si="810"/>
        <v>#REF!</v>
      </c>
      <c r="Y806" s="150" t="e">
        <f t="shared" si="810"/>
        <v>#REF!</v>
      </c>
      <c r="Z806" s="150" t="e">
        <f t="shared" si="810"/>
        <v>#REF!</v>
      </c>
      <c r="AA806" s="150" t="e">
        <f t="shared" si="810"/>
        <v>#REF!</v>
      </c>
      <c r="AB806" s="50"/>
    </row>
    <row r="807" s="28" customFormat="1" outlineLevel="3" spans="1:28">
      <c r="A807" s="52">
        <f>MAX($A$6:A806)+1</f>
        <v>743</v>
      </c>
      <c r="B807" s="138" t="s">
        <v>1428</v>
      </c>
      <c r="C807" s="51" t="e">
        <f>VLOOKUP($B807,#REF!,MATCH(C$2,#REF!,0),0)</f>
        <v>#REF!</v>
      </c>
      <c r="D807" s="83"/>
      <c r="E807" s="83"/>
      <c r="F807" s="136" t="e">
        <f>VLOOKUP($B807,#REF!,MATCH(F$2,#REF!,0),0)</f>
        <v>#REF!</v>
      </c>
      <c r="G807" s="137" t="e">
        <f>VLOOKUP($B807,#REF!,MATCH(G$2,#REF!,0),0)</f>
        <v>#REF!</v>
      </c>
      <c r="H807" s="48">
        <v>435</v>
      </c>
      <c r="I807" s="48">
        <v>435</v>
      </c>
      <c r="J807" s="48">
        <v>266</v>
      </c>
      <c r="K807" s="48">
        <v>266</v>
      </c>
      <c r="L807" s="48">
        <v>155</v>
      </c>
      <c r="M807" s="48">
        <v>1</v>
      </c>
      <c r="N807" s="48">
        <v>1</v>
      </c>
      <c r="O807" s="48">
        <v>1</v>
      </c>
      <c r="P807" s="48"/>
      <c r="Q807" s="48"/>
      <c r="R807" s="150" t="e">
        <f t="shared" ref="R807:AA807" si="811">$G807*H807</f>
        <v>#REF!</v>
      </c>
      <c r="S807" s="150" t="e">
        <f t="shared" si="811"/>
        <v>#REF!</v>
      </c>
      <c r="T807" s="150" t="e">
        <f t="shared" si="811"/>
        <v>#REF!</v>
      </c>
      <c r="U807" s="150" t="e">
        <f t="shared" si="811"/>
        <v>#REF!</v>
      </c>
      <c r="V807" s="150" t="e">
        <f t="shared" si="811"/>
        <v>#REF!</v>
      </c>
      <c r="W807" s="150" t="e">
        <f t="shared" si="811"/>
        <v>#REF!</v>
      </c>
      <c r="X807" s="150" t="e">
        <f t="shared" si="811"/>
        <v>#REF!</v>
      </c>
      <c r="Y807" s="150" t="e">
        <f t="shared" si="811"/>
        <v>#REF!</v>
      </c>
      <c r="Z807" s="150" t="e">
        <f t="shared" si="811"/>
        <v>#REF!</v>
      </c>
      <c r="AA807" s="150" t="e">
        <f t="shared" si="811"/>
        <v>#REF!</v>
      </c>
      <c r="AB807" s="50"/>
    </row>
    <row r="808" s="28" customFormat="1" outlineLevel="3" spans="1:28">
      <c r="A808" s="52">
        <f>MAX($A$6:A807)+1</f>
        <v>744</v>
      </c>
      <c r="B808" s="138" t="s">
        <v>1427</v>
      </c>
      <c r="C808" s="51" t="e">
        <f>VLOOKUP($B808,#REF!,MATCH(C$2,#REF!,0),0)</f>
        <v>#REF!</v>
      </c>
      <c r="D808" s="83"/>
      <c r="E808" s="83"/>
      <c r="F808" s="136" t="e">
        <f>VLOOKUP($B808,#REF!,MATCH(F$2,#REF!,0),0)</f>
        <v>#REF!</v>
      </c>
      <c r="G808" s="137" t="e">
        <f>VLOOKUP($B808,#REF!,MATCH(G$2,#REF!,0),0)</f>
        <v>#REF!</v>
      </c>
      <c r="H808" s="48">
        <v>544</v>
      </c>
      <c r="I808" s="48">
        <v>544</v>
      </c>
      <c r="J808" s="48">
        <v>398</v>
      </c>
      <c r="K808" s="48">
        <v>398</v>
      </c>
      <c r="L808" s="48">
        <f>156+12</f>
        <v>168</v>
      </c>
      <c r="M808" s="48">
        <v>13</v>
      </c>
      <c r="N808" s="48">
        <v>13</v>
      </c>
      <c r="O808" s="48">
        <v>13</v>
      </c>
      <c r="P808" s="48"/>
      <c r="Q808" s="48"/>
      <c r="R808" s="150" t="e">
        <f t="shared" ref="R808:AA808" si="812">$G808*H808</f>
        <v>#REF!</v>
      </c>
      <c r="S808" s="150" t="e">
        <f t="shared" si="812"/>
        <v>#REF!</v>
      </c>
      <c r="T808" s="150" t="e">
        <f t="shared" si="812"/>
        <v>#REF!</v>
      </c>
      <c r="U808" s="150" t="e">
        <f t="shared" si="812"/>
        <v>#REF!</v>
      </c>
      <c r="V808" s="150" t="e">
        <f t="shared" si="812"/>
        <v>#REF!</v>
      </c>
      <c r="W808" s="150" t="e">
        <f t="shared" si="812"/>
        <v>#REF!</v>
      </c>
      <c r="X808" s="150" t="e">
        <f t="shared" si="812"/>
        <v>#REF!</v>
      </c>
      <c r="Y808" s="150" t="e">
        <f t="shared" si="812"/>
        <v>#REF!</v>
      </c>
      <c r="Z808" s="150" t="e">
        <f t="shared" si="812"/>
        <v>#REF!</v>
      </c>
      <c r="AA808" s="150" t="e">
        <f t="shared" si="812"/>
        <v>#REF!</v>
      </c>
      <c r="AB808" s="50"/>
    </row>
    <row r="809" s="28" customFormat="1" outlineLevel="3" spans="1:28">
      <c r="A809" s="52">
        <f>MAX($A$6:A808)+1</f>
        <v>745</v>
      </c>
      <c r="B809" s="138" t="s">
        <v>1429</v>
      </c>
      <c r="C809" s="51" t="e">
        <f>VLOOKUP($B809,#REF!,MATCH(C$2,#REF!,0),0)</f>
        <v>#REF!</v>
      </c>
      <c r="D809" s="83"/>
      <c r="E809" s="83"/>
      <c r="F809" s="136" t="e">
        <f>VLOOKUP($B809,#REF!,MATCH(F$2,#REF!,0),0)</f>
        <v>#REF!</v>
      </c>
      <c r="G809" s="137" t="e">
        <f>VLOOKUP($B809,#REF!,MATCH(G$2,#REF!,0),0)</f>
        <v>#REF!</v>
      </c>
      <c r="H809" s="48">
        <v>429</v>
      </c>
      <c r="I809" s="48">
        <v>429</v>
      </c>
      <c r="J809" s="48">
        <v>178</v>
      </c>
      <c r="K809" s="48">
        <v>178</v>
      </c>
      <c r="L809" s="48">
        <v>132</v>
      </c>
      <c r="M809" s="48">
        <v>18</v>
      </c>
      <c r="N809" s="48">
        <v>18</v>
      </c>
      <c r="O809" s="48">
        <v>18</v>
      </c>
      <c r="P809" s="48"/>
      <c r="Q809" s="48"/>
      <c r="R809" s="150" t="e">
        <f t="shared" ref="R809:AA809" si="813">$G809*H809</f>
        <v>#REF!</v>
      </c>
      <c r="S809" s="150" t="e">
        <f t="shared" si="813"/>
        <v>#REF!</v>
      </c>
      <c r="T809" s="150" t="e">
        <f t="shared" si="813"/>
        <v>#REF!</v>
      </c>
      <c r="U809" s="150" t="e">
        <f t="shared" si="813"/>
        <v>#REF!</v>
      </c>
      <c r="V809" s="150" t="e">
        <f t="shared" si="813"/>
        <v>#REF!</v>
      </c>
      <c r="W809" s="150" t="e">
        <f t="shared" si="813"/>
        <v>#REF!</v>
      </c>
      <c r="X809" s="150" t="e">
        <f t="shared" si="813"/>
        <v>#REF!</v>
      </c>
      <c r="Y809" s="150" t="e">
        <f t="shared" si="813"/>
        <v>#REF!</v>
      </c>
      <c r="Z809" s="150" t="e">
        <f t="shared" si="813"/>
        <v>#REF!</v>
      </c>
      <c r="AA809" s="150" t="e">
        <f t="shared" si="813"/>
        <v>#REF!</v>
      </c>
      <c r="AB809" s="50"/>
    </row>
    <row r="810" s="28" customFormat="1" outlineLevel="3" spans="1:28">
      <c r="A810" s="52">
        <f>MAX($A$6:A809)+1</f>
        <v>746</v>
      </c>
      <c r="B810" s="138" t="s">
        <v>1430</v>
      </c>
      <c r="C810" s="51" t="e">
        <f>VLOOKUP($B810,#REF!,MATCH(C$2,#REF!,0),0)</f>
        <v>#REF!</v>
      </c>
      <c r="D810" s="83"/>
      <c r="E810" s="83"/>
      <c r="F810" s="136" t="e">
        <f>VLOOKUP($B810,#REF!,MATCH(F$2,#REF!,0),0)</f>
        <v>#REF!</v>
      </c>
      <c r="G810" s="137" t="e">
        <f>VLOOKUP($B810,#REF!,MATCH(G$2,#REF!,0),0)</f>
        <v>#REF!</v>
      </c>
      <c r="H810" s="48">
        <v>108</v>
      </c>
      <c r="I810" s="48">
        <v>108</v>
      </c>
      <c r="J810" s="48"/>
      <c r="K810" s="48"/>
      <c r="L810" s="48">
        <v>37</v>
      </c>
      <c r="M810" s="48"/>
      <c r="N810" s="48"/>
      <c r="O810" s="48"/>
      <c r="P810" s="48"/>
      <c r="Q810" s="48"/>
      <c r="R810" s="150" t="e">
        <f t="shared" ref="R810:AA810" si="814">$G810*H810</f>
        <v>#REF!</v>
      </c>
      <c r="S810" s="150" t="e">
        <f t="shared" si="814"/>
        <v>#REF!</v>
      </c>
      <c r="T810" s="150" t="e">
        <f t="shared" si="814"/>
        <v>#REF!</v>
      </c>
      <c r="U810" s="150" t="e">
        <f t="shared" si="814"/>
        <v>#REF!</v>
      </c>
      <c r="V810" s="150" t="e">
        <f t="shared" si="814"/>
        <v>#REF!</v>
      </c>
      <c r="W810" s="150" t="e">
        <f t="shared" si="814"/>
        <v>#REF!</v>
      </c>
      <c r="X810" s="150" t="e">
        <f t="shared" si="814"/>
        <v>#REF!</v>
      </c>
      <c r="Y810" s="150" t="e">
        <f t="shared" si="814"/>
        <v>#REF!</v>
      </c>
      <c r="Z810" s="150" t="e">
        <f t="shared" si="814"/>
        <v>#REF!</v>
      </c>
      <c r="AA810" s="150" t="e">
        <f t="shared" si="814"/>
        <v>#REF!</v>
      </c>
      <c r="AB810" s="50"/>
    </row>
    <row r="811" s="28" customFormat="1" outlineLevel="3" spans="1:28">
      <c r="A811" s="52">
        <f>MAX($A$6:A810)+1</f>
        <v>747</v>
      </c>
      <c r="B811" s="138" t="s">
        <v>1434</v>
      </c>
      <c r="C811" s="51" t="e">
        <f>VLOOKUP($B811,#REF!,MATCH(C$2,#REF!,0),0)</f>
        <v>#REF!</v>
      </c>
      <c r="D811" s="83"/>
      <c r="E811" s="83"/>
      <c r="F811" s="136" t="e">
        <f>VLOOKUP($B811,#REF!,MATCH(F$2,#REF!,0),0)</f>
        <v>#REF!</v>
      </c>
      <c r="G811" s="137" t="e">
        <f>VLOOKUP($B811,#REF!,MATCH(G$2,#REF!,0),0)</f>
        <v>#REF!</v>
      </c>
      <c r="H811" s="48">
        <v>108</v>
      </c>
      <c r="I811" s="48">
        <v>108</v>
      </c>
      <c r="J811" s="48">
        <v>44</v>
      </c>
      <c r="K811" s="48">
        <v>44</v>
      </c>
      <c r="L811" s="48">
        <v>19</v>
      </c>
      <c r="M811" s="48"/>
      <c r="N811" s="48"/>
      <c r="O811" s="48"/>
      <c r="P811" s="48"/>
      <c r="Q811" s="48"/>
      <c r="R811" s="150" t="e">
        <f t="shared" ref="R811:AA811" si="815">$G811*H811</f>
        <v>#REF!</v>
      </c>
      <c r="S811" s="150" t="e">
        <f t="shared" si="815"/>
        <v>#REF!</v>
      </c>
      <c r="T811" s="150" t="e">
        <f t="shared" si="815"/>
        <v>#REF!</v>
      </c>
      <c r="U811" s="150" t="e">
        <f t="shared" si="815"/>
        <v>#REF!</v>
      </c>
      <c r="V811" s="150" t="e">
        <f t="shared" si="815"/>
        <v>#REF!</v>
      </c>
      <c r="W811" s="150" t="e">
        <f t="shared" si="815"/>
        <v>#REF!</v>
      </c>
      <c r="X811" s="150" t="e">
        <f t="shared" si="815"/>
        <v>#REF!</v>
      </c>
      <c r="Y811" s="150" t="e">
        <f t="shared" si="815"/>
        <v>#REF!</v>
      </c>
      <c r="Z811" s="150" t="e">
        <f t="shared" si="815"/>
        <v>#REF!</v>
      </c>
      <c r="AA811" s="150" t="e">
        <f t="shared" si="815"/>
        <v>#REF!</v>
      </c>
      <c r="AB811" s="50"/>
    </row>
    <row r="812" s="28" customFormat="1" ht="28.8" outlineLevel="3" spans="1:28">
      <c r="A812" s="52">
        <f>MAX($A$6:A811)+1</f>
        <v>748</v>
      </c>
      <c r="B812" s="138" t="s">
        <v>2239</v>
      </c>
      <c r="C812" s="51" t="e">
        <f>VLOOKUP($B812,#REF!,MATCH(C$2,#REF!,0),0)</f>
        <v>#REF!</v>
      </c>
      <c r="D812" s="83"/>
      <c r="E812" s="83"/>
      <c r="F812" s="136" t="e">
        <f>VLOOKUP($B812,#REF!,MATCH(F$2,#REF!,0),0)</f>
        <v>#REF!</v>
      </c>
      <c r="G812" s="137" t="e">
        <f>VLOOKUP($B812,#REF!,MATCH(G$2,#REF!,0),0)</f>
        <v>#REF!</v>
      </c>
      <c r="H812" s="48">
        <v>212</v>
      </c>
      <c r="I812" s="48">
        <v>212</v>
      </c>
      <c r="J812" s="48">
        <v>88</v>
      </c>
      <c r="K812" s="48">
        <v>88</v>
      </c>
      <c r="L812" s="48">
        <v>58</v>
      </c>
      <c r="M812" s="48"/>
      <c r="N812" s="48"/>
      <c r="O812" s="48"/>
      <c r="P812" s="48"/>
      <c r="Q812" s="48"/>
      <c r="R812" s="150" t="e">
        <f t="shared" ref="R812:AA812" si="816">$G812*H812</f>
        <v>#REF!</v>
      </c>
      <c r="S812" s="150" t="e">
        <f t="shared" si="816"/>
        <v>#REF!</v>
      </c>
      <c r="T812" s="150" t="e">
        <f t="shared" si="816"/>
        <v>#REF!</v>
      </c>
      <c r="U812" s="150" t="e">
        <f t="shared" si="816"/>
        <v>#REF!</v>
      </c>
      <c r="V812" s="150" t="e">
        <f t="shared" si="816"/>
        <v>#REF!</v>
      </c>
      <c r="W812" s="150" t="e">
        <f t="shared" si="816"/>
        <v>#REF!</v>
      </c>
      <c r="X812" s="150" t="e">
        <f t="shared" si="816"/>
        <v>#REF!</v>
      </c>
      <c r="Y812" s="150" t="e">
        <f t="shared" si="816"/>
        <v>#REF!</v>
      </c>
      <c r="Z812" s="150" t="e">
        <f t="shared" si="816"/>
        <v>#REF!</v>
      </c>
      <c r="AA812" s="150" t="e">
        <f t="shared" si="816"/>
        <v>#REF!</v>
      </c>
      <c r="AB812" s="50"/>
    </row>
    <row r="813" s="28" customFormat="1" outlineLevel="3" spans="1:28">
      <c r="A813" s="52">
        <f>MAX($A$6:A812)+1</f>
        <v>749</v>
      </c>
      <c r="B813" s="138" t="s">
        <v>1462</v>
      </c>
      <c r="C813" s="51" t="e">
        <f>VLOOKUP($B813,#REF!,MATCH(C$2,#REF!,0),0)</f>
        <v>#REF!</v>
      </c>
      <c r="D813" s="83"/>
      <c r="E813" s="83"/>
      <c r="F813" s="136" t="e">
        <f>VLOOKUP($B813,#REF!,MATCH(F$2,#REF!,0),0)</f>
        <v>#REF!</v>
      </c>
      <c r="G813" s="137" t="e">
        <f>VLOOKUP($B813,#REF!,MATCH(G$2,#REF!,0),0)</f>
        <v>#REF!</v>
      </c>
      <c r="H813" s="48"/>
      <c r="I813" s="48"/>
      <c r="J813" s="48"/>
      <c r="K813" s="48"/>
      <c r="L813" s="48">
        <v>22</v>
      </c>
      <c r="M813" s="48"/>
      <c r="N813" s="48"/>
      <c r="O813" s="48"/>
      <c r="P813" s="48"/>
      <c r="Q813" s="48"/>
      <c r="R813" s="150" t="e">
        <f t="shared" ref="R813:AA813" si="817">$G813*H813</f>
        <v>#REF!</v>
      </c>
      <c r="S813" s="150" t="e">
        <f t="shared" si="817"/>
        <v>#REF!</v>
      </c>
      <c r="T813" s="150" t="e">
        <f t="shared" si="817"/>
        <v>#REF!</v>
      </c>
      <c r="U813" s="150" t="e">
        <f t="shared" si="817"/>
        <v>#REF!</v>
      </c>
      <c r="V813" s="150" t="e">
        <f t="shared" si="817"/>
        <v>#REF!</v>
      </c>
      <c r="W813" s="150" t="e">
        <f t="shared" si="817"/>
        <v>#REF!</v>
      </c>
      <c r="X813" s="150" t="e">
        <f t="shared" si="817"/>
        <v>#REF!</v>
      </c>
      <c r="Y813" s="150" t="e">
        <f t="shared" si="817"/>
        <v>#REF!</v>
      </c>
      <c r="Z813" s="150" t="e">
        <f t="shared" si="817"/>
        <v>#REF!</v>
      </c>
      <c r="AA813" s="150" t="e">
        <f t="shared" si="817"/>
        <v>#REF!</v>
      </c>
      <c r="AB813" s="50"/>
    </row>
    <row r="814" s="28" customFormat="1" outlineLevel="3" spans="1:28">
      <c r="A814" s="52">
        <f>MAX($A$6:A813)+1</f>
        <v>750</v>
      </c>
      <c r="B814" s="138" t="s">
        <v>2240</v>
      </c>
      <c r="C814" s="51" t="e">
        <f>VLOOKUP($B814,#REF!,MATCH(C$2,#REF!,0),0)</f>
        <v>#REF!</v>
      </c>
      <c r="D814" s="83"/>
      <c r="E814" s="83"/>
      <c r="F814" s="136" t="e">
        <f>VLOOKUP($B814,#REF!,MATCH(F$2,#REF!,0),0)</f>
        <v>#REF!</v>
      </c>
      <c r="G814" s="137" t="e">
        <f>VLOOKUP($B814,#REF!,MATCH(G$2,#REF!,0),0)</f>
        <v>#REF!</v>
      </c>
      <c r="H814" s="48">
        <v>5504</v>
      </c>
      <c r="I814" s="48">
        <v>6373</v>
      </c>
      <c r="J814" s="48">
        <v>2930</v>
      </c>
      <c r="K814" s="48">
        <v>2930</v>
      </c>
      <c r="L814" s="48">
        <f>1463+51</f>
        <v>1514</v>
      </c>
      <c r="M814" s="48">
        <v>212</v>
      </c>
      <c r="N814" s="48">
        <v>213</v>
      </c>
      <c r="O814" s="48">
        <v>212</v>
      </c>
      <c r="P814" s="48"/>
      <c r="Q814" s="48"/>
      <c r="R814" s="150" t="e">
        <f t="shared" ref="R814:AA814" si="818">$G814*H814</f>
        <v>#REF!</v>
      </c>
      <c r="S814" s="150" t="e">
        <f t="shared" si="818"/>
        <v>#REF!</v>
      </c>
      <c r="T814" s="150" t="e">
        <f t="shared" si="818"/>
        <v>#REF!</v>
      </c>
      <c r="U814" s="150" t="e">
        <f t="shared" si="818"/>
        <v>#REF!</v>
      </c>
      <c r="V814" s="150" t="e">
        <f t="shared" si="818"/>
        <v>#REF!</v>
      </c>
      <c r="W814" s="150" t="e">
        <f t="shared" si="818"/>
        <v>#REF!</v>
      </c>
      <c r="X814" s="150" t="e">
        <f t="shared" si="818"/>
        <v>#REF!</v>
      </c>
      <c r="Y814" s="150" t="e">
        <f t="shared" si="818"/>
        <v>#REF!</v>
      </c>
      <c r="Z814" s="150" t="e">
        <f t="shared" si="818"/>
        <v>#REF!</v>
      </c>
      <c r="AA814" s="150" t="e">
        <f t="shared" si="818"/>
        <v>#REF!</v>
      </c>
      <c r="AB814" s="50"/>
    </row>
    <row r="815" s="28" customFormat="1" outlineLevel="3" spans="1:28">
      <c r="A815" s="52">
        <f>MAX($A$6:A814)+1</f>
        <v>751</v>
      </c>
      <c r="B815" s="138" t="s">
        <v>2241</v>
      </c>
      <c r="C815" s="51" t="e">
        <f>VLOOKUP($B815,#REF!,MATCH(C$2,#REF!,0),0)</f>
        <v>#REF!</v>
      </c>
      <c r="D815" s="83"/>
      <c r="E815" s="83"/>
      <c r="F815" s="136" t="e">
        <f>VLOOKUP($B815,#REF!,MATCH(F$2,#REF!,0),0)</f>
        <v>#REF!</v>
      </c>
      <c r="G815" s="137" t="e">
        <f>VLOOKUP($B815,#REF!,MATCH(G$2,#REF!,0),0)</f>
        <v>#REF!</v>
      </c>
      <c r="H815" s="48">
        <v>1055</v>
      </c>
      <c r="I815" s="48">
        <v>1055</v>
      </c>
      <c r="J815" s="48">
        <v>1190</v>
      </c>
      <c r="K815" s="48">
        <v>1190</v>
      </c>
      <c r="L815" s="48">
        <f>102+995</f>
        <v>1097</v>
      </c>
      <c r="M815" s="48">
        <v>87</v>
      </c>
      <c r="N815" s="48">
        <v>88</v>
      </c>
      <c r="O815" s="48">
        <v>87</v>
      </c>
      <c r="P815" s="48"/>
      <c r="Q815" s="48"/>
      <c r="R815" s="150" t="e">
        <f t="shared" ref="R815:AA815" si="819">$G815*H815</f>
        <v>#REF!</v>
      </c>
      <c r="S815" s="150" t="e">
        <f t="shared" si="819"/>
        <v>#REF!</v>
      </c>
      <c r="T815" s="150" t="e">
        <f t="shared" si="819"/>
        <v>#REF!</v>
      </c>
      <c r="U815" s="150" t="e">
        <f t="shared" si="819"/>
        <v>#REF!</v>
      </c>
      <c r="V815" s="150" t="e">
        <f t="shared" si="819"/>
        <v>#REF!</v>
      </c>
      <c r="W815" s="150" t="e">
        <f t="shared" si="819"/>
        <v>#REF!</v>
      </c>
      <c r="X815" s="150" t="e">
        <f t="shared" si="819"/>
        <v>#REF!</v>
      </c>
      <c r="Y815" s="150" t="e">
        <f t="shared" si="819"/>
        <v>#REF!</v>
      </c>
      <c r="Z815" s="150" t="e">
        <f t="shared" si="819"/>
        <v>#REF!</v>
      </c>
      <c r="AA815" s="150" t="e">
        <f t="shared" si="819"/>
        <v>#REF!</v>
      </c>
      <c r="AB815" s="50"/>
    </row>
    <row r="816" s="29" customFormat="1" outlineLevel="2" spans="1:28">
      <c r="A816" s="40"/>
      <c r="B816" s="41" t="s">
        <v>2283</v>
      </c>
      <c r="C816" s="41"/>
      <c r="D816" s="140"/>
      <c r="E816" s="140"/>
      <c r="F816" s="141"/>
      <c r="G816" s="142"/>
      <c r="H816" s="43"/>
      <c r="I816" s="43"/>
      <c r="J816" s="43"/>
      <c r="K816" s="43"/>
      <c r="L816" s="43"/>
      <c r="M816" s="43"/>
      <c r="N816" s="43"/>
      <c r="O816" s="43"/>
      <c r="P816" s="43"/>
      <c r="Q816" s="43"/>
      <c r="R816" s="149" t="e">
        <f t="shared" ref="R816:AA816" si="820">SUM(R817:R824)</f>
        <v>#REF!</v>
      </c>
      <c r="S816" s="149" t="e">
        <f t="shared" si="820"/>
        <v>#REF!</v>
      </c>
      <c r="T816" s="149" t="e">
        <f t="shared" si="820"/>
        <v>#REF!</v>
      </c>
      <c r="U816" s="149" t="e">
        <f t="shared" si="820"/>
        <v>#REF!</v>
      </c>
      <c r="V816" s="149" t="e">
        <f t="shared" si="820"/>
        <v>#REF!</v>
      </c>
      <c r="W816" s="149" t="e">
        <f t="shared" si="820"/>
        <v>#REF!</v>
      </c>
      <c r="X816" s="149" t="e">
        <f t="shared" si="820"/>
        <v>#REF!</v>
      </c>
      <c r="Y816" s="149" t="e">
        <f t="shared" si="820"/>
        <v>#REF!</v>
      </c>
      <c r="Z816" s="149" t="e">
        <f t="shared" si="820"/>
        <v>#REF!</v>
      </c>
      <c r="AA816" s="149" t="e">
        <f t="shared" si="820"/>
        <v>#REF!</v>
      </c>
      <c r="AB816" s="40"/>
    </row>
    <row r="817" s="28" customFormat="1" outlineLevel="3" spans="1:28">
      <c r="A817" s="52">
        <f>MAX($A$6:A816)+1</f>
        <v>752</v>
      </c>
      <c r="B817" s="138" t="s">
        <v>2243</v>
      </c>
      <c r="C817" s="51" t="e">
        <f>VLOOKUP($B817,#REF!,MATCH(C$2,#REF!,0),0)</f>
        <v>#REF!</v>
      </c>
      <c r="D817" s="83"/>
      <c r="E817" s="83"/>
      <c r="F817" s="136" t="e">
        <f>VLOOKUP($B817,#REF!,MATCH(F$2,#REF!,0),0)</f>
        <v>#REF!</v>
      </c>
      <c r="G817" s="137" t="e">
        <f>VLOOKUP($B817,#REF!,MATCH(G$2,#REF!,0),0)</f>
        <v>#REF!</v>
      </c>
      <c r="H817" s="48">
        <v>865.94</v>
      </c>
      <c r="I817" s="48">
        <v>865.94</v>
      </c>
      <c r="J817" s="48">
        <v>578.98</v>
      </c>
      <c r="K817" s="48">
        <v>578.98</v>
      </c>
      <c r="L817" s="48">
        <v>350</v>
      </c>
      <c r="M817" s="48">
        <v>243.13</v>
      </c>
      <c r="N817" s="48">
        <v>243.13</v>
      </c>
      <c r="O817" s="48">
        <v>243.13</v>
      </c>
      <c r="P817" s="48"/>
      <c r="Q817" s="48"/>
      <c r="R817" s="150" t="e">
        <f t="shared" ref="R817:AA817" si="821">$G817*H817</f>
        <v>#REF!</v>
      </c>
      <c r="S817" s="150" t="e">
        <f t="shared" si="821"/>
        <v>#REF!</v>
      </c>
      <c r="T817" s="150" t="e">
        <f t="shared" si="821"/>
        <v>#REF!</v>
      </c>
      <c r="U817" s="150" t="e">
        <f t="shared" si="821"/>
        <v>#REF!</v>
      </c>
      <c r="V817" s="150" t="e">
        <f t="shared" si="821"/>
        <v>#REF!</v>
      </c>
      <c r="W817" s="150" t="e">
        <f t="shared" si="821"/>
        <v>#REF!</v>
      </c>
      <c r="X817" s="150" t="e">
        <f t="shared" si="821"/>
        <v>#REF!</v>
      </c>
      <c r="Y817" s="150" t="e">
        <f t="shared" si="821"/>
        <v>#REF!</v>
      </c>
      <c r="Z817" s="150" t="e">
        <f t="shared" si="821"/>
        <v>#REF!</v>
      </c>
      <c r="AA817" s="150" t="e">
        <f t="shared" si="821"/>
        <v>#REF!</v>
      </c>
      <c r="AB817" s="50"/>
    </row>
    <row r="818" s="28" customFormat="1" outlineLevel="3" spans="1:28">
      <c r="A818" s="52">
        <f>MAX($A$6:A817)+1</f>
        <v>753</v>
      </c>
      <c r="B818" s="138" t="s">
        <v>2284</v>
      </c>
      <c r="C818" s="51" t="e">
        <f>VLOOKUP($B818,#REF!,MATCH(C$2,#REF!,0),0)</f>
        <v>#REF!</v>
      </c>
      <c r="D818" s="83"/>
      <c r="E818" s="83"/>
      <c r="F818" s="136" t="e">
        <f>VLOOKUP($B818,#REF!,MATCH(F$2,#REF!,0),0)</f>
        <v>#REF!</v>
      </c>
      <c r="G818" s="137" t="e">
        <f>VLOOKUP($B818,#REF!,MATCH(G$2,#REF!,0),0)</f>
        <v>#REF!</v>
      </c>
      <c r="H818" s="48">
        <v>10</v>
      </c>
      <c r="I818" s="48">
        <v>10</v>
      </c>
      <c r="J818" s="48">
        <v>10</v>
      </c>
      <c r="K818" s="48">
        <v>10</v>
      </c>
      <c r="L818" s="48"/>
      <c r="M818" s="48"/>
      <c r="N818" s="48"/>
      <c r="O818" s="48"/>
      <c r="P818" s="48"/>
      <c r="Q818" s="48"/>
      <c r="R818" s="150" t="e">
        <f t="shared" ref="R818:AA818" si="822">$G818*H818</f>
        <v>#REF!</v>
      </c>
      <c r="S818" s="150" t="e">
        <f t="shared" si="822"/>
        <v>#REF!</v>
      </c>
      <c r="T818" s="150" t="e">
        <f t="shared" si="822"/>
        <v>#REF!</v>
      </c>
      <c r="U818" s="150" t="e">
        <f t="shared" si="822"/>
        <v>#REF!</v>
      </c>
      <c r="V818" s="150" t="e">
        <f t="shared" si="822"/>
        <v>#REF!</v>
      </c>
      <c r="W818" s="150" t="e">
        <f t="shared" si="822"/>
        <v>#REF!</v>
      </c>
      <c r="X818" s="150" t="e">
        <f t="shared" si="822"/>
        <v>#REF!</v>
      </c>
      <c r="Y818" s="150" t="e">
        <f t="shared" si="822"/>
        <v>#REF!</v>
      </c>
      <c r="Z818" s="150" t="e">
        <f t="shared" si="822"/>
        <v>#REF!</v>
      </c>
      <c r="AA818" s="150" t="e">
        <f t="shared" si="822"/>
        <v>#REF!</v>
      </c>
      <c r="AB818" s="50"/>
    </row>
    <row r="819" s="28" customFormat="1" outlineLevel="3" spans="1:28">
      <c r="A819" s="52">
        <f>MAX($A$6:A818)+1</f>
        <v>754</v>
      </c>
      <c r="B819" s="138" t="s">
        <v>1486</v>
      </c>
      <c r="C819" s="51" t="e">
        <f>VLOOKUP($B819,#REF!,MATCH(C$2,#REF!,0),0)</f>
        <v>#REF!</v>
      </c>
      <c r="D819" s="83"/>
      <c r="E819" s="83"/>
      <c r="F819" s="136" t="e">
        <f>VLOOKUP($B819,#REF!,MATCH(F$2,#REF!,0),0)</f>
        <v>#REF!</v>
      </c>
      <c r="G819" s="137" t="e">
        <f>VLOOKUP($B819,#REF!,MATCH(G$2,#REF!,0),0)</f>
        <v>#REF!</v>
      </c>
      <c r="H819" s="48">
        <v>1321.86</v>
      </c>
      <c r="I819" s="48">
        <v>1321.86</v>
      </c>
      <c r="J819" s="48">
        <v>530.54</v>
      </c>
      <c r="K819" s="48">
        <v>530.54</v>
      </c>
      <c r="L819" s="48">
        <v>407.56</v>
      </c>
      <c r="M819" s="48"/>
      <c r="N819" s="48"/>
      <c r="O819" s="48"/>
      <c r="P819" s="48"/>
      <c r="Q819" s="48"/>
      <c r="R819" s="150" t="e">
        <f t="shared" ref="R819:AA819" si="823">$G819*H819</f>
        <v>#REF!</v>
      </c>
      <c r="S819" s="150" t="e">
        <f t="shared" si="823"/>
        <v>#REF!</v>
      </c>
      <c r="T819" s="150" t="e">
        <f t="shared" si="823"/>
        <v>#REF!</v>
      </c>
      <c r="U819" s="150" t="e">
        <f t="shared" si="823"/>
        <v>#REF!</v>
      </c>
      <c r="V819" s="150" t="e">
        <f t="shared" si="823"/>
        <v>#REF!</v>
      </c>
      <c r="W819" s="150" t="e">
        <f t="shared" si="823"/>
        <v>#REF!</v>
      </c>
      <c r="X819" s="150" t="e">
        <f t="shared" si="823"/>
        <v>#REF!</v>
      </c>
      <c r="Y819" s="150" t="e">
        <f t="shared" si="823"/>
        <v>#REF!</v>
      </c>
      <c r="Z819" s="150" t="e">
        <f t="shared" si="823"/>
        <v>#REF!</v>
      </c>
      <c r="AA819" s="150" t="e">
        <f t="shared" si="823"/>
        <v>#REF!</v>
      </c>
      <c r="AB819" s="50"/>
    </row>
    <row r="820" s="28" customFormat="1" outlineLevel="3" spans="1:28">
      <c r="A820" s="52">
        <f>MAX($A$6:A819)+1</f>
        <v>755</v>
      </c>
      <c r="B820" s="138" t="s">
        <v>2285</v>
      </c>
      <c r="C820" s="51" t="e">
        <f>VLOOKUP($B820,#REF!,MATCH(C$2,#REF!,0),0)</f>
        <v>#REF!</v>
      </c>
      <c r="D820" s="83"/>
      <c r="E820" s="83"/>
      <c r="F820" s="136" t="e">
        <f>VLOOKUP($B820,#REF!,MATCH(F$2,#REF!,0),0)</f>
        <v>#REF!</v>
      </c>
      <c r="G820" s="137" t="e">
        <f>VLOOKUP($B820,#REF!,MATCH(G$2,#REF!,0),0)</f>
        <v>#REF!</v>
      </c>
      <c r="H820" s="48">
        <v>54</v>
      </c>
      <c r="I820" s="48">
        <v>54</v>
      </c>
      <c r="J820" s="48">
        <v>62</v>
      </c>
      <c r="K820" s="48">
        <v>62</v>
      </c>
      <c r="L820" s="48"/>
      <c r="M820" s="48"/>
      <c r="N820" s="48"/>
      <c r="O820" s="48"/>
      <c r="P820" s="48"/>
      <c r="Q820" s="48"/>
      <c r="R820" s="150" t="e">
        <f t="shared" ref="R820:AA820" si="824">$G820*H820</f>
        <v>#REF!</v>
      </c>
      <c r="S820" s="150" t="e">
        <f t="shared" si="824"/>
        <v>#REF!</v>
      </c>
      <c r="T820" s="150" t="e">
        <f t="shared" si="824"/>
        <v>#REF!</v>
      </c>
      <c r="U820" s="150" t="e">
        <f t="shared" si="824"/>
        <v>#REF!</v>
      </c>
      <c r="V820" s="150" t="e">
        <f t="shared" si="824"/>
        <v>#REF!</v>
      </c>
      <c r="W820" s="150" t="e">
        <f t="shared" si="824"/>
        <v>#REF!</v>
      </c>
      <c r="X820" s="150" t="e">
        <f t="shared" si="824"/>
        <v>#REF!</v>
      </c>
      <c r="Y820" s="150" t="e">
        <f t="shared" si="824"/>
        <v>#REF!</v>
      </c>
      <c r="Z820" s="150" t="e">
        <f t="shared" si="824"/>
        <v>#REF!</v>
      </c>
      <c r="AA820" s="150" t="e">
        <f t="shared" si="824"/>
        <v>#REF!</v>
      </c>
      <c r="AB820" s="50"/>
    </row>
    <row r="821" s="28" customFormat="1" outlineLevel="3" spans="1:28">
      <c r="A821" s="52">
        <f>MAX($A$6:A820)+1</f>
        <v>756</v>
      </c>
      <c r="B821" s="138" t="s">
        <v>2250</v>
      </c>
      <c r="C821" s="51" t="e">
        <f>VLOOKUP($B821,#REF!,MATCH(C$2,#REF!,0),0)</f>
        <v>#REF!</v>
      </c>
      <c r="D821" s="83"/>
      <c r="E821" s="83"/>
      <c r="F821" s="136" t="e">
        <f>VLOOKUP($B821,#REF!,MATCH(F$2,#REF!,0),0)</f>
        <v>#REF!</v>
      </c>
      <c r="G821" s="137" t="e">
        <f>VLOOKUP($B821,#REF!,MATCH(G$2,#REF!,0),0)</f>
        <v>#REF!</v>
      </c>
      <c r="H821" s="48">
        <v>172.63</v>
      </c>
      <c r="I821" s="48">
        <v>172.63</v>
      </c>
      <c r="J821" s="48">
        <v>66.75</v>
      </c>
      <c r="K821" s="48">
        <v>66.75</v>
      </c>
      <c r="L821" s="48">
        <v>45.113</v>
      </c>
      <c r="M821" s="48">
        <v>175.96</v>
      </c>
      <c r="N821" s="48">
        <v>175.96</v>
      </c>
      <c r="O821" s="48">
        <v>175.96</v>
      </c>
      <c r="P821" s="48"/>
      <c r="Q821" s="48"/>
      <c r="R821" s="150" t="e">
        <f t="shared" ref="R821:AA821" si="825">$G821*H821</f>
        <v>#REF!</v>
      </c>
      <c r="S821" s="150" t="e">
        <f t="shared" si="825"/>
        <v>#REF!</v>
      </c>
      <c r="T821" s="150" t="e">
        <f t="shared" si="825"/>
        <v>#REF!</v>
      </c>
      <c r="U821" s="150" t="e">
        <f t="shared" si="825"/>
        <v>#REF!</v>
      </c>
      <c r="V821" s="150" t="e">
        <f t="shared" si="825"/>
        <v>#REF!</v>
      </c>
      <c r="W821" s="150" t="e">
        <f t="shared" si="825"/>
        <v>#REF!</v>
      </c>
      <c r="X821" s="150" t="e">
        <f t="shared" si="825"/>
        <v>#REF!</v>
      </c>
      <c r="Y821" s="150" t="e">
        <f t="shared" si="825"/>
        <v>#REF!</v>
      </c>
      <c r="Z821" s="150" t="e">
        <f t="shared" si="825"/>
        <v>#REF!</v>
      </c>
      <c r="AA821" s="150" t="e">
        <f t="shared" si="825"/>
        <v>#REF!</v>
      </c>
      <c r="AB821" s="50"/>
    </row>
    <row r="822" s="28" customFormat="1" outlineLevel="3" spans="1:28">
      <c r="A822" s="52">
        <f>MAX($A$6:A821)+1</f>
        <v>757</v>
      </c>
      <c r="B822" s="138" t="s">
        <v>1487</v>
      </c>
      <c r="C822" s="51" t="e">
        <f>VLOOKUP($B822,#REF!,MATCH(C$2,#REF!,0),0)</f>
        <v>#REF!</v>
      </c>
      <c r="D822" s="83"/>
      <c r="E822" s="83"/>
      <c r="F822" s="136" t="e">
        <f>VLOOKUP($B822,#REF!,MATCH(F$2,#REF!,0),0)</f>
        <v>#REF!</v>
      </c>
      <c r="G822" s="137" t="e">
        <f>VLOOKUP($B822,#REF!,MATCH(G$2,#REF!,0),0)</f>
        <v>#REF!</v>
      </c>
      <c r="H822" s="48">
        <v>54</v>
      </c>
      <c r="I822" s="48">
        <v>54</v>
      </c>
      <c r="J822" s="48">
        <v>22</v>
      </c>
      <c r="K822" s="48">
        <v>22</v>
      </c>
      <c r="L822" s="48">
        <v>4</v>
      </c>
      <c r="M822" s="48">
        <v>1</v>
      </c>
      <c r="N822" s="48">
        <v>1</v>
      </c>
      <c r="O822" s="48">
        <v>1</v>
      </c>
      <c r="P822" s="48"/>
      <c r="Q822" s="48"/>
      <c r="R822" s="150" t="e">
        <f t="shared" ref="R822:AA822" si="826">$G822*H822</f>
        <v>#REF!</v>
      </c>
      <c r="S822" s="150" t="e">
        <f t="shared" si="826"/>
        <v>#REF!</v>
      </c>
      <c r="T822" s="150" t="e">
        <f t="shared" si="826"/>
        <v>#REF!</v>
      </c>
      <c r="U822" s="150" t="e">
        <f t="shared" si="826"/>
        <v>#REF!</v>
      </c>
      <c r="V822" s="150" t="e">
        <f t="shared" si="826"/>
        <v>#REF!</v>
      </c>
      <c r="W822" s="150" t="e">
        <f t="shared" si="826"/>
        <v>#REF!</v>
      </c>
      <c r="X822" s="150" t="e">
        <f t="shared" si="826"/>
        <v>#REF!</v>
      </c>
      <c r="Y822" s="150" t="e">
        <f t="shared" si="826"/>
        <v>#REF!</v>
      </c>
      <c r="Z822" s="150" t="e">
        <f t="shared" si="826"/>
        <v>#REF!</v>
      </c>
      <c r="AA822" s="150" t="e">
        <f t="shared" si="826"/>
        <v>#REF!</v>
      </c>
      <c r="AB822" s="50"/>
    </row>
    <row r="823" s="28" customFormat="1" outlineLevel="3" spans="1:28">
      <c r="A823" s="52">
        <f>MAX($A$6:A822)+1</f>
        <v>758</v>
      </c>
      <c r="B823" s="138" t="s">
        <v>1480</v>
      </c>
      <c r="C823" s="51" t="e">
        <f>VLOOKUP($B823,#REF!,MATCH(C$2,#REF!,0),0)</f>
        <v>#REF!</v>
      </c>
      <c r="D823" s="83"/>
      <c r="E823" s="83"/>
      <c r="F823" s="136" t="e">
        <f>VLOOKUP($B823,#REF!,MATCH(F$2,#REF!,0),0)</f>
        <v>#REF!</v>
      </c>
      <c r="G823" s="137" t="e">
        <f>VLOOKUP($B823,#REF!,MATCH(G$2,#REF!,0),0)</f>
        <v>#REF!</v>
      </c>
      <c r="H823" s="48">
        <v>218</v>
      </c>
      <c r="I823" s="48">
        <v>218</v>
      </c>
      <c r="J823" s="48">
        <v>89</v>
      </c>
      <c r="K823" s="48">
        <v>89</v>
      </c>
      <c r="L823" s="48">
        <v>58</v>
      </c>
      <c r="M823" s="48">
        <v>2</v>
      </c>
      <c r="N823" s="48">
        <v>2</v>
      </c>
      <c r="O823" s="48">
        <v>2</v>
      </c>
      <c r="P823" s="48"/>
      <c r="Q823" s="48"/>
      <c r="R823" s="150" t="e">
        <f t="shared" ref="R823:AA823" si="827">$G823*H823</f>
        <v>#REF!</v>
      </c>
      <c r="S823" s="150" t="e">
        <f t="shared" si="827"/>
        <v>#REF!</v>
      </c>
      <c r="T823" s="150" t="e">
        <f t="shared" si="827"/>
        <v>#REF!</v>
      </c>
      <c r="U823" s="150" t="e">
        <f t="shared" si="827"/>
        <v>#REF!</v>
      </c>
      <c r="V823" s="150" t="e">
        <f t="shared" si="827"/>
        <v>#REF!</v>
      </c>
      <c r="W823" s="150" t="e">
        <f t="shared" si="827"/>
        <v>#REF!</v>
      </c>
      <c r="X823" s="150" t="e">
        <f t="shared" si="827"/>
        <v>#REF!</v>
      </c>
      <c r="Y823" s="150" t="e">
        <f t="shared" si="827"/>
        <v>#REF!</v>
      </c>
      <c r="Z823" s="150" t="e">
        <f t="shared" si="827"/>
        <v>#REF!</v>
      </c>
      <c r="AA823" s="150" t="e">
        <f t="shared" si="827"/>
        <v>#REF!</v>
      </c>
      <c r="AB823" s="50"/>
    </row>
    <row r="824" s="28" customFormat="1" ht="73" customHeight="1" outlineLevel="3" spans="1:28">
      <c r="A824" s="52">
        <f>MAX($A$6:A823)+1</f>
        <v>759</v>
      </c>
      <c r="B824" s="138" t="s">
        <v>2286</v>
      </c>
      <c r="C824" s="51" t="e">
        <f>VLOOKUP($B824,#REF!,MATCH(C$2,#REF!,0),0)</f>
        <v>#REF!</v>
      </c>
      <c r="D824" s="83"/>
      <c r="E824" s="83"/>
      <c r="F824" s="136" t="e">
        <f>VLOOKUP($B824,#REF!,MATCH(F$2,#REF!,0),0)</f>
        <v>#REF!</v>
      </c>
      <c r="G824" s="137" t="e">
        <f>VLOOKUP($B824,#REF!,MATCH(G$2,#REF!,0),0)</f>
        <v>#REF!</v>
      </c>
      <c r="H824" s="48">
        <v>509.2</v>
      </c>
      <c r="I824" s="48">
        <v>509.2</v>
      </c>
      <c r="J824" s="48">
        <v>450</v>
      </c>
      <c r="K824" s="48">
        <v>450</v>
      </c>
      <c r="L824" s="48">
        <v>375.1</v>
      </c>
      <c r="M824" s="48">
        <v>278.67</v>
      </c>
      <c r="N824" s="48">
        <v>278.67</v>
      </c>
      <c r="O824" s="48">
        <v>278.67</v>
      </c>
      <c r="P824" s="48"/>
      <c r="Q824" s="48"/>
      <c r="R824" s="150" t="e">
        <f t="shared" ref="R824:AA824" si="828">$G824*H824</f>
        <v>#REF!</v>
      </c>
      <c r="S824" s="150" t="e">
        <f t="shared" si="828"/>
        <v>#REF!</v>
      </c>
      <c r="T824" s="150" t="e">
        <f t="shared" si="828"/>
        <v>#REF!</v>
      </c>
      <c r="U824" s="150" t="e">
        <f t="shared" si="828"/>
        <v>#REF!</v>
      </c>
      <c r="V824" s="150" t="e">
        <f t="shared" si="828"/>
        <v>#REF!</v>
      </c>
      <c r="W824" s="150" t="e">
        <f t="shared" si="828"/>
        <v>#REF!</v>
      </c>
      <c r="X824" s="150" t="e">
        <f t="shared" si="828"/>
        <v>#REF!</v>
      </c>
      <c r="Y824" s="150" t="e">
        <f t="shared" si="828"/>
        <v>#REF!</v>
      </c>
      <c r="Z824" s="150" t="e">
        <f t="shared" si="828"/>
        <v>#REF!</v>
      </c>
      <c r="AA824" s="150" t="e">
        <f t="shared" si="828"/>
        <v>#REF!</v>
      </c>
      <c r="AB824" s="50"/>
    </row>
    <row r="825" s="122" customFormat="1" outlineLevel="1" spans="1:28">
      <c r="A825" s="130"/>
      <c r="B825" s="131" t="s">
        <v>2287</v>
      </c>
      <c r="C825" s="131"/>
      <c r="D825" s="153"/>
      <c r="E825" s="153"/>
      <c r="F825" s="154"/>
      <c r="G825" s="155"/>
      <c r="H825" s="134"/>
      <c r="I825" s="134"/>
      <c r="J825" s="134"/>
      <c r="K825" s="134"/>
      <c r="L825" s="134"/>
      <c r="M825" s="134"/>
      <c r="N825" s="134"/>
      <c r="O825" s="134"/>
      <c r="P825" s="134"/>
      <c r="Q825" s="134"/>
      <c r="R825" s="148" t="e">
        <f t="shared" ref="R825:AA825" si="829">SUM(R826:R842)</f>
        <v>#REF!</v>
      </c>
      <c r="S825" s="148" t="e">
        <f t="shared" si="829"/>
        <v>#REF!</v>
      </c>
      <c r="T825" s="148" t="e">
        <f t="shared" si="829"/>
        <v>#REF!</v>
      </c>
      <c r="U825" s="148" t="e">
        <f t="shared" si="829"/>
        <v>#REF!</v>
      </c>
      <c r="V825" s="148" t="e">
        <f t="shared" si="829"/>
        <v>#REF!</v>
      </c>
      <c r="W825" s="148" t="e">
        <f t="shared" si="829"/>
        <v>#REF!</v>
      </c>
      <c r="X825" s="148" t="e">
        <f t="shared" si="829"/>
        <v>#REF!</v>
      </c>
      <c r="Y825" s="148" t="e">
        <f t="shared" si="829"/>
        <v>#REF!</v>
      </c>
      <c r="Z825" s="148" t="e">
        <f t="shared" si="829"/>
        <v>#REF!</v>
      </c>
      <c r="AA825" s="148" t="e">
        <f t="shared" si="829"/>
        <v>#REF!</v>
      </c>
      <c r="AB825" s="130"/>
    </row>
    <row r="826" s="28" customFormat="1" outlineLevel="3" spans="1:28">
      <c r="A826" s="52">
        <f>MAX($A$6:A825)+1</f>
        <v>760</v>
      </c>
      <c r="B826" s="138" t="s">
        <v>2288</v>
      </c>
      <c r="C826" s="51" t="e">
        <f>VLOOKUP($B826,#REF!,MATCH(C$2,#REF!,0),0)</f>
        <v>#REF!</v>
      </c>
      <c r="D826" s="83"/>
      <c r="E826" s="83"/>
      <c r="F826" s="136" t="e">
        <f>VLOOKUP($B826,#REF!,MATCH(F$2,#REF!,0),0)</f>
        <v>#REF!</v>
      </c>
      <c r="G826" s="137" t="e">
        <f>VLOOKUP($B826,#REF!,MATCH(G$2,#REF!,0),0)</f>
        <v>#REF!</v>
      </c>
      <c r="H826" s="48">
        <v>108</v>
      </c>
      <c r="I826" s="48">
        <v>108</v>
      </c>
      <c r="J826" s="48">
        <v>44</v>
      </c>
      <c r="K826" s="48">
        <v>44</v>
      </c>
      <c r="L826" s="48">
        <v>19</v>
      </c>
      <c r="M826" s="48"/>
      <c r="N826" s="48"/>
      <c r="O826" s="48"/>
      <c r="P826" s="48"/>
      <c r="Q826" s="48"/>
      <c r="R826" s="150" t="e">
        <f t="shared" ref="R826:AA826" si="830">$G826*H826</f>
        <v>#REF!</v>
      </c>
      <c r="S826" s="150" t="e">
        <f t="shared" si="830"/>
        <v>#REF!</v>
      </c>
      <c r="T826" s="150" t="e">
        <f t="shared" si="830"/>
        <v>#REF!</v>
      </c>
      <c r="U826" s="150" t="e">
        <f t="shared" si="830"/>
        <v>#REF!</v>
      </c>
      <c r="V826" s="150" t="e">
        <f t="shared" si="830"/>
        <v>#REF!</v>
      </c>
      <c r="W826" s="150" t="e">
        <f t="shared" si="830"/>
        <v>#REF!</v>
      </c>
      <c r="X826" s="150" t="e">
        <f t="shared" si="830"/>
        <v>#REF!</v>
      </c>
      <c r="Y826" s="150" t="e">
        <f t="shared" si="830"/>
        <v>#REF!</v>
      </c>
      <c r="Z826" s="150" t="e">
        <f t="shared" si="830"/>
        <v>#REF!</v>
      </c>
      <c r="AA826" s="150" t="e">
        <f t="shared" si="830"/>
        <v>#REF!</v>
      </c>
      <c r="AB826" s="50"/>
    </row>
    <row r="827" s="28" customFormat="1" outlineLevel="3" spans="1:28">
      <c r="A827" s="52">
        <f>MAX($A$6:A826)+1</f>
        <v>761</v>
      </c>
      <c r="B827" s="138" t="s">
        <v>1244</v>
      </c>
      <c r="C827" s="51" t="e">
        <f>VLOOKUP($B827,#REF!,MATCH(C$2,#REF!,0),0)</f>
        <v>#REF!</v>
      </c>
      <c r="D827" s="83"/>
      <c r="E827" s="83"/>
      <c r="F827" s="136" t="e">
        <f>VLOOKUP($B827,#REF!,MATCH(F$2,#REF!,0),0)</f>
        <v>#REF!</v>
      </c>
      <c r="G827" s="137" t="e">
        <f>VLOOKUP($B827,#REF!,MATCH(G$2,#REF!,0),0)</f>
        <v>#REF!</v>
      </c>
      <c r="H827" s="48"/>
      <c r="I827" s="48"/>
      <c r="J827" s="48">
        <v>58</v>
      </c>
      <c r="K827" s="48">
        <v>58</v>
      </c>
      <c r="L827" s="48">
        <v>26.4</v>
      </c>
      <c r="M827" s="48">
        <v>1</v>
      </c>
      <c r="N827" s="48">
        <v>1</v>
      </c>
      <c r="O827" s="48">
        <v>1</v>
      </c>
      <c r="P827" s="48"/>
      <c r="Q827" s="48"/>
      <c r="R827" s="150" t="e">
        <f t="shared" ref="R827:AA827" si="831">$G827*H827</f>
        <v>#REF!</v>
      </c>
      <c r="S827" s="150" t="e">
        <f t="shared" si="831"/>
        <v>#REF!</v>
      </c>
      <c r="T827" s="150" t="e">
        <f t="shared" si="831"/>
        <v>#REF!</v>
      </c>
      <c r="U827" s="150" t="e">
        <f t="shared" si="831"/>
        <v>#REF!</v>
      </c>
      <c r="V827" s="150" t="e">
        <f t="shared" si="831"/>
        <v>#REF!</v>
      </c>
      <c r="W827" s="150" t="e">
        <f t="shared" si="831"/>
        <v>#REF!</v>
      </c>
      <c r="X827" s="150" t="e">
        <f t="shared" si="831"/>
        <v>#REF!</v>
      </c>
      <c r="Y827" s="150" t="e">
        <f t="shared" si="831"/>
        <v>#REF!</v>
      </c>
      <c r="Z827" s="150" t="e">
        <f t="shared" si="831"/>
        <v>#REF!</v>
      </c>
      <c r="AA827" s="150" t="e">
        <f t="shared" si="831"/>
        <v>#REF!</v>
      </c>
      <c r="AB827" s="50"/>
    </row>
    <row r="828" s="28" customFormat="1" outlineLevel="3" spans="1:28">
      <c r="A828" s="52">
        <f>MAX($A$6:A827)+1</f>
        <v>762</v>
      </c>
      <c r="B828" s="138" t="s">
        <v>1245</v>
      </c>
      <c r="C828" s="51" t="e">
        <f>VLOOKUP($B828,#REF!,MATCH(C$2,#REF!,0),0)</f>
        <v>#REF!</v>
      </c>
      <c r="D828" s="83"/>
      <c r="E828" s="83"/>
      <c r="F828" s="136" t="e">
        <f>VLOOKUP($B828,#REF!,MATCH(F$2,#REF!,0),0)</f>
        <v>#REF!</v>
      </c>
      <c r="G828" s="137" t="e">
        <f>VLOOKUP($B828,#REF!,MATCH(G$2,#REF!,0),0)</f>
        <v>#REF!</v>
      </c>
      <c r="H828" s="48">
        <v>147.9</v>
      </c>
      <c r="I828" s="48">
        <v>147.9</v>
      </c>
      <c r="J828" s="48">
        <v>1</v>
      </c>
      <c r="K828" s="48">
        <v>1</v>
      </c>
      <c r="L828" s="48"/>
      <c r="M828" s="48">
        <v>1</v>
      </c>
      <c r="N828" s="48">
        <v>1</v>
      </c>
      <c r="O828" s="48">
        <v>1</v>
      </c>
      <c r="P828" s="48"/>
      <c r="Q828" s="48"/>
      <c r="R828" s="150" t="e">
        <f t="shared" ref="R828:AA828" si="832">$G828*H828</f>
        <v>#REF!</v>
      </c>
      <c r="S828" s="150" t="e">
        <f t="shared" si="832"/>
        <v>#REF!</v>
      </c>
      <c r="T828" s="150" t="e">
        <f t="shared" si="832"/>
        <v>#REF!</v>
      </c>
      <c r="U828" s="150" t="e">
        <f t="shared" si="832"/>
        <v>#REF!</v>
      </c>
      <c r="V828" s="150" t="e">
        <f t="shared" si="832"/>
        <v>#REF!</v>
      </c>
      <c r="W828" s="150" t="e">
        <f t="shared" si="832"/>
        <v>#REF!</v>
      </c>
      <c r="X828" s="150" t="e">
        <f t="shared" si="832"/>
        <v>#REF!</v>
      </c>
      <c r="Y828" s="150" t="e">
        <f t="shared" si="832"/>
        <v>#REF!</v>
      </c>
      <c r="Z828" s="150" t="e">
        <f t="shared" si="832"/>
        <v>#REF!</v>
      </c>
      <c r="AA828" s="150" t="e">
        <f t="shared" si="832"/>
        <v>#REF!</v>
      </c>
      <c r="AB828" s="50"/>
    </row>
    <row r="829" s="28" customFormat="1" outlineLevel="3" spans="1:28">
      <c r="A829" s="52">
        <f>MAX($A$6:A828)+1</f>
        <v>763</v>
      </c>
      <c r="B829" s="138" t="s">
        <v>1263</v>
      </c>
      <c r="C829" s="51" t="e">
        <f>VLOOKUP($B829,#REF!,MATCH(C$2,#REF!,0),0)</f>
        <v>#REF!</v>
      </c>
      <c r="D829" s="83"/>
      <c r="E829" s="83"/>
      <c r="F829" s="136" t="e">
        <f>VLOOKUP($B829,#REF!,MATCH(F$2,#REF!,0),0)</f>
        <v>#REF!</v>
      </c>
      <c r="G829" s="137" t="e">
        <f>VLOOKUP($B829,#REF!,MATCH(G$2,#REF!,0),0)</f>
        <v>#REF!</v>
      </c>
      <c r="H829" s="48">
        <v>54</v>
      </c>
      <c r="I829" s="48">
        <v>54</v>
      </c>
      <c r="J829" s="48">
        <v>22</v>
      </c>
      <c r="K829" s="48">
        <v>22</v>
      </c>
      <c r="L829" s="48">
        <v>8</v>
      </c>
      <c r="M829" s="48">
        <v>1</v>
      </c>
      <c r="N829" s="48">
        <v>1</v>
      </c>
      <c r="O829" s="48">
        <v>1</v>
      </c>
      <c r="P829" s="48"/>
      <c r="Q829" s="48"/>
      <c r="R829" s="150" t="e">
        <f t="shared" ref="R829:AA829" si="833">$G829*H829</f>
        <v>#REF!</v>
      </c>
      <c r="S829" s="150" t="e">
        <f t="shared" si="833"/>
        <v>#REF!</v>
      </c>
      <c r="T829" s="150" t="e">
        <f t="shared" si="833"/>
        <v>#REF!</v>
      </c>
      <c r="U829" s="150" t="e">
        <f t="shared" si="833"/>
        <v>#REF!</v>
      </c>
      <c r="V829" s="150" t="e">
        <f t="shared" si="833"/>
        <v>#REF!</v>
      </c>
      <c r="W829" s="150" t="e">
        <f t="shared" si="833"/>
        <v>#REF!</v>
      </c>
      <c r="X829" s="150" t="e">
        <f t="shared" si="833"/>
        <v>#REF!</v>
      </c>
      <c r="Y829" s="150" t="e">
        <f t="shared" si="833"/>
        <v>#REF!</v>
      </c>
      <c r="Z829" s="150" t="e">
        <f t="shared" si="833"/>
        <v>#REF!</v>
      </c>
      <c r="AA829" s="150" t="e">
        <f t="shared" si="833"/>
        <v>#REF!</v>
      </c>
      <c r="AB829" s="50"/>
    </row>
    <row r="830" s="28" customFormat="1" ht="28.8" outlineLevel="3" spans="1:28">
      <c r="A830" s="52">
        <f>MAX($A$6:A829)+1</f>
        <v>764</v>
      </c>
      <c r="B830" s="138" t="s">
        <v>2166</v>
      </c>
      <c r="C830" s="51" t="e">
        <f>VLOOKUP($B830,#REF!,MATCH(C$2,#REF!,0),0)</f>
        <v>#REF!</v>
      </c>
      <c r="D830" s="83"/>
      <c r="E830" s="83"/>
      <c r="F830" s="136" t="e">
        <f>VLOOKUP($B830,#REF!,MATCH(F$2,#REF!,0),0)</f>
        <v>#REF!</v>
      </c>
      <c r="G830" s="137" t="e">
        <f>VLOOKUP($B830,#REF!,MATCH(G$2,#REF!,0),0)</f>
        <v>#REF!</v>
      </c>
      <c r="H830" s="48">
        <v>1212.68</v>
      </c>
      <c r="I830" s="48">
        <v>1251.14</v>
      </c>
      <c r="J830" s="48">
        <v>1184.15</v>
      </c>
      <c r="K830" s="48">
        <v>1184.15</v>
      </c>
      <c r="L830" s="48">
        <v>545.626</v>
      </c>
      <c r="M830" s="48">
        <v>264.33</v>
      </c>
      <c r="N830" s="48">
        <v>264.33</v>
      </c>
      <c r="O830" s="48">
        <v>264.33</v>
      </c>
      <c r="P830" s="48"/>
      <c r="Q830" s="48"/>
      <c r="R830" s="150" t="e">
        <f t="shared" ref="R830:AA830" si="834">$G830*H830</f>
        <v>#REF!</v>
      </c>
      <c r="S830" s="150" t="e">
        <f t="shared" si="834"/>
        <v>#REF!</v>
      </c>
      <c r="T830" s="150" t="e">
        <f t="shared" si="834"/>
        <v>#REF!</v>
      </c>
      <c r="U830" s="150" t="e">
        <f t="shared" si="834"/>
        <v>#REF!</v>
      </c>
      <c r="V830" s="150" t="e">
        <f t="shared" si="834"/>
        <v>#REF!</v>
      </c>
      <c r="W830" s="150" t="e">
        <f t="shared" si="834"/>
        <v>#REF!</v>
      </c>
      <c r="X830" s="150" t="e">
        <f t="shared" si="834"/>
        <v>#REF!</v>
      </c>
      <c r="Y830" s="150" t="e">
        <f t="shared" si="834"/>
        <v>#REF!</v>
      </c>
      <c r="Z830" s="150" t="e">
        <f t="shared" si="834"/>
        <v>#REF!</v>
      </c>
      <c r="AA830" s="150" t="e">
        <f t="shared" si="834"/>
        <v>#REF!</v>
      </c>
      <c r="AB830" s="50"/>
    </row>
    <row r="831" s="28" customFormat="1" ht="28.8" outlineLevel="3" spans="1:28">
      <c r="A831" s="52">
        <f>MAX($A$6:A830)+1</f>
        <v>765</v>
      </c>
      <c r="B831" s="138" t="s">
        <v>2167</v>
      </c>
      <c r="C831" s="51" t="e">
        <f>VLOOKUP($B831,#REF!,MATCH(C$2,#REF!,0),0)</f>
        <v>#REF!</v>
      </c>
      <c r="D831" s="83"/>
      <c r="E831" s="83"/>
      <c r="F831" s="136" t="e">
        <f>VLOOKUP($B831,#REF!,MATCH(F$2,#REF!,0),0)</f>
        <v>#REF!</v>
      </c>
      <c r="G831" s="137" t="e">
        <f>VLOOKUP($B831,#REF!,MATCH(G$2,#REF!,0),0)</f>
        <v>#REF!</v>
      </c>
      <c r="H831" s="48">
        <v>1898.1</v>
      </c>
      <c r="I831" s="48">
        <v>4252.71</v>
      </c>
      <c r="J831" s="48">
        <v>938.29</v>
      </c>
      <c r="K831" s="48">
        <v>938.29</v>
      </c>
      <c r="L831" s="48">
        <v>874.4</v>
      </c>
      <c r="M831" s="48">
        <v>49</v>
      </c>
      <c r="N831" s="48">
        <v>49</v>
      </c>
      <c r="O831" s="48">
        <v>49</v>
      </c>
      <c r="P831" s="48"/>
      <c r="Q831" s="48"/>
      <c r="R831" s="150" t="e">
        <f t="shared" ref="R831:AA831" si="835">$G831*H831</f>
        <v>#REF!</v>
      </c>
      <c r="S831" s="150" t="e">
        <f t="shared" si="835"/>
        <v>#REF!</v>
      </c>
      <c r="T831" s="150" t="e">
        <f t="shared" si="835"/>
        <v>#REF!</v>
      </c>
      <c r="U831" s="150" t="e">
        <f t="shared" si="835"/>
        <v>#REF!</v>
      </c>
      <c r="V831" s="150" t="e">
        <f t="shared" si="835"/>
        <v>#REF!</v>
      </c>
      <c r="W831" s="150" t="e">
        <f t="shared" si="835"/>
        <v>#REF!</v>
      </c>
      <c r="X831" s="150" t="e">
        <f t="shared" si="835"/>
        <v>#REF!</v>
      </c>
      <c r="Y831" s="150" t="e">
        <f t="shared" si="835"/>
        <v>#REF!</v>
      </c>
      <c r="Z831" s="150" t="e">
        <f t="shared" si="835"/>
        <v>#REF!</v>
      </c>
      <c r="AA831" s="150" t="e">
        <f t="shared" si="835"/>
        <v>#REF!</v>
      </c>
      <c r="AB831" s="50"/>
    </row>
    <row r="832" s="28" customFormat="1" ht="28.8" outlineLevel="3" spans="1:28">
      <c r="A832" s="52">
        <f>MAX($A$6:A831)+1</f>
        <v>766</v>
      </c>
      <c r="B832" s="51" t="s">
        <v>2168</v>
      </c>
      <c r="C832" s="51" t="e">
        <f>VLOOKUP($B832,#REF!,MATCH(C$2,#REF!,0),0)</f>
        <v>#REF!</v>
      </c>
      <c r="D832" s="83"/>
      <c r="E832" s="83"/>
      <c r="F832" s="136" t="e">
        <f>VLOOKUP($B832,#REF!,MATCH(F$2,#REF!,0),0)</f>
        <v>#REF!</v>
      </c>
      <c r="G832" s="137" t="e">
        <f>VLOOKUP($B832,#REF!,MATCH(G$2,#REF!,0),0)</f>
        <v>#REF!</v>
      </c>
      <c r="H832" s="48"/>
      <c r="I832" s="48"/>
      <c r="J832" s="48"/>
      <c r="K832" s="48"/>
      <c r="L832" s="48"/>
      <c r="M832" s="48"/>
      <c r="N832" s="48"/>
      <c r="O832" s="48"/>
      <c r="P832" s="48"/>
      <c r="Q832" s="48"/>
      <c r="R832" s="150" t="e">
        <f t="shared" ref="R832:AA832" si="836">$G832*H832</f>
        <v>#REF!</v>
      </c>
      <c r="S832" s="150" t="e">
        <f t="shared" si="836"/>
        <v>#REF!</v>
      </c>
      <c r="T832" s="150" t="e">
        <f t="shared" si="836"/>
        <v>#REF!</v>
      </c>
      <c r="U832" s="150" t="e">
        <f t="shared" si="836"/>
        <v>#REF!</v>
      </c>
      <c r="V832" s="150" t="e">
        <f t="shared" si="836"/>
        <v>#REF!</v>
      </c>
      <c r="W832" s="150" t="e">
        <f t="shared" si="836"/>
        <v>#REF!</v>
      </c>
      <c r="X832" s="150" t="e">
        <f t="shared" si="836"/>
        <v>#REF!</v>
      </c>
      <c r="Y832" s="150" t="e">
        <f t="shared" si="836"/>
        <v>#REF!</v>
      </c>
      <c r="Z832" s="150" t="e">
        <f t="shared" si="836"/>
        <v>#REF!</v>
      </c>
      <c r="AA832" s="150" t="e">
        <f t="shared" si="836"/>
        <v>#REF!</v>
      </c>
      <c r="AB832" s="50"/>
    </row>
    <row r="833" s="28" customFormat="1" ht="28.8" outlineLevel="3" spans="1:28">
      <c r="A833" s="52">
        <f>MAX($A$6:A832)+1</f>
        <v>767</v>
      </c>
      <c r="B833" s="51" t="s">
        <v>2176</v>
      </c>
      <c r="C833" s="51" t="e">
        <f>VLOOKUP($B833,#REF!,MATCH(C$2,#REF!,0),0)</f>
        <v>#REF!</v>
      </c>
      <c r="D833" s="83"/>
      <c r="E833" s="83"/>
      <c r="F833" s="136" t="e">
        <f>VLOOKUP($B833,#REF!,MATCH(F$2,#REF!,0),0)</f>
        <v>#REF!</v>
      </c>
      <c r="G833" s="137" t="e">
        <f>VLOOKUP($B833,#REF!,MATCH(G$2,#REF!,0),0)</f>
        <v>#REF!</v>
      </c>
      <c r="H833" s="48"/>
      <c r="I833" s="48"/>
      <c r="J833" s="48"/>
      <c r="K833" s="48"/>
      <c r="L833" s="48"/>
      <c r="M833" s="48"/>
      <c r="N833" s="48"/>
      <c r="O833" s="48"/>
      <c r="P833" s="48"/>
      <c r="Q833" s="48"/>
      <c r="R833" s="150" t="e">
        <f t="shared" ref="R833:AA833" si="837">$G833*H833</f>
        <v>#REF!</v>
      </c>
      <c r="S833" s="150" t="e">
        <f t="shared" si="837"/>
        <v>#REF!</v>
      </c>
      <c r="T833" s="150" t="e">
        <f t="shared" si="837"/>
        <v>#REF!</v>
      </c>
      <c r="U833" s="150" t="e">
        <f t="shared" si="837"/>
        <v>#REF!</v>
      </c>
      <c r="V833" s="150" t="e">
        <f t="shared" si="837"/>
        <v>#REF!</v>
      </c>
      <c r="W833" s="150" t="e">
        <f t="shared" si="837"/>
        <v>#REF!</v>
      </c>
      <c r="X833" s="150" t="e">
        <f t="shared" si="837"/>
        <v>#REF!</v>
      </c>
      <c r="Y833" s="150" t="e">
        <f t="shared" si="837"/>
        <v>#REF!</v>
      </c>
      <c r="Z833" s="150" t="e">
        <f t="shared" si="837"/>
        <v>#REF!</v>
      </c>
      <c r="AA833" s="150" t="e">
        <f t="shared" si="837"/>
        <v>#REF!</v>
      </c>
      <c r="AB833" s="50"/>
    </row>
    <row r="834" s="28" customFormat="1" ht="28.8" outlineLevel="3" spans="1:28">
      <c r="A834" s="52">
        <f>MAX($A$6:A833)+1</f>
        <v>768</v>
      </c>
      <c r="B834" s="51" t="s">
        <v>2177</v>
      </c>
      <c r="C834" s="51" t="e">
        <f>VLOOKUP($B834,#REF!,MATCH(C$2,#REF!,0),0)</f>
        <v>#REF!</v>
      </c>
      <c r="D834" s="83"/>
      <c r="E834" s="83"/>
      <c r="F834" s="136" t="e">
        <f>VLOOKUP($B834,#REF!,MATCH(F$2,#REF!,0),0)</f>
        <v>#REF!</v>
      </c>
      <c r="G834" s="137" t="e">
        <f>VLOOKUP($B834,#REF!,MATCH(G$2,#REF!,0),0)</f>
        <v>#REF!</v>
      </c>
      <c r="H834" s="48"/>
      <c r="I834" s="48"/>
      <c r="J834" s="48"/>
      <c r="K834" s="48"/>
      <c r="L834" s="48"/>
      <c r="M834" s="48"/>
      <c r="N834" s="48"/>
      <c r="O834" s="48"/>
      <c r="P834" s="48"/>
      <c r="Q834" s="48"/>
      <c r="R834" s="150" t="e">
        <f t="shared" ref="R834:AA834" si="838">$G834*H834</f>
        <v>#REF!</v>
      </c>
      <c r="S834" s="150" t="e">
        <f t="shared" si="838"/>
        <v>#REF!</v>
      </c>
      <c r="T834" s="150" t="e">
        <f t="shared" si="838"/>
        <v>#REF!</v>
      </c>
      <c r="U834" s="150" t="e">
        <f t="shared" si="838"/>
        <v>#REF!</v>
      </c>
      <c r="V834" s="150" t="e">
        <f t="shared" si="838"/>
        <v>#REF!</v>
      </c>
      <c r="W834" s="150" t="e">
        <f t="shared" si="838"/>
        <v>#REF!</v>
      </c>
      <c r="X834" s="150" t="e">
        <f t="shared" si="838"/>
        <v>#REF!</v>
      </c>
      <c r="Y834" s="150" t="e">
        <f t="shared" si="838"/>
        <v>#REF!</v>
      </c>
      <c r="Z834" s="150" t="e">
        <f t="shared" si="838"/>
        <v>#REF!</v>
      </c>
      <c r="AA834" s="150" t="e">
        <f t="shared" si="838"/>
        <v>#REF!</v>
      </c>
      <c r="AB834" s="50"/>
    </row>
    <row r="835" s="28" customFormat="1" ht="28.8" outlineLevel="3" spans="1:28">
      <c r="A835" s="52">
        <f>MAX($A$6:A834)+1</f>
        <v>769</v>
      </c>
      <c r="B835" s="138" t="s">
        <v>2263</v>
      </c>
      <c r="C835" s="51" t="e">
        <f>VLOOKUP($B835,#REF!,MATCH(C$2,#REF!,0),0)</f>
        <v>#REF!</v>
      </c>
      <c r="D835" s="83"/>
      <c r="E835" s="83"/>
      <c r="F835" s="136" t="e">
        <f>VLOOKUP($B835,#REF!,MATCH(F$2,#REF!,0),0)</f>
        <v>#REF!</v>
      </c>
      <c r="G835" s="137" t="e">
        <f>VLOOKUP($B835,#REF!,MATCH(G$2,#REF!,0),0)</f>
        <v>#REF!</v>
      </c>
      <c r="H835" s="48">
        <v>84.56</v>
      </c>
      <c r="I835" s="48">
        <v>1</v>
      </c>
      <c r="J835" s="48">
        <v>194.34</v>
      </c>
      <c r="K835" s="48">
        <v>194.34</v>
      </c>
      <c r="L835" s="48">
        <v>31.026</v>
      </c>
      <c r="M835" s="48"/>
      <c r="N835" s="48"/>
      <c r="O835" s="48"/>
      <c r="P835" s="48"/>
      <c r="Q835" s="48"/>
      <c r="R835" s="150" t="e">
        <f t="shared" ref="R835:AA835" si="839">$G835*H835</f>
        <v>#REF!</v>
      </c>
      <c r="S835" s="150" t="e">
        <f t="shared" si="839"/>
        <v>#REF!</v>
      </c>
      <c r="T835" s="150" t="e">
        <f t="shared" si="839"/>
        <v>#REF!</v>
      </c>
      <c r="U835" s="150" t="e">
        <f t="shared" si="839"/>
        <v>#REF!</v>
      </c>
      <c r="V835" s="150" t="e">
        <f t="shared" si="839"/>
        <v>#REF!</v>
      </c>
      <c r="W835" s="150" t="e">
        <f t="shared" si="839"/>
        <v>#REF!</v>
      </c>
      <c r="X835" s="150" t="e">
        <f t="shared" si="839"/>
        <v>#REF!</v>
      </c>
      <c r="Y835" s="150" t="e">
        <f t="shared" si="839"/>
        <v>#REF!</v>
      </c>
      <c r="Z835" s="150" t="e">
        <f t="shared" si="839"/>
        <v>#REF!</v>
      </c>
      <c r="AA835" s="150" t="e">
        <f t="shared" si="839"/>
        <v>#REF!</v>
      </c>
      <c r="AB835" s="50"/>
    </row>
    <row r="836" s="28" customFormat="1" ht="28.8" outlineLevel="3" spans="1:28">
      <c r="A836" s="52">
        <f>MAX($A$6:A835)+1</f>
        <v>770</v>
      </c>
      <c r="B836" s="138" t="s">
        <v>2264</v>
      </c>
      <c r="C836" s="51" t="e">
        <f>VLOOKUP($B836,#REF!,MATCH(C$2,#REF!,0),0)</f>
        <v>#REF!</v>
      </c>
      <c r="D836" s="83"/>
      <c r="E836" s="83"/>
      <c r="F836" s="136" t="e">
        <f>VLOOKUP($B836,#REF!,MATCH(F$2,#REF!,0),0)</f>
        <v>#REF!</v>
      </c>
      <c r="G836" s="137" t="e">
        <f>VLOOKUP($B836,#REF!,MATCH(G$2,#REF!,0),0)</f>
        <v>#REF!</v>
      </c>
      <c r="H836" s="48">
        <v>2005.7</v>
      </c>
      <c r="I836" s="48">
        <v>1</v>
      </c>
      <c r="J836" s="48">
        <v>1251.8</v>
      </c>
      <c r="K836" s="48">
        <v>1251.8</v>
      </c>
      <c r="L836" s="48"/>
      <c r="M836" s="48"/>
      <c r="N836" s="48"/>
      <c r="O836" s="48"/>
      <c r="P836" s="48"/>
      <c r="Q836" s="48"/>
      <c r="R836" s="150" t="e">
        <f t="shared" ref="R836:AA836" si="840">$G836*H836</f>
        <v>#REF!</v>
      </c>
      <c r="S836" s="150" t="e">
        <f t="shared" si="840"/>
        <v>#REF!</v>
      </c>
      <c r="T836" s="150" t="e">
        <f t="shared" si="840"/>
        <v>#REF!</v>
      </c>
      <c r="U836" s="150" t="e">
        <f t="shared" si="840"/>
        <v>#REF!</v>
      </c>
      <c r="V836" s="150" t="e">
        <f t="shared" si="840"/>
        <v>#REF!</v>
      </c>
      <c r="W836" s="150" t="e">
        <f t="shared" si="840"/>
        <v>#REF!</v>
      </c>
      <c r="X836" s="150" t="e">
        <f t="shared" si="840"/>
        <v>#REF!</v>
      </c>
      <c r="Y836" s="150" t="e">
        <f t="shared" si="840"/>
        <v>#REF!</v>
      </c>
      <c r="Z836" s="150" t="e">
        <f t="shared" si="840"/>
        <v>#REF!</v>
      </c>
      <c r="AA836" s="150" t="e">
        <f t="shared" si="840"/>
        <v>#REF!</v>
      </c>
      <c r="AB836" s="50"/>
    </row>
    <row r="837" s="28" customFormat="1" outlineLevel="3" spans="1:28">
      <c r="A837" s="52">
        <f>MAX($A$6:A836)+1</f>
        <v>771</v>
      </c>
      <c r="B837" s="138" t="s">
        <v>1277</v>
      </c>
      <c r="C837" s="51" t="e">
        <f>VLOOKUP($B837,#REF!,MATCH(C$2,#REF!,0),0)</f>
        <v>#REF!</v>
      </c>
      <c r="D837" s="83"/>
      <c r="E837" s="83"/>
      <c r="F837" s="136" t="e">
        <f>VLOOKUP($B837,#REF!,MATCH(F$2,#REF!,0),0)</f>
        <v>#REF!</v>
      </c>
      <c r="G837" s="137" t="e">
        <f>VLOOKUP($B837,#REF!,MATCH(G$2,#REF!,0),0)</f>
        <v>#REF!</v>
      </c>
      <c r="H837" s="48"/>
      <c r="I837" s="48">
        <v>367.2</v>
      </c>
      <c r="J837" s="48">
        <v>71.41</v>
      </c>
      <c r="K837" s="48">
        <v>71.41</v>
      </c>
      <c r="L837" s="48">
        <v>5.15</v>
      </c>
      <c r="M837" s="48">
        <v>10.3</v>
      </c>
      <c r="N837" s="48">
        <v>10.3</v>
      </c>
      <c r="O837" s="48">
        <v>10.3</v>
      </c>
      <c r="P837" s="48"/>
      <c r="Q837" s="48"/>
      <c r="R837" s="150" t="e">
        <f t="shared" ref="R837:AA837" si="841">$G837*H837</f>
        <v>#REF!</v>
      </c>
      <c r="S837" s="150" t="e">
        <f t="shared" si="841"/>
        <v>#REF!</v>
      </c>
      <c r="T837" s="150" t="e">
        <f t="shared" si="841"/>
        <v>#REF!</v>
      </c>
      <c r="U837" s="150" t="e">
        <f t="shared" si="841"/>
        <v>#REF!</v>
      </c>
      <c r="V837" s="150" t="e">
        <f t="shared" si="841"/>
        <v>#REF!</v>
      </c>
      <c r="W837" s="150" t="e">
        <f t="shared" si="841"/>
        <v>#REF!</v>
      </c>
      <c r="X837" s="150" t="e">
        <f t="shared" si="841"/>
        <v>#REF!</v>
      </c>
      <c r="Y837" s="150" t="e">
        <f t="shared" si="841"/>
        <v>#REF!</v>
      </c>
      <c r="Z837" s="150" t="e">
        <f t="shared" si="841"/>
        <v>#REF!</v>
      </c>
      <c r="AA837" s="150" t="e">
        <f t="shared" si="841"/>
        <v>#REF!</v>
      </c>
      <c r="AB837" s="50"/>
    </row>
    <row r="838" s="122" customFormat="1" outlineLevel="3" spans="1:28">
      <c r="A838" s="52">
        <f>MAX($A$6:A837)+1</f>
        <v>772</v>
      </c>
      <c r="B838" s="138" t="s">
        <v>2268</v>
      </c>
      <c r="C838" s="51" t="e">
        <f>VLOOKUP($B838,#REF!,MATCH(C$2,#REF!,0),0)</f>
        <v>#REF!</v>
      </c>
      <c r="D838" s="83"/>
      <c r="E838" s="83"/>
      <c r="F838" s="136" t="e">
        <f>VLOOKUP($B838,#REF!,MATCH(F$2,#REF!,0),0)</f>
        <v>#REF!</v>
      </c>
      <c r="G838" s="137" t="e">
        <f>VLOOKUP($B838,#REF!,MATCH(G$2,#REF!,0),0)</f>
        <v>#REF!</v>
      </c>
      <c r="H838" s="48">
        <v>106</v>
      </c>
      <c r="I838" s="48">
        <v>1</v>
      </c>
      <c r="J838" s="48">
        <v>11</v>
      </c>
      <c r="K838" s="48">
        <v>11</v>
      </c>
      <c r="L838" s="48"/>
      <c r="M838" s="48"/>
      <c r="N838" s="48"/>
      <c r="O838" s="48"/>
      <c r="P838" s="48"/>
      <c r="Q838" s="48"/>
      <c r="R838" s="150" t="e">
        <f t="shared" ref="R838:AA838" si="842">$G838*H838</f>
        <v>#REF!</v>
      </c>
      <c r="S838" s="150" t="e">
        <f t="shared" si="842"/>
        <v>#REF!</v>
      </c>
      <c r="T838" s="150" t="e">
        <f t="shared" si="842"/>
        <v>#REF!</v>
      </c>
      <c r="U838" s="150" t="e">
        <f t="shared" si="842"/>
        <v>#REF!</v>
      </c>
      <c r="V838" s="150" t="e">
        <f t="shared" si="842"/>
        <v>#REF!</v>
      </c>
      <c r="W838" s="150" t="e">
        <f t="shared" si="842"/>
        <v>#REF!</v>
      </c>
      <c r="X838" s="150" t="e">
        <f t="shared" si="842"/>
        <v>#REF!</v>
      </c>
      <c r="Y838" s="150" t="e">
        <f t="shared" si="842"/>
        <v>#REF!</v>
      </c>
      <c r="Z838" s="150" t="e">
        <f t="shared" si="842"/>
        <v>#REF!</v>
      </c>
      <c r="AA838" s="150" t="e">
        <f t="shared" si="842"/>
        <v>#REF!</v>
      </c>
      <c r="AB838" s="50"/>
    </row>
    <row r="839" s="28" customFormat="1" outlineLevel="3" spans="1:28">
      <c r="A839" s="52">
        <f>MAX($A$6:A838)+1</f>
        <v>773</v>
      </c>
      <c r="B839" s="138" t="s">
        <v>2240</v>
      </c>
      <c r="C839" s="51" t="e">
        <f>VLOOKUP($B839,#REF!,MATCH(C$2,#REF!,0),0)</f>
        <v>#REF!</v>
      </c>
      <c r="D839" s="83"/>
      <c r="E839" s="83"/>
      <c r="F839" s="136" t="e">
        <f>VLOOKUP($B839,#REF!,MATCH(F$2,#REF!,0),0)</f>
        <v>#REF!</v>
      </c>
      <c r="G839" s="137" t="e">
        <f>VLOOKUP($B839,#REF!,MATCH(G$2,#REF!,0),0)</f>
        <v>#REF!</v>
      </c>
      <c r="H839" s="48">
        <v>607</v>
      </c>
      <c r="I839" s="48">
        <v>606</v>
      </c>
      <c r="J839" s="48">
        <v>316</v>
      </c>
      <c r="K839" s="48">
        <v>316</v>
      </c>
      <c r="L839" s="48">
        <v>158</v>
      </c>
      <c r="M839" s="48">
        <v>19</v>
      </c>
      <c r="N839" s="48">
        <v>19</v>
      </c>
      <c r="O839" s="48">
        <v>19</v>
      </c>
      <c r="P839" s="48"/>
      <c r="Q839" s="48"/>
      <c r="R839" s="150" t="e">
        <f t="shared" ref="R839:AA839" si="843">$G839*H839</f>
        <v>#REF!</v>
      </c>
      <c r="S839" s="150" t="e">
        <f t="shared" si="843"/>
        <v>#REF!</v>
      </c>
      <c r="T839" s="150" t="e">
        <f t="shared" si="843"/>
        <v>#REF!</v>
      </c>
      <c r="U839" s="150" t="e">
        <f t="shared" si="843"/>
        <v>#REF!</v>
      </c>
      <c r="V839" s="150" t="e">
        <f t="shared" si="843"/>
        <v>#REF!</v>
      </c>
      <c r="W839" s="150" t="e">
        <f t="shared" si="843"/>
        <v>#REF!</v>
      </c>
      <c r="X839" s="150" t="e">
        <f t="shared" si="843"/>
        <v>#REF!</v>
      </c>
      <c r="Y839" s="150" t="e">
        <f t="shared" si="843"/>
        <v>#REF!</v>
      </c>
      <c r="Z839" s="150" t="e">
        <f t="shared" si="843"/>
        <v>#REF!</v>
      </c>
      <c r="AA839" s="150" t="e">
        <f t="shared" si="843"/>
        <v>#REF!</v>
      </c>
      <c r="AB839" s="50"/>
    </row>
    <row r="840" s="28" customFormat="1" outlineLevel="3" spans="1:28">
      <c r="A840" s="52">
        <f>MAX($A$6:A839)+1</f>
        <v>774</v>
      </c>
      <c r="B840" s="138" t="s">
        <v>2241</v>
      </c>
      <c r="C840" s="51" t="e">
        <f>VLOOKUP($B840,#REF!,MATCH(C$2,#REF!,0),0)</f>
        <v>#REF!</v>
      </c>
      <c r="D840" s="83"/>
      <c r="E840" s="83"/>
      <c r="F840" s="136" t="e">
        <f>VLOOKUP($B840,#REF!,MATCH(F$2,#REF!,0),0)</f>
        <v>#REF!</v>
      </c>
      <c r="G840" s="137" t="e">
        <f>VLOOKUP($B840,#REF!,MATCH(G$2,#REF!,0),0)</f>
        <v>#REF!</v>
      </c>
      <c r="H840" s="48">
        <v>218</v>
      </c>
      <c r="I840" s="48">
        <v>6</v>
      </c>
      <c r="J840" s="48">
        <v>4</v>
      </c>
      <c r="K840" s="48">
        <v>4</v>
      </c>
      <c r="L840" s="48">
        <v>1</v>
      </c>
      <c r="M840" s="48">
        <v>1</v>
      </c>
      <c r="N840" s="48">
        <v>1</v>
      </c>
      <c r="O840" s="48">
        <v>1</v>
      </c>
      <c r="P840" s="48"/>
      <c r="Q840" s="48"/>
      <c r="R840" s="150" t="e">
        <f t="shared" ref="R840:AA840" si="844">$G840*H840</f>
        <v>#REF!</v>
      </c>
      <c r="S840" s="150" t="e">
        <f t="shared" si="844"/>
        <v>#REF!</v>
      </c>
      <c r="T840" s="150" t="e">
        <f t="shared" si="844"/>
        <v>#REF!</v>
      </c>
      <c r="U840" s="150" t="e">
        <f t="shared" si="844"/>
        <v>#REF!</v>
      </c>
      <c r="V840" s="150" t="e">
        <f t="shared" si="844"/>
        <v>#REF!</v>
      </c>
      <c r="W840" s="150" t="e">
        <f t="shared" si="844"/>
        <v>#REF!</v>
      </c>
      <c r="X840" s="150" t="e">
        <f t="shared" si="844"/>
        <v>#REF!</v>
      </c>
      <c r="Y840" s="150" t="e">
        <f t="shared" si="844"/>
        <v>#REF!</v>
      </c>
      <c r="Z840" s="150" t="e">
        <f t="shared" si="844"/>
        <v>#REF!</v>
      </c>
      <c r="AA840" s="150" t="e">
        <f t="shared" si="844"/>
        <v>#REF!</v>
      </c>
      <c r="AB840" s="50"/>
    </row>
    <row r="841" s="29" customFormat="1" outlineLevel="3" spans="1:28">
      <c r="A841" s="52">
        <f>MAX($A$6:A840)+1</f>
        <v>775</v>
      </c>
      <c r="B841" s="138" t="s">
        <v>1466</v>
      </c>
      <c r="C841" s="51" t="e">
        <f>VLOOKUP($B841,#REF!,MATCH(C$2,#REF!,0),0)</f>
        <v>#REF!</v>
      </c>
      <c r="D841" s="83"/>
      <c r="E841" s="83"/>
      <c r="F841" s="136" t="e">
        <f>VLOOKUP($B841,#REF!,MATCH(F$2,#REF!,0),0)</f>
        <v>#REF!</v>
      </c>
      <c r="G841" s="137" t="e">
        <f>VLOOKUP($B841,#REF!,MATCH(G$2,#REF!,0),0)</f>
        <v>#REF!</v>
      </c>
      <c r="H841" s="48">
        <v>324</v>
      </c>
      <c r="I841" s="48">
        <v>324</v>
      </c>
      <c r="J841" s="48">
        <v>176</v>
      </c>
      <c r="K841" s="48">
        <v>176</v>
      </c>
      <c r="L841" s="48">
        <v>158</v>
      </c>
      <c r="M841" s="48">
        <v>1</v>
      </c>
      <c r="N841" s="48">
        <v>1</v>
      </c>
      <c r="O841" s="48">
        <v>1</v>
      </c>
      <c r="P841" s="48"/>
      <c r="Q841" s="48"/>
      <c r="R841" s="150" t="e">
        <f t="shared" ref="R841:AA841" si="845">$G841*H841</f>
        <v>#REF!</v>
      </c>
      <c r="S841" s="150" t="e">
        <f t="shared" si="845"/>
        <v>#REF!</v>
      </c>
      <c r="T841" s="150" t="e">
        <f t="shared" si="845"/>
        <v>#REF!</v>
      </c>
      <c r="U841" s="150" t="e">
        <f t="shared" si="845"/>
        <v>#REF!</v>
      </c>
      <c r="V841" s="150" t="e">
        <f t="shared" si="845"/>
        <v>#REF!</v>
      </c>
      <c r="W841" s="150" t="e">
        <f t="shared" si="845"/>
        <v>#REF!</v>
      </c>
      <c r="X841" s="150" t="e">
        <f t="shared" si="845"/>
        <v>#REF!</v>
      </c>
      <c r="Y841" s="150" t="e">
        <f t="shared" si="845"/>
        <v>#REF!</v>
      </c>
      <c r="Z841" s="150" t="e">
        <f t="shared" si="845"/>
        <v>#REF!</v>
      </c>
      <c r="AA841" s="150" t="e">
        <f t="shared" si="845"/>
        <v>#REF!</v>
      </c>
      <c r="AB841" s="50"/>
    </row>
    <row r="842" s="28" customFormat="1" outlineLevel="3" spans="1:28">
      <c r="A842" s="52">
        <f>MAX($A$6:A841)+1</f>
        <v>776</v>
      </c>
      <c r="B842" s="138" t="s">
        <v>1330</v>
      </c>
      <c r="C842" s="51" t="e">
        <f>VLOOKUP($B842,#REF!,MATCH(C$2,#REF!,0),0)</f>
        <v>#REF!</v>
      </c>
      <c r="D842" s="83"/>
      <c r="E842" s="83"/>
      <c r="F842" s="136" t="e">
        <f>VLOOKUP($B842,#REF!,MATCH(F$2,#REF!,0),0)</f>
        <v>#REF!</v>
      </c>
      <c r="G842" s="137" t="e">
        <f>VLOOKUP($B842,#REF!,MATCH(G$2,#REF!,0),0)</f>
        <v>#REF!</v>
      </c>
      <c r="H842" s="48">
        <v>5622.24</v>
      </c>
      <c r="I842" s="48">
        <v>5870.92</v>
      </c>
      <c r="J842" s="48">
        <v>3550.99</v>
      </c>
      <c r="K842" s="48">
        <v>3550.99</v>
      </c>
      <c r="L842" s="48">
        <f>525.626+896.55</f>
        <v>1422.176</v>
      </c>
      <c r="M842" s="48">
        <v>335.49</v>
      </c>
      <c r="N842" s="48">
        <v>335.49</v>
      </c>
      <c r="O842" s="48">
        <v>335.49</v>
      </c>
      <c r="P842" s="48"/>
      <c r="Q842" s="48"/>
      <c r="R842" s="150" t="e">
        <f t="shared" ref="R842:AA842" si="846">$G842*H842</f>
        <v>#REF!</v>
      </c>
      <c r="S842" s="150" t="e">
        <f t="shared" si="846"/>
        <v>#REF!</v>
      </c>
      <c r="T842" s="150" t="e">
        <f t="shared" si="846"/>
        <v>#REF!</v>
      </c>
      <c r="U842" s="150" t="e">
        <f t="shared" si="846"/>
        <v>#REF!</v>
      </c>
      <c r="V842" s="150" t="e">
        <f t="shared" si="846"/>
        <v>#REF!</v>
      </c>
      <c r="W842" s="150" t="e">
        <f t="shared" si="846"/>
        <v>#REF!</v>
      </c>
      <c r="X842" s="150" t="e">
        <f t="shared" si="846"/>
        <v>#REF!</v>
      </c>
      <c r="Y842" s="150" t="e">
        <f t="shared" si="846"/>
        <v>#REF!</v>
      </c>
      <c r="Z842" s="150" t="e">
        <f t="shared" si="846"/>
        <v>#REF!</v>
      </c>
      <c r="AA842" s="150" t="e">
        <f t="shared" si="846"/>
        <v>#REF!</v>
      </c>
      <c r="AB842" s="50"/>
    </row>
    <row r="843" s="122" customFormat="1" outlineLevel="1" spans="1:28">
      <c r="A843" s="130"/>
      <c r="B843" s="131" t="s">
        <v>2289</v>
      </c>
      <c r="C843" s="131"/>
      <c r="D843" s="153"/>
      <c r="E843" s="153"/>
      <c r="F843" s="154"/>
      <c r="G843" s="155"/>
      <c r="H843" s="134"/>
      <c r="I843" s="134"/>
      <c r="J843" s="134"/>
      <c r="K843" s="134"/>
      <c r="L843" s="134"/>
      <c r="M843" s="134"/>
      <c r="N843" s="134"/>
      <c r="O843" s="134"/>
      <c r="P843" s="134"/>
      <c r="Q843" s="134"/>
      <c r="R843" s="148" t="e">
        <f t="shared" ref="R843:AA843" si="847">SUM(R844:R855)</f>
        <v>#REF!</v>
      </c>
      <c r="S843" s="148" t="e">
        <f t="shared" si="847"/>
        <v>#REF!</v>
      </c>
      <c r="T843" s="148" t="e">
        <f t="shared" si="847"/>
        <v>#REF!</v>
      </c>
      <c r="U843" s="148" t="e">
        <f t="shared" si="847"/>
        <v>#REF!</v>
      </c>
      <c r="V843" s="148" t="e">
        <f t="shared" si="847"/>
        <v>#REF!</v>
      </c>
      <c r="W843" s="148" t="e">
        <f t="shared" si="847"/>
        <v>#REF!</v>
      </c>
      <c r="X843" s="148" t="e">
        <f t="shared" si="847"/>
        <v>#REF!</v>
      </c>
      <c r="Y843" s="148" t="e">
        <f t="shared" si="847"/>
        <v>#REF!</v>
      </c>
      <c r="Z843" s="148" t="e">
        <f t="shared" si="847"/>
        <v>#REF!</v>
      </c>
      <c r="AA843" s="148" t="e">
        <f t="shared" si="847"/>
        <v>#REF!</v>
      </c>
      <c r="AB843" s="130"/>
    </row>
    <row r="844" s="28" customFormat="1" outlineLevel="3" spans="1:28">
      <c r="A844" s="52">
        <f>MAX($A$6:A843)+1</f>
        <v>777</v>
      </c>
      <c r="B844" s="51" t="s">
        <v>1224</v>
      </c>
      <c r="C844" s="51" t="e">
        <f>VLOOKUP($B844,#REF!,MATCH(C$2,#REF!,0),0)</f>
        <v>#REF!</v>
      </c>
      <c r="D844" s="83"/>
      <c r="E844" s="83"/>
      <c r="F844" s="136" t="e">
        <f>VLOOKUP($B844,#REF!,MATCH(F$2,#REF!,0),0)</f>
        <v>#REF!</v>
      </c>
      <c r="G844" s="137" t="e">
        <f>VLOOKUP($B844,#REF!,MATCH(G$2,#REF!,0),0)</f>
        <v>#REF!</v>
      </c>
      <c r="H844" s="48">
        <v>156.27</v>
      </c>
      <c r="I844" s="48">
        <v>156.27</v>
      </c>
      <c r="J844" s="48">
        <v>63.64</v>
      </c>
      <c r="K844" s="48">
        <v>63.64</v>
      </c>
      <c r="L844" s="48">
        <v>31.45</v>
      </c>
      <c r="M844" s="48">
        <v>1</v>
      </c>
      <c r="N844" s="48">
        <v>1</v>
      </c>
      <c r="O844" s="48">
        <v>1</v>
      </c>
      <c r="P844" s="48"/>
      <c r="Q844" s="48"/>
      <c r="R844" s="48" t="e">
        <f t="shared" ref="R844:AA844" si="848">$G844*H844</f>
        <v>#REF!</v>
      </c>
      <c r="S844" s="48" t="e">
        <f t="shared" si="848"/>
        <v>#REF!</v>
      </c>
      <c r="T844" s="48" t="e">
        <f t="shared" si="848"/>
        <v>#REF!</v>
      </c>
      <c r="U844" s="48" t="e">
        <f t="shared" si="848"/>
        <v>#REF!</v>
      </c>
      <c r="V844" s="48" t="e">
        <f t="shared" si="848"/>
        <v>#REF!</v>
      </c>
      <c r="W844" s="48" t="e">
        <f t="shared" si="848"/>
        <v>#REF!</v>
      </c>
      <c r="X844" s="48" t="e">
        <f t="shared" si="848"/>
        <v>#REF!</v>
      </c>
      <c r="Y844" s="48" t="e">
        <f t="shared" si="848"/>
        <v>#REF!</v>
      </c>
      <c r="Z844" s="48" t="e">
        <f t="shared" si="848"/>
        <v>#REF!</v>
      </c>
      <c r="AA844" s="48" t="e">
        <f t="shared" si="848"/>
        <v>#REF!</v>
      </c>
      <c r="AB844" s="50"/>
    </row>
    <row r="845" s="28" customFormat="1" outlineLevel="3" spans="1:28">
      <c r="A845" s="52">
        <f>MAX($A$6:A844)+1</f>
        <v>778</v>
      </c>
      <c r="B845" s="51" t="s">
        <v>1225</v>
      </c>
      <c r="C845" s="51" t="e">
        <f>VLOOKUP($B845,#REF!,MATCH(C$2,#REF!,0),0)</f>
        <v>#REF!</v>
      </c>
      <c r="D845" s="83"/>
      <c r="E845" s="83"/>
      <c r="F845" s="136" t="e">
        <f>VLOOKUP($B845,#REF!,MATCH(F$2,#REF!,0),0)</f>
        <v>#REF!</v>
      </c>
      <c r="G845" s="137" t="e">
        <f>VLOOKUP($B845,#REF!,MATCH(G$2,#REF!,0),0)</f>
        <v>#REF!</v>
      </c>
      <c r="H845" s="48"/>
      <c r="I845" s="48"/>
      <c r="J845" s="48"/>
      <c r="K845" s="48"/>
      <c r="L845" s="48"/>
      <c r="M845" s="48"/>
      <c r="N845" s="48"/>
      <c r="O845" s="48"/>
      <c r="P845" s="48"/>
      <c r="Q845" s="48"/>
      <c r="R845" s="48" t="e">
        <f t="shared" ref="R845:AA845" si="849">$G845*H845</f>
        <v>#REF!</v>
      </c>
      <c r="S845" s="48" t="e">
        <f t="shared" si="849"/>
        <v>#REF!</v>
      </c>
      <c r="T845" s="48" t="e">
        <f t="shared" si="849"/>
        <v>#REF!</v>
      </c>
      <c r="U845" s="48" t="e">
        <f t="shared" si="849"/>
        <v>#REF!</v>
      </c>
      <c r="V845" s="48" t="e">
        <f t="shared" si="849"/>
        <v>#REF!</v>
      </c>
      <c r="W845" s="48" t="e">
        <f t="shared" si="849"/>
        <v>#REF!</v>
      </c>
      <c r="X845" s="48" t="e">
        <f t="shared" si="849"/>
        <v>#REF!</v>
      </c>
      <c r="Y845" s="48" t="e">
        <f t="shared" si="849"/>
        <v>#REF!</v>
      </c>
      <c r="Z845" s="48" t="e">
        <f t="shared" si="849"/>
        <v>#REF!</v>
      </c>
      <c r="AA845" s="48" t="e">
        <f t="shared" si="849"/>
        <v>#REF!</v>
      </c>
      <c r="AB845" s="50"/>
    </row>
    <row r="846" s="28" customFormat="1" outlineLevel="3" spans="1:28">
      <c r="A846" s="52">
        <f>MAX($A$6:A845)+1</f>
        <v>779</v>
      </c>
      <c r="B846" s="51" t="s">
        <v>1263</v>
      </c>
      <c r="C846" s="51" t="e">
        <f>VLOOKUP($B846,#REF!,MATCH(C$2,#REF!,0),0)</f>
        <v>#REF!</v>
      </c>
      <c r="D846" s="83"/>
      <c r="E846" s="83"/>
      <c r="F846" s="136" t="e">
        <f>VLOOKUP($B846,#REF!,MATCH(F$2,#REF!,0),0)</f>
        <v>#REF!</v>
      </c>
      <c r="G846" s="137" t="e">
        <f>VLOOKUP($B846,#REF!,MATCH(G$2,#REF!,0),0)</f>
        <v>#REF!</v>
      </c>
      <c r="H846" s="48">
        <v>54</v>
      </c>
      <c r="I846" s="48">
        <v>54</v>
      </c>
      <c r="J846" s="48">
        <v>22</v>
      </c>
      <c r="K846" s="48">
        <v>22</v>
      </c>
      <c r="L846" s="48">
        <v>9</v>
      </c>
      <c r="M846" s="48">
        <v>1</v>
      </c>
      <c r="N846" s="48">
        <v>1</v>
      </c>
      <c r="O846" s="48">
        <v>1</v>
      </c>
      <c r="P846" s="48"/>
      <c r="Q846" s="48"/>
      <c r="R846" s="48" t="e">
        <f t="shared" ref="R846:AA846" si="850">$G846*H846</f>
        <v>#REF!</v>
      </c>
      <c r="S846" s="48" t="e">
        <f t="shared" si="850"/>
        <v>#REF!</v>
      </c>
      <c r="T846" s="48" t="e">
        <f t="shared" si="850"/>
        <v>#REF!</v>
      </c>
      <c r="U846" s="48" t="e">
        <f t="shared" si="850"/>
        <v>#REF!</v>
      </c>
      <c r="V846" s="48" t="e">
        <f t="shared" si="850"/>
        <v>#REF!</v>
      </c>
      <c r="W846" s="48" t="e">
        <f t="shared" si="850"/>
        <v>#REF!</v>
      </c>
      <c r="X846" s="48" t="e">
        <f t="shared" si="850"/>
        <v>#REF!</v>
      </c>
      <c r="Y846" s="48" t="e">
        <f t="shared" si="850"/>
        <v>#REF!</v>
      </c>
      <c r="Z846" s="48" t="e">
        <f t="shared" si="850"/>
        <v>#REF!</v>
      </c>
      <c r="AA846" s="48" t="e">
        <f t="shared" si="850"/>
        <v>#REF!</v>
      </c>
      <c r="AB846" s="50"/>
    </row>
    <row r="847" s="28" customFormat="1" outlineLevel="3" spans="1:28">
      <c r="A847" s="52">
        <f>MAX($A$6:A846)+1</f>
        <v>780</v>
      </c>
      <c r="B847" s="51" t="s">
        <v>1276</v>
      </c>
      <c r="C847" s="51" t="e">
        <f>VLOOKUP($B847,#REF!,MATCH(C$2,#REF!,0),0)</f>
        <v>#REF!</v>
      </c>
      <c r="D847" s="83"/>
      <c r="E847" s="83"/>
      <c r="F847" s="136" t="e">
        <f>VLOOKUP($B847,#REF!,MATCH(F$2,#REF!,0),0)</f>
        <v>#REF!</v>
      </c>
      <c r="G847" s="137" t="e">
        <f>VLOOKUP($B847,#REF!,MATCH(G$2,#REF!,0),0)</f>
        <v>#REF!</v>
      </c>
      <c r="H847" s="48">
        <v>290.9</v>
      </c>
      <c r="I847" s="48">
        <v>284.4</v>
      </c>
      <c r="J847" s="48">
        <v>1</v>
      </c>
      <c r="K847" s="48">
        <v>1</v>
      </c>
      <c r="L847" s="48"/>
      <c r="M847" s="48">
        <v>1</v>
      </c>
      <c r="N847" s="48">
        <v>1</v>
      </c>
      <c r="O847" s="48">
        <v>1</v>
      </c>
      <c r="P847" s="48"/>
      <c r="Q847" s="48"/>
      <c r="R847" s="48" t="e">
        <f t="shared" ref="R847:AA847" si="851">$G847*H847</f>
        <v>#REF!</v>
      </c>
      <c r="S847" s="48" t="e">
        <f t="shared" si="851"/>
        <v>#REF!</v>
      </c>
      <c r="T847" s="48" t="e">
        <f t="shared" si="851"/>
        <v>#REF!</v>
      </c>
      <c r="U847" s="48" t="e">
        <f t="shared" si="851"/>
        <v>#REF!</v>
      </c>
      <c r="V847" s="48" t="e">
        <f t="shared" si="851"/>
        <v>#REF!</v>
      </c>
      <c r="W847" s="48" t="e">
        <f t="shared" si="851"/>
        <v>#REF!</v>
      </c>
      <c r="X847" s="48" t="e">
        <f t="shared" si="851"/>
        <v>#REF!</v>
      </c>
      <c r="Y847" s="48" t="e">
        <f t="shared" si="851"/>
        <v>#REF!</v>
      </c>
      <c r="Z847" s="48" t="e">
        <f t="shared" si="851"/>
        <v>#REF!</v>
      </c>
      <c r="AA847" s="48" t="e">
        <f t="shared" si="851"/>
        <v>#REF!</v>
      </c>
      <c r="AB847" s="50"/>
    </row>
    <row r="848" s="28" customFormat="1" outlineLevel="3" spans="1:28">
      <c r="A848" s="52">
        <f>MAX($A$6:A847)+1</f>
        <v>781</v>
      </c>
      <c r="B848" s="51" t="s">
        <v>1277</v>
      </c>
      <c r="C848" s="51" t="e">
        <f>VLOOKUP($B848,#REF!,MATCH(C$2,#REF!,0),0)</f>
        <v>#REF!</v>
      </c>
      <c r="D848" s="83"/>
      <c r="E848" s="83"/>
      <c r="F848" s="136" t="e">
        <f>VLOOKUP($B848,#REF!,MATCH(F$2,#REF!,0),0)</f>
        <v>#REF!</v>
      </c>
      <c r="G848" s="137" t="e">
        <f>VLOOKUP($B848,#REF!,MATCH(G$2,#REF!,0),0)</f>
        <v>#REF!</v>
      </c>
      <c r="H848" s="48">
        <v>2068.38</v>
      </c>
      <c r="I848" s="48">
        <v>2679.64</v>
      </c>
      <c r="J848" s="48">
        <v>360.07</v>
      </c>
      <c r="K848" s="48">
        <v>360.07</v>
      </c>
      <c r="L848" s="48"/>
      <c r="M848" s="48">
        <v>1</v>
      </c>
      <c r="N848" s="48">
        <v>1</v>
      </c>
      <c r="O848" s="48">
        <v>1</v>
      </c>
      <c r="P848" s="48"/>
      <c r="Q848" s="48"/>
      <c r="R848" s="48" t="e">
        <f t="shared" ref="R848:AA848" si="852">$G848*H848</f>
        <v>#REF!</v>
      </c>
      <c r="S848" s="48" t="e">
        <f t="shared" si="852"/>
        <v>#REF!</v>
      </c>
      <c r="T848" s="48" t="e">
        <f t="shared" si="852"/>
        <v>#REF!</v>
      </c>
      <c r="U848" s="48" t="e">
        <f t="shared" si="852"/>
        <v>#REF!</v>
      </c>
      <c r="V848" s="48" t="e">
        <f t="shared" si="852"/>
        <v>#REF!</v>
      </c>
      <c r="W848" s="48" t="e">
        <f t="shared" si="852"/>
        <v>#REF!</v>
      </c>
      <c r="X848" s="48" t="e">
        <f t="shared" si="852"/>
        <v>#REF!</v>
      </c>
      <c r="Y848" s="48" t="e">
        <f t="shared" si="852"/>
        <v>#REF!</v>
      </c>
      <c r="Z848" s="48" t="e">
        <f t="shared" si="852"/>
        <v>#REF!</v>
      </c>
      <c r="AA848" s="48" t="e">
        <f t="shared" si="852"/>
        <v>#REF!</v>
      </c>
      <c r="AB848" s="50"/>
    </row>
    <row r="849" s="28" customFormat="1" outlineLevel="3" spans="1:28">
      <c r="A849" s="52">
        <f>MAX($A$6:A848)+1</f>
        <v>782</v>
      </c>
      <c r="B849" s="51" t="s">
        <v>1278</v>
      </c>
      <c r="C849" s="51" t="e">
        <f>VLOOKUP($B849,#REF!,MATCH(C$2,#REF!,0),0)</f>
        <v>#REF!</v>
      </c>
      <c r="D849" s="83"/>
      <c r="E849" s="83"/>
      <c r="F849" s="136" t="e">
        <f>VLOOKUP($B849,#REF!,MATCH(F$2,#REF!,0),0)</f>
        <v>#REF!</v>
      </c>
      <c r="G849" s="137" t="e">
        <f>VLOOKUP($B849,#REF!,MATCH(G$2,#REF!,0),0)</f>
        <v>#REF!</v>
      </c>
      <c r="H849" s="48">
        <v>97.85</v>
      </c>
      <c r="I849" s="48">
        <v>27.58</v>
      </c>
      <c r="J849" s="48">
        <v>1</v>
      </c>
      <c r="K849" s="48">
        <v>1</v>
      </c>
      <c r="L849" s="48"/>
      <c r="M849" s="48">
        <v>1</v>
      </c>
      <c r="N849" s="48">
        <v>1</v>
      </c>
      <c r="O849" s="48">
        <v>1</v>
      </c>
      <c r="P849" s="48"/>
      <c r="Q849" s="48"/>
      <c r="R849" s="48" t="e">
        <f t="shared" ref="R849:AA849" si="853">$G849*H849</f>
        <v>#REF!</v>
      </c>
      <c r="S849" s="48" t="e">
        <f t="shared" si="853"/>
        <v>#REF!</v>
      </c>
      <c r="T849" s="48" t="e">
        <f t="shared" si="853"/>
        <v>#REF!</v>
      </c>
      <c r="U849" s="48" t="e">
        <f t="shared" si="853"/>
        <v>#REF!</v>
      </c>
      <c r="V849" s="48" t="e">
        <f t="shared" si="853"/>
        <v>#REF!</v>
      </c>
      <c r="W849" s="48" t="e">
        <f t="shared" si="853"/>
        <v>#REF!</v>
      </c>
      <c r="X849" s="48" t="e">
        <f t="shared" si="853"/>
        <v>#REF!</v>
      </c>
      <c r="Y849" s="48" t="e">
        <f t="shared" si="853"/>
        <v>#REF!</v>
      </c>
      <c r="Z849" s="48" t="e">
        <f t="shared" si="853"/>
        <v>#REF!</v>
      </c>
      <c r="AA849" s="48" t="e">
        <f t="shared" si="853"/>
        <v>#REF!</v>
      </c>
      <c r="AB849" s="50"/>
    </row>
    <row r="850" s="28" customFormat="1" ht="28.8" outlineLevel="3" spans="1:28">
      <c r="A850" s="52">
        <f>MAX($A$6:A849)+1</f>
        <v>783</v>
      </c>
      <c r="B850" s="51" t="s">
        <v>2263</v>
      </c>
      <c r="C850" s="51" t="e">
        <f>VLOOKUP($B850,#REF!,MATCH(C$2,#REF!,0),0)</f>
        <v>#REF!</v>
      </c>
      <c r="D850" s="83"/>
      <c r="E850" s="83"/>
      <c r="F850" s="136" t="e">
        <f>VLOOKUP($B850,#REF!,MATCH(F$2,#REF!,0),0)</f>
        <v>#REF!</v>
      </c>
      <c r="G850" s="137" t="e">
        <f>VLOOKUP($B850,#REF!,MATCH(G$2,#REF!,0),0)</f>
        <v>#REF!</v>
      </c>
      <c r="H850" s="48">
        <v>633.65</v>
      </c>
      <c r="I850" s="48">
        <v>1</v>
      </c>
      <c r="J850" s="48">
        <v>258.25</v>
      </c>
      <c r="K850" s="48">
        <v>258.25</v>
      </c>
      <c r="L850" s="48">
        <v>285.119</v>
      </c>
      <c r="M850" s="48"/>
      <c r="N850" s="48"/>
      <c r="O850" s="48"/>
      <c r="P850" s="48"/>
      <c r="Q850" s="48"/>
      <c r="R850" s="48" t="e">
        <f t="shared" ref="R850:AA850" si="854">$G850*H850</f>
        <v>#REF!</v>
      </c>
      <c r="S850" s="48" t="e">
        <f t="shared" si="854"/>
        <v>#REF!</v>
      </c>
      <c r="T850" s="48" t="e">
        <f t="shared" si="854"/>
        <v>#REF!</v>
      </c>
      <c r="U850" s="48" t="e">
        <f t="shared" si="854"/>
        <v>#REF!</v>
      </c>
      <c r="V850" s="48" t="e">
        <f t="shared" si="854"/>
        <v>#REF!</v>
      </c>
      <c r="W850" s="48" t="e">
        <f t="shared" si="854"/>
        <v>#REF!</v>
      </c>
      <c r="X850" s="48" t="e">
        <f t="shared" si="854"/>
        <v>#REF!</v>
      </c>
      <c r="Y850" s="48" t="e">
        <f t="shared" si="854"/>
        <v>#REF!</v>
      </c>
      <c r="Z850" s="48" t="e">
        <f t="shared" si="854"/>
        <v>#REF!</v>
      </c>
      <c r="AA850" s="48" t="e">
        <f t="shared" si="854"/>
        <v>#REF!</v>
      </c>
      <c r="AB850" s="50"/>
    </row>
    <row r="851" s="28" customFormat="1" ht="28.8" outlineLevel="3" spans="1:28">
      <c r="A851" s="52">
        <f>MAX($A$6:A850)+1</f>
        <v>784</v>
      </c>
      <c r="B851" s="138" t="s">
        <v>2177</v>
      </c>
      <c r="C851" s="51" t="e">
        <f>VLOOKUP($B851,#REF!,MATCH(C$2,#REF!,0),0)</f>
        <v>#REF!</v>
      </c>
      <c r="D851" s="83"/>
      <c r="E851" s="83"/>
      <c r="F851" s="136" t="e">
        <f>VLOOKUP($B851,#REF!,MATCH(F$2,#REF!,0),0)</f>
        <v>#REF!</v>
      </c>
      <c r="G851" s="137" t="e">
        <f>VLOOKUP($B851,#REF!,MATCH(G$2,#REF!,0),0)</f>
        <v>#REF!</v>
      </c>
      <c r="H851" s="48"/>
      <c r="I851" s="48"/>
      <c r="J851" s="48"/>
      <c r="K851" s="48"/>
      <c r="L851" s="48">
        <v>78.012</v>
      </c>
      <c r="M851" s="48"/>
      <c r="N851" s="48"/>
      <c r="O851" s="48"/>
      <c r="P851" s="48"/>
      <c r="Q851" s="48"/>
      <c r="R851" s="150" t="e">
        <f t="shared" ref="R851:AA851" si="855">$G851*H851</f>
        <v>#REF!</v>
      </c>
      <c r="S851" s="150" t="e">
        <f t="shared" si="855"/>
        <v>#REF!</v>
      </c>
      <c r="T851" s="150" t="e">
        <f t="shared" si="855"/>
        <v>#REF!</v>
      </c>
      <c r="U851" s="150" t="e">
        <f t="shared" si="855"/>
        <v>#REF!</v>
      </c>
      <c r="V851" s="150" t="e">
        <f t="shared" si="855"/>
        <v>#REF!</v>
      </c>
      <c r="W851" s="150" t="e">
        <f t="shared" si="855"/>
        <v>#REF!</v>
      </c>
      <c r="X851" s="150" t="e">
        <f t="shared" si="855"/>
        <v>#REF!</v>
      </c>
      <c r="Y851" s="150" t="e">
        <f t="shared" si="855"/>
        <v>#REF!</v>
      </c>
      <c r="Z851" s="150" t="e">
        <f t="shared" si="855"/>
        <v>#REF!</v>
      </c>
      <c r="AA851" s="150" t="e">
        <f t="shared" si="855"/>
        <v>#REF!</v>
      </c>
      <c r="AB851" s="50"/>
    </row>
    <row r="852" s="28" customFormat="1" ht="28.8" outlineLevel="3" spans="1:28">
      <c r="A852" s="52">
        <f>MAX($A$6:A851)+1</f>
        <v>785</v>
      </c>
      <c r="B852" s="138" t="s">
        <v>2178</v>
      </c>
      <c r="C852" s="51" t="e">
        <f>VLOOKUP($B852,#REF!,MATCH(C$2,#REF!,0),0)</f>
        <v>#REF!</v>
      </c>
      <c r="D852" s="83"/>
      <c r="E852" s="83"/>
      <c r="F852" s="136" t="e">
        <f>VLOOKUP($B852,#REF!,MATCH(F$2,#REF!,0),0)</f>
        <v>#REF!</v>
      </c>
      <c r="G852" s="137" t="e">
        <f>VLOOKUP($B852,#REF!,MATCH(G$2,#REF!,0),0)</f>
        <v>#REF!</v>
      </c>
      <c r="H852" s="48"/>
      <c r="I852" s="48"/>
      <c r="J852" s="48"/>
      <c r="K852" s="48"/>
      <c r="L852" s="48"/>
      <c r="M852" s="48"/>
      <c r="N852" s="48"/>
      <c r="O852" s="48"/>
      <c r="P852" s="48"/>
      <c r="Q852" s="48"/>
      <c r="R852" s="150" t="e">
        <f t="shared" ref="R852:AA852" si="856">$G852*H852</f>
        <v>#REF!</v>
      </c>
      <c r="S852" s="150" t="e">
        <f t="shared" si="856"/>
        <v>#REF!</v>
      </c>
      <c r="T852" s="150" t="e">
        <f t="shared" si="856"/>
        <v>#REF!</v>
      </c>
      <c r="U852" s="150" t="e">
        <f t="shared" si="856"/>
        <v>#REF!</v>
      </c>
      <c r="V852" s="150" t="e">
        <f t="shared" si="856"/>
        <v>#REF!</v>
      </c>
      <c r="W852" s="150" t="e">
        <f t="shared" si="856"/>
        <v>#REF!</v>
      </c>
      <c r="X852" s="150" t="e">
        <f t="shared" si="856"/>
        <v>#REF!</v>
      </c>
      <c r="Y852" s="150" t="e">
        <f t="shared" si="856"/>
        <v>#REF!</v>
      </c>
      <c r="Z852" s="150" t="e">
        <f t="shared" si="856"/>
        <v>#REF!</v>
      </c>
      <c r="AA852" s="150" t="e">
        <f t="shared" si="856"/>
        <v>#REF!</v>
      </c>
      <c r="AB852" s="50"/>
    </row>
    <row r="853" s="28" customFormat="1" outlineLevel="3" spans="1:28">
      <c r="A853" s="52">
        <f>MAX($A$6:A852)+1</f>
        <v>786</v>
      </c>
      <c r="B853" s="51" t="s">
        <v>2267</v>
      </c>
      <c r="C853" s="51" t="e">
        <f>VLOOKUP($B853,#REF!,MATCH(C$2,#REF!,0),0)</f>
        <v>#REF!</v>
      </c>
      <c r="D853" s="83"/>
      <c r="E853" s="83"/>
      <c r="F853" s="136" t="e">
        <f>VLOOKUP($B853,#REF!,MATCH(F$2,#REF!,0),0)</f>
        <v>#REF!</v>
      </c>
      <c r="G853" s="137" t="e">
        <f>VLOOKUP($B853,#REF!,MATCH(G$2,#REF!,0),0)</f>
        <v>#REF!</v>
      </c>
      <c r="H853" s="48">
        <v>25.5</v>
      </c>
      <c r="I853" s="48">
        <v>1</v>
      </c>
      <c r="J853" s="48">
        <v>1</v>
      </c>
      <c r="K853" s="48">
        <v>1</v>
      </c>
      <c r="L853" s="48"/>
      <c r="M853" s="48"/>
      <c r="N853" s="48"/>
      <c r="O853" s="48"/>
      <c r="P853" s="48"/>
      <c r="Q853" s="48"/>
      <c r="R853" s="48" t="e">
        <f t="shared" ref="R853:AA853" si="857">$G853*H853</f>
        <v>#REF!</v>
      </c>
      <c r="S853" s="48" t="e">
        <f t="shared" si="857"/>
        <v>#REF!</v>
      </c>
      <c r="T853" s="48" t="e">
        <f t="shared" si="857"/>
        <v>#REF!</v>
      </c>
      <c r="U853" s="48" t="e">
        <f t="shared" si="857"/>
        <v>#REF!</v>
      </c>
      <c r="V853" s="48" t="e">
        <f t="shared" si="857"/>
        <v>#REF!</v>
      </c>
      <c r="W853" s="48" t="e">
        <f t="shared" si="857"/>
        <v>#REF!</v>
      </c>
      <c r="X853" s="48" t="e">
        <f t="shared" si="857"/>
        <v>#REF!</v>
      </c>
      <c r="Y853" s="48" t="e">
        <f t="shared" si="857"/>
        <v>#REF!</v>
      </c>
      <c r="Z853" s="48" t="e">
        <f t="shared" si="857"/>
        <v>#REF!</v>
      </c>
      <c r="AA853" s="48" t="e">
        <f t="shared" si="857"/>
        <v>#REF!</v>
      </c>
      <c r="AB853" s="50"/>
    </row>
    <row r="854" s="28" customFormat="1" outlineLevel="3" spans="1:28">
      <c r="A854" s="52">
        <f>MAX($A$6:A853)+1</f>
        <v>787</v>
      </c>
      <c r="B854" s="51" t="s">
        <v>1330</v>
      </c>
      <c r="C854" s="51" t="e">
        <f>VLOOKUP($B854,#REF!,MATCH(C$2,#REF!,0),0)</f>
        <v>#REF!</v>
      </c>
      <c r="D854" s="83"/>
      <c r="E854" s="83"/>
      <c r="F854" s="136" t="e">
        <f>VLOOKUP($B854,#REF!,MATCH(F$2,#REF!,0),0)</f>
        <v>#REF!</v>
      </c>
      <c r="G854" s="137" t="e">
        <f>VLOOKUP($B854,#REF!,MATCH(G$2,#REF!,0),0)</f>
        <v>#REF!</v>
      </c>
      <c r="H854" s="48">
        <v>3039.18</v>
      </c>
      <c r="I854" s="48">
        <v>3002.72</v>
      </c>
      <c r="J854" s="48">
        <v>618.32</v>
      </c>
      <c r="K854" s="48">
        <v>618.32</v>
      </c>
      <c r="L854" s="48">
        <v>363.131</v>
      </c>
      <c r="M854" s="48">
        <v>1</v>
      </c>
      <c r="N854" s="48">
        <v>1</v>
      </c>
      <c r="O854" s="48">
        <v>1</v>
      </c>
      <c r="P854" s="48"/>
      <c r="Q854" s="48"/>
      <c r="R854" s="48" t="e">
        <f t="shared" ref="R854:AA854" si="858">$G854*H854</f>
        <v>#REF!</v>
      </c>
      <c r="S854" s="48" t="e">
        <f t="shared" si="858"/>
        <v>#REF!</v>
      </c>
      <c r="T854" s="48" t="e">
        <f t="shared" si="858"/>
        <v>#REF!</v>
      </c>
      <c r="U854" s="48" t="e">
        <f t="shared" si="858"/>
        <v>#REF!</v>
      </c>
      <c r="V854" s="48" t="e">
        <f t="shared" si="858"/>
        <v>#REF!</v>
      </c>
      <c r="W854" s="48" t="e">
        <f t="shared" si="858"/>
        <v>#REF!</v>
      </c>
      <c r="X854" s="48" t="e">
        <f t="shared" si="858"/>
        <v>#REF!</v>
      </c>
      <c r="Y854" s="48" t="e">
        <f t="shared" si="858"/>
        <v>#REF!</v>
      </c>
      <c r="Z854" s="48" t="e">
        <f t="shared" si="858"/>
        <v>#REF!</v>
      </c>
      <c r="AA854" s="48" t="e">
        <f t="shared" si="858"/>
        <v>#REF!</v>
      </c>
      <c r="AB854" s="50"/>
    </row>
    <row r="855" s="28" customFormat="1" outlineLevel="3" spans="1:28">
      <c r="A855" s="52">
        <f>MAX($A$6:A854)+1</f>
        <v>788</v>
      </c>
      <c r="B855" s="51" t="s">
        <v>2241</v>
      </c>
      <c r="C855" s="51" t="e">
        <f>VLOOKUP($B855,#REF!,MATCH(C$2,#REF!,0),0)</f>
        <v>#REF!</v>
      </c>
      <c r="D855" s="83"/>
      <c r="E855" s="83"/>
      <c r="F855" s="136" t="e">
        <f>VLOOKUP($B855,#REF!,MATCH(F$2,#REF!,0),0)</f>
        <v>#REF!</v>
      </c>
      <c r="G855" s="137" t="e">
        <f>VLOOKUP($B855,#REF!,MATCH(G$2,#REF!,0),0)</f>
        <v>#REF!</v>
      </c>
      <c r="H855" s="48">
        <v>879</v>
      </c>
      <c r="I855" s="48">
        <v>829</v>
      </c>
      <c r="J855" s="48">
        <v>352</v>
      </c>
      <c r="K855" s="48">
        <v>352</v>
      </c>
      <c r="L855" s="48">
        <v>121</v>
      </c>
      <c r="M855" s="48">
        <v>1</v>
      </c>
      <c r="N855" s="48">
        <v>1</v>
      </c>
      <c r="O855" s="48">
        <v>1</v>
      </c>
      <c r="P855" s="48"/>
      <c r="Q855" s="48"/>
      <c r="R855" s="48" t="e">
        <f t="shared" ref="R855:AA855" si="859">$G855*H855</f>
        <v>#REF!</v>
      </c>
      <c r="S855" s="48" t="e">
        <f t="shared" si="859"/>
        <v>#REF!</v>
      </c>
      <c r="T855" s="48" t="e">
        <f t="shared" si="859"/>
        <v>#REF!</v>
      </c>
      <c r="U855" s="48" t="e">
        <f t="shared" si="859"/>
        <v>#REF!</v>
      </c>
      <c r="V855" s="48" t="e">
        <f t="shared" si="859"/>
        <v>#REF!</v>
      </c>
      <c r="W855" s="48" t="e">
        <f t="shared" si="859"/>
        <v>#REF!</v>
      </c>
      <c r="X855" s="48" t="e">
        <f t="shared" si="859"/>
        <v>#REF!</v>
      </c>
      <c r="Y855" s="48" t="e">
        <f t="shared" si="859"/>
        <v>#REF!</v>
      </c>
      <c r="Z855" s="48" t="e">
        <f t="shared" si="859"/>
        <v>#REF!</v>
      </c>
      <c r="AA855" s="48" t="e">
        <f t="shared" si="859"/>
        <v>#REF!</v>
      </c>
      <c r="AB855" s="50"/>
    </row>
    <row r="856" s="29" customFormat="1" spans="1:28">
      <c r="A856" s="28"/>
      <c r="B856" s="30"/>
      <c r="C856" s="30"/>
      <c r="D856" s="28"/>
      <c r="E856" s="28"/>
      <c r="F856" s="31"/>
      <c r="G856" s="64"/>
      <c r="H856" s="32"/>
      <c r="I856" s="32"/>
      <c r="J856" s="32"/>
      <c r="K856" s="32"/>
      <c r="L856" s="32"/>
      <c r="M856" s="32"/>
      <c r="N856" s="32"/>
      <c r="O856" s="32"/>
      <c r="P856" s="32"/>
      <c r="Q856" s="32"/>
      <c r="R856" s="28"/>
      <c r="S856" s="28"/>
      <c r="T856" s="28"/>
      <c r="U856" s="28"/>
      <c r="V856" s="28"/>
      <c r="W856" s="28"/>
      <c r="X856" s="28"/>
      <c r="Y856" s="28"/>
      <c r="Z856" s="28"/>
      <c r="AA856" s="28"/>
      <c r="AB856" s="28"/>
    </row>
    <row r="857" spans="18:27">
      <c r="R857" s="32"/>
      <c r="S857" s="32"/>
      <c r="T857" s="32"/>
      <c r="U857" s="32"/>
      <c r="V857" s="32"/>
      <c r="W857" s="32"/>
      <c r="X857" s="32"/>
      <c r="Y857" s="32"/>
      <c r="Z857" s="32"/>
      <c r="AA857" s="32"/>
    </row>
  </sheetData>
  <autoFilter ref="A1:AB856">
    <extLst/>
  </autoFilter>
  <mergeCells count="16">
    <mergeCell ref="A1:G1"/>
    <mergeCell ref="H1:Q1"/>
    <mergeCell ref="R1:AA1"/>
    <mergeCell ref="H2:L2"/>
    <mergeCell ref="M2:O2"/>
    <mergeCell ref="P2:Q2"/>
    <mergeCell ref="R2:V2"/>
    <mergeCell ref="W2:Y2"/>
    <mergeCell ref="Z2:AA2"/>
    <mergeCell ref="A2:A3"/>
    <mergeCell ref="B2:B3"/>
    <mergeCell ref="C2:C3"/>
    <mergeCell ref="F2:F3"/>
    <mergeCell ref="G2:G3"/>
    <mergeCell ref="AB2:AB3"/>
    <mergeCell ref="D2:E3"/>
  </mergeCells>
  <conditionalFormatting sqref="B68">
    <cfRule type="duplicateValues" dxfId="0" priority="14"/>
  </conditionalFormatting>
  <conditionalFormatting sqref="B720">
    <cfRule type="duplicateValues" dxfId="0" priority="7"/>
  </conditionalFormatting>
  <conditionalFormatting sqref="B722">
    <cfRule type="duplicateValues" dxfId="0" priority="5"/>
  </conditionalFormatting>
  <conditionalFormatting sqref="B66:B67 B69">
    <cfRule type="duplicateValues" dxfId="0" priority="15"/>
  </conditionalFormatting>
  <conditionalFormatting sqref="B718:B719 B721">
    <cfRule type="duplicateValues" dxfId="0" priority="8"/>
  </conditionalFormatting>
  <dataValidations count="1">
    <dataValidation type="list" allowBlank="1" showInputMessage="1" showErrorMessage="1" sqref="D7 E7 D8 E8 D9 E9 D10 E10 D11 E11 D12 E12 D13 E13 D14 E14 D15 E15 D16 E16 D17 E17 D18 E18 D19 E19 D20 E20 D21 E21 D22 E22 D23 E23 D24 E24 D25 E25 D26 E26 D27 E27 D28 E28 D29 E29 D30 E30 D31 E31 D32 E32 D33 E33 D34 E34 D35 E35 D36 E36 D37 E37 D38 E38 D39 E39 D40 E40 D41 E41 D42 E42 D43 E43 D44 E44 D45 E45 D47 E47 D48 E48 D49 E49 D50 E50 D51 E51 D52 E52 D53 E53 D54 E54 D55 E55 D56 E56 D57 E57 D58 E58 D59 E59 D60 E60 D61 E61 D62 E62 D63 E63 D65 E65 D66 E66 D67 E67 D68 E68 D69 E69 D70 E70 D73 E73 D74 E74 D75 E75 D76 E76 D77 E77 D78 E78 D79 E79 D80 E80 D81 E81 D82 E82 D83 E83 D84 E84 D85 E85 D87 E87 D88 E88 D89 E89 D90 E90 D91 E91 D92 E92 D93 E93 D94 E94 D95 E95 D96 E96 D97 E97 D98 E98 D99 E99 D100 E100 D101 E101 D102 E102 D103 E103 D104 E104 D105 E105 D106 E106 D107 E107 D108 E108 D109 E109 D110 E110 D111 E111 D112 E112 D113 E113 D114 E114 D115 E115 D116 E116 D117 E117 D118 E118 D119 E119 D121 E121 D122 E122 D124 E124 D125 E125 D126 E126 D127 E127 D128 E128 D129 E129 D130 E130 D131 E131 D132 E132 D133 E133 D134 E134 D135 E135 D137 E137 D138 E138 D139 E139 D140 E140 D141 E141 D144 E144 D145 E145 D146 E146 D147 E147 D148 E148 D149 E149 D150 E150 D151 E151 D152 E152 D153 E153 D154 E154 D155 E155 D156 E156 D158 E158 D159 E159 D160 E160 D161 E161 D162 E162 D163 E163 D164 E164 D165 E165 D166 E166 D167 E167 D168 E168 D169 E169 D170 E170 D171 E171 D172 E172 D173 E173 D177 E177 D178 E178 D181 E181 D183 E183 D184 E184 D185 E185 D186 E186 D187 E187 D188 E188 D189 E189 D190 E190 D191 E191 D194 E194 D195 E195 D196 E196 D197 E197 D198 E198 D199 E199 D200 E200 D201 E201 D203 E203 D204 E204 D205 E205 D206 E206 D207 E207 D208 E208 D211 E211 D212 E212 D213 E213 D214 E214 D215 E215 D216 E216 D217 E217 D218 E218 D219 E219 D220 E220 D221 E221 D222 E222 D223 E223 D224 E224 D225 E225 D226 E226 D227 E227 D228 E228 D229 E229 D230 E230 D231 E231 D232 E232 D233 E233 D234 E234 D235 E235 D236 E236 D237 E237 D238 E238 D239 E239 D242 E242 D244 E244 D245 E245 D246 E246 D247 E247 D248 E248 D249 E249 D250 E250 D251 E251 D252 E252 D253 E253 D254 E254 D255 E255 D256 E256 D257 E257 D258 E258 D259 E259 D260 E260 D261 E261 D262 E262 D263 E263 D265 E265 D266 E266 D269 E269 D270 E270 D271 E271 D272 E272 D273 E273 D274 E274 D275 E275 D277 E277 D278 E278 D279 E279 D280 E280 D281 E281 D282 E282 D285 E285 D286 E286 D287 E287 D288 E288 D289 E289 D290 E290 D292 E292 D293 E293 D294 E294 D297 E297 D298 E298 D299 E299 D300 E300 D301 E301 D302 E302 D303 E303 D305 E305 D306 E306 D307 E307 D308 E308 D309 E309 D310 E310 D311 E311 D312 E312 D313 E313 D314 E314 D315 E315 D316 E316 D317 E317 D319 E319 D320 E320 D321 E321 D322 E322 D323 E323 D324 E324 D325 E325 D326 E326 D334 E334 D335 E335 D336 E336 D337 E337 D338 E338 D339 E339 D340 E340 D341 E341 D342 E342 D343 E343 D344 E344 D345 E345 D346 E346 D347 E347 D348 E348 D349 E349 D350 E350 D351 E351 D352 E352 D353 E353 D354 E354 D355 E355 D356 E356 D357 E357 D358 E358 D359 E359 D360 E360 D361 E361 D362 E362 D363 E363 D364 E364 D365 E365 D366 E366 D367 E367 D369 E369 D370 E370 D373 E373 D374 E374 D375 E375 D376 E376 D377 E377 D378 E378 D379 E379 D380 E380 D381 E381 D382 E382 D383 E383 D384 E384 D385 E385 D386 E386 D387 E387 D388 E388 D389 E389 D390 E390 D391 E391 D392 E392 D393 E393 D394 E394 D395 E395 D396 E396 D397 E397 D398 E398 D399 E399 D400 E400 D401 E401 D403 E403 D404 E404 D405 E405 D406 E406 D407 E407 D408 E408 D409 E409 D410 E410 D411 E411 D412 E412 D413 E413 D415 E415 D416 E416 D417 E417 D418 E418 D419 E419 D420 E420 D421 E421 D422 E422 D423 E423 D424 E424 D425 E425 D426 E426 D427 E427 D428 E428 D429 E429 D430 E430 D431 E431 D432 E432 D433 E433 D434 E434 D435 E435 D436 E436 D437 E437 D438 E438 D439 E439 D440 E440 D441 E441 D442 E442 D443 E443 D444 E444 D445 E445 D446 E446 D447 E447 D449 E449 D450 E450 D452 E452 D456 E456 D457 E457 D458 E458 D459 E459 D460 E460 D461 E461 D462 E462 D463 E463 D464 E464 D465 E465 D466 E466 D467 E467 D468 E468 D469 E469 D471 E471 D472 E472 D473 E473 D474 E474 D475 E475 D476 E476 D477 E477 D478 E478 D479 E479 D480 E480 D481 E481 D482 E482 D483 E483 D484 E484 D485 E485 D486 E486 D487 E487 D488 E488 D489 E489 D490 E490 D491 E491 D492 E492 D493 E493 D494 E494 D495 E495 D496 E496 D497 E497 D498 E498 D499 E499 D500 E500 D501 E501 D502 E502 D503 E503 D504 E504 D505 E505 D506 E506 D507 E507 D508 E508 D510 E510 D511 E511 D512 E512 D513 E513 D514 E514 D515 E515 D516 E516 D517 E517 D518 E518 D519 E519 D520 E520 D521 E521 D522 E522 D523 E523 D524 E524 D525 E525 D526 E526 D527 E527 D528 E528 D529 E529 D530 E530 D531 E531 D532 E532 D533 E533 D534 E534 D535 E535 D536 E536 D537 E537 D538 E538 D539 E539 D540 E540 D541 E541 D542 E542 D543 E543 D544 E544 D545 E545 D546 E546 D547 E547 D548 E548 D549 E549 D550 E550 D551 E551 D552 E552 D553 E553 D554 E554 D555 E555 D556 E556 D557 E557 D558 E558 D559 E559 D560 E560 D561 E561 D562 E562 D563 E563 D564 E564 D565 E565 D566 E566 D567 E567 D568 E568 D569 E569 D570 E570 D571 E571 D572 E572 D573 E573 D574 E574 D575 E575 D576 E576 D577 E577 D578 E578 D579 E579 D580 E580 D581 E581 D582 E582 D583 E583 D584 E584 D585 E585 D587 E587 D588 E588 D589 E589 D590 E590 D591 E591 D592 E592 D593 E593 D594 E594 D595 E595 D596 E596 D597 E597 D598 E598 D599 E599 D600 E600 D601 E601 D602 E602 D603 E603 D604 E604 D605 E605 D606 E606 D607 E607 D608 E608 D609 E609 D610 E610 D611 E611 D612 E612 D613 E613 D614 E614 D615 E615 D616 E616 D617 E617 D618 E618 D619 E619 D620 E620 D621 E621 D623 E623 D624 E624 D625 E625 D626 E626 D627 E627 D628 E628 D629 E629 D630 E630 D631 E631 D632 E632 D633 E633 D634 E634 D635 E635 D636 E636 D637 E637 D638 E638 D639 E639 D640 E640 D641 E641 D642 E642 D643 E643 D644 E644 D646 E646 D647 E647 D648 E648 D649 E649 D650 E650 D651 E651 D652 E652 D653 E653 D654 E654 D655 E655 D656 E656 D657 E657 D658 E658 D659 E659 D660 E660 D661 E661 D663 E663 D664 E664 D665 E665 D666 E666 D667 E667 D668 E668 D669 E669 D670 E670 D671 E671 D672 E672 D673 E673 D674 E674 D675 E675 D676 E676 D677 E677 D678 E678 D679 E679 D680 E680 D681 E681 D682 E682 D683 E683 D684 E684 D686 E686 D687 E687 D688 E688 D689 E689 D690 E690 D691 E691 D692 E692 D693 E693 D694 E694 D695 E695 D696 E696 D697 E697 D698 E698 D699 E699 D700 E700 D701 E701 D705 E705 D706 E706 D707 E707 D708 E708 D709 E709 D710 E710 D711 E711 D712 E712 D713 E713 D715 E715 D716 E716 D717 E717 D718 E718 D719 E719 D720 E720 D721 E721 D722 E722 D723 E723 D725 E725 D726 E726 D727 E727 D728 E728 D729 E729 D730 E730 D731 E731 D732 E732 D733 E733 D734 E734 D735 E735 D736 E736 D737 E737 D738 E738 D739 E739 D740 E740 D741 E741 D742 E742 D743 E743 D744 E744 D745 E745 D746 E746 D747 E747 D748 E748 D749 E749 D750 E750 D751 E751 D752 E752 D753 E753 D754 E754 D755 E755 D756 E756 D757 E757 D758 E758 D759 E759 D760 E760 D761 E761 D765 E765 D766 E766 D767 E767 D768 E768 D770 E770 D771 E771 D772 E772 D773 E773 D774 E774 D775 E775 D776 E776 D777 E777 D778 E778 D779 E779 D780 E780 D781 E781 D782 E782 D783 E783 D784 E784 D785 E785 D786 E786 D787 E787 D788 E788 D789 E789 D790 E790 D791 E791 D793 E793 D794 E794 D795 E795 D796 E796 D797 E797 D798 E798 D799 E799 D800 E800 D803 E803 D804 E804 D805 E805 D806 E806 D807 E807 D808 E808 D809 E809 D810 E810 D811 E811 D812 E812 D813 E813 D814 E814 D815 E815 D817 E817 D818 E818 D819 E819 D820 E820 D821 E821 D822 E822 D823 E823 D824 E824 D826 E826 D827 E827 D828 E828 D829 E829 D830 E830 D831 E831 D832 E832 D833 E833 D834 E834 D835 E835 D836 E836 D837 E837 D838 E838 D839 E839 D840 E840 D841 E841 D842 E842 D844 E844 D845 E845 D846 E846 D847 E847 D848 E848 D849 E849 D850 E850 D851 E851 D852 E852 D853 E853 D854 E854 D855 E855 D179:D180 D240:D241 D327:D333 D762:D764 D801:D802 E179:E180 E240:E241 E327:E333 E762:E764 E801:E802">
      <formula1>指标分析!$B$26:$B$68</formula1>
    </dataValidation>
  </dataValidations>
  <pageMargins left="0.751388888888889" right="0.751388888888889" top="1" bottom="1" header="0.5" footer="0.5"/>
  <pageSetup paperSize="9" fitToHeight="0" orientation="landscape" horizontalDpi="600"/>
  <headerFooter>
    <oddFooter>&amp;C第 &amp;P 页，共 &amp;N 页</oddFooter>
  </headerFooter>
  <colBreaks count="1" manualBreakCount="1">
    <brk id="8" max="854"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G104"/>
  <sheetViews>
    <sheetView view="pageBreakPreview" zoomScale="80" zoomScaleNormal="100" workbookViewId="0">
      <pane xSplit="2" ySplit="3" topLeftCell="C7" activePane="bottomRight" state="frozen"/>
      <selection/>
      <selection pane="topRight"/>
      <selection pane="bottomLeft"/>
      <selection pane="bottomRight" activeCell="G11" sqref="G11"/>
    </sheetView>
  </sheetViews>
  <sheetFormatPr defaultColWidth="9" defaultRowHeight="14.4"/>
  <cols>
    <col min="1" max="1" width="7.12962962962963" style="31" customWidth="1"/>
    <col min="2" max="2" width="19.5555555555556" style="63" customWidth="1"/>
    <col min="3" max="3" width="58.6666666666667" style="28" customWidth="1" collapsed="1"/>
    <col min="4" max="5" width="8.12962962962963" style="28" hidden="1" customWidth="1" outlineLevel="1"/>
    <col min="6" max="6" width="6.62962962962963" style="31" customWidth="1"/>
    <col min="7" max="7" width="11.7777777777778" style="64" customWidth="1" collapsed="1"/>
    <col min="8" max="8" width="11.5" style="64" hidden="1" customWidth="1" outlineLevel="1"/>
    <col min="9" max="9" width="12.5" style="28" hidden="1" customWidth="1" outlineLevel="1"/>
    <col min="10" max="10" width="11.5" style="28" hidden="1" customWidth="1" outlineLevel="1"/>
    <col min="11" max="11" width="12.5" style="28" hidden="1" customWidth="1" outlineLevel="1"/>
    <col min="12" max="13" width="11.8888888888889" style="28" hidden="1" customWidth="1" outlineLevel="1"/>
    <col min="14" max="14" width="12.3796296296296" style="28" hidden="1" customWidth="1" outlineLevel="1"/>
    <col min="15" max="16" width="13.3796296296296" style="28" hidden="1" customWidth="1" outlineLevel="1"/>
    <col min="17" max="17" width="15.5" style="28" hidden="1" customWidth="1" outlineLevel="1"/>
    <col min="18" max="18" width="16.6296296296296" style="28" customWidth="1" collapsed="1"/>
    <col min="19" max="21" width="16.6296296296296" style="28" hidden="1" customWidth="1" outlineLevel="1"/>
    <col min="22" max="22" width="16.0277777777778" style="65" hidden="1" customWidth="1" outlineLevel="1"/>
    <col min="23" max="24" width="14.1296296296296" style="28" hidden="1" customWidth="1" outlineLevel="1"/>
    <col min="25" max="27" width="16.6296296296296" style="28" hidden="1" customWidth="1" outlineLevel="1"/>
    <col min="28" max="28" width="8.25" style="28" customWidth="1"/>
    <col min="29" max="16384" width="9" style="28"/>
  </cols>
  <sheetData>
    <row r="1" s="28" customFormat="1" ht="28.2" spans="1:29">
      <c r="A1" s="35" t="s">
        <v>2290</v>
      </c>
      <c r="B1" s="35"/>
      <c r="C1" s="35"/>
      <c r="D1" s="35"/>
      <c r="E1" s="35"/>
      <c r="F1" s="35"/>
      <c r="G1" s="37"/>
      <c r="H1" s="66" t="s">
        <v>225</v>
      </c>
      <c r="I1" s="88"/>
      <c r="J1" s="88"/>
      <c r="K1" s="88"/>
      <c r="L1" s="88"/>
      <c r="M1" s="88"/>
      <c r="N1" s="88"/>
      <c r="O1" s="88"/>
      <c r="P1" s="88"/>
      <c r="Q1" s="88"/>
      <c r="R1" s="91" t="s">
        <v>226</v>
      </c>
      <c r="S1" s="91"/>
      <c r="T1" s="91"/>
      <c r="U1" s="91"/>
      <c r="V1" s="92"/>
      <c r="W1" s="91"/>
      <c r="X1" s="91"/>
      <c r="Y1" s="91"/>
      <c r="Z1" s="91"/>
      <c r="AA1" s="91"/>
      <c r="AC1" s="94" t="s">
        <v>116</v>
      </c>
    </row>
    <row r="2" s="28" customFormat="1" ht="15.6" spans="1:28">
      <c r="A2" s="67" t="s">
        <v>2</v>
      </c>
      <c r="B2" s="67" t="s">
        <v>227</v>
      </c>
      <c r="C2" s="68" t="s">
        <v>228</v>
      </c>
      <c r="D2" s="67" t="s">
        <v>229</v>
      </c>
      <c r="E2" s="67"/>
      <c r="F2" s="68" t="s">
        <v>230</v>
      </c>
      <c r="G2" s="69" t="s">
        <v>231</v>
      </c>
      <c r="H2" s="69" t="s">
        <v>232</v>
      </c>
      <c r="I2" s="68"/>
      <c r="J2" s="68"/>
      <c r="K2" s="68"/>
      <c r="L2" s="68"/>
      <c r="M2" s="68" t="s">
        <v>233</v>
      </c>
      <c r="N2" s="68"/>
      <c r="O2" s="68"/>
      <c r="P2" s="68" t="s">
        <v>234</v>
      </c>
      <c r="Q2" s="68"/>
      <c r="R2" s="68" t="s">
        <v>232</v>
      </c>
      <c r="S2" s="68"/>
      <c r="T2" s="68"/>
      <c r="U2" s="68"/>
      <c r="V2" s="93"/>
      <c r="W2" s="68" t="s">
        <v>233</v>
      </c>
      <c r="X2" s="68"/>
      <c r="Y2" s="68"/>
      <c r="Z2" s="68" t="s">
        <v>234</v>
      </c>
      <c r="AA2" s="68"/>
      <c r="AB2" s="95" t="s">
        <v>235</v>
      </c>
    </row>
    <row r="3" s="28" customFormat="1" ht="31.2" spans="1:28">
      <c r="A3" s="67"/>
      <c r="B3" s="67"/>
      <c r="C3" s="68"/>
      <c r="D3" s="67" t="s">
        <v>236</v>
      </c>
      <c r="E3" s="67" t="s">
        <v>237</v>
      </c>
      <c r="F3" s="68"/>
      <c r="G3" s="69"/>
      <c r="H3" s="69" t="s">
        <v>77</v>
      </c>
      <c r="I3" s="68" t="s">
        <v>81</v>
      </c>
      <c r="J3" s="68" t="s">
        <v>82</v>
      </c>
      <c r="K3" s="68" t="s">
        <v>83</v>
      </c>
      <c r="L3" s="68" t="s">
        <v>238</v>
      </c>
      <c r="M3" s="68" t="s">
        <v>84</v>
      </c>
      <c r="N3" s="68" t="s">
        <v>177</v>
      </c>
      <c r="O3" s="68" t="s">
        <v>239</v>
      </c>
      <c r="P3" s="68" t="s">
        <v>86</v>
      </c>
      <c r="Q3" s="68" t="s">
        <v>87</v>
      </c>
      <c r="R3" s="68" t="s">
        <v>77</v>
      </c>
      <c r="S3" s="68" t="s">
        <v>81</v>
      </c>
      <c r="T3" s="68" t="s">
        <v>82</v>
      </c>
      <c r="U3" s="68" t="s">
        <v>83</v>
      </c>
      <c r="V3" s="93" t="s">
        <v>238</v>
      </c>
      <c r="W3" s="68" t="s">
        <v>84</v>
      </c>
      <c r="X3" s="68" t="s">
        <v>177</v>
      </c>
      <c r="Y3" s="68" t="str">
        <f>O3</f>
        <v>配套-装配式</v>
      </c>
      <c r="Z3" s="68" t="s">
        <v>86</v>
      </c>
      <c r="AA3" s="68" t="s">
        <v>87</v>
      </c>
      <c r="AB3" s="95"/>
    </row>
    <row r="4" s="57" customFormat="1" ht="12" spans="1:28">
      <c r="A4" s="70"/>
      <c r="B4" s="71" t="str">
        <f>目录!G58</f>
        <v>E.01单价措施费</v>
      </c>
      <c r="C4" s="72"/>
      <c r="D4" s="73"/>
      <c r="E4" s="73"/>
      <c r="F4" s="70"/>
      <c r="G4" s="74"/>
      <c r="H4" s="74"/>
      <c r="I4" s="74"/>
      <c r="J4" s="74"/>
      <c r="K4" s="74"/>
      <c r="L4" s="74"/>
      <c r="M4" s="74"/>
      <c r="N4" s="74"/>
      <c r="O4" s="74"/>
      <c r="P4" s="74"/>
      <c r="Q4" s="74"/>
      <c r="R4" s="74" t="e">
        <f>SUM(R5,R39,R50,R72)</f>
        <v>#REF!</v>
      </c>
      <c r="S4" s="74" t="e">
        <f t="shared" ref="S4:AA4" si="0">SUM(S5,S39,S50,S72)</f>
        <v>#REF!</v>
      </c>
      <c r="T4" s="74" t="e">
        <f t="shared" si="0"/>
        <v>#REF!</v>
      </c>
      <c r="U4" s="74" t="e">
        <f t="shared" si="0"/>
        <v>#REF!</v>
      </c>
      <c r="V4" s="74" t="e">
        <f t="shared" si="0"/>
        <v>#REF!</v>
      </c>
      <c r="W4" s="74" t="e">
        <f t="shared" si="0"/>
        <v>#REF!</v>
      </c>
      <c r="X4" s="74" t="e">
        <f t="shared" si="0"/>
        <v>#REF!</v>
      </c>
      <c r="Y4" s="74" t="e">
        <f t="shared" si="0"/>
        <v>#REF!</v>
      </c>
      <c r="Z4" s="74" t="e">
        <f t="shared" si="0"/>
        <v>#REF!</v>
      </c>
      <c r="AA4" s="74" t="e">
        <f t="shared" si="0"/>
        <v>#REF!</v>
      </c>
      <c r="AB4" s="73"/>
    </row>
    <row r="5" s="58" customFormat="1" ht="12" outlineLevel="1" spans="1:33">
      <c r="A5" s="75" t="s">
        <v>167</v>
      </c>
      <c r="B5" s="76" t="s">
        <v>2291</v>
      </c>
      <c r="C5" s="77"/>
      <c r="D5" s="78"/>
      <c r="E5" s="78"/>
      <c r="F5" s="75"/>
      <c r="G5" s="79"/>
      <c r="H5" s="79"/>
      <c r="I5" s="79"/>
      <c r="J5" s="79"/>
      <c r="K5" s="79"/>
      <c r="L5" s="79"/>
      <c r="M5" s="79"/>
      <c r="N5" s="79"/>
      <c r="O5" s="79"/>
      <c r="P5" s="79"/>
      <c r="Q5" s="79"/>
      <c r="R5" s="79" t="e">
        <f>SUM(R6,R35)</f>
        <v>#REF!</v>
      </c>
      <c r="S5" s="79" t="e">
        <f t="shared" ref="S5:AA5" si="1">SUM(S6,S35)</f>
        <v>#REF!</v>
      </c>
      <c r="T5" s="79" t="e">
        <f t="shared" si="1"/>
        <v>#REF!</v>
      </c>
      <c r="U5" s="79" t="e">
        <f t="shared" si="1"/>
        <v>#REF!</v>
      </c>
      <c r="V5" s="79" t="e">
        <f t="shared" si="1"/>
        <v>#REF!</v>
      </c>
      <c r="W5" s="79" t="e">
        <f t="shared" si="1"/>
        <v>#REF!</v>
      </c>
      <c r="X5" s="79" t="e">
        <f t="shared" si="1"/>
        <v>#REF!</v>
      </c>
      <c r="Y5" s="79" t="e">
        <f t="shared" si="1"/>
        <v>#REF!</v>
      </c>
      <c r="Z5" s="79" t="e">
        <f t="shared" si="1"/>
        <v>#REF!</v>
      </c>
      <c r="AA5" s="79" t="e">
        <f t="shared" si="1"/>
        <v>#REF!</v>
      </c>
      <c r="AB5" s="78"/>
      <c r="AC5" s="96"/>
      <c r="AD5" s="96"/>
      <c r="AE5" s="96"/>
      <c r="AF5" s="96"/>
      <c r="AG5" s="96"/>
    </row>
    <row r="6" s="59" customFormat="1" ht="12" outlineLevel="2" spans="1:33">
      <c r="A6" s="70" t="s">
        <v>2292</v>
      </c>
      <c r="B6" s="71" t="str">
        <f>目录!H58</f>
        <v>E.01.01模板工程</v>
      </c>
      <c r="C6" s="72"/>
      <c r="D6" s="73"/>
      <c r="E6" s="73"/>
      <c r="F6" s="70"/>
      <c r="G6" s="74"/>
      <c r="H6" s="74">
        <f>SUM(H7:H34)</f>
        <v>4860.48</v>
      </c>
      <c r="I6" s="74">
        <f>SUM(I7:I34)</f>
        <v>4860.48</v>
      </c>
      <c r="J6" s="74">
        <f t="shared" ref="J6:R6" si="2">SUM(J7:J34)</f>
        <v>3838.23</v>
      </c>
      <c r="K6" s="74">
        <f t="shared" si="2"/>
        <v>3838.23</v>
      </c>
      <c r="L6" s="74">
        <f t="shared" si="2"/>
        <v>2382.101</v>
      </c>
      <c r="M6" s="74">
        <f t="shared" si="2"/>
        <v>508.96</v>
      </c>
      <c r="N6" s="74">
        <f t="shared" si="2"/>
        <v>508.96</v>
      </c>
      <c r="O6" s="74">
        <f t="shared" si="2"/>
        <v>508.96</v>
      </c>
      <c r="P6" s="74">
        <f t="shared" si="2"/>
        <v>25510.125</v>
      </c>
      <c r="Q6" s="74">
        <f t="shared" si="2"/>
        <v>56055.785</v>
      </c>
      <c r="R6" s="74" t="e">
        <f t="shared" si="2"/>
        <v>#REF!</v>
      </c>
      <c r="S6" s="74" t="e">
        <f t="shared" ref="S6:AA6" si="3">SUM(S7:S34)</f>
        <v>#REF!</v>
      </c>
      <c r="T6" s="74" t="e">
        <f t="shared" si="3"/>
        <v>#REF!</v>
      </c>
      <c r="U6" s="74" t="e">
        <f t="shared" si="3"/>
        <v>#REF!</v>
      </c>
      <c r="V6" s="74" t="e">
        <f t="shared" si="3"/>
        <v>#REF!</v>
      </c>
      <c r="W6" s="74" t="e">
        <f t="shared" si="3"/>
        <v>#REF!</v>
      </c>
      <c r="X6" s="74" t="e">
        <f t="shared" si="3"/>
        <v>#REF!</v>
      </c>
      <c r="Y6" s="74" t="e">
        <f t="shared" si="3"/>
        <v>#REF!</v>
      </c>
      <c r="Z6" s="74" t="e">
        <f t="shared" si="3"/>
        <v>#REF!</v>
      </c>
      <c r="AA6" s="74" t="e">
        <f t="shared" si="3"/>
        <v>#REF!</v>
      </c>
      <c r="AB6" s="73"/>
      <c r="AC6" s="97" t="s">
        <v>2293</v>
      </c>
      <c r="AD6" s="97"/>
      <c r="AE6" s="98"/>
      <c r="AF6" s="98"/>
      <c r="AG6" s="98"/>
    </row>
    <row r="7" s="60" customFormat="1" ht="24" outlineLevel="3" spans="1:33">
      <c r="A7" s="80">
        <v>1</v>
      </c>
      <c r="B7" s="81" t="s">
        <v>2294</v>
      </c>
      <c r="C7" s="82" t="e">
        <f>IF(ISNUMBER(FIND(#REF!,$B7,1)),#REF!,VLOOKUP($B7,#REF!,MATCH(C$2,#REF!,0),0))</f>
        <v>#REF!</v>
      </c>
      <c r="D7" s="83" t="s">
        <v>199</v>
      </c>
      <c r="E7" s="83" t="s">
        <v>199</v>
      </c>
      <c r="F7" s="81" t="e">
        <f>IF(ISNUMBER(FIND(#REF!,$B7,1)),#REF!,VLOOKUP($B7,#REF!,MATCH(F$2,#REF!,0),0))</f>
        <v>#REF!</v>
      </c>
      <c r="G7" s="84" t="e">
        <f>IF(ISNUMBER(FIND(#REF!,$B7,1)),#REF!,VLOOKUP($B7,#REF!,MATCH(G$2,#REF!,0),0))</f>
        <v>#REF!</v>
      </c>
      <c r="H7" s="85">
        <v>23.12</v>
      </c>
      <c r="I7" s="85">
        <v>23.12</v>
      </c>
      <c r="J7" s="85">
        <v>0.78</v>
      </c>
      <c r="K7" s="85">
        <v>0.78</v>
      </c>
      <c r="L7" s="85">
        <v>11.45</v>
      </c>
      <c r="M7" s="85">
        <v>48.15</v>
      </c>
      <c r="N7" s="85">
        <v>48.15</v>
      </c>
      <c r="O7" s="85">
        <v>48.15</v>
      </c>
      <c r="P7" s="85">
        <v>83.82</v>
      </c>
      <c r="Q7" s="85">
        <v>27.88</v>
      </c>
      <c r="R7" s="85" t="e">
        <f>$G7*H7</f>
        <v>#REF!</v>
      </c>
      <c r="S7" s="85" t="e">
        <f>$G7*I7</f>
        <v>#REF!</v>
      </c>
      <c r="T7" s="85" t="e">
        <f t="shared" ref="T7:AA7" si="4">$G7*J7</f>
        <v>#REF!</v>
      </c>
      <c r="U7" s="85" t="e">
        <f t="shared" si="4"/>
        <v>#REF!</v>
      </c>
      <c r="V7" s="85" t="e">
        <f t="shared" si="4"/>
        <v>#REF!</v>
      </c>
      <c r="W7" s="85" t="e">
        <f t="shared" si="4"/>
        <v>#REF!</v>
      </c>
      <c r="X7" s="85" t="e">
        <f t="shared" si="4"/>
        <v>#REF!</v>
      </c>
      <c r="Y7" s="85" t="e">
        <f t="shared" si="4"/>
        <v>#REF!</v>
      </c>
      <c r="Z7" s="85" t="e">
        <f t="shared" si="4"/>
        <v>#REF!</v>
      </c>
      <c r="AA7" s="85" t="e">
        <f t="shared" si="4"/>
        <v>#REF!</v>
      </c>
      <c r="AB7" s="99"/>
      <c r="AC7" s="100">
        <f>IF(ISNUMBER(FIND("模板",B7)),42,_xlfn.XLOOKUP(B7,#REF!,#REF!))</f>
        <v>42</v>
      </c>
      <c r="AD7" s="100">
        <f t="shared" ref="AD7:AD70" si="5">SUM(H7:Q7)*AC7</f>
        <v>13246.8</v>
      </c>
      <c r="AE7" s="100"/>
      <c r="AF7" s="100"/>
      <c r="AG7" s="100"/>
    </row>
    <row r="8" s="60" customFormat="1" ht="24" outlineLevel="3" spans="1:33">
      <c r="A8" s="80">
        <v>2</v>
      </c>
      <c r="B8" s="81" t="s">
        <v>2295</v>
      </c>
      <c r="C8" s="82" t="e">
        <f>IF(ISNUMBER(FIND(#REF!,$B8,1)),#REF!,VLOOKUP($B8,#REF!,MATCH(C$2,#REF!,0),0))</f>
        <v>#REF!</v>
      </c>
      <c r="D8" s="83" t="s">
        <v>199</v>
      </c>
      <c r="E8" s="83" t="s">
        <v>199</v>
      </c>
      <c r="F8" s="81" t="e">
        <f>IF(ISNUMBER(FIND(#REF!,$B8,1)),#REF!,VLOOKUP($B8,#REF!,MATCH(F$2,#REF!,0),0))</f>
        <v>#REF!</v>
      </c>
      <c r="G8" s="84" t="e">
        <f>IF(ISNUMBER(FIND(#REF!,$B8,1)),#REF!,VLOOKUP($B8,#REF!,MATCH(G$2,#REF!,0),0))</f>
        <v>#REF!</v>
      </c>
      <c r="H8" s="85">
        <v>88.97</v>
      </c>
      <c r="I8" s="85">
        <v>88.97</v>
      </c>
      <c r="J8" s="85">
        <v>80.12</v>
      </c>
      <c r="K8" s="85">
        <v>80.12</v>
      </c>
      <c r="L8" s="85">
        <v>34.6107</v>
      </c>
      <c r="M8" s="85">
        <v>390.75</v>
      </c>
      <c r="N8" s="85">
        <v>390.75</v>
      </c>
      <c r="O8" s="85">
        <v>390.75</v>
      </c>
      <c r="P8" s="85">
        <v>563.37</v>
      </c>
      <c r="Q8" s="85">
        <v>1120.59</v>
      </c>
      <c r="R8" s="85" t="e">
        <f t="shared" ref="R8:R34" si="6">$G8*H8</f>
        <v>#REF!</v>
      </c>
      <c r="S8" s="85" t="e">
        <f t="shared" ref="S8:S34" si="7">$G8*I8</f>
        <v>#REF!</v>
      </c>
      <c r="T8" s="85" t="e">
        <f t="shared" ref="T8:T34" si="8">$G8*J8</f>
        <v>#REF!</v>
      </c>
      <c r="U8" s="85" t="e">
        <f t="shared" ref="U8:U34" si="9">$G8*K8</f>
        <v>#REF!</v>
      </c>
      <c r="V8" s="85" t="e">
        <f t="shared" ref="V8:V34" si="10">$G8*L8</f>
        <v>#REF!</v>
      </c>
      <c r="W8" s="85" t="e">
        <f t="shared" ref="W8:W34" si="11">$G8*M8</f>
        <v>#REF!</v>
      </c>
      <c r="X8" s="85" t="e">
        <f t="shared" ref="X8:X34" si="12">$G8*N8</f>
        <v>#REF!</v>
      </c>
      <c r="Y8" s="85" t="e">
        <f t="shared" ref="Y8:Y34" si="13">$G8*O8</f>
        <v>#REF!</v>
      </c>
      <c r="Z8" s="85" t="e">
        <f t="shared" ref="Z8:Z34" si="14">$G8*P8</f>
        <v>#REF!</v>
      </c>
      <c r="AA8" s="85" t="e">
        <f t="shared" ref="AA8:AA34" si="15">$G8*Q8</f>
        <v>#REF!</v>
      </c>
      <c r="AB8" s="99"/>
      <c r="AC8" s="100">
        <f>IF(ISNUMBER(FIND("模板",B8)),42,_xlfn.XLOOKUP(B8,#REF!,#REF!))</f>
        <v>42</v>
      </c>
      <c r="AD8" s="100">
        <f t="shared" si="5"/>
        <v>135618.0294</v>
      </c>
      <c r="AE8" s="100"/>
      <c r="AF8" s="100"/>
      <c r="AG8" s="100"/>
    </row>
    <row r="9" s="60" customFormat="1" ht="24" outlineLevel="3" spans="1:33">
      <c r="A9" s="80">
        <v>3</v>
      </c>
      <c r="B9" s="81" t="s">
        <v>2296</v>
      </c>
      <c r="C9" s="82" t="e">
        <f>IF(ISNUMBER(FIND(#REF!,$B9,1)),#REF!,VLOOKUP($B9,#REF!,MATCH(C$2,#REF!,0),0))</f>
        <v>#REF!</v>
      </c>
      <c r="D9" s="83" t="s">
        <v>199</v>
      </c>
      <c r="E9" s="83" t="s">
        <v>199</v>
      </c>
      <c r="F9" s="81" t="e">
        <f>IF(ISNUMBER(FIND(#REF!,$B9,1)),#REF!,VLOOKUP($B9,#REF!,MATCH(F$2,#REF!,0),0))</f>
        <v>#REF!</v>
      </c>
      <c r="G9" s="84" t="e">
        <f>IF(ISNUMBER(FIND(#REF!,$B9,1)),#REF!,VLOOKUP($B9,#REF!,MATCH(G$2,#REF!,0),0))</f>
        <v>#REF!</v>
      </c>
      <c r="H9" s="85">
        <v>0</v>
      </c>
      <c r="I9" s="85">
        <v>0</v>
      </c>
      <c r="J9" s="85">
        <v>0</v>
      </c>
      <c r="K9" s="85">
        <v>0</v>
      </c>
      <c r="L9" s="85">
        <v>158.7197</v>
      </c>
      <c r="M9" s="85">
        <v>70.06</v>
      </c>
      <c r="N9" s="85">
        <v>70.06</v>
      </c>
      <c r="O9" s="85">
        <v>70.06</v>
      </c>
      <c r="P9" s="85">
        <v>1</v>
      </c>
      <c r="Q9" s="85">
        <v>8.5</v>
      </c>
      <c r="R9" s="85" t="e">
        <f t="shared" si="6"/>
        <v>#REF!</v>
      </c>
      <c r="S9" s="85" t="e">
        <f t="shared" si="7"/>
        <v>#REF!</v>
      </c>
      <c r="T9" s="85" t="e">
        <f t="shared" si="8"/>
        <v>#REF!</v>
      </c>
      <c r="U9" s="85" t="e">
        <f t="shared" si="9"/>
        <v>#REF!</v>
      </c>
      <c r="V9" s="85" t="e">
        <f t="shared" si="10"/>
        <v>#REF!</v>
      </c>
      <c r="W9" s="85" t="e">
        <f t="shared" si="11"/>
        <v>#REF!</v>
      </c>
      <c r="X9" s="85" t="e">
        <f t="shared" si="12"/>
        <v>#REF!</v>
      </c>
      <c r="Y9" s="85" t="e">
        <f t="shared" si="13"/>
        <v>#REF!</v>
      </c>
      <c r="Z9" s="85" t="e">
        <f t="shared" si="14"/>
        <v>#REF!</v>
      </c>
      <c r="AA9" s="85" t="e">
        <f t="shared" si="15"/>
        <v>#REF!</v>
      </c>
      <c r="AB9" s="99"/>
      <c r="AC9" s="100">
        <f>IF(ISNUMBER(FIND("模板",B9)),42,_xlfn.XLOOKUP(B9,#REF!,#REF!))</f>
        <v>42</v>
      </c>
      <c r="AD9" s="100">
        <f t="shared" si="5"/>
        <v>15892.7874</v>
      </c>
      <c r="AE9" s="100"/>
      <c r="AF9" s="100"/>
      <c r="AG9" s="100"/>
    </row>
    <row r="10" s="60" customFormat="1" ht="24" outlineLevel="3" spans="1:33">
      <c r="A10" s="80">
        <v>4</v>
      </c>
      <c r="B10" s="81" t="s">
        <v>2297</v>
      </c>
      <c r="C10" s="82" t="e">
        <f>IF(ISNUMBER(FIND(#REF!,$B10,1)),#REF!,VLOOKUP($B10,#REF!,MATCH(C$2,#REF!,0),0))</f>
        <v>#REF!</v>
      </c>
      <c r="D10" s="83" t="s">
        <v>199</v>
      </c>
      <c r="E10" s="83" t="s">
        <v>199</v>
      </c>
      <c r="F10" s="81" t="e">
        <f>IF(ISNUMBER(FIND(#REF!,$B10,1)),#REF!,VLOOKUP($B10,#REF!,MATCH(F$2,#REF!,0),0))</f>
        <v>#REF!</v>
      </c>
      <c r="G10" s="84" t="e">
        <f>IF(ISNUMBER(FIND(#REF!,$B10,1)),#REF!,VLOOKUP($B10,#REF!,MATCH(G$2,#REF!,0),0))</f>
        <v>#REF!</v>
      </c>
      <c r="H10" s="85">
        <v>422.48</v>
      </c>
      <c r="I10" s="85">
        <v>422.48</v>
      </c>
      <c r="J10" s="85">
        <v>120.29</v>
      </c>
      <c r="K10" s="85">
        <v>120.29</v>
      </c>
      <c r="L10" s="85">
        <v>1.76</v>
      </c>
      <c r="M10" s="85">
        <v>0</v>
      </c>
      <c r="N10" s="85">
        <v>0</v>
      </c>
      <c r="O10" s="85">
        <v>0</v>
      </c>
      <c r="P10" s="85">
        <v>1939.53</v>
      </c>
      <c r="Q10" s="85">
        <v>4348.64</v>
      </c>
      <c r="R10" s="85" t="e">
        <f t="shared" si="6"/>
        <v>#REF!</v>
      </c>
      <c r="S10" s="85" t="e">
        <f t="shared" si="7"/>
        <v>#REF!</v>
      </c>
      <c r="T10" s="85" t="e">
        <f t="shared" si="8"/>
        <v>#REF!</v>
      </c>
      <c r="U10" s="85" t="e">
        <f t="shared" si="9"/>
        <v>#REF!</v>
      </c>
      <c r="V10" s="85" t="e">
        <f t="shared" si="10"/>
        <v>#REF!</v>
      </c>
      <c r="W10" s="85" t="e">
        <f t="shared" si="11"/>
        <v>#REF!</v>
      </c>
      <c r="X10" s="85" t="e">
        <f t="shared" si="12"/>
        <v>#REF!</v>
      </c>
      <c r="Y10" s="85" t="e">
        <f t="shared" si="13"/>
        <v>#REF!</v>
      </c>
      <c r="Z10" s="85" t="e">
        <f t="shared" si="14"/>
        <v>#REF!</v>
      </c>
      <c r="AA10" s="85" t="e">
        <f t="shared" si="15"/>
        <v>#REF!</v>
      </c>
      <c r="AB10" s="99"/>
      <c r="AC10" s="100">
        <f>IF(ISNUMBER(FIND("模板",B10)),42,_xlfn.XLOOKUP(B10,#REF!,#REF!))</f>
        <v>42</v>
      </c>
      <c r="AD10" s="100">
        <f t="shared" si="5"/>
        <v>309769.74</v>
      </c>
      <c r="AE10" s="100"/>
      <c r="AF10" s="100"/>
      <c r="AG10" s="100"/>
    </row>
    <row r="11" s="60" customFormat="1" ht="24" outlineLevel="3" spans="1:33">
      <c r="A11" s="80">
        <v>5</v>
      </c>
      <c r="B11" s="81" t="s">
        <v>2298</v>
      </c>
      <c r="C11" s="82" t="e">
        <f>IF(ISNUMBER(FIND(#REF!,$B11,1)),#REF!,VLOOKUP($B11,#REF!,MATCH(C$2,#REF!,0),0))</f>
        <v>#REF!</v>
      </c>
      <c r="D11" s="83" t="s">
        <v>199</v>
      </c>
      <c r="E11" s="83" t="s">
        <v>199</v>
      </c>
      <c r="F11" s="81" t="e">
        <f>IF(ISNUMBER(FIND(#REF!,$B11,1)),#REF!,VLOOKUP($B11,#REF!,MATCH(F$2,#REF!,0),0))</f>
        <v>#REF!</v>
      </c>
      <c r="G11" s="84" t="e">
        <f>IF(ISNUMBER(FIND(#REF!,$B11,1)),#REF!,VLOOKUP($B11,#REF!,MATCH(G$2,#REF!,0),0))</f>
        <v>#REF!</v>
      </c>
      <c r="H11" s="85">
        <v>439.64</v>
      </c>
      <c r="I11" s="85">
        <v>439.64</v>
      </c>
      <c r="J11" s="85">
        <v>323.73</v>
      </c>
      <c r="K11" s="85">
        <v>323.73</v>
      </c>
      <c r="L11" s="85">
        <v>176.5747</v>
      </c>
      <c r="M11" s="85">
        <v>0</v>
      </c>
      <c r="N11" s="85">
        <v>0</v>
      </c>
      <c r="O11" s="85">
        <v>0</v>
      </c>
      <c r="P11" s="85">
        <v>1255.61</v>
      </c>
      <c r="Q11" s="85">
        <v>3982.3</v>
      </c>
      <c r="R11" s="85" t="e">
        <f t="shared" si="6"/>
        <v>#REF!</v>
      </c>
      <c r="S11" s="85" t="e">
        <f t="shared" si="7"/>
        <v>#REF!</v>
      </c>
      <c r="T11" s="85" t="e">
        <f t="shared" si="8"/>
        <v>#REF!</v>
      </c>
      <c r="U11" s="85" t="e">
        <f t="shared" si="9"/>
        <v>#REF!</v>
      </c>
      <c r="V11" s="85" t="e">
        <f t="shared" si="10"/>
        <v>#REF!</v>
      </c>
      <c r="W11" s="85" t="e">
        <f t="shared" si="11"/>
        <v>#REF!</v>
      </c>
      <c r="X11" s="85" t="e">
        <f t="shared" si="12"/>
        <v>#REF!</v>
      </c>
      <c r="Y11" s="85" t="e">
        <f t="shared" si="13"/>
        <v>#REF!</v>
      </c>
      <c r="Z11" s="85" t="e">
        <f t="shared" si="14"/>
        <v>#REF!</v>
      </c>
      <c r="AA11" s="85" t="e">
        <f t="shared" si="15"/>
        <v>#REF!</v>
      </c>
      <c r="AB11" s="99"/>
      <c r="AC11" s="100">
        <f>IF(ISNUMBER(FIND("模板",B11)),42,_xlfn.XLOOKUP(B11,#REF!,#REF!))</f>
        <v>42</v>
      </c>
      <c r="AD11" s="100">
        <f t="shared" si="5"/>
        <v>291531.4374</v>
      </c>
      <c r="AE11" s="100"/>
      <c r="AF11" s="100"/>
      <c r="AG11" s="100"/>
    </row>
    <row r="12" s="60" customFormat="1" ht="24" outlineLevel="3" spans="1:33">
      <c r="A12" s="80">
        <v>6</v>
      </c>
      <c r="B12" s="81" t="s">
        <v>2299</v>
      </c>
      <c r="C12" s="82" t="e">
        <f>IF(ISNUMBER(FIND(#REF!,$B12,1)),#REF!,VLOOKUP($B12,#REF!,MATCH(C$2,#REF!,0),0))</f>
        <v>#REF!</v>
      </c>
      <c r="D12" s="83" t="s">
        <v>199</v>
      </c>
      <c r="E12" s="83" t="s">
        <v>199</v>
      </c>
      <c r="F12" s="81" t="e">
        <f>IF(ISNUMBER(FIND(#REF!,$B12,1)),#REF!,VLOOKUP($B12,#REF!,MATCH(F$2,#REF!,0),0))</f>
        <v>#REF!</v>
      </c>
      <c r="G12" s="84" t="e">
        <f>IF(ISNUMBER(FIND(#REF!,$B12,1)),#REF!,VLOOKUP($B12,#REF!,MATCH(G$2,#REF!,0),0))</f>
        <v>#REF!</v>
      </c>
      <c r="H12" s="85">
        <v>0</v>
      </c>
      <c r="I12" s="85">
        <v>0</v>
      </c>
      <c r="J12" s="85">
        <v>0</v>
      </c>
      <c r="K12" s="85">
        <v>0</v>
      </c>
      <c r="L12" s="85"/>
      <c r="M12" s="85">
        <v>0</v>
      </c>
      <c r="N12" s="85">
        <v>0</v>
      </c>
      <c r="O12" s="85">
        <v>0</v>
      </c>
      <c r="P12" s="85">
        <v>15.5</v>
      </c>
      <c r="Q12" s="85">
        <v>0</v>
      </c>
      <c r="R12" s="85" t="e">
        <f t="shared" si="6"/>
        <v>#REF!</v>
      </c>
      <c r="S12" s="85" t="e">
        <f t="shared" si="7"/>
        <v>#REF!</v>
      </c>
      <c r="T12" s="85" t="e">
        <f t="shared" si="8"/>
        <v>#REF!</v>
      </c>
      <c r="U12" s="85" t="e">
        <f t="shared" si="9"/>
        <v>#REF!</v>
      </c>
      <c r="V12" s="85" t="e">
        <f t="shared" si="10"/>
        <v>#REF!</v>
      </c>
      <c r="W12" s="85" t="e">
        <f t="shared" si="11"/>
        <v>#REF!</v>
      </c>
      <c r="X12" s="85" t="e">
        <f t="shared" si="12"/>
        <v>#REF!</v>
      </c>
      <c r="Y12" s="85" t="e">
        <f t="shared" si="13"/>
        <v>#REF!</v>
      </c>
      <c r="Z12" s="85" t="e">
        <f t="shared" si="14"/>
        <v>#REF!</v>
      </c>
      <c r="AA12" s="85" t="e">
        <f t="shared" si="15"/>
        <v>#REF!</v>
      </c>
      <c r="AB12" s="99"/>
      <c r="AC12" s="100">
        <f>IF(ISNUMBER(FIND("模板",B12)),42,_xlfn.XLOOKUP(B12,#REF!,#REF!))</f>
        <v>42</v>
      </c>
      <c r="AD12" s="100">
        <f t="shared" si="5"/>
        <v>651</v>
      </c>
      <c r="AE12" s="100"/>
      <c r="AF12" s="100"/>
      <c r="AG12" s="100"/>
    </row>
    <row r="13" s="60" customFormat="1" ht="24" outlineLevel="3" spans="1:33">
      <c r="A13" s="80">
        <v>7</v>
      </c>
      <c r="B13" s="81" t="s">
        <v>2300</v>
      </c>
      <c r="C13" s="82" t="e">
        <f>IF(ISNUMBER(FIND(#REF!,$B13,1)),#REF!,VLOOKUP($B13,#REF!,MATCH(C$2,#REF!,0),0))</f>
        <v>#REF!</v>
      </c>
      <c r="D13" s="83" t="s">
        <v>199</v>
      </c>
      <c r="E13" s="83" t="s">
        <v>199</v>
      </c>
      <c r="F13" s="81" t="e">
        <f>IF(ISNUMBER(FIND(#REF!,$B13,1)),#REF!,VLOOKUP($B13,#REF!,MATCH(F$2,#REF!,0),0))</f>
        <v>#REF!</v>
      </c>
      <c r="G13" s="84" t="e">
        <f>IF(ISNUMBER(FIND(#REF!,$B13,1)),#REF!,VLOOKUP($B13,#REF!,MATCH(G$2,#REF!,0),0))</f>
        <v>#REF!</v>
      </c>
      <c r="H13" s="85">
        <v>0</v>
      </c>
      <c r="I13" s="85">
        <v>0</v>
      </c>
      <c r="J13" s="85">
        <v>0</v>
      </c>
      <c r="K13" s="85">
        <v>0</v>
      </c>
      <c r="L13" s="85"/>
      <c r="M13" s="85">
        <v>0</v>
      </c>
      <c r="N13" s="85">
        <v>0</v>
      </c>
      <c r="O13" s="85">
        <v>0</v>
      </c>
      <c r="P13" s="85">
        <v>1</v>
      </c>
      <c r="Q13" s="85">
        <v>99.46</v>
      </c>
      <c r="R13" s="85" t="e">
        <f t="shared" si="6"/>
        <v>#REF!</v>
      </c>
      <c r="S13" s="85" t="e">
        <f t="shared" si="7"/>
        <v>#REF!</v>
      </c>
      <c r="T13" s="85" t="e">
        <f t="shared" si="8"/>
        <v>#REF!</v>
      </c>
      <c r="U13" s="85" t="e">
        <f t="shared" si="9"/>
        <v>#REF!</v>
      </c>
      <c r="V13" s="85" t="e">
        <f t="shared" si="10"/>
        <v>#REF!</v>
      </c>
      <c r="W13" s="85" t="e">
        <f t="shared" si="11"/>
        <v>#REF!</v>
      </c>
      <c r="X13" s="85" t="e">
        <f t="shared" si="12"/>
        <v>#REF!</v>
      </c>
      <c r="Y13" s="85" t="e">
        <f t="shared" si="13"/>
        <v>#REF!</v>
      </c>
      <c r="Z13" s="85" t="e">
        <f t="shared" si="14"/>
        <v>#REF!</v>
      </c>
      <c r="AA13" s="85" t="e">
        <f t="shared" si="15"/>
        <v>#REF!</v>
      </c>
      <c r="AB13" s="99"/>
      <c r="AC13" s="100">
        <f>IF(ISNUMBER(FIND("模板",B13)),42,_xlfn.XLOOKUP(B13,#REF!,#REF!))</f>
        <v>42</v>
      </c>
      <c r="AD13" s="100">
        <f t="shared" si="5"/>
        <v>4219.32</v>
      </c>
      <c r="AE13" s="100"/>
      <c r="AF13" s="100"/>
      <c r="AG13" s="100"/>
    </row>
    <row r="14" s="60" customFormat="1" ht="24" outlineLevel="3" spans="1:33">
      <c r="A14" s="80">
        <v>8</v>
      </c>
      <c r="B14" s="81" t="s">
        <v>2301</v>
      </c>
      <c r="C14" s="82" t="e">
        <f>IF(ISNUMBER(FIND(#REF!,$B14,1)),#REF!,VLOOKUP($B14,#REF!,MATCH(C$2,#REF!,0),0))</f>
        <v>#REF!</v>
      </c>
      <c r="D14" s="83" t="s">
        <v>199</v>
      </c>
      <c r="E14" s="83" t="s">
        <v>199</v>
      </c>
      <c r="F14" s="81" t="e">
        <f>IF(ISNUMBER(FIND(#REF!,$B14,1)),#REF!,VLOOKUP($B14,#REF!,MATCH(F$2,#REF!,0),0))</f>
        <v>#REF!</v>
      </c>
      <c r="G14" s="84" t="e">
        <f>IF(ISNUMBER(FIND(#REF!,$B14,1)),#REF!,VLOOKUP($B14,#REF!,MATCH(G$2,#REF!,0),0))</f>
        <v>#REF!</v>
      </c>
      <c r="H14" s="85">
        <f>2908.9*90%</f>
        <v>2618.01</v>
      </c>
      <c r="I14" s="85">
        <f>2908.9*90%</f>
        <v>2618.01</v>
      </c>
      <c r="J14" s="85">
        <f>2582.91*90%</f>
        <v>2324.619</v>
      </c>
      <c r="K14" s="85">
        <f>2582.91*90%</f>
        <v>2324.619</v>
      </c>
      <c r="L14" s="85">
        <v>1513.7535</v>
      </c>
      <c r="M14" s="85">
        <v>0</v>
      </c>
      <c r="N14" s="85">
        <v>0</v>
      </c>
      <c r="O14" s="85">
        <v>0</v>
      </c>
      <c r="P14" s="85">
        <f>8671.63*10%</f>
        <v>867.163</v>
      </c>
      <c r="Q14" s="85">
        <f>9056.09*10%</f>
        <v>905.609</v>
      </c>
      <c r="R14" s="85" t="e">
        <f t="shared" si="6"/>
        <v>#REF!</v>
      </c>
      <c r="S14" s="85" t="e">
        <f t="shared" si="7"/>
        <v>#REF!</v>
      </c>
      <c r="T14" s="85" t="e">
        <f t="shared" si="8"/>
        <v>#REF!</v>
      </c>
      <c r="U14" s="85" t="e">
        <f t="shared" si="9"/>
        <v>#REF!</v>
      </c>
      <c r="V14" s="85" t="e">
        <f t="shared" si="10"/>
        <v>#REF!</v>
      </c>
      <c r="W14" s="85" t="e">
        <f t="shared" si="11"/>
        <v>#REF!</v>
      </c>
      <c r="X14" s="85" t="e">
        <f t="shared" si="12"/>
        <v>#REF!</v>
      </c>
      <c r="Y14" s="85" t="e">
        <f t="shared" si="13"/>
        <v>#REF!</v>
      </c>
      <c r="Z14" s="85" t="e">
        <f t="shared" si="14"/>
        <v>#REF!</v>
      </c>
      <c r="AA14" s="85" t="e">
        <f t="shared" si="15"/>
        <v>#REF!</v>
      </c>
      <c r="AB14" s="99"/>
      <c r="AC14" s="100">
        <f>IF(ISNUMBER(FIND("模板",B14)),42,_xlfn.XLOOKUP(B14,#REF!,#REF!))</f>
        <v>42</v>
      </c>
      <c r="AD14" s="100">
        <f t="shared" si="5"/>
        <v>553214.907</v>
      </c>
      <c r="AE14" s="100"/>
      <c r="AF14" s="100"/>
      <c r="AG14" s="100"/>
    </row>
    <row r="15" s="60" customFormat="1" ht="24" outlineLevel="3" spans="1:33">
      <c r="A15" s="80">
        <v>9</v>
      </c>
      <c r="B15" s="81" t="s">
        <v>2302</v>
      </c>
      <c r="C15" s="82" t="e">
        <f>IF(ISNUMBER(FIND(#REF!,$B15,1)),#REF!,VLOOKUP($B15,#REF!,MATCH(C$2,#REF!,0),0))</f>
        <v>#REF!</v>
      </c>
      <c r="D15" s="83" t="s">
        <v>199</v>
      </c>
      <c r="E15" s="83" t="s">
        <v>199</v>
      </c>
      <c r="F15" s="81" t="e">
        <f>IF(ISNUMBER(FIND(#REF!,$B15,1)),#REF!,VLOOKUP($B15,#REF!,MATCH(F$2,#REF!,0),0))</f>
        <v>#REF!</v>
      </c>
      <c r="G15" s="84" t="e">
        <f>IF(ISNUMBER(FIND(#REF!,$B15,1)),#REF!,VLOOKUP($B15,#REF!,MATCH(G$2,#REF!,0),0))</f>
        <v>#REF!</v>
      </c>
      <c r="H15" s="85">
        <v>290.89</v>
      </c>
      <c r="I15" s="85">
        <v>290.89</v>
      </c>
      <c r="J15" s="85">
        <v>258.291</v>
      </c>
      <c r="K15" s="85">
        <v>258.291</v>
      </c>
      <c r="L15" s="85"/>
      <c r="M15" s="85">
        <v>0</v>
      </c>
      <c r="N15" s="85">
        <v>0</v>
      </c>
      <c r="O15" s="85">
        <v>0</v>
      </c>
      <c r="P15" s="85">
        <v>7804.467</v>
      </c>
      <c r="Q15" s="85">
        <v>8150.481</v>
      </c>
      <c r="R15" s="85" t="e">
        <f t="shared" si="6"/>
        <v>#REF!</v>
      </c>
      <c r="S15" s="85" t="e">
        <f t="shared" si="7"/>
        <v>#REF!</v>
      </c>
      <c r="T15" s="85" t="e">
        <f t="shared" si="8"/>
        <v>#REF!</v>
      </c>
      <c r="U15" s="85" t="e">
        <f t="shared" si="9"/>
        <v>#REF!</v>
      </c>
      <c r="V15" s="85" t="e">
        <f t="shared" si="10"/>
        <v>#REF!</v>
      </c>
      <c r="W15" s="85" t="e">
        <f t="shared" si="11"/>
        <v>#REF!</v>
      </c>
      <c r="X15" s="85" t="e">
        <f t="shared" si="12"/>
        <v>#REF!</v>
      </c>
      <c r="Y15" s="85" t="e">
        <f t="shared" si="13"/>
        <v>#REF!</v>
      </c>
      <c r="Z15" s="85" t="e">
        <f t="shared" si="14"/>
        <v>#REF!</v>
      </c>
      <c r="AA15" s="85" t="e">
        <f t="shared" si="15"/>
        <v>#REF!</v>
      </c>
      <c r="AB15" s="99"/>
      <c r="AC15" s="100" t="e">
        <f>IF(ISNUMBER(FIND("模板",B15)),42,_xlfn.XLOOKUP(B15,#REF!,#REF!))</f>
        <v>#REF!</v>
      </c>
      <c r="AD15" s="100" t="e">
        <f t="shared" si="5"/>
        <v>#REF!</v>
      </c>
      <c r="AE15" s="100"/>
      <c r="AF15" s="100"/>
      <c r="AG15" s="100"/>
    </row>
    <row r="16" s="60" customFormat="1" ht="24" outlineLevel="3" spans="1:33">
      <c r="A16" s="80">
        <v>10</v>
      </c>
      <c r="B16" s="81" t="s">
        <v>2303</v>
      </c>
      <c r="C16" s="82" t="e">
        <f>IF(ISNUMBER(FIND(#REF!,$B16,1)),#REF!,VLOOKUP($B16,#REF!,MATCH(C$2,#REF!,0),0))</f>
        <v>#REF!</v>
      </c>
      <c r="D16" s="83" t="s">
        <v>199</v>
      </c>
      <c r="E16" s="83" t="s">
        <v>199</v>
      </c>
      <c r="F16" s="81" t="e">
        <f>IF(ISNUMBER(FIND(#REF!,$B16,1)),#REF!,VLOOKUP($B16,#REF!,MATCH(F$2,#REF!,0),0))</f>
        <v>#REF!</v>
      </c>
      <c r="G16" s="84" t="e">
        <f>IF(ISNUMBER(FIND(#REF!,$B16,1)),#REF!,VLOOKUP($B16,#REF!,MATCH(G$2,#REF!,0),0))</f>
        <v>#REF!</v>
      </c>
      <c r="H16" s="85">
        <v>125.27</v>
      </c>
      <c r="I16" s="85">
        <v>125.27</v>
      </c>
      <c r="J16" s="85">
        <v>55.09</v>
      </c>
      <c r="K16" s="85">
        <v>55.09</v>
      </c>
      <c r="L16" s="85">
        <v>30.824</v>
      </c>
      <c r="M16" s="85">
        <v>0</v>
      </c>
      <c r="N16" s="85">
        <v>0</v>
      </c>
      <c r="O16" s="85">
        <v>0</v>
      </c>
      <c r="P16" s="85">
        <v>0</v>
      </c>
      <c r="Q16" s="85">
        <v>109.49</v>
      </c>
      <c r="R16" s="85" t="e">
        <f t="shared" si="6"/>
        <v>#REF!</v>
      </c>
      <c r="S16" s="85" t="e">
        <f t="shared" si="7"/>
        <v>#REF!</v>
      </c>
      <c r="T16" s="85" t="e">
        <f t="shared" si="8"/>
        <v>#REF!</v>
      </c>
      <c r="U16" s="85" t="e">
        <f t="shared" si="9"/>
        <v>#REF!</v>
      </c>
      <c r="V16" s="85" t="e">
        <f t="shared" si="10"/>
        <v>#REF!</v>
      </c>
      <c r="W16" s="85" t="e">
        <f t="shared" si="11"/>
        <v>#REF!</v>
      </c>
      <c r="X16" s="85" t="e">
        <f t="shared" si="12"/>
        <v>#REF!</v>
      </c>
      <c r="Y16" s="85" t="e">
        <f t="shared" si="13"/>
        <v>#REF!</v>
      </c>
      <c r="Z16" s="85" t="e">
        <f t="shared" si="14"/>
        <v>#REF!</v>
      </c>
      <c r="AA16" s="85" t="e">
        <f t="shared" si="15"/>
        <v>#REF!</v>
      </c>
      <c r="AB16" s="99"/>
      <c r="AC16" s="100">
        <f>IF(ISNUMBER(FIND("模板",B16)),42,_xlfn.XLOOKUP(B16,#REF!,#REF!))</f>
        <v>42</v>
      </c>
      <c r="AD16" s="100">
        <f t="shared" si="5"/>
        <v>21043.428</v>
      </c>
      <c r="AE16" s="100"/>
      <c r="AF16" s="100"/>
      <c r="AG16" s="100"/>
    </row>
    <row r="17" s="60" customFormat="1" ht="24" outlineLevel="3" spans="1:33">
      <c r="A17" s="80">
        <v>11</v>
      </c>
      <c r="B17" s="81" t="s">
        <v>2304</v>
      </c>
      <c r="C17" s="82" t="e">
        <f>IF(ISNUMBER(FIND(#REF!,$B17,1)),#REF!,VLOOKUP($B17,#REF!,MATCH(C$2,#REF!,0),0))</f>
        <v>#REF!</v>
      </c>
      <c r="D17" s="83" t="s">
        <v>199</v>
      </c>
      <c r="E17" s="83" t="s">
        <v>199</v>
      </c>
      <c r="F17" s="81" t="e">
        <f>IF(ISNUMBER(FIND(#REF!,$B17,1)),#REF!,VLOOKUP($B17,#REF!,MATCH(F$2,#REF!,0),0))</f>
        <v>#REF!</v>
      </c>
      <c r="G17" s="84" t="e">
        <f>IF(ISNUMBER(FIND(#REF!,$B17,1)),#REF!,VLOOKUP($B17,#REF!,MATCH(G$2,#REF!,0),0))</f>
        <v>#REF!</v>
      </c>
      <c r="H17" s="85">
        <v>653.47</v>
      </c>
      <c r="I17" s="85">
        <v>653.47</v>
      </c>
      <c r="J17" s="85">
        <v>547.8</v>
      </c>
      <c r="K17" s="85">
        <v>547.8</v>
      </c>
      <c r="L17" s="85">
        <v>427.3763</v>
      </c>
      <c r="M17" s="85">
        <v>0</v>
      </c>
      <c r="N17" s="85">
        <v>0</v>
      </c>
      <c r="O17" s="85">
        <v>0</v>
      </c>
      <c r="P17" s="85">
        <v>2561.23</v>
      </c>
      <c r="Q17" s="85">
        <v>6225.41</v>
      </c>
      <c r="R17" s="85" t="e">
        <f t="shared" si="6"/>
        <v>#REF!</v>
      </c>
      <c r="S17" s="85" t="e">
        <f t="shared" si="7"/>
        <v>#REF!</v>
      </c>
      <c r="T17" s="85" t="e">
        <f t="shared" si="8"/>
        <v>#REF!</v>
      </c>
      <c r="U17" s="85" t="e">
        <f t="shared" si="9"/>
        <v>#REF!</v>
      </c>
      <c r="V17" s="85" t="e">
        <f t="shared" si="10"/>
        <v>#REF!</v>
      </c>
      <c r="W17" s="85" t="e">
        <f t="shared" si="11"/>
        <v>#REF!</v>
      </c>
      <c r="X17" s="85" t="e">
        <f t="shared" si="12"/>
        <v>#REF!</v>
      </c>
      <c r="Y17" s="85" t="e">
        <f t="shared" si="13"/>
        <v>#REF!</v>
      </c>
      <c r="Z17" s="85" t="e">
        <f t="shared" si="14"/>
        <v>#REF!</v>
      </c>
      <c r="AA17" s="85" t="e">
        <f t="shared" si="15"/>
        <v>#REF!</v>
      </c>
      <c r="AB17" s="99"/>
      <c r="AC17" s="100">
        <f>IF(ISNUMBER(FIND("模板",B17)),42,_xlfn.XLOOKUP(B17,#REF!,#REF!))</f>
        <v>42</v>
      </c>
      <c r="AD17" s="100">
        <f t="shared" si="5"/>
        <v>487895.3646</v>
      </c>
      <c r="AE17" s="100"/>
      <c r="AF17" s="100"/>
      <c r="AG17" s="100"/>
    </row>
    <row r="18" s="60" customFormat="1" ht="24" outlineLevel="3" spans="1:33">
      <c r="A18" s="80">
        <v>12</v>
      </c>
      <c r="B18" s="81" t="s">
        <v>2305</v>
      </c>
      <c r="C18" s="82" t="e">
        <f>IF(ISNUMBER(FIND(#REF!,$B18,1)),#REF!,VLOOKUP($B18,#REF!,MATCH(C$2,#REF!,0),0))</f>
        <v>#REF!</v>
      </c>
      <c r="D18" s="83" t="s">
        <v>199</v>
      </c>
      <c r="E18" s="83" t="s">
        <v>199</v>
      </c>
      <c r="F18" s="81" t="e">
        <f>IF(ISNUMBER(FIND(#REF!,$B18,1)),#REF!,VLOOKUP($B18,#REF!,MATCH(F$2,#REF!,0),0))</f>
        <v>#REF!</v>
      </c>
      <c r="G18" s="84" t="e">
        <f>IF(ISNUMBER(FIND(#REF!,$B18,1)),#REF!,VLOOKUP($B18,#REF!,MATCH(G$2,#REF!,0),0))</f>
        <v>#REF!</v>
      </c>
      <c r="H18" s="85">
        <v>0</v>
      </c>
      <c r="I18" s="85">
        <v>0</v>
      </c>
      <c r="J18" s="85">
        <v>0</v>
      </c>
      <c r="K18" s="85">
        <v>0</v>
      </c>
      <c r="L18" s="85"/>
      <c r="M18" s="85">
        <v>0</v>
      </c>
      <c r="N18" s="85">
        <v>0</v>
      </c>
      <c r="O18" s="85">
        <v>0</v>
      </c>
      <c r="P18" s="85">
        <v>7683.66</v>
      </c>
      <c r="Q18" s="85">
        <v>23358.87</v>
      </c>
      <c r="R18" s="85" t="e">
        <f t="shared" si="6"/>
        <v>#REF!</v>
      </c>
      <c r="S18" s="85" t="e">
        <f t="shared" si="7"/>
        <v>#REF!</v>
      </c>
      <c r="T18" s="85" t="e">
        <f t="shared" si="8"/>
        <v>#REF!</v>
      </c>
      <c r="U18" s="85" t="e">
        <f t="shared" si="9"/>
        <v>#REF!</v>
      </c>
      <c r="V18" s="85" t="e">
        <f t="shared" si="10"/>
        <v>#REF!</v>
      </c>
      <c r="W18" s="85" t="e">
        <f t="shared" si="11"/>
        <v>#REF!</v>
      </c>
      <c r="X18" s="85" t="e">
        <f t="shared" si="12"/>
        <v>#REF!</v>
      </c>
      <c r="Y18" s="85" t="e">
        <f t="shared" si="13"/>
        <v>#REF!</v>
      </c>
      <c r="Z18" s="85" t="e">
        <f t="shared" si="14"/>
        <v>#REF!</v>
      </c>
      <c r="AA18" s="85" t="e">
        <f t="shared" si="15"/>
        <v>#REF!</v>
      </c>
      <c r="AB18" s="99"/>
      <c r="AC18" s="100">
        <f>IF(ISNUMBER(FIND("模板",B18)),42,_xlfn.XLOOKUP(B18,#REF!,#REF!))</f>
        <v>42</v>
      </c>
      <c r="AD18" s="100">
        <f t="shared" si="5"/>
        <v>1303786.26</v>
      </c>
      <c r="AE18" s="100"/>
      <c r="AF18" s="100"/>
      <c r="AG18" s="100"/>
    </row>
    <row r="19" s="60" customFormat="1" ht="24" outlineLevel="3" spans="1:33">
      <c r="A19" s="80">
        <v>13</v>
      </c>
      <c r="B19" s="81" t="s">
        <v>2306</v>
      </c>
      <c r="C19" s="82" t="e">
        <f>IF(ISNUMBER(FIND(#REF!,$B19,1)),#REF!,VLOOKUP($B19,#REF!,MATCH(C$2,#REF!,0),0))</f>
        <v>#REF!</v>
      </c>
      <c r="D19" s="83" t="s">
        <v>199</v>
      </c>
      <c r="E19" s="83" t="s">
        <v>199</v>
      </c>
      <c r="F19" s="81" t="e">
        <f>IF(ISNUMBER(FIND(#REF!,$B19,1)),#REF!,VLOOKUP($B19,#REF!,MATCH(F$2,#REF!,0),0))</f>
        <v>#REF!</v>
      </c>
      <c r="G19" s="84" t="e">
        <f>IF(ISNUMBER(FIND(#REF!,$B19,1)),#REF!,VLOOKUP($B19,#REF!,MATCH(G$2,#REF!,0),0))</f>
        <v>#REF!</v>
      </c>
      <c r="H19" s="85">
        <v>0</v>
      </c>
      <c r="I19" s="85">
        <v>0</v>
      </c>
      <c r="J19" s="85">
        <v>0</v>
      </c>
      <c r="K19" s="85">
        <v>0</v>
      </c>
      <c r="L19" s="85"/>
      <c r="M19" s="85">
        <v>0</v>
      </c>
      <c r="N19" s="85">
        <v>0</v>
      </c>
      <c r="O19" s="85">
        <v>0</v>
      </c>
      <c r="P19" s="85">
        <v>87.7</v>
      </c>
      <c r="Q19" s="85">
        <v>201.93</v>
      </c>
      <c r="R19" s="85" t="e">
        <f t="shared" si="6"/>
        <v>#REF!</v>
      </c>
      <c r="S19" s="85" t="e">
        <f t="shared" si="7"/>
        <v>#REF!</v>
      </c>
      <c r="T19" s="85" t="e">
        <f t="shared" si="8"/>
        <v>#REF!</v>
      </c>
      <c r="U19" s="85" t="e">
        <f t="shared" si="9"/>
        <v>#REF!</v>
      </c>
      <c r="V19" s="85" t="e">
        <f t="shared" si="10"/>
        <v>#REF!</v>
      </c>
      <c r="W19" s="85" t="e">
        <f t="shared" si="11"/>
        <v>#REF!</v>
      </c>
      <c r="X19" s="85" t="e">
        <f t="shared" si="12"/>
        <v>#REF!</v>
      </c>
      <c r="Y19" s="85" t="e">
        <f t="shared" si="13"/>
        <v>#REF!</v>
      </c>
      <c r="Z19" s="85" t="e">
        <f t="shared" si="14"/>
        <v>#REF!</v>
      </c>
      <c r="AA19" s="85" t="e">
        <f t="shared" si="15"/>
        <v>#REF!</v>
      </c>
      <c r="AB19" s="99"/>
      <c r="AC19" s="100">
        <f>IF(ISNUMBER(FIND("模板",B19)),42,_xlfn.XLOOKUP(B19,#REF!,#REF!))</f>
        <v>42</v>
      </c>
      <c r="AD19" s="100">
        <f t="shared" si="5"/>
        <v>12164.46</v>
      </c>
      <c r="AE19" s="100"/>
      <c r="AF19" s="100"/>
      <c r="AG19" s="100"/>
    </row>
    <row r="20" s="60" customFormat="1" ht="24" outlineLevel="3" spans="1:33">
      <c r="A20" s="80">
        <v>14</v>
      </c>
      <c r="B20" s="81" t="s">
        <v>2307</v>
      </c>
      <c r="C20" s="82" t="e">
        <f>IF(ISNUMBER(FIND(#REF!,$B20,1)),#REF!,VLOOKUP($B20,#REF!,MATCH(C$2,#REF!,0),0))</f>
        <v>#REF!</v>
      </c>
      <c r="D20" s="83" t="s">
        <v>199</v>
      </c>
      <c r="E20" s="83" t="s">
        <v>199</v>
      </c>
      <c r="F20" s="81" t="e">
        <f>IF(ISNUMBER(FIND(#REF!,$B20,1)),#REF!,VLOOKUP($B20,#REF!,MATCH(F$2,#REF!,0),0))</f>
        <v>#REF!</v>
      </c>
      <c r="G20" s="84" t="e">
        <f>IF(ISNUMBER(FIND(#REF!,$B20,1)),#REF!,VLOOKUP($B20,#REF!,MATCH(G$2,#REF!,0),0))</f>
        <v>#REF!</v>
      </c>
      <c r="H20" s="85">
        <v>12.1</v>
      </c>
      <c r="I20" s="85">
        <v>12.1</v>
      </c>
      <c r="J20" s="85">
        <v>1</v>
      </c>
      <c r="K20" s="85">
        <v>1</v>
      </c>
      <c r="L20" s="85"/>
      <c r="M20" s="85">
        <v>0</v>
      </c>
      <c r="N20" s="85">
        <v>0</v>
      </c>
      <c r="O20" s="85">
        <v>0</v>
      </c>
      <c r="P20" s="85">
        <v>2.07</v>
      </c>
      <c r="Q20" s="85">
        <v>1</v>
      </c>
      <c r="R20" s="85" t="e">
        <f t="shared" si="6"/>
        <v>#REF!</v>
      </c>
      <c r="S20" s="85" t="e">
        <f t="shared" si="7"/>
        <v>#REF!</v>
      </c>
      <c r="T20" s="85" t="e">
        <f t="shared" si="8"/>
        <v>#REF!</v>
      </c>
      <c r="U20" s="85" t="e">
        <f t="shared" si="9"/>
        <v>#REF!</v>
      </c>
      <c r="V20" s="85" t="e">
        <f t="shared" si="10"/>
        <v>#REF!</v>
      </c>
      <c r="W20" s="85" t="e">
        <f t="shared" si="11"/>
        <v>#REF!</v>
      </c>
      <c r="X20" s="85" t="e">
        <f t="shared" si="12"/>
        <v>#REF!</v>
      </c>
      <c r="Y20" s="85" t="e">
        <f t="shared" si="13"/>
        <v>#REF!</v>
      </c>
      <c r="Z20" s="85" t="e">
        <f t="shared" si="14"/>
        <v>#REF!</v>
      </c>
      <c r="AA20" s="85" t="e">
        <f t="shared" si="15"/>
        <v>#REF!</v>
      </c>
      <c r="AB20" s="99"/>
      <c r="AC20" s="100">
        <f>IF(ISNUMBER(FIND("模板",B20)),42,_xlfn.XLOOKUP(B20,#REF!,#REF!))</f>
        <v>42</v>
      </c>
      <c r="AD20" s="100">
        <f t="shared" si="5"/>
        <v>1229.34</v>
      </c>
      <c r="AE20" s="100"/>
      <c r="AF20" s="100"/>
      <c r="AG20" s="100"/>
    </row>
    <row r="21" s="60" customFormat="1" ht="24" outlineLevel="3" spans="1:33">
      <c r="A21" s="80">
        <v>15</v>
      </c>
      <c r="B21" s="81" t="s">
        <v>2308</v>
      </c>
      <c r="C21" s="82" t="e">
        <f>IF(ISNUMBER(FIND(#REF!,$B21,1)),#REF!,VLOOKUP($B21,#REF!,MATCH(C$2,#REF!,0),0))</f>
        <v>#REF!</v>
      </c>
      <c r="D21" s="83" t="s">
        <v>199</v>
      </c>
      <c r="E21" s="83" t="s">
        <v>199</v>
      </c>
      <c r="F21" s="81" t="e">
        <f>IF(ISNUMBER(FIND(#REF!,$B21,1)),#REF!,VLOOKUP($B21,#REF!,MATCH(F$2,#REF!,0),0))</f>
        <v>#REF!</v>
      </c>
      <c r="G21" s="84" t="e">
        <f>IF(ISNUMBER(FIND(#REF!,$B21,1)),#REF!,VLOOKUP($B21,#REF!,MATCH(G$2,#REF!,0),0))</f>
        <v>#REF!</v>
      </c>
      <c r="H21" s="85">
        <v>88.97</v>
      </c>
      <c r="I21" s="85">
        <v>88.97</v>
      </c>
      <c r="J21" s="85">
        <v>29.91</v>
      </c>
      <c r="K21" s="85">
        <v>29.91</v>
      </c>
      <c r="L21" s="85">
        <v>27.0321</v>
      </c>
      <c r="M21" s="85">
        <v>0</v>
      </c>
      <c r="N21" s="85">
        <v>0</v>
      </c>
      <c r="O21" s="85">
        <v>0</v>
      </c>
      <c r="P21" s="85">
        <v>298.19</v>
      </c>
      <c r="Q21" s="85">
        <v>524.29</v>
      </c>
      <c r="R21" s="85" t="e">
        <f t="shared" si="6"/>
        <v>#REF!</v>
      </c>
      <c r="S21" s="85" t="e">
        <f t="shared" si="7"/>
        <v>#REF!</v>
      </c>
      <c r="T21" s="85" t="e">
        <f t="shared" si="8"/>
        <v>#REF!</v>
      </c>
      <c r="U21" s="85" t="e">
        <f t="shared" si="9"/>
        <v>#REF!</v>
      </c>
      <c r="V21" s="85" t="e">
        <f t="shared" si="10"/>
        <v>#REF!</v>
      </c>
      <c r="W21" s="85" t="e">
        <f t="shared" si="11"/>
        <v>#REF!</v>
      </c>
      <c r="X21" s="85" t="e">
        <f t="shared" si="12"/>
        <v>#REF!</v>
      </c>
      <c r="Y21" s="85" t="e">
        <f t="shared" si="13"/>
        <v>#REF!</v>
      </c>
      <c r="Z21" s="85" t="e">
        <f t="shared" si="14"/>
        <v>#REF!</v>
      </c>
      <c r="AA21" s="85" t="e">
        <f t="shared" si="15"/>
        <v>#REF!</v>
      </c>
      <c r="AB21" s="99"/>
      <c r="AC21" s="100" t="e">
        <f>IF(ISNUMBER(FIND("模板",B21)),42,_xlfn.XLOOKUP(B21,#REF!,#REF!))</f>
        <v>#REF!</v>
      </c>
      <c r="AD21" s="100" t="e">
        <f t="shared" si="5"/>
        <v>#REF!</v>
      </c>
      <c r="AE21" s="100"/>
      <c r="AF21" s="100"/>
      <c r="AG21" s="100"/>
    </row>
    <row r="22" s="60" customFormat="1" ht="24" outlineLevel="3" spans="1:33">
      <c r="A22" s="80">
        <v>16</v>
      </c>
      <c r="B22" s="81" t="s">
        <v>2309</v>
      </c>
      <c r="C22" s="82" t="e">
        <f>IF(ISNUMBER(FIND(#REF!,$B22,1)),#REF!,VLOOKUP($B22,#REF!,MATCH(C$2,#REF!,0),0))</f>
        <v>#REF!</v>
      </c>
      <c r="D22" s="83" t="s">
        <v>199</v>
      </c>
      <c r="E22" s="83" t="s">
        <v>199</v>
      </c>
      <c r="F22" s="81" t="e">
        <f>IF(ISNUMBER(FIND(#REF!,$B22,1)),#REF!,VLOOKUP($B22,#REF!,MATCH(F$2,#REF!,0),0))</f>
        <v>#REF!</v>
      </c>
      <c r="G22" s="84" t="e">
        <f>IF(ISNUMBER(FIND(#REF!,$B22,1)),#REF!,VLOOKUP($B22,#REF!,MATCH(G$2,#REF!,0),0))</f>
        <v>#REF!</v>
      </c>
      <c r="H22" s="85">
        <v>0.94</v>
      </c>
      <c r="I22" s="85">
        <v>0.94</v>
      </c>
      <c r="J22" s="85">
        <v>1</v>
      </c>
      <c r="K22" s="85">
        <v>1</v>
      </c>
      <c r="L22" s="85"/>
      <c r="M22" s="85">
        <v>0</v>
      </c>
      <c r="N22" s="85">
        <v>0</v>
      </c>
      <c r="O22" s="85">
        <v>0</v>
      </c>
      <c r="P22" s="85">
        <v>43.15</v>
      </c>
      <c r="Q22" s="85">
        <v>1</v>
      </c>
      <c r="R22" s="85" t="e">
        <f t="shared" si="6"/>
        <v>#REF!</v>
      </c>
      <c r="S22" s="85" t="e">
        <f t="shared" si="7"/>
        <v>#REF!</v>
      </c>
      <c r="T22" s="85" t="e">
        <f t="shared" si="8"/>
        <v>#REF!</v>
      </c>
      <c r="U22" s="85" t="e">
        <f t="shared" si="9"/>
        <v>#REF!</v>
      </c>
      <c r="V22" s="85" t="e">
        <f t="shared" si="10"/>
        <v>#REF!</v>
      </c>
      <c r="W22" s="85" t="e">
        <f t="shared" si="11"/>
        <v>#REF!</v>
      </c>
      <c r="X22" s="85" t="e">
        <f t="shared" si="12"/>
        <v>#REF!</v>
      </c>
      <c r="Y22" s="85" t="e">
        <f t="shared" si="13"/>
        <v>#REF!</v>
      </c>
      <c r="Z22" s="85" t="e">
        <f t="shared" si="14"/>
        <v>#REF!</v>
      </c>
      <c r="AA22" s="85" t="e">
        <f t="shared" si="15"/>
        <v>#REF!</v>
      </c>
      <c r="AB22" s="99"/>
      <c r="AC22" s="100">
        <f>IF(ISNUMBER(FIND("模板",B22)),42,_xlfn.XLOOKUP(B22,#REF!,#REF!))</f>
        <v>42</v>
      </c>
      <c r="AD22" s="100">
        <f t="shared" si="5"/>
        <v>2017.26</v>
      </c>
      <c r="AE22" s="100"/>
      <c r="AF22" s="100"/>
      <c r="AG22" s="100"/>
    </row>
    <row r="23" s="60" customFormat="1" ht="24" outlineLevel="3" spans="1:33">
      <c r="A23" s="80">
        <v>17</v>
      </c>
      <c r="B23" s="81" t="s">
        <v>2310</v>
      </c>
      <c r="C23" s="82" t="e">
        <f>IF(ISNUMBER(FIND(#REF!,$B23,1)),#REF!,VLOOKUP($B23,#REF!,MATCH(C$2,#REF!,0),0))</f>
        <v>#REF!</v>
      </c>
      <c r="D23" s="83" t="s">
        <v>199</v>
      </c>
      <c r="E23" s="83" t="s">
        <v>199</v>
      </c>
      <c r="F23" s="81" t="e">
        <f>IF(ISNUMBER(FIND(#REF!,$B23,1)),#REF!,VLOOKUP($B23,#REF!,MATCH(F$2,#REF!,0),0))</f>
        <v>#REF!</v>
      </c>
      <c r="G23" s="84" t="e">
        <f>IF(ISNUMBER(FIND(#REF!,$B23,1)),#REF!,VLOOKUP($B23,#REF!,MATCH(G$2,#REF!,0),0))</f>
        <v>#REF!</v>
      </c>
      <c r="H23" s="85">
        <v>4.3</v>
      </c>
      <c r="I23" s="85">
        <v>4.3</v>
      </c>
      <c r="J23" s="85">
        <v>3.38</v>
      </c>
      <c r="K23" s="85">
        <v>3.38</v>
      </c>
      <c r="L23" s="85"/>
      <c r="M23" s="85">
        <v>0</v>
      </c>
      <c r="N23" s="85">
        <v>0</v>
      </c>
      <c r="O23" s="85">
        <v>0</v>
      </c>
      <c r="P23" s="85">
        <v>32.31</v>
      </c>
      <c r="Q23" s="85">
        <v>125.23</v>
      </c>
      <c r="R23" s="85" t="e">
        <f t="shared" si="6"/>
        <v>#REF!</v>
      </c>
      <c r="S23" s="85" t="e">
        <f t="shared" si="7"/>
        <v>#REF!</v>
      </c>
      <c r="T23" s="85" t="e">
        <f t="shared" si="8"/>
        <v>#REF!</v>
      </c>
      <c r="U23" s="85" t="e">
        <f t="shared" si="9"/>
        <v>#REF!</v>
      </c>
      <c r="V23" s="85" t="e">
        <f t="shared" si="10"/>
        <v>#REF!</v>
      </c>
      <c r="W23" s="85" t="e">
        <f t="shared" si="11"/>
        <v>#REF!</v>
      </c>
      <c r="X23" s="85" t="e">
        <f t="shared" si="12"/>
        <v>#REF!</v>
      </c>
      <c r="Y23" s="85" t="e">
        <f t="shared" si="13"/>
        <v>#REF!</v>
      </c>
      <c r="Z23" s="85" t="e">
        <f t="shared" si="14"/>
        <v>#REF!</v>
      </c>
      <c r="AA23" s="85" t="e">
        <f t="shared" si="15"/>
        <v>#REF!</v>
      </c>
      <c r="AB23" s="99"/>
      <c r="AC23" s="100">
        <f>IF(ISNUMBER(FIND("模板",B23)),42,_xlfn.XLOOKUP(B23,#REF!,#REF!))</f>
        <v>42</v>
      </c>
      <c r="AD23" s="100">
        <f t="shared" si="5"/>
        <v>7261.8</v>
      </c>
      <c r="AE23" s="100"/>
      <c r="AF23" s="100"/>
      <c r="AG23" s="100"/>
    </row>
    <row r="24" s="60" customFormat="1" ht="24" outlineLevel="3" spans="1:33">
      <c r="A24" s="80">
        <v>18</v>
      </c>
      <c r="B24" s="81" t="s">
        <v>2311</v>
      </c>
      <c r="C24" s="82" t="e">
        <f>IF(ISNUMBER(FIND(#REF!,$B24,1)),#REF!,VLOOKUP($B24,#REF!,MATCH(C$2,#REF!,0),0))</f>
        <v>#REF!</v>
      </c>
      <c r="D24" s="83" t="s">
        <v>199</v>
      </c>
      <c r="E24" s="83" t="s">
        <v>199</v>
      </c>
      <c r="F24" s="81" t="e">
        <f>IF(ISNUMBER(FIND(#REF!,$B24,1)),#REF!,VLOOKUP($B24,#REF!,MATCH(F$2,#REF!,0),0))</f>
        <v>#REF!</v>
      </c>
      <c r="G24" s="84" t="e">
        <f>IF(ISNUMBER(FIND(#REF!,$B24,1)),#REF!,VLOOKUP($B24,#REF!,MATCH(G$2,#REF!,0),0))</f>
        <v>#REF!</v>
      </c>
      <c r="H24" s="85">
        <v>7.6</v>
      </c>
      <c r="I24" s="85">
        <v>7.6</v>
      </c>
      <c r="J24" s="85">
        <v>7.06</v>
      </c>
      <c r="K24" s="85">
        <v>7.06</v>
      </c>
      <c r="L24" s="85"/>
      <c r="M24" s="85">
        <v>0</v>
      </c>
      <c r="N24" s="85">
        <v>0</v>
      </c>
      <c r="O24" s="85">
        <v>0</v>
      </c>
      <c r="P24" s="85">
        <v>602.24</v>
      </c>
      <c r="Q24" s="85">
        <v>1865.63</v>
      </c>
      <c r="R24" s="85" t="e">
        <f t="shared" si="6"/>
        <v>#REF!</v>
      </c>
      <c r="S24" s="85" t="e">
        <f t="shared" si="7"/>
        <v>#REF!</v>
      </c>
      <c r="T24" s="85" t="e">
        <f t="shared" si="8"/>
        <v>#REF!</v>
      </c>
      <c r="U24" s="85" t="e">
        <f t="shared" si="9"/>
        <v>#REF!</v>
      </c>
      <c r="V24" s="85" t="e">
        <f t="shared" si="10"/>
        <v>#REF!</v>
      </c>
      <c r="W24" s="85" t="e">
        <f t="shared" si="11"/>
        <v>#REF!</v>
      </c>
      <c r="X24" s="85" t="e">
        <f t="shared" si="12"/>
        <v>#REF!</v>
      </c>
      <c r="Y24" s="85" t="e">
        <f t="shared" si="13"/>
        <v>#REF!</v>
      </c>
      <c r="Z24" s="85" t="e">
        <f t="shared" si="14"/>
        <v>#REF!</v>
      </c>
      <c r="AA24" s="85" t="e">
        <f t="shared" si="15"/>
        <v>#REF!</v>
      </c>
      <c r="AB24" s="99"/>
      <c r="AC24" s="100">
        <f>IF(ISNUMBER(FIND("模板",B24)),42,_xlfn.XLOOKUP(B24,#REF!,#REF!))</f>
        <v>42</v>
      </c>
      <c r="AD24" s="100">
        <f t="shared" si="5"/>
        <v>104881.98</v>
      </c>
      <c r="AE24" s="100"/>
      <c r="AF24" s="100"/>
      <c r="AG24" s="100"/>
    </row>
    <row r="25" s="60" customFormat="1" ht="24" outlineLevel="3" spans="1:33">
      <c r="A25" s="80">
        <v>19</v>
      </c>
      <c r="B25" s="81" t="s">
        <v>2312</v>
      </c>
      <c r="C25" s="82" t="e">
        <f>IF(ISNUMBER(FIND(#REF!,$B25,1)),#REF!,VLOOKUP($B25,#REF!,MATCH(C$2,#REF!,0),0))</f>
        <v>#REF!</v>
      </c>
      <c r="D25" s="83" t="s">
        <v>199</v>
      </c>
      <c r="E25" s="83" t="s">
        <v>199</v>
      </c>
      <c r="F25" s="81" t="e">
        <f>IF(ISNUMBER(FIND(#REF!,$B25,1)),#REF!,VLOOKUP($B25,#REF!,MATCH(F$2,#REF!,0),0))</f>
        <v>#REF!</v>
      </c>
      <c r="G25" s="84" t="e">
        <f>IF(ISNUMBER(FIND(#REF!,$B25,1)),#REF!,VLOOKUP($B25,#REF!,MATCH(G$2,#REF!,0),0))</f>
        <v>#REF!</v>
      </c>
      <c r="H25" s="85">
        <v>7.6</v>
      </c>
      <c r="I25" s="85">
        <v>7.6</v>
      </c>
      <c r="J25" s="85">
        <v>8.18</v>
      </c>
      <c r="K25" s="85">
        <v>8.18</v>
      </c>
      <c r="L25" s="85"/>
      <c r="M25" s="85">
        <v>0</v>
      </c>
      <c r="N25" s="85">
        <v>0</v>
      </c>
      <c r="O25" s="85">
        <v>0</v>
      </c>
      <c r="P25" s="85">
        <v>155.57</v>
      </c>
      <c r="Q25" s="85">
        <v>175.27</v>
      </c>
      <c r="R25" s="85" t="e">
        <f t="shared" si="6"/>
        <v>#REF!</v>
      </c>
      <c r="S25" s="85" t="e">
        <f t="shared" si="7"/>
        <v>#REF!</v>
      </c>
      <c r="T25" s="85" t="e">
        <f t="shared" si="8"/>
        <v>#REF!</v>
      </c>
      <c r="U25" s="85" t="e">
        <f t="shared" si="9"/>
        <v>#REF!</v>
      </c>
      <c r="V25" s="85" t="e">
        <f t="shared" si="10"/>
        <v>#REF!</v>
      </c>
      <c r="W25" s="85" t="e">
        <f t="shared" si="11"/>
        <v>#REF!</v>
      </c>
      <c r="X25" s="85" t="e">
        <f t="shared" si="12"/>
        <v>#REF!</v>
      </c>
      <c r="Y25" s="85" t="e">
        <f t="shared" si="13"/>
        <v>#REF!</v>
      </c>
      <c r="Z25" s="85" t="e">
        <f t="shared" si="14"/>
        <v>#REF!</v>
      </c>
      <c r="AA25" s="85" t="e">
        <f t="shared" si="15"/>
        <v>#REF!</v>
      </c>
      <c r="AB25" s="99"/>
      <c r="AC25" s="100">
        <f>IF(ISNUMBER(FIND("模板",B25)),42,_xlfn.XLOOKUP(B25,#REF!,#REF!))</f>
        <v>42</v>
      </c>
      <c r="AD25" s="100">
        <f t="shared" si="5"/>
        <v>15220.8</v>
      </c>
      <c r="AE25" s="100"/>
      <c r="AF25" s="100"/>
      <c r="AG25" s="100"/>
    </row>
    <row r="26" s="60" customFormat="1" ht="24" outlineLevel="3" spans="1:33">
      <c r="A26" s="80">
        <v>20</v>
      </c>
      <c r="B26" s="81" t="s">
        <v>2313</v>
      </c>
      <c r="C26" s="82" t="e">
        <f>IF(ISNUMBER(FIND(#REF!,$B26,1)),#REF!,VLOOKUP($B26,#REF!,MATCH(C$2,#REF!,0),0))</f>
        <v>#REF!</v>
      </c>
      <c r="D26" s="83" t="s">
        <v>199</v>
      </c>
      <c r="E26" s="83" t="s">
        <v>199</v>
      </c>
      <c r="F26" s="81" t="e">
        <f>IF(ISNUMBER(FIND(#REF!,$B26,1)),#REF!,VLOOKUP($B26,#REF!,MATCH(F$2,#REF!,0),0))</f>
        <v>#REF!</v>
      </c>
      <c r="G26" s="84" t="e">
        <f>IF(ISNUMBER(FIND(#REF!,$B26,1)),#REF!,VLOOKUP($B26,#REF!,MATCH(G$2,#REF!,0),0))</f>
        <v>#REF!</v>
      </c>
      <c r="H26" s="85">
        <v>1.12</v>
      </c>
      <c r="I26" s="85">
        <v>1.12</v>
      </c>
      <c r="J26" s="85">
        <v>0.98</v>
      </c>
      <c r="K26" s="85">
        <v>0.98</v>
      </c>
      <c r="L26" s="85"/>
      <c r="M26" s="85">
        <v>0</v>
      </c>
      <c r="N26" s="85">
        <v>0</v>
      </c>
      <c r="O26" s="85">
        <v>0</v>
      </c>
      <c r="P26" s="85">
        <v>14.61</v>
      </c>
      <c r="Q26" s="85">
        <v>26.53</v>
      </c>
      <c r="R26" s="85" t="e">
        <f t="shared" si="6"/>
        <v>#REF!</v>
      </c>
      <c r="S26" s="85" t="e">
        <f t="shared" si="7"/>
        <v>#REF!</v>
      </c>
      <c r="T26" s="85" t="e">
        <f t="shared" si="8"/>
        <v>#REF!</v>
      </c>
      <c r="U26" s="85" t="e">
        <f t="shared" si="9"/>
        <v>#REF!</v>
      </c>
      <c r="V26" s="85" t="e">
        <f t="shared" si="10"/>
        <v>#REF!</v>
      </c>
      <c r="W26" s="85" t="e">
        <f t="shared" si="11"/>
        <v>#REF!</v>
      </c>
      <c r="X26" s="85" t="e">
        <f t="shared" si="12"/>
        <v>#REF!</v>
      </c>
      <c r="Y26" s="85" t="e">
        <f t="shared" si="13"/>
        <v>#REF!</v>
      </c>
      <c r="Z26" s="85" t="e">
        <f t="shared" si="14"/>
        <v>#REF!</v>
      </c>
      <c r="AA26" s="85" t="e">
        <f t="shared" si="15"/>
        <v>#REF!</v>
      </c>
      <c r="AB26" s="99"/>
      <c r="AC26" s="100">
        <f>IF(ISNUMBER(FIND("模板",B26)),42,_xlfn.XLOOKUP(B26,#REF!,#REF!))</f>
        <v>42</v>
      </c>
      <c r="AD26" s="100">
        <f t="shared" si="5"/>
        <v>1904.28</v>
      </c>
      <c r="AE26" s="100"/>
      <c r="AF26" s="100"/>
      <c r="AG26" s="100"/>
    </row>
    <row r="27" s="60" customFormat="1" ht="24" outlineLevel="3" spans="1:33">
      <c r="A27" s="80">
        <v>21</v>
      </c>
      <c r="B27" s="81" t="s">
        <v>2314</v>
      </c>
      <c r="C27" s="82" t="e">
        <f>IF(ISNUMBER(FIND(#REF!,$B27,1)),#REF!,VLOOKUP($B27,#REF!,MATCH(C$2,#REF!,0),0))</f>
        <v>#REF!</v>
      </c>
      <c r="D27" s="83" t="s">
        <v>199</v>
      </c>
      <c r="E27" s="83" t="s">
        <v>199</v>
      </c>
      <c r="F27" s="81" t="e">
        <f>IF(ISNUMBER(FIND(#REF!,$B27,1)),#REF!,VLOOKUP($B27,#REF!,MATCH(F$2,#REF!,0),0))</f>
        <v>#REF!</v>
      </c>
      <c r="G27" s="84" t="e">
        <f>IF(ISNUMBER(FIND(#REF!,$B27,1)),#REF!,VLOOKUP($B27,#REF!,MATCH(G$2,#REF!,0),0))</f>
        <v>#REF!</v>
      </c>
      <c r="H27" s="85">
        <f>76</f>
        <v>76</v>
      </c>
      <c r="I27" s="85">
        <f>76</f>
        <v>76</v>
      </c>
      <c r="J27" s="85">
        <f>76</f>
        <v>76</v>
      </c>
      <c r="K27" s="85">
        <f>76</f>
        <v>76</v>
      </c>
      <c r="L27" s="85"/>
      <c r="M27" s="85">
        <v>0</v>
      </c>
      <c r="N27" s="85">
        <v>0</v>
      </c>
      <c r="O27" s="85">
        <v>0</v>
      </c>
      <c r="P27" s="85">
        <f>1397.525</f>
        <v>1397.525</v>
      </c>
      <c r="Q27" s="85">
        <f>4192.575</f>
        <v>4192.575</v>
      </c>
      <c r="R27" s="85" t="e">
        <f t="shared" si="6"/>
        <v>#REF!</v>
      </c>
      <c r="S27" s="85" t="e">
        <f t="shared" si="7"/>
        <v>#REF!</v>
      </c>
      <c r="T27" s="85" t="e">
        <f t="shared" si="8"/>
        <v>#REF!</v>
      </c>
      <c r="U27" s="85" t="e">
        <f t="shared" si="9"/>
        <v>#REF!</v>
      </c>
      <c r="V27" s="85" t="e">
        <f t="shared" si="10"/>
        <v>#REF!</v>
      </c>
      <c r="W27" s="85" t="e">
        <f t="shared" si="11"/>
        <v>#REF!</v>
      </c>
      <c r="X27" s="85" t="e">
        <f t="shared" si="12"/>
        <v>#REF!</v>
      </c>
      <c r="Y27" s="85" t="e">
        <f t="shared" si="13"/>
        <v>#REF!</v>
      </c>
      <c r="Z27" s="85" t="e">
        <f t="shared" si="14"/>
        <v>#REF!</v>
      </c>
      <c r="AA27" s="85" t="e">
        <f t="shared" si="15"/>
        <v>#REF!</v>
      </c>
      <c r="AB27" s="99"/>
      <c r="AC27" s="100" t="e">
        <f>IF(ISNUMBER(FIND("模板",B27)),42,_xlfn.XLOOKUP(B27,#REF!,#REF!))</f>
        <v>#REF!</v>
      </c>
      <c r="AD27" s="100" t="e">
        <f t="shared" si="5"/>
        <v>#REF!</v>
      </c>
      <c r="AE27" s="100"/>
      <c r="AF27" s="100"/>
      <c r="AG27" s="100"/>
    </row>
    <row r="28" s="60" customFormat="1" ht="24" outlineLevel="3" spans="1:33">
      <c r="A28" s="80">
        <v>22</v>
      </c>
      <c r="B28" s="81" t="s">
        <v>2315</v>
      </c>
      <c r="C28" s="82" t="e">
        <f>IF(ISNUMBER(FIND(#REF!,$B28,1)),#REF!,VLOOKUP($B28,#REF!,MATCH(C$2,#REF!,0),0))</f>
        <v>#REF!</v>
      </c>
      <c r="D28" s="83" t="s">
        <v>199</v>
      </c>
      <c r="E28" s="83" t="s">
        <v>199</v>
      </c>
      <c r="F28" s="81" t="e">
        <f>IF(ISNUMBER(FIND(#REF!,$B28,1)),#REF!,VLOOKUP($B28,#REF!,MATCH(F$2,#REF!,0),0))</f>
        <v>#REF!</v>
      </c>
      <c r="G28" s="84" t="e">
        <f>IF(ISNUMBER(FIND(#REF!,$B28,1)),#REF!,VLOOKUP($B28,#REF!,MATCH(G$2,#REF!,0),0))</f>
        <v>#REF!</v>
      </c>
      <c r="H28" s="85">
        <v>0</v>
      </c>
      <c r="I28" s="85">
        <v>0</v>
      </c>
      <c r="J28" s="85">
        <v>0</v>
      </c>
      <c r="K28" s="85">
        <v>0</v>
      </c>
      <c r="L28" s="85"/>
      <c r="M28" s="85">
        <v>0</v>
      </c>
      <c r="N28" s="85">
        <v>0</v>
      </c>
      <c r="O28" s="85">
        <v>0</v>
      </c>
      <c r="P28" s="85">
        <v>0</v>
      </c>
      <c r="Q28" s="85">
        <v>45.76</v>
      </c>
      <c r="R28" s="85" t="e">
        <f t="shared" si="6"/>
        <v>#REF!</v>
      </c>
      <c r="S28" s="85" t="e">
        <f t="shared" si="7"/>
        <v>#REF!</v>
      </c>
      <c r="T28" s="85" t="e">
        <f t="shared" si="8"/>
        <v>#REF!</v>
      </c>
      <c r="U28" s="85" t="e">
        <f t="shared" si="9"/>
        <v>#REF!</v>
      </c>
      <c r="V28" s="85" t="e">
        <f t="shared" si="10"/>
        <v>#REF!</v>
      </c>
      <c r="W28" s="85" t="e">
        <f t="shared" si="11"/>
        <v>#REF!</v>
      </c>
      <c r="X28" s="85" t="e">
        <f t="shared" si="12"/>
        <v>#REF!</v>
      </c>
      <c r="Y28" s="85" t="e">
        <f t="shared" si="13"/>
        <v>#REF!</v>
      </c>
      <c r="Z28" s="85" t="e">
        <f t="shared" si="14"/>
        <v>#REF!</v>
      </c>
      <c r="AA28" s="85" t="e">
        <f t="shared" si="15"/>
        <v>#REF!</v>
      </c>
      <c r="AB28" s="99"/>
      <c r="AC28" s="100">
        <f>IF(ISNUMBER(FIND("模板",B28)),42,_xlfn.XLOOKUP(B28,#REF!,#REF!))</f>
        <v>42</v>
      </c>
      <c r="AD28" s="100">
        <f t="shared" si="5"/>
        <v>1921.92</v>
      </c>
      <c r="AE28" s="100"/>
      <c r="AF28" s="100"/>
      <c r="AG28" s="100"/>
    </row>
    <row r="29" s="60" customFormat="1" ht="24" outlineLevel="3" spans="1:33">
      <c r="A29" s="80">
        <v>23</v>
      </c>
      <c r="B29" s="81" t="s">
        <v>2316</v>
      </c>
      <c r="C29" s="82" t="e">
        <f>IF(ISNUMBER(FIND(#REF!,$B29,1)),#REF!,VLOOKUP($B29,#REF!,MATCH(C$2,#REF!,0),0))</f>
        <v>#REF!</v>
      </c>
      <c r="D29" s="83" t="s">
        <v>199</v>
      </c>
      <c r="E29" s="83" t="s">
        <v>199</v>
      </c>
      <c r="F29" s="81" t="e">
        <f>IF(ISNUMBER(FIND(#REF!,$B29,1)),#REF!,VLOOKUP($B29,#REF!,MATCH(F$2,#REF!,0),0))</f>
        <v>#REF!</v>
      </c>
      <c r="G29" s="84" t="e">
        <f>IF(ISNUMBER(FIND(#REF!,$B29,1)),#REF!,VLOOKUP($B29,#REF!,MATCH(G$2,#REF!,0),0))</f>
        <v>#REF!</v>
      </c>
      <c r="H29" s="85">
        <v>0</v>
      </c>
      <c r="I29" s="85">
        <v>0</v>
      </c>
      <c r="J29" s="85">
        <v>0</v>
      </c>
      <c r="K29" s="85">
        <v>0</v>
      </c>
      <c r="L29" s="85"/>
      <c r="M29" s="85">
        <v>0</v>
      </c>
      <c r="N29" s="85">
        <v>0</v>
      </c>
      <c r="O29" s="85">
        <v>0</v>
      </c>
      <c r="P29" s="85">
        <v>1</v>
      </c>
      <c r="Q29" s="85">
        <v>1</v>
      </c>
      <c r="R29" s="85" t="e">
        <f t="shared" si="6"/>
        <v>#REF!</v>
      </c>
      <c r="S29" s="85" t="e">
        <f t="shared" si="7"/>
        <v>#REF!</v>
      </c>
      <c r="T29" s="85" t="e">
        <f t="shared" si="8"/>
        <v>#REF!</v>
      </c>
      <c r="U29" s="85" t="e">
        <f t="shared" si="9"/>
        <v>#REF!</v>
      </c>
      <c r="V29" s="85" t="e">
        <f t="shared" si="10"/>
        <v>#REF!</v>
      </c>
      <c r="W29" s="85" t="e">
        <f t="shared" si="11"/>
        <v>#REF!</v>
      </c>
      <c r="X29" s="85" t="e">
        <f t="shared" si="12"/>
        <v>#REF!</v>
      </c>
      <c r="Y29" s="85" t="e">
        <f t="shared" si="13"/>
        <v>#REF!</v>
      </c>
      <c r="Z29" s="85" t="e">
        <f t="shared" si="14"/>
        <v>#REF!</v>
      </c>
      <c r="AA29" s="85" t="e">
        <f t="shared" si="15"/>
        <v>#REF!</v>
      </c>
      <c r="AB29" s="99"/>
      <c r="AC29" s="100">
        <f>IF(ISNUMBER(FIND("模板",B29)),42,_xlfn.XLOOKUP(B29,#REF!,#REF!))</f>
        <v>42</v>
      </c>
      <c r="AD29" s="100">
        <f t="shared" si="5"/>
        <v>84</v>
      </c>
      <c r="AE29" s="100"/>
      <c r="AF29" s="100"/>
      <c r="AG29" s="100"/>
    </row>
    <row r="30" s="60" customFormat="1" ht="24" outlineLevel="3" spans="1:33">
      <c r="A30" s="80">
        <v>24</v>
      </c>
      <c r="B30" s="81" t="s">
        <v>2317</v>
      </c>
      <c r="C30" s="82" t="e">
        <f>IF(ISNUMBER(FIND(#REF!,$B30,1)),#REF!,VLOOKUP($B30,#REF!,MATCH(C$2,#REF!,0),0))</f>
        <v>#REF!</v>
      </c>
      <c r="D30" s="83" t="s">
        <v>199</v>
      </c>
      <c r="E30" s="83" t="s">
        <v>199</v>
      </c>
      <c r="F30" s="81" t="e">
        <f>IF(ISNUMBER(FIND(#REF!,$B30,1)),#REF!,VLOOKUP($B30,#REF!,MATCH(F$2,#REF!,0),0))</f>
        <v>#REF!</v>
      </c>
      <c r="G30" s="84" t="e">
        <f>IF(ISNUMBER(FIND(#REF!,$B30,1)),#REF!,VLOOKUP($B30,#REF!,MATCH(G$2,#REF!,0),0))</f>
        <v>#REF!</v>
      </c>
      <c r="H30" s="85">
        <v>0</v>
      </c>
      <c r="I30" s="85">
        <v>0</v>
      </c>
      <c r="J30" s="85">
        <v>0</v>
      </c>
      <c r="K30" s="85">
        <v>0</v>
      </c>
      <c r="L30" s="85"/>
      <c r="M30" s="85">
        <v>0</v>
      </c>
      <c r="N30" s="85">
        <v>0</v>
      </c>
      <c r="O30" s="85">
        <v>0</v>
      </c>
      <c r="P30" s="85">
        <v>1</v>
      </c>
      <c r="Q30" s="85">
        <v>1</v>
      </c>
      <c r="R30" s="85" t="e">
        <f t="shared" si="6"/>
        <v>#REF!</v>
      </c>
      <c r="S30" s="85" t="e">
        <f t="shared" si="7"/>
        <v>#REF!</v>
      </c>
      <c r="T30" s="85" t="e">
        <f t="shared" si="8"/>
        <v>#REF!</v>
      </c>
      <c r="U30" s="85" t="e">
        <f t="shared" si="9"/>
        <v>#REF!</v>
      </c>
      <c r="V30" s="85" t="e">
        <f t="shared" si="10"/>
        <v>#REF!</v>
      </c>
      <c r="W30" s="85" t="e">
        <f t="shared" si="11"/>
        <v>#REF!</v>
      </c>
      <c r="X30" s="85" t="e">
        <f t="shared" si="12"/>
        <v>#REF!</v>
      </c>
      <c r="Y30" s="85" t="e">
        <f t="shared" si="13"/>
        <v>#REF!</v>
      </c>
      <c r="Z30" s="85" t="e">
        <f t="shared" si="14"/>
        <v>#REF!</v>
      </c>
      <c r="AA30" s="85" t="e">
        <f t="shared" si="15"/>
        <v>#REF!</v>
      </c>
      <c r="AB30" s="99"/>
      <c r="AC30" s="100">
        <f>IF(ISNUMBER(FIND("模板",B30)),42,_xlfn.XLOOKUP(B30,#REF!,#REF!))</f>
        <v>42</v>
      </c>
      <c r="AD30" s="100">
        <f t="shared" si="5"/>
        <v>84</v>
      </c>
      <c r="AE30" s="100"/>
      <c r="AF30" s="100"/>
      <c r="AG30" s="100"/>
    </row>
    <row r="31" s="60" customFormat="1" ht="24" outlineLevel="3" spans="1:33">
      <c r="A31" s="80">
        <v>25</v>
      </c>
      <c r="B31" s="81" t="s">
        <v>2318</v>
      </c>
      <c r="C31" s="82" t="e">
        <f>IF(ISNUMBER(FIND(#REF!,$B31,1)),#REF!,VLOOKUP($B31,#REF!,MATCH(C$2,#REF!,0),0))</f>
        <v>#REF!</v>
      </c>
      <c r="D31" s="83" t="s">
        <v>199</v>
      </c>
      <c r="E31" s="83" t="s">
        <v>199</v>
      </c>
      <c r="F31" s="81" t="e">
        <f>IF(ISNUMBER(FIND(#REF!,$B31,1)),#REF!,VLOOKUP($B31,#REF!,MATCH(F$2,#REF!,0),0))</f>
        <v>#REF!</v>
      </c>
      <c r="G31" s="84" t="e">
        <f>IF(ISNUMBER(FIND(#REF!,$B31,1)),#REF!,VLOOKUP($B31,#REF!,MATCH(G$2,#REF!,0),0))</f>
        <v>#REF!</v>
      </c>
      <c r="H31" s="85">
        <v>0</v>
      </c>
      <c r="I31" s="85">
        <v>0</v>
      </c>
      <c r="J31" s="85">
        <v>0</v>
      </c>
      <c r="K31" s="85">
        <v>0</v>
      </c>
      <c r="L31" s="85"/>
      <c r="M31" s="85">
        <v>0</v>
      </c>
      <c r="N31" s="85">
        <v>0</v>
      </c>
      <c r="O31" s="85">
        <v>0</v>
      </c>
      <c r="P31" s="85">
        <v>3.92</v>
      </c>
      <c r="Q31" s="85">
        <v>3.92</v>
      </c>
      <c r="R31" s="85" t="e">
        <f t="shared" si="6"/>
        <v>#REF!</v>
      </c>
      <c r="S31" s="85" t="e">
        <f t="shared" si="7"/>
        <v>#REF!</v>
      </c>
      <c r="T31" s="85" t="e">
        <f t="shared" si="8"/>
        <v>#REF!</v>
      </c>
      <c r="U31" s="85" t="e">
        <f t="shared" si="9"/>
        <v>#REF!</v>
      </c>
      <c r="V31" s="85" t="e">
        <f t="shared" si="10"/>
        <v>#REF!</v>
      </c>
      <c r="W31" s="85" t="e">
        <f t="shared" si="11"/>
        <v>#REF!</v>
      </c>
      <c r="X31" s="85" t="e">
        <f t="shared" si="12"/>
        <v>#REF!</v>
      </c>
      <c r="Y31" s="85" t="e">
        <f t="shared" si="13"/>
        <v>#REF!</v>
      </c>
      <c r="Z31" s="85" t="e">
        <f t="shared" si="14"/>
        <v>#REF!</v>
      </c>
      <c r="AA31" s="85" t="e">
        <f t="shared" si="15"/>
        <v>#REF!</v>
      </c>
      <c r="AB31" s="99"/>
      <c r="AC31" s="100">
        <f>IF(ISNUMBER(FIND("模板",B31)),42,_xlfn.XLOOKUP(B31,#REF!,#REF!))</f>
        <v>42</v>
      </c>
      <c r="AD31" s="100">
        <f t="shared" si="5"/>
        <v>329.28</v>
      </c>
      <c r="AE31" s="100"/>
      <c r="AF31" s="100"/>
      <c r="AG31" s="100"/>
    </row>
    <row r="32" s="60" customFormat="1" ht="24" outlineLevel="3" spans="1:33">
      <c r="A32" s="80">
        <v>26</v>
      </c>
      <c r="B32" s="81" t="s">
        <v>2319</v>
      </c>
      <c r="C32" s="82" t="e">
        <f>IF(ISNUMBER(FIND(#REF!,$B32,1)),#REF!,VLOOKUP($B32,#REF!,MATCH(C$2,#REF!,0),0))</f>
        <v>#REF!</v>
      </c>
      <c r="D32" s="83" t="s">
        <v>199</v>
      </c>
      <c r="E32" s="83" t="s">
        <v>199</v>
      </c>
      <c r="F32" s="81" t="e">
        <f>IF(ISNUMBER(FIND(#REF!,$B32,1)),#REF!,VLOOKUP($B32,#REF!,MATCH(F$2,#REF!,0),0))</f>
        <v>#REF!</v>
      </c>
      <c r="G32" s="84" t="e">
        <f>IF(ISNUMBER(FIND(#REF!,$B32,1)),#REF!,VLOOKUP($B32,#REF!,MATCH(G$2,#REF!,0),0))</f>
        <v>#REF!</v>
      </c>
      <c r="H32" s="85">
        <v>0</v>
      </c>
      <c r="I32" s="85">
        <v>0</v>
      </c>
      <c r="J32" s="85">
        <v>0</v>
      </c>
      <c r="K32" s="85">
        <v>0</v>
      </c>
      <c r="L32" s="85"/>
      <c r="M32" s="85">
        <v>0</v>
      </c>
      <c r="N32" s="85">
        <v>0</v>
      </c>
      <c r="O32" s="85">
        <v>0</v>
      </c>
      <c r="P32" s="85">
        <v>0</v>
      </c>
      <c r="Q32" s="85">
        <v>546.45</v>
      </c>
      <c r="R32" s="85" t="e">
        <f t="shared" si="6"/>
        <v>#REF!</v>
      </c>
      <c r="S32" s="85" t="e">
        <f t="shared" si="7"/>
        <v>#REF!</v>
      </c>
      <c r="T32" s="85" t="e">
        <f t="shared" si="8"/>
        <v>#REF!</v>
      </c>
      <c r="U32" s="85" t="e">
        <f t="shared" si="9"/>
        <v>#REF!</v>
      </c>
      <c r="V32" s="85" t="e">
        <f t="shared" si="10"/>
        <v>#REF!</v>
      </c>
      <c r="W32" s="85" t="e">
        <f t="shared" si="11"/>
        <v>#REF!</v>
      </c>
      <c r="X32" s="85" t="e">
        <f t="shared" si="12"/>
        <v>#REF!</v>
      </c>
      <c r="Y32" s="85" t="e">
        <f t="shared" si="13"/>
        <v>#REF!</v>
      </c>
      <c r="Z32" s="85" t="e">
        <f t="shared" si="14"/>
        <v>#REF!</v>
      </c>
      <c r="AA32" s="85" t="e">
        <f t="shared" si="15"/>
        <v>#REF!</v>
      </c>
      <c r="AB32" s="99"/>
      <c r="AC32" s="100">
        <f>IF(ISNUMBER(FIND("模板",B32)),42,_xlfn.XLOOKUP(B32,#REF!,#REF!))</f>
        <v>42</v>
      </c>
      <c r="AD32" s="100">
        <f t="shared" si="5"/>
        <v>22950.9</v>
      </c>
      <c r="AE32" s="100"/>
      <c r="AF32" s="100"/>
      <c r="AG32" s="100"/>
    </row>
    <row r="33" s="60" customFormat="1" ht="24" outlineLevel="3" spans="1:33">
      <c r="A33" s="80">
        <v>27</v>
      </c>
      <c r="B33" s="81" t="s">
        <v>2320</v>
      </c>
      <c r="C33" s="82" t="e">
        <f>IF(ISNUMBER(FIND(#REF!,$B33,1)),#REF!,VLOOKUP($B33,#REF!,MATCH(C$2,#REF!,0),0))</f>
        <v>#REF!</v>
      </c>
      <c r="D33" s="83" t="s">
        <v>199</v>
      </c>
      <c r="E33" s="83" t="s">
        <v>199</v>
      </c>
      <c r="F33" s="81" t="e">
        <f>IF(ISNUMBER(FIND(#REF!,$B33,1)),#REF!,VLOOKUP($B33,#REF!,MATCH(F$2,#REF!,0),0))</f>
        <v>#REF!</v>
      </c>
      <c r="G33" s="84" t="e">
        <f>IF(ISNUMBER(FIND(#REF!,$B33,1)),#REF!,VLOOKUP($B33,#REF!,MATCH(G$2,#REF!,0),0))</f>
        <v>#REF!</v>
      </c>
      <c r="H33" s="85">
        <v>0</v>
      </c>
      <c r="I33" s="85">
        <v>0</v>
      </c>
      <c r="J33" s="85">
        <v>0</v>
      </c>
      <c r="K33" s="85">
        <v>0</v>
      </c>
      <c r="L33" s="85"/>
      <c r="M33" s="85">
        <v>0</v>
      </c>
      <c r="N33" s="85">
        <v>0</v>
      </c>
      <c r="O33" s="85">
        <v>0</v>
      </c>
      <c r="P33" s="85">
        <v>0</v>
      </c>
      <c r="Q33" s="85">
        <v>6.97</v>
      </c>
      <c r="R33" s="85" t="e">
        <f t="shared" si="6"/>
        <v>#REF!</v>
      </c>
      <c r="S33" s="85" t="e">
        <f t="shared" si="7"/>
        <v>#REF!</v>
      </c>
      <c r="T33" s="85" t="e">
        <f t="shared" si="8"/>
        <v>#REF!</v>
      </c>
      <c r="U33" s="85" t="e">
        <f t="shared" si="9"/>
        <v>#REF!</v>
      </c>
      <c r="V33" s="85" t="e">
        <f t="shared" si="10"/>
        <v>#REF!</v>
      </c>
      <c r="W33" s="85" t="e">
        <f t="shared" si="11"/>
        <v>#REF!</v>
      </c>
      <c r="X33" s="85" t="e">
        <f t="shared" si="12"/>
        <v>#REF!</v>
      </c>
      <c r="Y33" s="85" t="e">
        <f t="shared" si="13"/>
        <v>#REF!</v>
      </c>
      <c r="Z33" s="85" t="e">
        <f t="shared" si="14"/>
        <v>#REF!</v>
      </c>
      <c r="AA33" s="85" t="e">
        <f t="shared" si="15"/>
        <v>#REF!</v>
      </c>
      <c r="AB33" s="99"/>
      <c r="AC33" s="100">
        <f>IF(ISNUMBER(FIND("模板",B33)),42,_xlfn.XLOOKUP(B33,#REF!,#REF!))</f>
        <v>42</v>
      </c>
      <c r="AD33" s="100">
        <f t="shared" si="5"/>
        <v>292.74</v>
      </c>
      <c r="AE33" s="100"/>
      <c r="AF33" s="100"/>
      <c r="AG33" s="100"/>
    </row>
    <row r="34" s="60" customFormat="1" ht="24" outlineLevel="3" spans="1:33">
      <c r="A34" s="80">
        <v>28</v>
      </c>
      <c r="B34" s="81" t="s">
        <v>2321</v>
      </c>
      <c r="C34" s="82" t="e">
        <f>IF(ISNUMBER(FIND(#REF!,$B34,1)),#REF!,VLOOKUP($B34,#REF!,MATCH(C$2,#REF!,0),0))</f>
        <v>#REF!</v>
      </c>
      <c r="D34" s="83" t="s">
        <v>199</v>
      </c>
      <c r="E34" s="83" t="s">
        <v>199</v>
      </c>
      <c r="F34" s="81" t="e">
        <f>IF(ISNUMBER(FIND(#REF!,$B34,1)),#REF!,VLOOKUP($B34,#REF!,MATCH(F$2,#REF!,0),0))</f>
        <v>#REF!</v>
      </c>
      <c r="G34" s="84" t="e">
        <f>IF(ISNUMBER(FIND(#REF!,$B34,1)),#REF!,VLOOKUP($B34,#REF!,MATCH(G$2,#REF!,0),0))</f>
        <v>#REF!</v>
      </c>
      <c r="H34" s="85">
        <v>0</v>
      </c>
      <c r="I34" s="85">
        <v>0</v>
      </c>
      <c r="J34" s="85">
        <v>0</v>
      </c>
      <c r="K34" s="85">
        <v>0</v>
      </c>
      <c r="L34" s="85"/>
      <c r="M34" s="85">
        <v>0</v>
      </c>
      <c r="N34" s="85">
        <v>0</v>
      </c>
      <c r="O34" s="85">
        <v>0</v>
      </c>
      <c r="P34" s="85">
        <v>94.49</v>
      </c>
      <c r="Q34" s="85">
        <v>0</v>
      </c>
      <c r="R34" s="85" t="e">
        <f t="shared" si="6"/>
        <v>#REF!</v>
      </c>
      <c r="S34" s="85" t="e">
        <f t="shared" si="7"/>
        <v>#REF!</v>
      </c>
      <c r="T34" s="85" t="e">
        <f t="shared" si="8"/>
        <v>#REF!</v>
      </c>
      <c r="U34" s="85" t="e">
        <f t="shared" si="9"/>
        <v>#REF!</v>
      </c>
      <c r="V34" s="85" t="e">
        <f t="shared" si="10"/>
        <v>#REF!</v>
      </c>
      <c r="W34" s="85" t="e">
        <f t="shared" si="11"/>
        <v>#REF!</v>
      </c>
      <c r="X34" s="85" t="e">
        <f t="shared" si="12"/>
        <v>#REF!</v>
      </c>
      <c r="Y34" s="85" t="e">
        <f t="shared" si="13"/>
        <v>#REF!</v>
      </c>
      <c r="Z34" s="85" t="e">
        <f t="shared" si="14"/>
        <v>#REF!</v>
      </c>
      <c r="AA34" s="85" t="e">
        <f t="shared" si="15"/>
        <v>#REF!</v>
      </c>
      <c r="AB34" s="99"/>
      <c r="AC34" s="100">
        <f>IF(ISNUMBER(FIND("模板",B34)),42,_xlfn.XLOOKUP(B34,#REF!,#REF!))</f>
        <v>42</v>
      </c>
      <c r="AD34" s="100">
        <f t="shared" si="5"/>
        <v>3968.58</v>
      </c>
      <c r="AE34" s="100"/>
      <c r="AF34" s="100"/>
      <c r="AG34" s="100"/>
    </row>
    <row r="35" s="59" customFormat="1" ht="12" outlineLevel="2" spans="1:33">
      <c r="A35" s="70" t="s">
        <v>2322</v>
      </c>
      <c r="B35" s="71" t="str">
        <f>目录!H59</f>
        <v>E.01.02脚手架工程</v>
      </c>
      <c r="C35" s="72"/>
      <c r="D35" s="73"/>
      <c r="E35" s="73"/>
      <c r="F35" s="70"/>
      <c r="G35" s="74"/>
      <c r="H35" s="74">
        <f t="shared" ref="H35:Q35" si="16">SUM(H36:H37)</f>
        <v>2022.31</v>
      </c>
      <c r="I35" s="74">
        <f t="shared" si="16"/>
        <v>2022.29</v>
      </c>
      <c r="J35" s="74">
        <f t="shared" si="16"/>
        <v>1040.92</v>
      </c>
      <c r="K35" s="74">
        <f t="shared" si="16"/>
        <v>1040.92</v>
      </c>
      <c r="L35" s="74">
        <f t="shared" si="16"/>
        <v>550</v>
      </c>
      <c r="M35" s="74">
        <f t="shared" si="16"/>
        <v>247.86</v>
      </c>
      <c r="N35" s="74">
        <f t="shared" si="16"/>
        <v>247.86</v>
      </c>
      <c r="O35" s="74">
        <f t="shared" si="16"/>
        <v>247.86</v>
      </c>
      <c r="P35" s="74">
        <f t="shared" si="16"/>
        <v>2850.71</v>
      </c>
      <c r="Q35" s="74">
        <f t="shared" si="16"/>
        <v>4714.81</v>
      </c>
      <c r="R35" s="74" t="e">
        <f>SUM(R36:R38)</f>
        <v>#REF!</v>
      </c>
      <c r="S35" s="74" t="e">
        <f t="shared" ref="S35:AA35" si="17">SUM(S36:S38)</f>
        <v>#REF!</v>
      </c>
      <c r="T35" s="74" t="e">
        <f t="shared" si="17"/>
        <v>#REF!</v>
      </c>
      <c r="U35" s="74" t="e">
        <f t="shared" si="17"/>
        <v>#REF!</v>
      </c>
      <c r="V35" s="74" t="e">
        <f t="shared" si="17"/>
        <v>#REF!</v>
      </c>
      <c r="W35" s="74" t="e">
        <f t="shared" si="17"/>
        <v>#REF!</v>
      </c>
      <c r="X35" s="74" t="e">
        <f t="shared" si="17"/>
        <v>#REF!</v>
      </c>
      <c r="Y35" s="74" t="e">
        <f t="shared" si="17"/>
        <v>#REF!</v>
      </c>
      <c r="Z35" s="74" t="e">
        <f t="shared" si="17"/>
        <v>#REF!</v>
      </c>
      <c r="AA35" s="74" t="e">
        <f t="shared" si="17"/>
        <v>#REF!</v>
      </c>
      <c r="AB35" s="73"/>
      <c r="AC35" s="100"/>
      <c r="AD35" s="100"/>
      <c r="AE35" s="98"/>
      <c r="AF35" s="98"/>
      <c r="AG35" s="98"/>
    </row>
    <row r="36" s="60" customFormat="1" ht="36" outlineLevel="3" spans="1:33">
      <c r="A36" s="80">
        <v>1</v>
      </c>
      <c r="B36" s="81" t="s">
        <v>2323</v>
      </c>
      <c r="C36" s="82" t="e">
        <f>IF(ISNUMBER(FIND(#REF!,$B36,1)),#REF!,VLOOKUP($B36,#REF!,MATCH(C$2,#REF!,0),0))</f>
        <v>#REF!</v>
      </c>
      <c r="D36" s="83" t="s">
        <v>213</v>
      </c>
      <c r="E36" s="83" t="s">
        <v>213</v>
      </c>
      <c r="F36" s="81" t="e">
        <f>IF(ISNUMBER(FIND(#REF!,$B36,1)),#REF!,VLOOKUP($B36,#REF!,MATCH(F$2,#REF!,0),0))</f>
        <v>#REF!</v>
      </c>
      <c r="G36" s="84" t="e">
        <f>IF(ISNUMBER(FIND(#REF!,$B36,1)),#REF!,VLOOKUP($B36,#REF!,MATCH(G$2,#REF!,0),0))</f>
        <v>#REF!</v>
      </c>
      <c r="H36" s="85">
        <v>1160.38</v>
      </c>
      <c r="I36" s="85">
        <v>1160.38</v>
      </c>
      <c r="J36" s="85">
        <v>296.45</v>
      </c>
      <c r="K36" s="85">
        <v>296.45</v>
      </c>
      <c r="L36" s="85">
        <v>150</v>
      </c>
      <c r="M36" s="85">
        <v>0</v>
      </c>
      <c r="N36" s="85">
        <v>0</v>
      </c>
      <c r="O36" s="85">
        <v>0</v>
      </c>
      <c r="P36" s="85">
        <v>2850.71</v>
      </c>
      <c r="Q36" s="85">
        <v>4714.81</v>
      </c>
      <c r="R36" s="85" t="e">
        <f>$G36*H36</f>
        <v>#REF!</v>
      </c>
      <c r="S36" s="85" t="e">
        <f t="shared" ref="S36:AA36" si="18">$G36*I36</f>
        <v>#REF!</v>
      </c>
      <c r="T36" s="85" t="e">
        <f t="shared" si="18"/>
        <v>#REF!</v>
      </c>
      <c r="U36" s="85" t="e">
        <f t="shared" si="18"/>
        <v>#REF!</v>
      </c>
      <c r="V36" s="85" t="e">
        <f t="shared" si="18"/>
        <v>#REF!</v>
      </c>
      <c r="W36" s="85" t="e">
        <f t="shared" si="18"/>
        <v>#REF!</v>
      </c>
      <c r="X36" s="85" t="e">
        <f t="shared" si="18"/>
        <v>#REF!</v>
      </c>
      <c r="Y36" s="85" t="e">
        <f t="shared" si="18"/>
        <v>#REF!</v>
      </c>
      <c r="Z36" s="85" t="e">
        <f t="shared" si="18"/>
        <v>#REF!</v>
      </c>
      <c r="AA36" s="85" t="e">
        <f t="shared" si="18"/>
        <v>#REF!</v>
      </c>
      <c r="AB36" s="99"/>
      <c r="AC36" s="100" t="e">
        <f>IF(ISNUMBER(FIND("模板",B36)),42,_xlfn.XLOOKUP(B36,#REF!,#REF!))</f>
        <v>#REF!</v>
      </c>
      <c r="AD36" s="100" t="e">
        <f t="shared" si="5"/>
        <v>#REF!</v>
      </c>
      <c r="AE36" s="100"/>
      <c r="AF36" s="100"/>
      <c r="AG36" s="100"/>
    </row>
    <row r="37" s="60" customFormat="1" ht="36" outlineLevel="3" spans="1:33">
      <c r="A37" s="80">
        <v>2</v>
      </c>
      <c r="B37" s="81" t="s">
        <v>2324</v>
      </c>
      <c r="C37" s="82" t="e">
        <f>IF(ISNUMBER(FIND(#REF!,$B37,1)),#REF!,VLOOKUP($B37,#REF!,MATCH(C$2,#REF!,0),0))</f>
        <v>#REF!</v>
      </c>
      <c r="D37" s="83" t="s">
        <v>213</v>
      </c>
      <c r="E37" s="83" t="s">
        <v>213</v>
      </c>
      <c r="F37" s="81" t="e">
        <f>IF(ISNUMBER(FIND(#REF!,$B37,1)),#REF!,VLOOKUP($B37,#REF!,MATCH(F$2,#REF!,0),0))</f>
        <v>#REF!</v>
      </c>
      <c r="G37" s="84" t="e">
        <f>IF(ISNUMBER(FIND(#REF!,$B37,1)),#REF!,VLOOKUP($B37,#REF!,MATCH(G$2,#REF!,0),0))</f>
        <v>#REF!</v>
      </c>
      <c r="H37" s="85">
        <f>861.93</f>
        <v>861.93</v>
      </c>
      <c r="I37" s="85">
        <f>861.91</f>
        <v>861.91</v>
      </c>
      <c r="J37" s="85">
        <f>744.47</f>
        <v>744.47</v>
      </c>
      <c r="K37" s="85">
        <f>744.47</f>
        <v>744.47</v>
      </c>
      <c r="L37" s="85">
        <v>400</v>
      </c>
      <c r="M37" s="85">
        <f t="shared" ref="M37:O37" si="19">247.86</f>
        <v>247.86</v>
      </c>
      <c r="N37" s="85">
        <f t="shared" si="19"/>
        <v>247.86</v>
      </c>
      <c r="O37" s="85">
        <f t="shared" si="19"/>
        <v>247.86</v>
      </c>
      <c r="P37" s="85">
        <f>10248.59*0</f>
        <v>0</v>
      </c>
      <c r="Q37" s="85">
        <f>28227.73*0</f>
        <v>0</v>
      </c>
      <c r="R37" s="85" t="e">
        <f t="shared" ref="R37:AA37" si="20">$G37*H37</f>
        <v>#REF!</v>
      </c>
      <c r="S37" s="85" t="e">
        <f t="shared" si="20"/>
        <v>#REF!</v>
      </c>
      <c r="T37" s="85" t="e">
        <f t="shared" si="20"/>
        <v>#REF!</v>
      </c>
      <c r="U37" s="85" t="e">
        <f t="shared" si="20"/>
        <v>#REF!</v>
      </c>
      <c r="V37" s="85" t="e">
        <f t="shared" si="20"/>
        <v>#REF!</v>
      </c>
      <c r="W37" s="85" t="e">
        <f t="shared" si="20"/>
        <v>#REF!</v>
      </c>
      <c r="X37" s="85" t="e">
        <f t="shared" si="20"/>
        <v>#REF!</v>
      </c>
      <c r="Y37" s="85" t="e">
        <f t="shared" si="20"/>
        <v>#REF!</v>
      </c>
      <c r="Z37" s="85" t="e">
        <f t="shared" si="20"/>
        <v>#REF!</v>
      </c>
      <c r="AA37" s="85" t="e">
        <f t="shared" si="20"/>
        <v>#REF!</v>
      </c>
      <c r="AB37" s="99"/>
      <c r="AC37" s="100" t="e">
        <f>IF(ISNUMBER(FIND("模板",B37)),42,_xlfn.XLOOKUP(B37,#REF!,#REF!))</f>
        <v>#REF!</v>
      </c>
      <c r="AD37" s="100" t="e">
        <f t="shared" si="5"/>
        <v>#REF!</v>
      </c>
      <c r="AE37" s="100"/>
      <c r="AF37" s="100"/>
      <c r="AG37" s="100"/>
    </row>
    <row r="38" s="61" customFormat="1" ht="36" outlineLevel="3" collapsed="1" spans="1:33">
      <c r="A38" s="86"/>
      <c r="B38" s="81" t="s">
        <v>2325</v>
      </c>
      <c r="C38" s="82" t="e">
        <f>IF(ISNUMBER(FIND(#REF!,$B38,1)),#REF!,VLOOKUP($B38,#REF!,MATCH(C$2,#REF!,0),0))</f>
        <v>#REF!</v>
      </c>
      <c r="D38" s="83" t="s">
        <v>213</v>
      </c>
      <c r="E38" s="83" t="s">
        <v>213</v>
      </c>
      <c r="F38" s="81" t="e">
        <f>IF(ISNUMBER(FIND(#REF!,$B38,1)),#REF!,VLOOKUP($B38,#REF!,MATCH(F$2,#REF!,0),0))</f>
        <v>#REF!</v>
      </c>
      <c r="G38" s="84" t="e">
        <f>IF(ISNUMBER(FIND(#REF!,$B38,1)),#REF!,VLOOKUP($B38,#REF!,MATCH(G$2,#REF!,0),0))</f>
        <v>#REF!</v>
      </c>
      <c r="H38" s="87"/>
      <c r="I38" s="87"/>
      <c r="J38" s="87"/>
      <c r="K38" s="87"/>
      <c r="L38" s="87"/>
      <c r="M38" s="87"/>
      <c r="N38" s="87"/>
      <c r="O38" s="87"/>
      <c r="P38" s="85">
        <f>10248.59</f>
        <v>10248.59</v>
      </c>
      <c r="Q38" s="85">
        <f>28227.73</f>
        <v>28227.73</v>
      </c>
      <c r="R38" s="85" t="e">
        <f t="shared" ref="R38:AA38" si="21">$G38*H38</f>
        <v>#REF!</v>
      </c>
      <c r="S38" s="85" t="e">
        <f t="shared" si="21"/>
        <v>#REF!</v>
      </c>
      <c r="T38" s="85" t="e">
        <f t="shared" si="21"/>
        <v>#REF!</v>
      </c>
      <c r="U38" s="85" t="e">
        <f t="shared" si="21"/>
        <v>#REF!</v>
      </c>
      <c r="V38" s="85" t="e">
        <f t="shared" si="21"/>
        <v>#REF!</v>
      </c>
      <c r="W38" s="85" t="e">
        <f t="shared" si="21"/>
        <v>#REF!</v>
      </c>
      <c r="X38" s="85" t="e">
        <f t="shared" si="21"/>
        <v>#REF!</v>
      </c>
      <c r="Y38" s="85" t="e">
        <f t="shared" si="21"/>
        <v>#REF!</v>
      </c>
      <c r="Z38" s="85" t="e">
        <f t="shared" si="21"/>
        <v>#REF!</v>
      </c>
      <c r="AA38" s="85" t="e">
        <f t="shared" si="21"/>
        <v>#REF!</v>
      </c>
      <c r="AB38" s="101"/>
      <c r="AC38" s="100" t="e">
        <f>IF(ISNUMBER(FIND("模板",B38)),42,_xlfn.XLOOKUP(B38,#REF!,#REF!))</f>
        <v>#REF!</v>
      </c>
      <c r="AD38" s="100" t="e">
        <f t="shared" si="5"/>
        <v>#REF!</v>
      </c>
      <c r="AE38" s="102"/>
      <c r="AF38" s="102"/>
      <c r="AG38" s="102"/>
    </row>
    <row r="39" s="58" customFormat="1" ht="12" outlineLevel="1" spans="1:33">
      <c r="A39" s="75" t="s">
        <v>167</v>
      </c>
      <c r="B39" s="76" t="s">
        <v>2326</v>
      </c>
      <c r="C39" s="77"/>
      <c r="D39" s="78"/>
      <c r="E39" s="78"/>
      <c r="F39" s="75"/>
      <c r="G39" s="79"/>
      <c r="H39" s="79"/>
      <c r="I39" s="79"/>
      <c r="J39" s="79"/>
      <c r="K39" s="79"/>
      <c r="L39" s="79"/>
      <c r="M39" s="79"/>
      <c r="N39" s="79"/>
      <c r="O39" s="79"/>
      <c r="P39" s="79"/>
      <c r="Q39" s="79"/>
      <c r="R39" s="79" t="e">
        <f>SUM(R40,R45)</f>
        <v>#REF!</v>
      </c>
      <c r="S39" s="79" t="e">
        <f t="shared" ref="S39:AA39" si="22">SUM(S40,S45)</f>
        <v>#REF!</v>
      </c>
      <c r="T39" s="79" t="e">
        <f t="shared" si="22"/>
        <v>#REF!</v>
      </c>
      <c r="U39" s="79" t="e">
        <f t="shared" si="22"/>
        <v>#REF!</v>
      </c>
      <c r="V39" s="79" t="e">
        <f t="shared" si="22"/>
        <v>#REF!</v>
      </c>
      <c r="W39" s="79" t="e">
        <f t="shared" si="22"/>
        <v>#REF!</v>
      </c>
      <c r="X39" s="79" t="e">
        <f t="shared" si="22"/>
        <v>#REF!</v>
      </c>
      <c r="Y39" s="79" t="e">
        <f t="shared" si="22"/>
        <v>#REF!</v>
      </c>
      <c r="Z39" s="79" t="e">
        <f t="shared" si="22"/>
        <v>#REF!</v>
      </c>
      <c r="AA39" s="79" t="e">
        <f t="shared" si="22"/>
        <v>#REF!</v>
      </c>
      <c r="AB39" s="78"/>
      <c r="AC39" s="100"/>
      <c r="AD39" s="100">
        <f t="shared" si="5"/>
        <v>0</v>
      </c>
      <c r="AE39" s="96"/>
      <c r="AF39" s="96"/>
      <c r="AG39" s="96"/>
    </row>
    <row r="40" s="59" customFormat="1" ht="12" outlineLevel="2" spans="1:33">
      <c r="A40" s="70" t="s">
        <v>2292</v>
      </c>
      <c r="B40" s="71" t="str">
        <f>目录!H58</f>
        <v>E.01.01模板工程</v>
      </c>
      <c r="C40" s="72"/>
      <c r="D40" s="73"/>
      <c r="E40" s="73"/>
      <c r="F40" s="70"/>
      <c r="G40" s="74"/>
      <c r="H40" s="74">
        <f t="shared" ref="H40:R40" si="23">SUM(H41:H44)</f>
        <v>117.92</v>
      </c>
      <c r="I40" s="74">
        <f t="shared" si="23"/>
        <v>89.27</v>
      </c>
      <c r="J40" s="74">
        <f t="shared" si="23"/>
        <v>49.42</v>
      </c>
      <c r="K40" s="74">
        <f t="shared" si="23"/>
        <v>49.42</v>
      </c>
      <c r="L40" s="74">
        <f t="shared" si="23"/>
        <v>40.4144</v>
      </c>
      <c r="M40" s="74">
        <f t="shared" si="23"/>
        <v>0</v>
      </c>
      <c r="N40" s="74">
        <f t="shared" si="23"/>
        <v>0</v>
      </c>
      <c r="O40" s="74">
        <f t="shared" si="23"/>
        <v>0</v>
      </c>
      <c r="P40" s="74">
        <f t="shared" si="23"/>
        <v>296.94</v>
      </c>
      <c r="Q40" s="74">
        <f t="shared" si="23"/>
        <v>1694.5</v>
      </c>
      <c r="R40" s="74" t="e">
        <f t="shared" si="23"/>
        <v>#REF!</v>
      </c>
      <c r="S40" s="74" t="e">
        <f t="shared" ref="S40:AA40" si="24">SUM(S41:S44)</f>
        <v>#REF!</v>
      </c>
      <c r="T40" s="74" t="e">
        <f t="shared" si="24"/>
        <v>#REF!</v>
      </c>
      <c r="U40" s="74" t="e">
        <f t="shared" si="24"/>
        <v>#REF!</v>
      </c>
      <c r="V40" s="74" t="e">
        <f t="shared" si="24"/>
        <v>#REF!</v>
      </c>
      <c r="W40" s="74" t="e">
        <f t="shared" si="24"/>
        <v>#REF!</v>
      </c>
      <c r="X40" s="74" t="e">
        <f t="shared" si="24"/>
        <v>#REF!</v>
      </c>
      <c r="Y40" s="74" t="e">
        <f t="shared" si="24"/>
        <v>#REF!</v>
      </c>
      <c r="Z40" s="74" t="e">
        <f t="shared" si="24"/>
        <v>#REF!</v>
      </c>
      <c r="AA40" s="74" t="e">
        <f t="shared" si="24"/>
        <v>#REF!</v>
      </c>
      <c r="AB40" s="73"/>
      <c r="AC40" s="100"/>
      <c r="AD40" s="100"/>
      <c r="AE40" s="98"/>
      <c r="AF40" s="98"/>
      <c r="AG40" s="98"/>
    </row>
    <row r="41" s="60" customFormat="1" ht="24" outlineLevel="3" spans="1:33">
      <c r="A41" s="80">
        <v>1</v>
      </c>
      <c r="B41" s="81" t="s">
        <v>2327</v>
      </c>
      <c r="C41" s="82" t="e">
        <f>IF(ISNUMBER(FIND(#REF!,$B41,1)),#REF!,VLOOKUP($B41,#REF!,MATCH(C$2,#REF!,0),0))</f>
        <v>#REF!</v>
      </c>
      <c r="D41" s="83" t="s">
        <v>199</v>
      </c>
      <c r="E41" s="83" t="s">
        <v>199</v>
      </c>
      <c r="F41" s="81" t="e">
        <f>IF(ISNUMBER(FIND(#REF!,$B41,1)),#REF!,VLOOKUP($B41,#REF!,MATCH(F$2,#REF!,0),0))</f>
        <v>#REF!</v>
      </c>
      <c r="G41" s="84" t="e">
        <f>IF(ISNUMBER(FIND(#REF!,$B41,1)),#REF!,VLOOKUP($B41,#REF!,MATCH(G$2,#REF!,0),0))</f>
        <v>#REF!</v>
      </c>
      <c r="H41" s="85">
        <v>46.07</v>
      </c>
      <c r="I41" s="85">
        <v>33.16</v>
      </c>
      <c r="J41" s="85">
        <v>23.94</v>
      </c>
      <c r="K41" s="85">
        <v>23.94</v>
      </c>
      <c r="L41" s="85">
        <v>18.1576</v>
      </c>
      <c r="M41" s="85">
        <v>0</v>
      </c>
      <c r="N41" s="85">
        <v>0</v>
      </c>
      <c r="O41" s="85">
        <v>0</v>
      </c>
      <c r="P41" s="85">
        <v>3.84</v>
      </c>
      <c r="Q41" s="85">
        <v>381.09</v>
      </c>
      <c r="R41" s="85" t="e">
        <f>$G41*H41</f>
        <v>#REF!</v>
      </c>
      <c r="S41" s="85" t="e">
        <f t="shared" ref="S41:AA41" si="25">$G41*I41</f>
        <v>#REF!</v>
      </c>
      <c r="T41" s="85" t="e">
        <f t="shared" si="25"/>
        <v>#REF!</v>
      </c>
      <c r="U41" s="85" t="e">
        <f t="shared" si="25"/>
        <v>#REF!</v>
      </c>
      <c r="V41" s="85" t="e">
        <f t="shared" si="25"/>
        <v>#REF!</v>
      </c>
      <c r="W41" s="85" t="e">
        <f t="shared" si="25"/>
        <v>#REF!</v>
      </c>
      <c r="X41" s="85" t="e">
        <f t="shared" si="25"/>
        <v>#REF!</v>
      </c>
      <c r="Y41" s="85" t="e">
        <f t="shared" si="25"/>
        <v>#REF!</v>
      </c>
      <c r="Z41" s="85" t="e">
        <f t="shared" si="25"/>
        <v>#REF!</v>
      </c>
      <c r="AA41" s="85" t="e">
        <f t="shared" si="25"/>
        <v>#REF!</v>
      </c>
      <c r="AB41" s="99"/>
      <c r="AC41" s="100">
        <f>IF(ISNUMBER(FIND("模板",B41)),42,_xlfn.XLOOKUP(B41,#REF!,#REF!))</f>
        <v>42</v>
      </c>
      <c r="AD41" s="100">
        <f t="shared" si="5"/>
        <v>22268.2992</v>
      </c>
      <c r="AE41" s="100"/>
      <c r="AF41" s="100"/>
      <c r="AG41" s="100"/>
    </row>
    <row r="42" s="60" customFormat="1" ht="24" outlineLevel="3" spans="1:33">
      <c r="A42" s="80">
        <v>2</v>
      </c>
      <c r="B42" s="81" t="s">
        <v>2328</v>
      </c>
      <c r="C42" s="82" t="e">
        <f>IF(ISNUMBER(FIND(#REF!,$B42,1)),#REF!,VLOOKUP($B42,#REF!,MATCH(C$2,#REF!,0),0))</f>
        <v>#REF!</v>
      </c>
      <c r="D42" s="83" t="s">
        <v>199</v>
      </c>
      <c r="E42" s="83" t="s">
        <v>199</v>
      </c>
      <c r="F42" s="81" t="e">
        <f>IF(ISNUMBER(FIND(#REF!,$B42,1)),#REF!,VLOOKUP($B42,#REF!,MATCH(F$2,#REF!,0),0))</f>
        <v>#REF!</v>
      </c>
      <c r="G42" s="84" t="e">
        <f>IF(ISNUMBER(FIND(#REF!,$B42,1)),#REF!,VLOOKUP($B42,#REF!,MATCH(G$2,#REF!,0),0))</f>
        <v>#REF!</v>
      </c>
      <c r="H42" s="85">
        <v>71.84</v>
      </c>
      <c r="I42" s="85">
        <v>56.1</v>
      </c>
      <c r="J42" s="85">
        <v>24.48</v>
      </c>
      <c r="K42" s="85">
        <v>24.48</v>
      </c>
      <c r="L42" s="85">
        <v>15.7618</v>
      </c>
      <c r="M42" s="85">
        <v>0</v>
      </c>
      <c r="N42" s="85">
        <v>0</v>
      </c>
      <c r="O42" s="85">
        <v>0</v>
      </c>
      <c r="P42" s="85">
        <v>150.17</v>
      </c>
      <c r="Q42" s="85">
        <v>779.24</v>
      </c>
      <c r="R42" s="85" t="e">
        <f t="shared" ref="R42:AA42" si="26">$G42*H42</f>
        <v>#REF!</v>
      </c>
      <c r="S42" s="85" t="e">
        <f t="shared" si="26"/>
        <v>#REF!</v>
      </c>
      <c r="T42" s="85" t="e">
        <f t="shared" si="26"/>
        <v>#REF!</v>
      </c>
      <c r="U42" s="85" t="e">
        <f t="shared" si="26"/>
        <v>#REF!</v>
      </c>
      <c r="V42" s="85" t="e">
        <f t="shared" si="26"/>
        <v>#REF!</v>
      </c>
      <c r="W42" s="85" t="e">
        <f t="shared" si="26"/>
        <v>#REF!</v>
      </c>
      <c r="X42" s="85" t="e">
        <f t="shared" si="26"/>
        <v>#REF!</v>
      </c>
      <c r="Y42" s="85" t="e">
        <f t="shared" si="26"/>
        <v>#REF!</v>
      </c>
      <c r="Z42" s="85" t="e">
        <f t="shared" si="26"/>
        <v>#REF!</v>
      </c>
      <c r="AA42" s="85" t="e">
        <f t="shared" si="26"/>
        <v>#REF!</v>
      </c>
      <c r="AB42" s="99"/>
      <c r="AC42" s="100">
        <f>IF(ISNUMBER(FIND("模板",B42)),42,_xlfn.XLOOKUP(B42,#REF!,#REF!))</f>
        <v>42</v>
      </c>
      <c r="AD42" s="100">
        <f t="shared" si="5"/>
        <v>47127.0156</v>
      </c>
      <c r="AE42" s="100"/>
      <c r="AF42" s="100"/>
      <c r="AG42" s="100"/>
    </row>
    <row r="43" s="60" customFormat="1" ht="24" outlineLevel="3" spans="1:33">
      <c r="A43" s="80">
        <v>3</v>
      </c>
      <c r="B43" s="81" t="s">
        <v>2329</v>
      </c>
      <c r="C43" s="82" t="e">
        <f>IF(ISNUMBER(FIND(#REF!,$B43,1)),#REF!,VLOOKUP($B43,#REF!,MATCH(C$2,#REF!,0),0))</f>
        <v>#REF!</v>
      </c>
      <c r="D43" s="83" t="s">
        <v>199</v>
      </c>
      <c r="E43" s="83" t="s">
        <v>199</v>
      </c>
      <c r="F43" s="81" t="e">
        <f>IF(ISNUMBER(FIND(#REF!,$B43,1)),#REF!,VLOOKUP($B43,#REF!,MATCH(F$2,#REF!,0),0))</f>
        <v>#REF!</v>
      </c>
      <c r="G43" s="84" t="e">
        <f>IF(ISNUMBER(FIND(#REF!,$B43,1)),#REF!,VLOOKUP($B43,#REF!,MATCH(G$2,#REF!,0),0))</f>
        <v>#REF!</v>
      </c>
      <c r="H43" s="85">
        <v>0.01</v>
      </c>
      <c r="I43" s="85">
        <v>0.01</v>
      </c>
      <c r="J43" s="85">
        <v>1</v>
      </c>
      <c r="K43" s="85">
        <v>1</v>
      </c>
      <c r="L43" s="85">
        <v>6.495</v>
      </c>
      <c r="M43" s="85">
        <v>0</v>
      </c>
      <c r="N43" s="85">
        <v>0</v>
      </c>
      <c r="O43" s="85">
        <v>0</v>
      </c>
      <c r="P43" s="85">
        <v>43.88</v>
      </c>
      <c r="Q43" s="85">
        <v>432.52</v>
      </c>
      <c r="R43" s="85" t="e">
        <f t="shared" ref="R43:AA43" si="27">$G43*H43</f>
        <v>#REF!</v>
      </c>
      <c r="S43" s="85" t="e">
        <f t="shared" si="27"/>
        <v>#REF!</v>
      </c>
      <c r="T43" s="85" t="e">
        <f t="shared" si="27"/>
        <v>#REF!</v>
      </c>
      <c r="U43" s="85" t="e">
        <f t="shared" si="27"/>
        <v>#REF!</v>
      </c>
      <c r="V43" s="85" t="e">
        <f t="shared" si="27"/>
        <v>#REF!</v>
      </c>
      <c r="W43" s="85" t="e">
        <f t="shared" si="27"/>
        <v>#REF!</v>
      </c>
      <c r="X43" s="85" t="e">
        <f t="shared" si="27"/>
        <v>#REF!</v>
      </c>
      <c r="Y43" s="85" t="e">
        <f t="shared" si="27"/>
        <v>#REF!</v>
      </c>
      <c r="Z43" s="85" t="e">
        <f t="shared" si="27"/>
        <v>#REF!</v>
      </c>
      <c r="AA43" s="85" t="e">
        <f t="shared" si="27"/>
        <v>#REF!</v>
      </c>
      <c r="AB43" s="99"/>
      <c r="AC43" s="100">
        <f>IF(ISNUMBER(FIND("模板",B43)),42,_xlfn.XLOOKUP(B43,#REF!,#REF!))</f>
        <v>42</v>
      </c>
      <c r="AD43" s="100">
        <f t="shared" si="5"/>
        <v>20366.43</v>
      </c>
      <c r="AE43" s="100"/>
      <c r="AF43" s="100"/>
      <c r="AG43" s="100"/>
    </row>
    <row r="44" s="60" customFormat="1" ht="24" outlineLevel="3" spans="1:33">
      <c r="A44" s="80">
        <v>4</v>
      </c>
      <c r="B44" s="81" t="s">
        <v>2330</v>
      </c>
      <c r="C44" s="82" t="e">
        <f>IF(ISNUMBER(FIND(#REF!,$B44,1)),#REF!,VLOOKUP($B44,#REF!,MATCH(C$2,#REF!,0),0))</f>
        <v>#REF!</v>
      </c>
      <c r="D44" s="83" t="s">
        <v>199</v>
      </c>
      <c r="E44" s="83" t="s">
        <v>199</v>
      </c>
      <c r="F44" s="81" t="e">
        <f>IF(ISNUMBER(FIND(#REF!,$B44,1)),#REF!,VLOOKUP($B44,#REF!,MATCH(F$2,#REF!,0),0))</f>
        <v>#REF!</v>
      </c>
      <c r="G44" s="84" t="e">
        <f>IF(ISNUMBER(FIND(#REF!,$B44,1)),#REF!,VLOOKUP($B44,#REF!,MATCH(G$2,#REF!,0),0))</f>
        <v>#REF!</v>
      </c>
      <c r="H44" s="85">
        <v>0</v>
      </c>
      <c r="I44" s="85">
        <v>0</v>
      </c>
      <c r="J44" s="85">
        <v>0</v>
      </c>
      <c r="K44" s="85">
        <v>0</v>
      </c>
      <c r="L44" s="85"/>
      <c r="M44" s="85">
        <v>0</v>
      </c>
      <c r="N44" s="85">
        <v>0</v>
      </c>
      <c r="O44" s="85">
        <v>0</v>
      </c>
      <c r="P44" s="85">
        <v>99.05</v>
      </c>
      <c r="Q44" s="85">
        <v>101.65</v>
      </c>
      <c r="R44" s="85" t="e">
        <f t="shared" ref="R44:AA44" si="28">$G44*H44</f>
        <v>#REF!</v>
      </c>
      <c r="S44" s="85" t="e">
        <f t="shared" si="28"/>
        <v>#REF!</v>
      </c>
      <c r="T44" s="85" t="e">
        <f t="shared" si="28"/>
        <v>#REF!</v>
      </c>
      <c r="U44" s="85" t="e">
        <f t="shared" si="28"/>
        <v>#REF!</v>
      </c>
      <c r="V44" s="85" t="e">
        <f t="shared" si="28"/>
        <v>#REF!</v>
      </c>
      <c r="W44" s="85" t="e">
        <f t="shared" si="28"/>
        <v>#REF!</v>
      </c>
      <c r="X44" s="85" t="e">
        <f t="shared" si="28"/>
        <v>#REF!</v>
      </c>
      <c r="Y44" s="85" t="e">
        <f t="shared" si="28"/>
        <v>#REF!</v>
      </c>
      <c r="Z44" s="85" t="e">
        <f t="shared" si="28"/>
        <v>#REF!</v>
      </c>
      <c r="AA44" s="85" t="e">
        <f t="shared" si="28"/>
        <v>#REF!</v>
      </c>
      <c r="AB44" s="99"/>
      <c r="AC44" s="100">
        <f>IF(ISNUMBER(FIND("模板",B44)),42,_xlfn.XLOOKUP(B44,#REF!,#REF!))</f>
        <v>42</v>
      </c>
      <c r="AD44" s="100">
        <f t="shared" si="5"/>
        <v>8429.4</v>
      </c>
      <c r="AE44" s="100"/>
      <c r="AF44" s="100"/>
      <c r="AG44" s="100"/>
    </row>
    <row r="45" s="59" customFormat="1" ht="12" outlineLevel="2" spans="1:33">
      <c r="A45" s="70" t="s">
        <v>2322</v>
      </c>
      <c r="B45" s="71" t="str">
        <f>目录!H59</f>
        <v>E.01.02脚手架工程</v>
      </c>
      <c r="C45" s="72"/>
      <c r="D45" s="73"/>
      <c r="E45" s="73"/>
      <c r="F45" s="70"/>
      <c r="G45" s="74"/>
      <c r="H45" s="74">
        <f t="shared" ref="H45:R45" si="29">SUM(H46:H49)</f>
        <v>1566.92</v>
      </c>
      <c r="I45" s="74">
        <f t="shared" si="29"/>
        <v>1329.64</v>
      </c>
      <c r="J45" s="74">
        <f t="shared" si="29"/>
        <v>1128.01</v>
      </c>
      <c r="K45" s="74">
        <f t="shared" si="29"/>
        <v>1128.01</v>
      </c>
      <c r="L45" s="74">
        <f t="shared" si="29"/>
        <v>900.982</v>
      </c>
      <c r="M45" s="74">
        <f t="shared" si="29"/>
        <v>0</v>
      </c>
      <c r="N45" s="74">
        <f t="shared" si="29"/>
        <v>0</v>
      </c>
      <c r="O45" s="74">
        <f t="shared" si="29"/>
        <v>0</v>
      </c>
      <c r="P45" s="74">
        <f t="shared" si="29"/>
        <v>24484.12</v>
      </c>
      <c r="Q45" s="74">
        <f t="shared" si="29"/>
        <v>62699.13</v>
      </c>
      <c r="R45" s="74" t="e">
        <f t="shared" si="29"/>
        <v>#REF!</v>
      </c>
      <c r="S45" s="74" t="e">
        <f t="shared" ref="S45:AA45" si="30">SUM(S46:S49)</f>
        <v>#REF!</v>
      </c>
      <c r="T45" s="74" t="e">
        <f t="shared" si="30"/>
        <v>#REF!</v>
      </c>
      <c r="U45" s="74" t="e">
        <f t="shared" si="30"/>
        <v>#REF!</v>
      </c>
      <c r="V45" s="74" t="e">
        <f t="shared" si="30"/>
        <v>#REF!</v>
      </c>
      <c r="W45" s="74" t="e">
        <f t="shared" si="30"/>
        <v>#REF!</v>
      </c>
      <c r="X45" s="74" t="e">
        <f t="shared" si="30"/>
        <v>#REF!</v>
      </c>
      <c r="Y45" s="74" t="e">
        <f t="shared" si="30"/>
        <v>#REF!</v>
      </c>
      <c r="Z45" s="74" t="e">
        <f t="shared" si="30"/>
        <v>#REF!</v>
      </c>
      <c r="AA45" s="74" t="e">
        <f t="shared" si="30"/>
        <v>#REF!</v>
      </c>
      <c r="AB45" s="73"/>
      <c r="AC45" s="100"/>
      <c r="AD45" s="100">
        <f t="shared" si="5"/>
        <v>0</v>
      </c>
      <c r="AE45" s="98"/>
      <c r="AF45" s="98"/>
      <c r="AG45" s="98"/>
    </row>
    <row r="46" s="60" customFormat="1" ht="36" outlineLevel="3" spans="1:33">
      <c r="A46" s="80">
        <v>1</v>
      </c>
      <c r="B46" s="81" t="s">
        <v>2331</v>
      </c>
      <c r="C46" s="82" t="e">
        <f>IF(ISNUMBER(FIND(#REF!,$B46,1)),#REF!,VLOOKUP($B46,#REF!,MATCH(C$2,#REF!,0),0))</f>
        <v>#REF!</v>
      </c>
      <c r="D46" s="83" t="s">
        <v>213</v>
      </c>
      <c r="E46" s="83" t="s">
        <v>213</v>
      </c>
      <c r="F46" s="81" t="e">
        <f>IF(ISNUMBER(FIND(#REF!,$B46,1)),#REF!,VLOOKUP($B46,#REF!,MATCH(F$2,#REF!,0),0))</f>
        <v>#REF!</v>
      </c>
      <c r="G46" s="84" t="e">
        <f>IF(ISNUMBER(FIND(#REF!,$B46,1)),#REF!,VLOOKUP($B46,#REF!,MATCH(G$2,#REF!,0),0))</f>
        <v>#REF!</v>
      </c>
      <c r="H46" s="85">
        <v>935.92</v>
      </c>
      <c r="I46" s="85">
        <v>667.6</v>
      </c>
      <c r="J46" s="85">
        <v>562</v>
      </c>
      <c r="K46" s="85">
        <v>562</v>
      </c>
      <c r="L46" s="85">
        <v>413.6585</v>
      </c>
      <c r="M46" s="85">
        <v>0</v>
      </c>
      <c r="N46" s="85">
        <v>0</v>
      </c>
      <c r="O46" s="85">
        <v>0</v>
      </c>
      <c r="P46" s="85">
        <v>2119.18</v>
      </c>
      <c r="Q46" s="85">
        <v>9076.75</v>
      </c>
      <c r="R46" s="85" t="e">
        <f>$G46*H46</f>
        <v>#REF!</v>
      </c>
      <c r="S46" s="85" t="e">
        <f t="shared" ref="S46:AA46" si="31">$G46*I46</f>
        <v>#REF!</v>
      </c>
      <c r="T46" s="85" t="e">
        <f t="shared" si="31"/>
        <v>#REF!</v>
      </c>
      <c r="U46" s="85" t="e">
        <f t="shared" si="31"/>
        <v>#REF!</v>
      </c>
      <c r="V46" s="85" t="e">
        <f t="shared" si="31"/>
        <v>#REF!</v>
      </c>
      <c r="W46" s="85" t="e">
        <f t="shared" si="31"/>
        <v>#REF!</v>
      </c>
      <c r="X46" s="85" t="e">
        <f t="shared" si="31"/>
        <v>#REF!</v>
      </c>
      <c r="Y46" s="85" t="e">
        <f t="shared" si="31"/>
        <v>#REF!</v>
      </c>
      <c r="Z46" s="85" t="e">
        <f t="shared" si="31"/>
        <v>#REF!</v>
      </c>
      <c r="AA46" s="85" t="e">
        <f t="shared" si="31"/>
        <v>#REF!</v>
      </c>
      <c r="AB46" s="99"/>
      <c r="AC46" s="100" t="e">
        <f>IF(ISNUMBER(FIND("模板",B46)),42,_xlfn.XLOOKUP(B46,#REF!,#REF!))</f>
        <v>#REF!</v>
      </c>
      <c r="AD46" s="100" t="e">
        <f t="shared" si="5"/>
        <v>#REF!</v>
      </c>
      <c r="AE46" s="100"/>
      <c r="AF46" s="100"/>
      <c r="AG46" s="100"/>
    </row>
    <row r="47" s="60" customFormat="1" ht="36" outlineLevel="3" spans="1:33">
      <c r="A47" s="80">
        <v>2</v>
      </c>
      <c r="B47" s="81" t="s">
        <v>2332</v>
      </c>
      <c r="C47" s="82" t="e">
        <f>IF(ISNUMBER(FIND(#REF!,$B47,1)),#REF!,VLOOKUP($B47,#REF!,MATCH(C$2,#REF!,0),0))</f>
        <v>#REF!</v>
      </c>
      <c r="D47" s="83" t="s">
        <v>213</v>
      </c>
      <c r="E47" s="83" t="s">
        <v>213</v>
      </c>
      <c r="F47" s="81" t="e">
        <f>IF(ISNUMBER(FIND(#REF!,$B47,1)),#REF!,VLOOKUP($B47,#REF!,MATCH(F$2,#REF!,0),0))</f>
        <v>#REF!</v>
      </c>
      <c r="G47" s="84" t="e">
        <f>IF(ISNUMBER(FIND(#REF!,$B47,1)),#REF!,VLOOKUP($B47,#REF!,MATCH(G$2,#REF!,0),0))</f>
        <v>#REF!</v>
      </c>
      <c r="H47" s="85">
        <v>631</v>
      </c>
      <c r="I47" s="85">
        <v>662.04</v>
      </c>
      <c r="J47" s="85">
        <v>566.01</v>
      </c>
      <c r="K47" s="85">
        <v>566.01</v>
      </c>
      <c r="L47" s="85">
        <v>90.3218</v>
      </c>
      <c r="M47" s="85">
        <v>0</v>
      </c>
      <c r="N47" s="85">
        <v>0</v>
      </c>
      <c r="O47" s="85">
        <v>0</v>
      </c>
      <c r="P47" s="85">
        <v>576.54</v>
      </c>
      <c r="Q47" s="85">
        <v>5481.67</v>
      </c>
      <c r="R47" s="85" t="e">
        <f t="shared" ref="R47:AA47" si="32">$G47*H47</f>
        <v>#REF!</v>
      </c>
      <c r="S47" s="85" t="e">
        <f t="shared" si="32"/>
        <v>#REF!</v>
      </c>
      <c r="T47" s="85" t="e">
        <f t="shared" si="32"/>
        <v>#REF!</v>
      </c>
      <c r="U47" s="85" t="e">
        <f t="shared" si="32"/>
        <v>#REF!</v>
      </c>
      <c r="V47" s="85" t="e">
        <f t="shared" si="32"/>
        <v>#REF!</v>
      </c>
      <c r="W47" s="85" t="e">
        <f t="shared" si="32"/>
        <v>#REF!</v>
      </c>
      <c r="X47" s="85" t="e">
        <f t="shared" si="32"/>
        <v>#REF!</v>
      </c>
      <c r="Y47" s="85" t="e">
        <f t="shared" si="32"/>
        <v>#REF!</v>
      </c>
      <c r="Z47" s="85" t="e">
        <f t="shared" si="32"/>
        <v>#REF!</v>
      </c>
      <c r="AA47" s="85" t="e">
        <f t="shared" si="32"/>
        <v>#REF!</v>
      </c>
      <c r="AB47" s="99"/>
      <c r="AC47" s="100" t="e">
        <f>IF(ISNUMBER(FIND("模板",B47)),42,_xlfn.XLOOKUP(B47,#REF!,#REF!))</f>
        <v>#REF!</v>
      </c>
      <c r="AD47" s="100" t="e">
        <f t="shared" si="5"/>
        <v>#REF!</v>
      </c>
      <c r="AE47" s="100"/>
      <c r="AF47" s="100"/>
      <c r="AG47" s="100"/>
    </row>
    <row r="48" s="60" customFormat="1" ht="36" outlineLevel="3" spans="1:33">
      <c r="A48" s="80">
        <v>3</v>
      </c>
      <c r="B48" s="81" t="s">
        <v>2333</v>
      </c>
      <c r="C48" s="82" t="e">
        <f>IF(ISNUMBER(FIND(#REF!,$B48,1)),#REF!,VLOOKUP($B48,#REF!,MATCH(C$2,#REF!,0),0))</f>
        <v>#REF!</v>
      </c>
      <c r="D48" s="83" t="s">
        <v>213</v>
      </c>
      <c r="E48" s="83" t="s">
        <v>213</v>
      </c>
      <c r="F48" s="81" t="e">
        <f>IF(ISNUMBER(FIND(#REF!,$B48,1)),#REF!,VLOOKUP($B48,#REF!,MATCH(F$2,#REF!,0),0))</f>
        <v>#REF!</v>
      </c>
      <c r="G48" s="84" t="e">
        <f>IF(ISNUMBER(FIND(#REF!,$B48,1)),#REF!,VLOOKUP($B48,#REF!,MATCH(G$2,#REF!,0),0))</f>
        <v>#REF!</v>
      </c>
      <c r="H48" s="85">
        <v>0</v>
      </c>
      <c r="I48" s="85">
        <v>0</v>
      </c>
      <c r="J48" s="85">
        <v>0</v>
      </c>
      <c r="K48" s="85">
        <v>0</v>
      </c>
      <c r="L48" s="85">
        <v>39.096</v>
      </c>
      <c r="M48" s="85">
        <v>0</v>
      </c>
      <c r="N48" s="85">
        <v>0</v>
      </c>
      <c r="O48" s="85">
        <v>0</v>
      </c>
      <c r="P48" s="89">
        <f>12116.04</f>
        <v>12116.04</v>
      </c>
      <c r="Q48" s="89">
        <f>24660.2</f>
        <v>24660.2</v>
      </c>
      <c r="R48" s="85" t="e">
        <f t="shared" ref="R48:AA48" si="33">$G48*H48</f>
        <v>#REF!</v>
      </c>
      <c r="S48" s="85" t="e">
        <f t="shared" si="33"/>
        <v>#REF!</v>
      </c>
      <c r="T48" s="85" t="e">
        <f t="shared" si="33"/>
        <v>#REF!</v>
      </c>
      <c r="U48" s="85" t="e">
        <f t="shared" si="33"/>
        <v>#REF!</v>
      </c>
      <c r="V48" s="85" t="e">
        <f t="shared" si="33"/>
        <v>#REF!</v>
      </c>
      <c r="W48" s="85" t="e">
        <f t="shared" si="33"/>
        <v>#REF!</v>
      </c>
      <c r="X48" s="85" t="e">
        <f t="shared" si="33"/>
        <v>#REF!</v>
      </c>
      <c r="Y48" s="85" t="e">
        <f t="shared" si="33"/>
        <v>#REF!</v>
      </c>
      <c r="Z48" s="85" t="e">
        <f t="shared" si="33"/>
        <v>#REF!</v>
      </c>
      <c r="AA48" s="85" t="e">
        <f t="shared" si="33"/>
        <v>#REF!</v>
      </c>
      <c r="AB48" s="99"/>
      <c r="AC48" s="100" t="e">
        <f>IF(ISNUMBER(FIND("模板",B48)),42,_xlfn.XLOOKUP(B48,#REF!,#REF!))</f>
        <v>#REF!</v>
      </c>
      <c r="AD48" s="100" t="e">
        <f t="shared" si="5"/>
        <v>#REF!</v>
      </c>
      <c r="AE48" s="100"/>
      <c r="AF48" s="100"/>
      <c r="AG48" s="100"/>
    </row>
    <row r="49" s="60" customFormat="1" ht="36" outlineLevel="3" spans="1:33">
      <c r="A49" s="80">
        <v>4</v>
      </c>
      <c r="B49" s="81" t="s">
        <v>2334</v>
      </c>
      <c r="C49" s="82" t="e">
        <f>IF(ISNUMBER(FIND(#REF!,$B49,1)),#REF!,VLOOKUP($B49,#REF!,MATCH(C$2,#REF!,0),0))</f>
        <v>#REF!</v>
      </c>
      <c r="D49" s="83" t="s">
        <v>213</v>
      </c>
      <c r="E49" s="83" t="s">
        <v>213</v>
      </c>
      <c r="F49" s="81" t="e">
        <f>IF(ISNUMBER(FIND(#REF!,$B49,1)),#REF!,VLOOKUP($B49,#REF!,MATCH(F$2,#REF!,0),0))</f>
        <v>#REF!</v>
      </c>
      <c r="G49" s="84" t="e">
        <f>IF(ISNUMBER(FIND(#REF!,$B49,1)),#REF!,VLOOKUP($B49,#REF!,MATCH(G$2,#REF!,0),0))</f>
        <v>#REF!</v>
      </c>
      <c r="H49" s="85">
        <v>0</v>
      </c>
      <c r="I49" s="85">
        <v>0</v>
      </c>
      <c r="J49" s="85">
        <v>0</v>
      </c>
      <c r="K49" s="85">
        <v>0</v>
      </c>
      <c r="L49" s="85">
        <v>357.9057</v>
      </c>
      <c r="M49" s="85">
        <v>0</v>
      </c>
      <c r="N49" s="85">
        <v>0</v>
      </c>
      <c r="O49" s="85">
        <v>0</v>
      </c>
      <c r="P49" s="90">
        <f>9672.36</f>
        <v>9672.36</v>
      </c>
      <c r="Q49" s="90">
        <f>23480.51</f>
        <v>23480.51</v>
      </c>
      <c r="R49" s="85" t="e">
        <f t="shared" ref="R49:AA49" si="34">$G49*H49</f>
        <v>#REF!</v>
      </c>
      <c r="S49" s="85" t="e">
        <f t="shared" si="34"/>
        <v>#REF!</v>
      </c>
      <c r="T49" s="85" t="e">
        <f t="shared" si="34"/>
        <v>#REF!</v>
      </c>
      <c r="U49" s="85" t="e">
        <f t="shared" si="34"/>
        <v>#REF!</v>
      </c>
      <c r="V49" s="85" t="e">
        <f t="shared" si="34"/>
        <v>#REF!</v>
      </c>
      <c r="W49" s="85" t="e">
        <f t="shared" si="34"/>
        <v>#REF!</v>
      </c>
      <c r="X49" s="85" t="e">
        <f t="shared" si="34"/>
        <v>#REF!</v>
      </c>
      <c r="Y49" s="85" t="e">
        <f t="shared" si="34"/>
        <v>#REF!</v>
      </c>
      <c r="Z49" s="85" t="e">
        <f t="shared" si="34"/>
        <v>#REF!</v>
      </c>
      <c r="AA49" s="85" t="e">
        <f t="shared" si="34"/>
        <v>#REF!</v>
      </c>
      <c r="AB49" s="99"/>
      <c r="AC49" s="100" t="e">
        <f>IF(ISNUMBER(FIND("模板",B49)),42,_xlfn.XLOOKUP(B49,#REF!,#REF!))</f>
        <v>#REF!</v>
      </c>
      <c r="AD49" s="100" t="e">
        <f t="shared" si="5"/>
        <v>#REF!</v>
      </c>
      <c r="AE49" s="100"/>
      <c r="AF49" s="100"/>
      <c r="AG49" s="100"/>
    </row>
    <row r="50" s="58" customFormat="1" ht="12" outlineLevel="1" spans="1:33">
      <c r="A50" s="75" t="s">
        <v>163</v>
      </c>
      <c r="B50" s="76" t="s">
        <v>2291</v>
      </c>
      <c r="C50" s="77"/>
      <c r="D50" s="78"/>
      <c r="E50" s="78"/>
      <c r="F50" s="75"/>
      <c r="G50" s="79"/>
      <c r="H50" s="79"/>
      <c r="I50" s="79"/>
      <c r="J50" s="79"/>
      <c r="K50" s="79"/>
      <c r="L50" s="79"/>
      <c r="M50" s="79"/>
      <c r="N50" s="79"/>
      <c r="O50" s="79"/>
      <c r="P50" s="79"/>
      <c r="Q50" s="79"/>
      <c r="R50" s="79" t="e">
        <f>SUM(R51,R67)</f>
        <v>#REF!</v>
      </c>
      <c r="S50" s="79" t="e">
        <f t="shared" ref="S50:AA50" si="35">SUM(S51,S67)</f>
        <v>#REF!</v>
      </c>
      <c r="T50" s="79" t="e">
        <f t="shared" si="35"/>
        <v>#REF!</v>
      </c>
      <c r="U50" s="79" t="e">
        <f t="shared" si="35"/>
        <v>#REF!</v>
      </c>
      <c r="V50" s="79" t="e">
        <f t="shared" si="35"/>
        <v>#REF!</v>
      </c>
      <c r="W50" s="79" t="e">
        <f t="shared" si="35"/>
        <v>#REF!</v>
      </c>
      <c r="X50" s="79" t="e">
        <f t="shared" si="35"/>
        <v>#REF!</v>
      </c>
      <c r="Y50" s="79" t="e">
        <f t="shared" si="35"/>
        <v>#REF!</v>
      </c>
      <c r="Z50" s="79" t="e">
        <f t="shared" si="35"/>
        <v>#REF!</v>
      </c>
      <c r="AA50" s="79" t="e">
        <f t="shared" si="35"/>
        <v>#REF!</v>
      </c>
      <c r="AB50" s="78"/>
      <c r="AC50" s="100"/>
      <c r="AD50" s="100"/>
      <c r="AE50" s="96"/>
      <c r="AF50" s="96"/>
      <c r="AG50" s="96"/>
    </row>
    <row r="51" s="59" customFormat="1" ht="12" outlineLevel="2" spans="1:33">
      <c r="A51" s="70" t="s">
        <v>2292</v>
      </c>
      <c r="B51" s="71" t="str">
        <f>目录!H58</f>
        <v>E.01.01模板工程</v>
      </c>
      <c r="C51" s="72"/>
      <c r="D51" s="73"/>
      <c r="E51" s="73"/>
      <c r="F51" s="70"/>
      <c r="G51" s="74"/>
      <c r="H51" s="74">
        <f t="shared" ref="H51:R51" si="36">SUM(H52:H66)</f>
        <v>28585.27</v>
      </c>
      <c r="I51" s="74">
        <f t="shared" si="36"/>
        <v>38196.05</v>
      </c>
      <c r="J51" s="74">
        <f t="shared" si="36"/>
        <v>21963.6415808</v>
      </c>
      <c r="K51" s="74">
        <f t="shared" si="36"/>
        <v>18808.057728</v>
      </c>
      <c r="L51" s="74">
        <f t="shared" si="36"/>
        <v>11938.4124</v>
      </c>
      <c r="M51" s="74">
        <f t="shared" si="36"/>
        <v>2573.77</v>
      </c>
      <c r="N51" s="74">
        <f t="shared" si="36"/>
        <v>2573.77</v>
      </c>
      <c r="O51" s="74">
        <f t="shared" si="36"/>
        <v>1902.98</v>
      </c>
      <c r="P51" s="74">
        <f t="shared" si="36"/>
        <v>0</v>
      </c>
      <c r="Q51" s="74">
        <f t="shared" si="36"/>
        <v>0</v>
      </c>
      <c r="R51" s="74" t="e">
        <f t="shared" si="36"/>
        <v>#REF!</v>
      </c>
      <c r="S51" s="74" t="e">
        <f t="shared" ref="S51:AA51" si="37">SUM(S52:S66)</f>
        <v>#REF!</v>
      </c>
      <c r="T51" s="74" t="e">
        <f t="shared" si="37"/>
        <v>#REF!</v>
      </c>
      <c r="U51" s="74" t="e">
        <f t="shared" si="37"/>
        <v>#REF!</v>
      </c>
      <c r="V51" s="74" t="e">
        <f t="shared" si="37"/>
        <v>#REF!</v>
      </c>
      <c r="W51" s="74" t="e">
        <f t="shared" si="37"/>
        <v>#REF!</v>
      </c>
      <c r="X51" s="74" t="e">
        <f t="shared" si="37"/>
        <v>#REF!</v>
      </c>
      <c r="Y51" s="74" t="e">
        <f t="shared" si="37"/>
        <v>#REF!</v>
      </c>
      <c r="Z51" s="74" t="e">
        <f t="shared" si="37"/>
        <v>#REF!</v>
      </c>
      <c r="AA51" s="74" t="e">
        <f t="shared" si="37"/>
        <v>#REF!</v>
      </c>
      <c r="AB51" s="73"/>
      <c r="AC51" s="100"/>
      <c r="AD51" s="100"/>
      <c r="AE51" s="98"/>
      <c r="AF51" s="98"/>
      <c r="AG51" s="98"/>
    </row>
    <row r="52" s="60" customFormat="1" ht="24" outlineLevel="3" spans="1:33">
      <c r="A52" s="80">
        <v>1</v>
      </c>
      <c r="B52" s="81" t="s">
        <v>2318</v>
      </c>
      <c r="C52" s="82" t="e">
        <f>IF(ISNUMBER(FIND(#REF!,$B52,1)),#REF!,VLOOKUP($B52,#REF!,MATCH(C$2,#REF!,0),0))</f>
        <v>#REF!</v>
      </c>
      <c r="D52" s="83" t="s">
        <v>198</v>
      </c>
      <c r="E52" s="83" t="s">
        <v>198</v>
      </c>
      <c r="F52" s="81" t="e">
        <f>IF(ISNUMBER(FIND(#REF!,$B52,1)),#REF!,VLOOKUP($B52,#REF!,MATCH(F$2,#REF!,0),0))</f>
        <v>#REF!</v>
      </c>
      <c r="G52" s="84" t="e">
        <f>IF(ISNUMBER(FIND(#REF!,$B52,1)),#REF!,VLOOKUP($B52,#REF!,MATCH(G$2,#REF!,0),0))</f>
        <v>#REF!</v>
      </c>
      <c r="H52" s="85">
        <v>32.28</v>
      </c>
      <c r="I52" s="85">
        <v>32.28</v>
      </c>
      <c r="J52" s="85">
        <v>1</v>
      </c>
      <c r="K52" s="85">
        <v>1</v>
      </c>
      <c r="L52" s="85"/>
      <c r="M52" s="85">
        <v>0</v>
      </c>
      <c r="N52" s="85">
        <v>0</v>
      </c>
      <c r="O52" s="85">
        <v>0</v>
      </c>
      <c r="P52" s="85">
        <v>0</v>
      </c>
      <c r="Q52" s="85">
        <v>0</v>
      </c>
      <c r="R52" s="85" t="e">
        <f>$G52*H52</f>
        <v>#REF!</v>
      </c>
      <c r="S52" s="85" t="e">
        <f t="shared" ref="S52:AA52" si="38">$G52*I52</f>
        <v>#REF!</v>
      </c>
      <c r="T52" s="85" t="e">
        <f t="shared" si="38"/>
        <v>#REF!</v>
      </c>
      <c r="U52" s="85" t="e">
        <f t="shared" si="38"/>
        <v>#REF!</v>
      </c>
      <c r="V52" s="85" t="e">
        <f t="shared" si="38"/>
        <v>#REF!</v>
      </c>
      <c r="W52" s="85" t="e">
        <f t="shared" si="38"/>
        <v>#REF!</v>
      </c>
      <c r="X52" s="85" t="e">
        <f t="shared" si="38"/>
        <v>#REF!</v>
      </c>
      <c r="Y52" s="85" t="e">
        <f t="shared" si="38"/>
        <v>#REF!</v>
      </c>
      <c r="Z52" s="85" t="e">
        <f t="shared" si="38"/>
        <v>#REF!</v>
      </c>
      <c r="AA52" s="85" t="e">
        <f t="shared" si="38"/>
        <v>#REF!</v>
      </c>
      <c r="AB52" s="99"/>
      <c r="AC52" s="100">
        <f>IF(ISNUMBER(FIND("模板",B52)),42,_xlfn.XLOOKUP(B52,#REF!,#REF!))</f>
        <v>42</v>
      </c>
      <c r="AD52" s="100">
        <f t="shared" si="5"/>
        <v>2795.52</v>
      </c>
      <c r="AE52" s="100"/>
      <c r="AF52" s="100"/>
      <c r="AG52" s="100"/>
    </row>
    <row r="53" s="60" customFormat="1" ht="24" outlineLevel="3" spans="1:33">
      <c r="A53" s="80">
        <v>2</v>
      </c>
      <c r="B53" s="81" t="s">
        <v>2297</v>
      </c>
      <c r="C53" s="82" t="e">
        <f>IF(ISNUMBER(FIND(#REF!,$B53,1)),#REF!,VLOOKUP($B53,#REF!,MATCH(C$2,#REF!,0),0))</f>
        <v>#REF!</v>
      </c>
      <c r="D53" s="83" t="s">
        <v>198</v>
      </c>
      <c r="E53" s="83" t="s">
        <v>198</v>
      </c>
      <c r="F53" s="81" t="e">
        <f>IF(ISNUMBER(FIND(#REF!,$B53,1)),#REF!,VLOOKUP($B53,#REF!,MATCH(F$2,#REF!,0),0))</f>
        <v>#REF!</v>
      </c>
      <c r="G53" s="84" t="e">
        <f>IF(ISNUMBER(FIND(#REF!,$B53,1)),#REF!,VLOOKUP($B53,#REF!,MATCH(G$2,#REF!,0),0))</f>
        <v>#REF!</v>
      </c>
      <c r="H53" s="85">
        <v>131.25</v>
      </c>
      <c r="I53" s="85">
        <v>130.89</v>
      </c>
      <c r="J53" s="85">
        <v>23.93</v>
      </c>
      <c r="K53" s="85">
        <v>23.93</v>
      </c>
      <c r="L53" s="85">
        <v>108.9767</v>
      </c>
      <c r="M53" s="85">
        <v>698.74</v>
      </c>
      <c r="N53" s="85">
        <v>698.74</v>
      </c>
      <c r="O53" s="85">
        <v>698.74</v>
      </c>
      <c r="P53" s="85">
        <v>0</v>
      </c>
      <c r="Q53" s="85">
        <v>0</v>
      </c>
      <c r="R53" s="85" t="e">
        <f t="shared" ref="R53:AA53" si="39">$G53*H53</f>
        <v>#REF!</v>
      </c>
      <c r="S53" s="85" t="e">
        <f t="shared" si="39"/>
        <v>#REF!</v>
      </c>
      <c r="T53" s="85" t="e">
        <f t="shared" si="39"/>
        <v>#REF!</v>
      </c>
      <c r="U53" s="85" t="e">
        <f t="shared" si="39"/>
        <v>#REF!</v>
      </c>
      <c r="V53" s="85" t="e">
        <f t="shared" si="39"/>
        <v>#REF!</v>
      </c>
      <c r="W53" s="85" t="e">
        <f t="shared" si="39"/>
        <v>#REF!</v>
      </c>
      <c r="X53" s="85" t="e">
        <f t="shared" si="39"/>
        <v>#REF!</v>
      </c>
      <c r="Y53" s="85" t="e">
        <f t="shared" si="39"/>
        <v>#REF!</v>
      </c>
      <c r="Z53" s="85" t="e">
        <f t="shared" si="39"/>
        <v>#REF!</v>
      </c>
      <c r="AA53" s="85" t="e">
        <f t="shared" si="39"/>
        <v>#REF!</v>
      </c>
      <c r="AB53" s="99"/>
      <c r="AC53" s="100">
        <f>IF(ISNUMBER(FIND("模板",B53)),42,_xlfn.XLOOKUP(B53,#REF!,#REF!))</f>
        <v>42</v>
      </c>
      <c r="AD53" s="100">
        <f t="shared" si="5"/>
        <v>105638.2614</v>
      </c>
      <c r="AE53" s="100"/>
      <c r="AF53" s="100"/>
      <c r="AG53" s="100"/>
    </row>
    <row r="54" s="60" customFormat="1" ht="24" outlineLevel="3" spans="1:33">
      <c r="A54" s="80">
        <v>3</v>
      </c>
      <c r="B54" s="81" t="s">
        <v>2298</v>
      </c>
      <c r="C54" s="82" t="e">
        <f>IF(ISNUMBER(FIND(#REF!,$B54,1)),#REF!,VLOOKUP($B54,#REF!,MATCH(C$2,#REF!,0),0))</f>
        <v>#REF!</v>
      </c>
      <c r="D54" s="83" t="s">
        <v>198</v>
      </c>
      <c r="E54" s="83" t="s">
        <v>198</v>
      </c>
      <c r="F54" s="81" t="e">
        <f>IF(ISNUMBER(FIND(#REF!,$B54,1)),#REF!,VLOOKUP($B54,#REF!,MATCH(F$2,#REF!,0),0))</f>
        <v>#REF!</v>
      </c>
      <c r="G54" s="84" t="e">
        <f>IF(ISNUMBER(FIND(#REF!,$B54,1)),#REF!,VLOOKUP($B54,#REF!,MATCH(G$2,#REF!,0),0))</f>
        <v>#REF!</v>
      </c>
      <c r="H54" s="85">
        <v>3451.6</v>
      </c>
      <c r="I54" s="85">
        <v>3585.7</v>
      </c>
      <c r="J54" s="85">
        <v>2637.01</v>
      </c>
      <c r="K54" s="85">
        <v>2637.01</v>
      </c>
      <c r="L54" s="85">
        <v>1503.2945</v>
      </c>
      <c r="M54" s="85">
        <v>785.3</v>
      </c>
      <c r="N54" s="85">
        <v>785.3</v>
      </c>
      <c r="O54" s="85">
        <v>785.3</v>
      </c>
      <c r="P54" s="85">
        <v>0</v>
      </c>
      <c r="Q54" s="85">
        <v>0</v>
      </c>
      <c r="R54" s="85" t="e">
        <f t="shared" ref="R54:AA54" si="40">$G54*H54</f>
        <v>#REF!</v>
      </c>
      <c r="S54" s="85" t="e">
        <f t="shared" si="40"/>
        <v>#REF!</v>
      </c>
      <c r="T54" s="85" t="e">
        <f t="shared" si="40"/>
        <v>#REF!</v>
      </c>
      <c r="U54" s="85" t="e">
        <f t="shared" si="40"/>
        <v>#REF!</v>
      </c>
      <c r="V54" s="85" t="e">
        <f t="shared" si="40"/>
        <v>#REF!</v>
      </c>
      <c r="W54" s="85" t="e">
        <f t="shared" si="40"/>
        <v>#REF!</v>
      </c>
      <c r="X54" s="85" t="e">
        <f t="shared" si="40"/>
        <v>#REF!</v>
      </c>
      <c r="Y54" s="85" t="e">
        <f t="shared" si="40"/>
        <v>#REF!</v>
      </c>
      <c r="Z54" s="85" t="e">
        <f t="shared" si="40"/>
        <v>#REF!</v>
      </c>
      <c r="AA54" s="85" t="e">
        <f t="shared" si="40"/>
        <v>#REF!</v>
      </c>
      <c r="AB54" s="99"/>
      <c r="AC54" s="100">
        <f>IF(ISNUMBER(FIND("模板",B54)),42,_xlfn.XLOOKUP(B54,#REF!,#REF!))</f>
        <v>42</v>
      </c>
      <c r="AD54" s="100">
        <f t="shared" si="5"/>
        <v>679161.609</v>
      </c>
      <c r="AE54" s="100"/>
      <c r="AF54" s="100"/>
      <c r="AG54" s="100"/>
    </row>
    <row r="55" s="60" customFormat="1" ht="24" outlineLevel="3" spans="1:33">
      <c r="A55" s="80">
        <v>4</v>
      </c>
      <c r="B55" s="81" t="s">
        <v>2335</v>
      </c>
      <c r="C55" s="82" t="e">
        <f>IF(ISNUMBER(FIND(#REF!,$B55,1)),#REF!,VLOOKUP($B55,#REF!,MATCH(C$2,#REF!,0),0))</f>
        <v>#REF!</v>
      </c>
      <c r="D55" s="83" t="s">
        <v>198</v>
      </c>
      <c r="E55" s="83" t="s">
        <v>198</v>
      </c>
      <c r="F55" s="81" t="e">
        <f>IF(ISNUMBER(FIND(#REF!,$B55,1)),#REF!,VLOOKUP($B55,#REF!,MATCH(F$2,#REF!,0),0))</f>
        <v>#REF!</v>
      </c>
      <c r="G55" s="84" t="e">
        <f>IF(ISNUMBER(FIND(#REF!,$B55,1)),#REF!,VLOOKUP($B55,#REF!,MATCH(G$2,#REF!,0),0))</f>
        <v>#REF!</v>
      </c>
      <c r="H55" s="85">
        <v>31.57</v>
      </c>
      <c r="I55" s="85">
        <v>31.57</v>
      </c>
      <c r="J55" s="85">
        <v>53.17</v>
      </c>
      <c r="K55" s="85">
        <v>53.17</v>
      </c>
      <c r="L55" s="85"/>
      <c r="M55" s="85">
        <v>0</v>
      </c>
      <c r="N55" s="85">
        <v>0</v>
      </c>
      <c r="O55" s="85">
        <v>0</v>
      </c>
      <c r="P55" s="85">
        <v>0</v>
      </c>
      <c r="Q55" s="85">
        <v>0</v>
      </c>
      <c r="R55" s="85" t="e">
        <f t="shared" ref="R55:AA55" si="41">$G55*H55</f>
        <v>#REF!</v>
      </c>
      <c r="S55" s="85" t="e">
        <f t="shared" si="41"/>
        <v>#REF!</v>
      </c>
      <c r="T55" s="85" t="e">
        <f t="shared" si="41"/>
        <v>#REF!</v>
      </c>
      <c r="U55" s="85" t="e">
        <f t="shared" si="41"/>
        <v>#REF!</v>
      </c>
      <c r="V55" s="85" t="e">
        <f t="shared" si="41"/>
        <v>#REF!</v>
      </c>
      <c r="W55" s="85" t="e">
        <f t="shared" si="41"/>
        <v>#REF!</v>
      </c>
      <c r="X55" s="85" t="e">
        <f t="shared" si="41"/>
        <v>#REF!</v>
      </c>
      <c r="Y55" s="85" t="e">
        <f t="shared" si="41"/>
        <v>#REF!</v>
      </c>
      <c r="Z55" s="85" t="e">
        <f t="shared" si="41"/>
        <v>#REF!</v>
      </c>
      <c r="AA55" s="85" t="e">
        <f t="shared" si="41"/>
        <v>#REF!</v>
      </c>
      <c r="AB55" s="99"/>
      <c r="AC55" s="100">
        <f>IF(ISNUMBER(FIND("模板",B55)),42,_xlfn.XLOOKUP(B55,#REF!,#REF!))</f>
        <v>42</v>
      </c>
      <c r="AD55" s="100">
        <f t="shared" si="5"/>
        <v>7118.16</v>
      </c>
      <c r="AE55" s="100"/>
      <c r="AF55" s="100"/>
      <c r="AG55" s="100"/>
    </row>
    <row r="56" s="60" customFormat="1" ht="24" outlineLevel="3" spans="1:33">
      <c r="A56" s="80">
        <v>5</v>
      </c>
      <c r="B56" s="81" t="s">
        <v>2301</v>
      </c>
      <c r="C56" s="82" t="e">
        <f>IF(ISNUMBER(FIND(#REF!,$B56,1)),#REF!,VLOOKUP($B56,#REF!,MATCH(C$2,#REF!,0),0))</f>
        <v>#REF!</v>
      </c>
      <c r="D56" s="83" t="s">
        <v>198</v>
      </c>
      <c r="E56" s="83" t="s">
        <v>198</v>
      </c>
      <c r="F56" s="81" t="e">
        <f>IF(ISNUMBER(FIND(#REF!,$B56,1)),#REF!,VLOOKUP($B56,#REF!,MATCH(F$2,#REF!,0),0))</f>
        <v>#REF!</v>
      </c>
      <c r="G56" s="84" t="e">
        <f>IF(ISNUMBER(FIND(#REF!,$B56,1)),#REF!,VLOOKUP($B56,#REF!,MATCH(G$2,#REF!,0),0))</f>
        <v>#REF!</v>
      </c>
      <c r="H56" s="85">
        <f>18358.47*90%</f>
        <v>16522.623</v>
      </c>
      <c r="I56" s="85">
        <f>18641.44*90%</f>
        <v>16777.296</v>
      </c>
      <c r="J56" s="85">
        <f>11629.3015808*90%</f>
        <v>10466.37142272</v>
      </c>
      <c r="K56" s="85">
        <f>8473.717728*90%</f>
        <v>7626.3459552</v>
      </c>
      <c r="L56" s="85">
        <v>5638</v>
      </c>
      <c r="M56" s="85">
        <v>0</v>
      </c>
      <c r="N56" s="85">
        <v>0</v>
      </c>
      <c r="O56" s="85">
        <v>0</v>
      </c>
      <c r="P56" s="85">
        <v>0</v>
      </c>
      <c r="Q56" s="85">
        <v>0</v>
      </c>
      <c r="R56" s="85" t="e">
        <f t="shared" ref="R56:AA56" si="42">$G56*H56</f>
        <v>#REF!</v>
      </c>
      <c r="S56" s="85" t="e">
        <f t="shared" si="42"/>
        <v>#REF!</v>
      </c>
      <c r="T56" s="85" t="e">
        <f t="shared" si="42"/>
        <v>#REF!</v>
      </c>
      <c r="U56" s="85" t="e">
        <f t="shared" si="42"/>
        <v>#REF!</v>
      </c>
      <c r="V56" s="85" t="e">
        <f t="shared" si="42"/>
        <v>#REF!</v>
      </c>
      <c r="W56" s="85" t="e">
        <f t="shared" si="42"/>
        <v>#REF!</v>
      </c>
      <c r="X56" s="85" t="e">
        <f t="shared" si="42"/>
        <v>#REF!</v>
      </c>
      <c r="Y56" s="85" t="e">
        <f t="shared" si="42"/>
        <v>#REF!</v>
      </c>
      <c r="Z56" s="85" t="e">
        <f t="shared" si="42"/>
        <v>#REF!</v>
      </c>
      <c r="AA56" s="85" t="e">
        <f t="shared" si="42"/>
        <v>#REF!</v>
      </c>
      <c r="AB56" s="99"/>
      <c r="AC56" s="100">
        <f>IF(ISNUMBER(FIND("模板",B56)),42,_xlfn.XLOOKUP(B56,#REF!,#REF!))</f>
        <v>42</v>
      </c>
      <c r="AD56" s="100">
        <f t="shared" si="5"/>
        <v>2395286.72787264</v>
      </c>
      <c r="AE56" s="100"/>
      <c r="AF56" s="100"/>
      <c r="AG56" s="100"/>
    </row>
    <row r="57" s="60" customFormat="1" ht="24" outlineLevel="3" spans="1:33">
      <c r="A57" s="80"/>
      <c r="B57" s="81" t="s">
        <v>2336</v>
      </c>
      <c r="C57" s="82" t="e">
        <f>IF(ISNUMBER(FIND(#REF!,$B57,1)),#REF!,VLOOKUP($B57,#REF!,MATCH(C$2,#REF!,0),0))</f>
        <v>#REF!</v>
      </c>
      <c r="D57" s="83" t="s">
        <v>198</v>
      </c>
      <c r="E57" s="83" t="s">
        <v>198</v>
      </c>
      <c r="F57" s="81" t="e">
        <f>IF(ISNUMBER(FIND(#REF!,$B57,1)),#REF!,VLOOKUP($B57,#REF!,MATCH(F$2,#REF!,0),0))</f>
        <v>#REF!</v>
      </c>
      <c r="G57" s="84" t="e">
        <f>IF(ISNUMBER(FIND(#REF!,$B57,1)),#REF!,VLOOKUP($B57,#REF!,MATCH(G$2,#REF!,0),0))</f>
        <v>#REF!</v>
      </c>
      <c r="H57" s="85">
        <v>1835.847</v>
      </c>
      <c r="I57" s="85">
        <v>1864.144</v>
      </c>
      <c r="J57" s="85">
        <v>1162.93015808</v>
      </c>
      <c r="K57" s="85">
        <v>847.3717728</v>
      </c>
      <c r="L57" s="85"/>
      <c r="M57" s="85">
        <v>0</v>
      </c>
      <c r="N57" s="85">
        <v>0</v>
      </c>
      <c r="O57" s="85">
        <v>0</v>
      </c>
      <c r="P57" s="85">
        <v>0</v>
      </c>
      <c r="Q57" s="85">
        <v>0</v>
      </c>
      <c r="R57" s="85" t="e">
        <f t="shared" ref="R57:AA57" si="43">$G57*H57</f>
        <v>#REF!</v>
      </c>
      <c r="S57" s="85" t="e">
        <f t="shared" si="43"/>
        <v>#REF!</v>
      </c>
      <c r="T57" s="85" t="e">
        <f t="shared" si="43"/>
        <v>#REF!</v>
      </c>
      <c r="U57" s="85" t="e">
        <f t="shared" si="43"/>
        <v>#REF!</v>
      </c>
      <c r="V57" s="85" t="e">
        <f t="shared" si="43"/>
        <v>#REF!</v>
      </c>
      <c r="W57" s="85" t="e">
        <f t="shared" si="43"/>
        <v>#REF!</v>
      </c>
      <c r="X57" s="85" t="e">
        <f t="shared" si="43"/>
        <v>#REF!</v>
      </c>
      <c r="Y57" s="85" t="e">
        <f t="shared" si="43"/>
        <v>#REF!</v>
      </c>
      <c r="Z57" s="85" t="e">
        <f t="shared" si="43"/>
        <v>#REF!</v>
      </c>
      <c r="AA57" s="85" t="e">
        <f t="shared" si="43"/>
        <v>#REF!</v>
      </c>
      <c r="AB57" s="99"/>
      <c r="AC57" s="100" t="e">
        <f>IF(ISNUMBER(FIND("模板",B57)),42,_xlfn.XLOOKUP(B57,#REF!,#REF!))</f>
        <v>#REF!</v>
      </c>
      <c r="AD57" s="100" t="e">
        <f t="shared" si="5"/>
        <v>#REF!</v>
      </c>
      <c r="AE57" s="100"/>
      <c r="AF57" s="100"/>
      <c r="AG57" s="100"/>
    </row>
    <row r="58" s="60" customFormat="1" ht="24" outlineLevel="3" spans="1:33">
      <c r="A58" s="80">
        <v>6</v>
      </c>
      <c r="B58" s="81" t="s">
        <v>2303</v>
      </c>
      <c r="C58" s="82" t="e">
        <f>IF(ISNUMBER(FIND(#REF!,$B58,1)),#REF!,VLOOKUP($B58,#REF!,MATCH(C$2,#REF!,0),0))</f>
        <v>#REF!</v>
      </c>
      <c r="D58" s="83" t="s">
        <v>198</v>
      </c>
      <c r="E58" s="83" t="s">
        <v>198</v>
      </c>
      <c r="F58" s="81" t="e">
        <f>IF(ISNUMBER(FIND(#REF!,$B58,1)),#REF!,VLOOKUP($B58,#REF!,MATCH(F$2,#REF!,0),0))</f>
        <v>#REF!</v>
      </c>
      <c r="G58" s="84" t="e">
        <f>IF(ISNUMBER(FIND(#REF!,$B58,1)),#REF!,VLOOKUP($B58,#REF!,MATCH(G$2,#REF!,0),0))</f>
        <v>#REF!</v>
      </c>
      <c r="H58" s="85">
        <v>2022.36</v>
      </c>
      <c r="I58" s="85">
        <v>2035.72</v>
      </c>
      <c r="J58" s="85">
        <v>382.09</v>
      </c>
      <c r="K58" s="85">
        <v>382.09</v>
      </c>
      <c r="L58" s="85">
        <v>206.5321</v>
      </c>
      <c r="M58" s="85">
        <v>0</v>
      </c>
      <c r="N58" s="85">
        <v>0</v>
      </c>
      <c r="O58" s="85">
        <v>0</v>
      </c>
      <c r="P58" s="85">
        <v>0</v>
      </c>
      <c r="Q58" s="85">
        <v>0</v>
      </c>
      <c r="R58" s="85" t="e">
        <f t="shared" ref="R58:AA58" si="44">$G58*H58</f>
        <v>#REF!</v>
      </c>
      <c r="S58" s="85" t="e">
        <f t="shared" si="44"/>
        <v>#REF!</v>
      </c>
      <c r="T58" s="85" t="e">
        <f t="shared" si="44"/>
        <v>#REF!</v>
      </c>
      <c r="U58" s="85" t="e">
        <f t="shared" si="44"/>
        <v>#REF!</v>
      </c>
      <c r="V58" s="85" t="e">
        <f t="shared" si="44"/>
        <v>#REF!</v>
      </c>
      <c r="W58" s="85" t="e">
        <f t="shared" si="44"/>
        <v>#REF!</v>
      </c>
      <c r="X58" s="85" t="e">
        <f t="shared" si="44"/>
        <v>#REF!</v>
      </c>
      <c r="Y58" s="85" t="e">
        <f t="shared" si="44"/>
        <v>#REF!</v>
      </c>
      <c r="Z58" s="85" t="e">
        <f t="shared" si="44"/>
        <v>#REF!</v>
      </c>
      <c r="AA58" s="85" t="e">
        <f t="shared" si="44"/>
        <v>#REF!</v>
      </c>
      <c r="AB58" s="99"/>
      <c r="AC58" s="100">
        <f>IF(ISNUMBER(FIND("模板",B58)),42,_xlfn.XLOOKUP(B58,#REF!,#REF!))</f>
        <v>42</v>
      </c>
      <c r="AD58" s="100">
        <f t="shared" si="5"/>
        <v>211209.2682</v>
      </c>
      <c r="AE58" s="100"/>
      <c r="AF58" s="100"/>
      <c r="AG58" s="100"/>
    </row>
    <row r="59" s="60" customFormat="1" ht="24" outlineLevel="3" spans="1:33">
      <c r="A59" s="80">
        <v>7</v>
      </c>
      <c r="B59" s="81" t="s">
        <v>2304</v>
      </c>
      <c r="C59" s="82" t="e">
        <f>IF(ISNUMBER(FIND(#REF!,$B59,1)),#REF!,VLOOKUP($B59,#REF!,MATCH(C$2,#REF!,0),0))</f>
        <v>#REF!</v>
      </c>
      <c r="D59" s="83" t="s">
        <v>198</v>
      </c>
      <c r="E59" s="83" t="s">
        <v>198</v>
      </c>
      <c r="F59" s="81" t="e">
        <f>IF(ISNUMBER(FIND(#REF!,$B59,1)),#REF!,VLOOKUP($B59,#REF!,MATCH(F$2,#REF!,0),0))</f>
        <v>#REF!</v>
      </c>
      <c r="G59" s="84" t="e">
        <f>IF(ISNUMBER(FIND(#REF!,$B59,1)),#REF!,VLOOKUP($B59,#REF!,MATCH(G$2,#REF!,0),0))</f>
        <v>#REF!</v>
      </c>
      <c r="H59" s="85">
        <v>1034.79</v>
      </c>
      <c r="I59" s="85">
        <v>10585</v>
      </c>
      <c r="J59" s="85">
        <v>5085.26</v>
      </c>
      <c r="K59" s="85">
        <v>5085.26</v>
      </c>
      <c r="L59" s="85">
        <v>3327.0137</v>
      </c>
      <c r="M59" s="85">
        <v>789.7</v>
      </c>
      <c r="N59" s="85">
        <v>789.7</v>
      </c>
      <c r="O59" s="85">
        <v>79</v>
      </c>
      <c r="P59" s="85">
        <v>0</v>
      </c>
      <c r="Q59" s="85">
        <v>0</v>
      </c>
      <c r="R59" s="85" t="e">
        <f t="shared" ref="R59:AA59" si="45">$G59*H59</f>
        <v>#REF!</v>
      </c>
      <c r="S59" s="85" t="e">
        <f t="shared" si="45"/>
        <v>#REF!</v>
      </c>
      <c r="T59" s="85" t="e">
        <f t="shared" si="45"/>
        <v>#REF!</v>
      </c>
      <c r="U59" s="85" t="e">
        <f t="shared" si="45"/>
        <v>#REF!</v>
      </c>
      <c r="V59" s="85" t="e">
        <f t="shared" si="45"/>
        <v>#REF!</v>
      </c>
      <c r="W59" s="85" t="e">
        <f t="shared" si="45"/>
        <v>#REF!</v>
      </c>
      <c r="X59" s="85" t="e">
        <f t="shared" si="45"/>
        <v>#REF!</v>
      </c>
      <c r="Y59" s="85" t="e">
        <f t="shared" si="45"/>
        <v>#REF!</v>
      </c>
      <c r="Z59" s="85" t="e">
        <f t="shared" si="45"/>
        <v>#REF!</v>
      </c>
      <c r="AA59" s="85" t="e">
        <f t="shared" si="45"/>
        <v>#REF!</v>
      </c>
      <c r="AB59" s="99"/>
      <c r="AC59" s="100">
        <f>IF(ISNUMBER(FIND("模板",B59)),42,_xlfn.XLOOKUP(B59,#REF!,#REF!))</f>
        <v>42</v>
      </c>
      <c r="AD59" s="100">
        <f t="shared" si="5"/>
        <v>1124580.3954</v>
      </c>
      <c r="AE59" s="100"/>
      <c r="AF59" s="100"/>
      <c r="AG59" s="100"/>
    </row>
    <row r="60" s="60" customFormat="1" ht="24" outlineLevel="3" spans="1:33">
      <c r="A60" s="80">
        <v>8</v>
      </c>
      <c r="B60" s="81" t="s">
        <v>2306</v>
      </c>
      <c r="C60" s="82" t="e">
        <f>IF(ISNUMBER(FIND(#REF!,$B60,1)),#REF!,VLOOKUP($B60,#REF!,MATCH(C$2,#REF!,0),0))</f>
        <v>#REF!</v>
      </c>
      <c r="D60" s="83" t="s">
        <v>198</v>
      </c>
      <c r="E60" s="83" t="s">
        <v>198</v>
      </c>
      <c r="F60" s="81" t="e">
        <f>IF(ISNUMBER(FIND(#REF!,$B60,1)),#REF!,VLOOKUP($B60,#REF!,MATCH(F$2,#REF!,0),0))</f>
        <v>#REF!</v>
      </c>
      <c r="G60" s="84" t="e">
        <f>IF(ISNUMBER(FIND(#REF!,$B60,1)),#REF!,VLOOKUP($B60,#REF!,MATCH(G$2,#REF!,0),0))</f>
        <v>#REF!</v>
      </c>
      <c r="H60" s="85">
        <v>648.46</v>
      </c>
      <c r="I60" s="85">
        <v>651.01</v>
      </c>
      <c r="J60" s="85">
        <v>432.67</v>
      </c>
      <c r="K60" s="85">
        <v>432.67</v>
      </c>
      <c r="L60" s="85"/>
      <c r="M60" s="85">
        <v>0</v>
      </c>
      <c r="N60" s="85">
        <v>0</v>
      </c>
      <c r="O60" s="85">
        <v>0</v>
      </c>
      <c r="P60" s="85">
        <v>0</v>
      </c>
      <c r="Q60" s="85">
        <v>0</v>
      </c>
      <c r="R60" s="85" t="e">
        <f t="shared" ref="R60:AA60" si="46">$G60*H60</f>
        <v>#REF!</v>
      </c>
      <c r="S60" s="85" t="e">
        <f t="shared" si="46"/>
        <v>#REF!</v>
      </c>
      <c r="T60" s="85" t="e">
        <f t="shared" si="46"/>
        <v>#REF!</v>
      </c>
      <c r="U60" s="85" t="e">
        <f t="shared" si="46"/>
        <v>#REF!</v>
      </c>
      <c r="V60" s="85" t="e">
        <f t="shared" si="46"/>
        <v>#REF!</v>
      </c>
      <c r="W60" s="85" t="e">
        <f t="shared" si="46"/>
        <v>#REF!</v>
      </c>
      <c r="X60" s="85" t="e">
        <f t="shared" si="46"/>
        <v>#REF!</v>
      </c>
      <c r="Y60" s="85" t="e">
        <f t="shared" si="46"/>
        <v>#REF!</v>
      </c>
      <c r="Z60" s="85" t="e">
        <f t="shared" si="46"/>
        <v>#REF!</v>
      </c>
      <c r="AA60" s="85" t="e">
        <f t="shared" si="46"/>
        <v>#REF!</v>
      </c>
      <c r="AB60" s="99"/>
      <c r="AC60" s="100">
        <f>IF(ISNUMBER(FIND("模板",B60)),42,_xlfn.XLOOKUP(B60,#REF!,#REF!))</f>
        <v>42</v>
      </c>
      <c r="AD60" s="100">
        <f t="shared" si="5"/>
        <v>90922.02</v>
      </c>
      <c r="AE60" s="100"/>
      <c r="AF60" s="100"/>
      <c r="AG60" s="100"/>
    </row>
    <row r="61" s="60" customFormat="1" ht="24" outlineLevel="3" spans="1:33">
      <c r="A61" s="80">
        <v>9</v>
      </c>
      <c r="B61" s="81" t="s">
        <v>2337</v>
      </c>
      <c r="C61" s="82" t="e">
        <f>IF(ISNUMBER(FIND(#REF!,$B61,1)),#REF!,VLOOKUP($B61,#REF!,MATCH(C$2,#REF!,0),0))</f>
        <v>#REF!</v>
      </c>
      <c r="D61" s="83" t="s">
        <v>198</v>
      </c>
      <c r="E61" s="83" t="s">
        <v>198</v>
      </c>
      <c r="F61" s="81" t="e">
        <f>IF(ISNUMBER(FIND(#REF!,$B61,1)),#REF!,VLOOKUP($B61,#REF!,MATCH(F$2,#REF!,0),0))</f>
        <v>#REF!</v>
      </c>
      <c r="G61" s="84" t="e">
        <f>IF(ISNUMBER(FIND(#REF!,$B61,1)),#REF!,VLOOKUP($B61,#REF!,MATCH(G$2,#REF!,0),0))</f>
        <v>#REF!</v>
      </c>
      <c r="H61" s="85">
        <v>40.45</v>
      </c>
      <c r="I61" s="85">
        <v>40.45</v>
      </c>
      <c r="J61" s="85">
        <v>59.24</v>
      </c>
      <c r="K61" s="85">
        <v>59.24</v>
      </c>
      <c r="L61" s="85"/>
      <c r="M61" s="85">
        <v>0</v>
      </c>
      <c r="N61" s="85">
        <v>0</v>
      </c>
      <c r="O61" s="85">
        <v>0</v>
      </c>
      <c r="P61" s="85">
        <v>0</v>
      </c>
      <c r="Q61" s="85">
        <v>0</v>
      </c>
      <c r="R61" s="85" t="e">
        <f t="shared" ref="R61:AA61" si="47">$G61*H61</f>
        <v>#REF!</v>
      </c>
      <c r="S61" s="85" t="e">
        <f t="shared" si="47"/>
        <v>#REF!</v>
      </c>
      <c r="T61" s="85" t="e">
        <f t="shared" si="47"/>
        <v>#REF!</v>
      </c>
      <c r="U61" s="85" t="e">
        <f t="shared" si="47"/>
        <v>#REF!</v>
      </c>
      <c r="V61" s="85" t="e">
        <f t="shared" si="47"/>
        <v>#REF!</v>
      </c>
      <c r="W61" s="85" t="e">
        <f t="shared" si="47"/>
        <v>#REF!</v>
      </c>
      <c r="X61" s="85" t="e">
        <f t="shared" si="47"/>
        <v>#REF!</v>
      </c>
      <c r="Y61" s="85" t="e">
        <f t="shared" si="47"/>
        <v>#REF!</v>
      </c>
      <c r="Z61" s="85" t="e">
        <f t="shared" si="47"/>
        <v>#REF!</v>
      </c>
      <c r="AA61" s="85" t="e">
        <f t="shared" si="47"/>
        <v>#REF!</v>
      </c>
      <c r="AB61" s="99"/>
      <c r="AC61" s="100">
        <f>IF(ISNUMBER(FIND("模板",B61)),42,_xlfn.XLOOKUP(B61,#REF!,#REF!))</f>
        <v>42</v>
      </c>
      <c r="AD61" s="100">
        <f t="shared" si="5"/>
        <v>8373.96</v>
      </c>
      <c r="AE61" s="100"/>
      <c r="AF61" s="100"/>
      <c r="AG61" s="100"/>
    </row>
    <row r="62" s="60" customFormat="1" ht="24" outlineLevel="3" spans="1:33">
      <c r="A62" s="80">
        <v>10</v>
      </c>
      <c r="B62" s="81" t="s">
        <v>2338</v>
      </c>
      <c r="C62" s="82" t="e">
        <f>IF(ISNUMBER(FIND(#REF!,$B62,1)),#REF!,VLOOKUP($B62,#REF!,MATCH(C$2,#REF!,0),0))</f>
        <v>#REF!</v>
      </c>
      <c r="D62" s="83" t="s">
        <v>198</v>
      </c>
      <c r="E62" s="83" t="s">
        <v>198</v>
      </c>
      <c r="F62" s="81" t="e">
        <f>IF(ISNUMBER(FIND(#REF!,$B62,1)),#REF!,VLOOKUP($B62,#REF!,MATCH(F$2,#REF!,0),0))</f>
        <v>#REF!</v>
      </c>
      <c r="G62" s="84" t="e">
        <f>IF(ISNUMBER(FIND(#REF!,$B62,1)),#REF!,VLOOKUP($B62,#REF!,MATCH(G$2,#REF!,0),0))</f>
        <v>#REF!</v>
      </c>
      <c r="H62" s="85">
        <v>1105.67</v>
      </c>
      <c r="I62" s="85">
        <v>0</v>
      </c>
      <c r="J62" s="85">
        <v>0</v>
      </c>
      <c r="K62" s="85">
        <v>0</v>
      </c>
      <c r="L62" s="85">
        <v>208.06</v>
      </c>
      <c r="M62" s="85">
        <v>0</v>
      </c>
      <c r="N62" s="85">
        <v>0</v>
      </c>
      <c r="O62" s="85">
        <v>83</v>
      </c>
      <c r="P62" s="85">
        <v>0</v>
      </c>
      <c r="Q62" s="85">
        <v>0</v>
      </c>
      <c r="R62" s="85" t="e">
        <f t="shared" ref="R62:AA62" si="48">$G62*H62</f>
        <v>#REF!</v>
      </c>
      <c r="S62" s="85" t="e">
        <f t="shared" si="48"/>
        <v>#REF!</v>
      </c>
      <c r="T62" s="85" t="e">
        <f t="shared" si="48"/>
        <v>#REF!</v>
      </c>
      <c r="U62" s="85" t="e">
        <f t="shared" si="48"/>
        <v>#REF!</v>
      </c>
      <c r="V62" s="85" t="e">
        <f t="shared" si="48"/>
        <v>#REF!</v>
      </c>
      <c r="W62" s="85" t="e">
        <f t="shared" si="48"/>
        <v>#REF!</v>
      </c>
      <c r="X62" s="85" t="e">
        <f t="shared" si="48"/>
        <v>#REF!</v>
      </c>
      <c r="Y62" s="85" t="e">
        <f t="shared" si="48"/>
        <v>#REF!</v>
      </c>
      <c r="Z62" s="85" t="e">
        <f t="shared" si="48"/>
        <v>#REF!</v>
      </c>
      <c r="AA62" s="85" t="e">
        <f t="shared" si="48"/>
        <v>#REF!</v>
      </c>
      <c r="AB62" s="99"/>
      <c r="AC62" s="100">
        <f>IF(ISNUMBER(FIND("模板",B62)),42,_xlfn.XLOOKUP(B62,#REF!,#REF!))</f>
        <v>42</v>
      </c>
      <c r="AD62" s="100">
        <f t="shared" si="5"/>
        <v>58662.66</v>
      </c>
      <c r="AE62" s="100"/>
      <c r="AF62" s="100"/>
      <c r="AG62" s="100"/>
    </row>
    <row r="63" s="60" customFormat="1" ht="24" outlineLevel="3" spans="1:33">
      <c r="A63" s="80">
        <v>11</v>
      </c>
      <c r="B63" s="81" t="s">
        <v>2307</v>
      </c>
      <c r="C63" s="82" t="e">
        <f>IF(ISNUMBER(FIND(#REF!,$B63,1)),#REF!,VLOOKUP($B63,#REF!,MATCH(C$2,#REF!,0),0))</f>
        <v>#REF!</v>
      </c>
      <c r="D63" s="83" t="s">
        <v>198</v>
      </c>
      <c r="E63" s="83" t="s">
        <v>198</v>
      </c>
      <c r="F63" s="81" t="e">
        <f>IF(ISNUMBER(FIND(#REF!,$B63,1)),#REF!,VLOOKUP($B63,#REF!,MATCH(F$2,#REF!,0),0))</f>
        <v>#REF!</v>
      </c>
      <c r="G63" s="84" t="e">
        <f>IF(ISNUMBER(FIND(#REF!,$B63,1)),#REF!,VLOOKUP($B63,#REF!,MATCH(G$2,#REF!,0),0))</f>
        <v>#REF!</v>
      </c>
      <c r="H63" s="85">
        <v>1410.97</v>
      </c>
      <c r="I63" s="85">
        <v>1518.42</v>
      </c>
      <c r="J63" s="85">
        <v>1180.99</v>
      </c>
      <c r="K63" s="85">
        <v>1180.99</v>
      </c>
      <c r="L63" s="85">
        <v>703.9759</v>
      </c>
      <c r="M63" s="85">
        <v>104.32</v>
      </c>
      <c r="N63" s="85">
        <v>104.32</v>
      </c>
      <c r="O63" s="85">
        <v>104.32</v>
      </c>
      <c r="P63" s="85">
        <v>0</v>
      </c>
      <c r="Q63" s="85">
        <v>0</v>
      </c>
      <c r="R63" s="85" t="e">
        <f t="shared" ref="R63:AA63" si="49">$G63*H63</f>
        <v>#REF!</v>
      </c>
      <c r="S63" s="85" t="e">
        <f t="shared" si="49"/>
        <v>#REF!</v>
      </c>
      <c r="T63" s="85" t="e">
        <f t="shared" si="49"/>
        <v>#REF!</v>
      </c>
      <c r="U63" s="85" t="e">
        <f t="shared" si="49"/>
        <v>#REF!</v>
      </c>
      <c r="V63" s="85" t="e">
        <f t="shared" si="49"/>
        <v>#REF!</v>
      </c>
      <c r="W63" s="85" t="e">
        <f t="shared" si="49"/>
        <v>#REF!</v>
      </c>
      <c r="X63" s="85" t="e">
        <f t="shared" si="49"/>
        <v>#REF!</v>
      </c>
      <c r="Y63" s="85" t="e">
        <f t="shared" si="49"/>
        <v>#REF!</v>
      </c>
      <c r="Z63" s="85" t="e">
        <f t="shared" si="49"/>
        <v>#REF!</v>
      </c>
      <c r="AA63" s="85" t="e">
        <f t="shared" si="49"/>
        <v>#REF!</v>
      </c>
      <c r="AB63" s="99"/>
      <c r="AC63" s="100">
        <f>IF(ISNUMBER(FIND("模板",B63)),42,_xlfn.XLOOKUP(B63,#REF!,#REF!))</f>
        <v>42</v>
      </c>
      <c r="AD63" s="100">
        <f t="shared" si="5"/>
        <v>264948.8478</v>
      </c>
      <c r="AE63" s="100"/>
      <c r="AF63" s="100"/>
      <c r="AG63" s="100"/>
    </row>
    <row r="64" s="60" customFormat="1" ht="24" outlineLevel="3" spans="1:33">
      <c r="A64" s="80">
        <v>12</v>
      </c>
      <c r="B64" s="81" t="s">
        <v>2321</v>
      </c>
      <c r="C64" s="82" t="e">
        <f>IF(ISNUMBER(FIND(#REF!,$B64,1)),#REF!,VLOOKUP($B64,#REF!,MATCH(C$2,#REF!,0),0))</f>
        <v>#REF!</v>
      </c>
      <c r="D64" s="83" t="s">
        <v>198</v>
      </c>
      <c r="E64" s="83" t="s">
        <v>198</v>
      </c>
      <c r="F64" s="81" t="e">
        <f>IF(ISNUMBER(FIND(#REF!,$B64,1)),#REF!,VLOOKUP($B64,#REF!,MATCH(F$2,#REF!,0),0))</f>
        <v>#REF!</v>
      </c>
      <c r="G64" s="84" t="e">
        <f>IF(ISNUMBER(FIND(#REF!,$B64,1)),#REF!,VLOOKUP($B64,#REF!,MATCH(G$2,#REF!,0),0))</f>
        <v>#REF!</v>
      </c>
      <c r="H64" s="85">
        <v>107.03</v>
      </c>
      <c r="I64" s="85">
        <v>111.61</v>
      </c>
      <c r="J64" s="85">
        <v>27.32</v>
      </c>
      <c r="K64" s="85">
        <v>27.32</v>
      </c>
      <c r="L64" s="85">
        <v>115.947</v>
      </c>
      <c r="M64" s="85">
        <v>137.62</v>
      </c>
      <c r="N64" s="85">
        <v>137.62</v>
      </c>
      <c r="O64" s="85">
        <v>137.62</v>
      </c>
      <c r="P64" s="85">
        <v>0</v>
      </c>
      <c r="Q64" s="85">
        <v>0</v>
      </c>
      <c r="R64" s="85" t="e">
        <f t="shared" ref="R64:AA64" si="50">$G64*H64</f>
        <v>#REF!</v>
      </c>
      <c r="S64" s="85" t="e">
        <f t="shared" si="50"/>
        <v>#REF!</v>
      </c>
      <c r="T64" s="85" t="e">
        <f t="shared" si="50"/>
        <v>#REF!</v>
      </c>
      <c r="U64" s="85" t="e">
        <f t="shared" si="50"/>
        <v>#REF!</v>
      </c>
      <c r="V64" s="85" t="e">
        <f t="shared" si="50"/>
        <v>#REF!</v>
      </c>
      <c r="W64" s="85" t="e">
        <f t="shared" si="50"/>
        <v>#REF!</v>
      </c>
      <c r="X64" s="85" t="e">
        <f t="shared" si="50"/>
        <v>#REF!</v>
      </c>
      <c r="Y64" s="85" t="e">
        <f t="shared" si="50"/>
        <v>#REF!</v>
      </c>
      <c r="Z64" s="85" t="e">
        <f t="shared" si="50"/>
        <v>#REF!</v>
      </c>
      <c r="AA64" s="85" t="e">
        <f t="shared" si="50"/>
        <v>#REF!</v>
      </c>
      <c r="AB64" s="99"/>
      <c r="AC64" s="100">
        <f>IF(ISNUMBER(FIND("模板",B64)),42,_xlfn.XLOOKUP(B64,#REF!,#REF!))</f>
        <v>42</v>
      </c>
      <c r="AD64" s="100">
        <f t="shared" si="5"/>
        <v>33687.654</v>
      </c>
      <c r="AE64" s="100"/>
      <c r="AF64" s="100"/>
      <c r="AG64" s="100"/>
    </row>
    <row r="65" s="60" customFormat="1" ht="24" outlineLevel="3" spans="1:33">
      <c r="A65" s="80">
        <v>13</v>
      </c>
      <c r="B65" s="81" t="s">
        <v>2339</v>
      </c>
      <c r="C65" s="82" t="e">
        <f>IF(ISNUMBER(FIND(#REF!,$B65,1)),#REF!,VLOOKUP($B65,#REF!,MATCH(C$2,#REF!,0),0))</f>
        <v>#REF!</v>
      </c>
      <c r="D65" s="83" t="s">
        <v>198</v>
      </c>
      <c r="E65" s="83" t="s">
        <v>198</v>
      </c>
      <c r="F65" s="81" t="e">
        <f>IF(ISNUMBER(FIND(#REF!,$B65,1)),#REF!,VLOOKUP($B65,#REF!,MATCH(F$2,#REF!,0),0))</f>
        <v>#REF!</v>
      </c>
      <c r="G65" s="84" t="e">
        <f>IF(ISNUMBER(FIND(#REF!,$B65,1)),#REF!,VLOOKUP($B65,#REF!,MATCH(G$2,#REF!,0),0))</f>
        <v>#REF!</v>
      </c>
      <c r="H65" s="85">
        <v>12.17</v>
      </c>
      <c r="I65" s="85">
        <v>12.17</v>
      </c>
      <c r="J65" s="85">
        <v>3.6</v>
      </c>
      <c r="K65" s="85">
        <v>3.6</v>
      </c>
      <c r="L65" s="85">
        <v>13.0735</v>
      </c>
      <c r="M65" s="85">
        <v>0</v>
      </c>
      <c r="N65" s="85">
        <v>0</v>
      </c>
      <c r="O65" s="85">
        <v>0</v>
      </c>
      <c r="P65" s="85">
        <v>0</v>
      </c>
      <c r="Q65" s="85">
        <v>0</v>
      </c>
      <c r="R65" s="85" t="e">
        <f t="shared" ref="R65:AA65" si="51">$G65*H65</f>
        <v>#REF!</v>
      </c>
      <c r="S65" s="85" t="e">
        <f t="shared" si="51"/>
        <v>#REF!</v>
      </c>
      <c r="T65" s="85" t="e">
        <f t="shared" si="51"/>
        <v>#REF!</v>
      </c>
      <c r="U65" s="85" t="e">
        <f t="shared" si="51"/>
        <v>#REF!</v>
      </c>
      <c r="V65" s="85" t="e">
        <f t="shared" si="51"/>
        <v>#REF!</v>
      </c>
      <c r="W65" s="85" t="e">
        <f t="shared" si="51"/>
        <v>#REF!</v>
      </c>
      <c r="X65" s="85" t="e">
        <f t="shared" si="51"/>
        <v>#REF!</v>
      </c>
      <c r="Y65" s="85" t="e">
        <f t="shared" si="51"/>
        <v>#REF!</v>
      </c>
      <c r="Z65" s="85" t="e">
        <f t="shared" si="51"/>
        <v>#REF!</v>
      </c>
      <c r="AA65" s="85" t="e">
        <f t="shared" si="51"/>
        <v>#REF!</v>
      </c>
      <c r="AB65" s="99"/>
      <c r="AC65" s="100">
        <f>IF(ISNUMBER(FIND("模板",B65)),42,_xlfn.XLOOKUP(B65,#REF!,#REF!))</f>
        <v>42</v>
      </c>
      <c r="AD65" s="100">
        <f t="shared" si="5"/>
        <v>1873.767</v>
      </c>
      <c r="AE65" s="100"/>
      <c r="AF65" s="100"/>
      <c r="AG65" s="100"/>
    </row>
    <row r="66" s="60" customFormat="1" ht="24" outlineLevel="3" spans="1:33">
      <c r="A66" s="80">
        <v>14</v>
      </c>
      <c r="B66" s="81" t="s">
        <v>2308</v>
      </c>
      <c r="C66" s="82" t="e">
        <f>IF(ISNUMBER(FIND(#REF!,$B66,1)),#REF!,VLOOKUP($B66,#REF!,MATCH(C$2,#REF!,0),0))</f>
        <v>#REF!</v>
      </c>
      <c r="D66" s="83" t="s">
        <v>198</v>
      </c>
      <c r="E66" s="83" t="s">
        <v>198</v>
      </c>
      <c r="F66" s="81" t="e">
        <f>IF(ISNUMBER(FIND(#REF!,$B66,1)),#REF!,VLOOKUP($B66,#REF!,MATCH(F$2,#REF!,0),0))</f>
        <v>#REF!</v>
      </c>
      <c r="G66" s="84" t="e">
        <f>IF(ISNUMBER(FIND(#REF!,$B66,1)),#REF!,VLOOKUP($B66,#REF!,MATCH(G$2,#REF!,0),0))</f>
        <v>#REF!</v>
      </c>
      <c r="H66" s="85">
        <v>198.2</v>
      </c>
      <c r="I66" s="85">
        <v>819.79</v>
      </c>
      <c r="J66" s="85">
        <v>448.06</v>
      </c>
      <c r="K66" s="85">
        <v>448.06</v>
      </c>
      <c r="L66" s="85">
        <v>113.539</v>
      </c>
      <c r="M66" s="85">
        <v>58.09</v>
      </c>
      <c r="N66" s="85">
        <v>58.09</v>
      </c>
      <c r="O66" s="85">
        <v>15</v>
      </c>
      <c r="P66" s="85">
        <v>0</v>
      </c>
      <c r="Q66" s="85">
        <v>0</v>
      </c>
      <c r="R66" s="85" t="e">
        <f t="shared" ref="R66:AA66" si="52">$G66*H66</f>
        <v>#REF!</v>
      </c>
      <c r="S66" s="85" t="e">
        <f t="shared" si="52"/>
        <v>#REF!</v>
      </c>
      <c r="T66" s="85" t="e">
        <f t="shared" si="52"/>
        <v>#REF!</v>
      </c>
      <c r="U66" s="85" t="e">
        <f t="shared" si="52"/>
        <v>#REF!</v>
      </c>
      <c r="V66" s="85" t="e">
        <f t="shared" si="52"/>
        <v>#REF!</v>
      </c>
      <c r="W66" s="85" t="e">
        <f t="shared" si="52"/>
        <v>#REF!</v>
      </c>
      <c r="X66" s="85" t="e">
        <f t="shared" si="52"/>
        <v>#REF!</v>
      </c>
      <c r="Y66" s="85" t="e">
        <f t="shared" si="52"/>
        <v>#REF!</v>
      </c>
      <c r="Z66" s="85" t="e">
        <f t="shared" si="52"/>
        <v>#REF!</v>
      </c>
      <c r="AA66" s="85" t="e">
        <f t="shared" si="52"/>
        <v>#REF!</v>
      </c>
      <c r="AB66" s="99"/>
      <c r="AC66" s="100" t="e">
        <f>IF(ISNUMBER(FIND("模板",B66)),42,_xlfn.XLOOKUP(B66,#REF!,#REF!))</f>
        <v>#REF!</v>
      </c>
      <c r="AD66" s="100" t="e">
        <f t="shared" si="5"/>
        <v>#REF!</v>
      </c>
      <c r="AE66" s="100"/>
      <c r="AF66" s="100"/>
      <c r="AG66" s="100"/>
    </row>
    <row r="67" s="59" customFormat="1" ht="12" outlineLevel="2" spans="1:33">
      <c r="A67" s="70" t="s">
        <v>2322</v>
      </c>
      <c r="B67" s="71" t="str">
        <f>目录!H59</f>
        <v>E.01.02脚手架工程</v>
      </c>
      <c r="C67" s="72"/>
      <c r="D67" s="73"/>
      <c r="E67" s="73"/>
      <c r="F67" s="70"/>
      <c r="G67" s="74"/>
      <c r="H67" s="74">
        <f t="shared" ref="H67:R67" si="53">SUM(H68:H71)</f>
        <v>12481.3</v>
      </c>
      <c r="I67" s="74">
        <f t="shared" si="53"/>
        <v>12473.8</v>
      </c>
      <c r="J67" s="74">
        <f t="shared" si="53"/>
        <v>5430.77</v>
      </c>
      <c r="K67" s="74">
        <f t="shared" si="53"/>
        <v>5430.77</v>
      </c>
      <c r="L67" s="74">
        <f t="shared" si="53"/>
        <v>3663.08</v>
      </c>
      <c r="M67" s="74">
        <f t="shared" si="53"/>
        <v>1015.6</v>
      </c>
      <c r="N67" s="74">
        <f t="shared" si="53"/>
        <v>1015.6</v>
      </c>
      <c r="O67" s="74">
        <f t="shared" si="53"/>
        <v>1015.6</v>
      </c>
      <c r="P67" s="74">
        <f t="shared" si="53"/>
        <v>0</v>
      </c>
      <c r="Q67" s="74">
        <f t="shared" si="53"/>
        <v>0</v>
      </c>
      <c r="R67" s="74" t="e">
        <f t="shared" si="53"/>
        <v>#REF!</v>
      </c>
      <c r="S67" s="74" t="e">
        <f t="shared" ref="S67:AA67" si="54">SUM(S68:S71)</f>
        <v>#REF!</v>
      </c>
      <c r="T67" s="74" t="e">
        <f t="shared" si="54"/>
        <v>#REF!</v>
      </c>
      <c r="U67" s="74" t="e">
        <f t="shared" si="54"/>
        <v>#REF!</v>
      </c>
      <c r="V67" s="74" t="e">
        <f t="shared" si="54"/>
        <v>#REF!</v>
      </c>
      <c r="W67" s="74" t="e">
        <f t="shared" si="54"/>
        <v>#REF!</v>
      </c>
      <c r="X67" s="74" t="e">
        <f t="shared" si="54"/>
        <v>#REF!</v>
      </c>
      <c r="Y67" s="74" t="e">
        <f t="shared" si="54"/>
        <v>#REF!</v>
      </c>
      <c r="Z67" s="74" t="e">
        <f t="shared" si="54"/>
        <v>#REF!</v>
      </c>
      <c r="AA67" s="74" t="e">
        <f t="shared" si="54"/>
        <v>#REF!</v>
      </c>
      <c r="AB67" s="73"/>
      <c r="AC67" s="100"/>
      <c r="AD67" s="100">
        <f t="shared" si="5"/>
        <v>0</v>
      </c>
      <c r="AE67" s="98"/>
      <c r="AF67" s="98"/>
      <c r="AG67" s="98"/>
    </row>
    <row r="68" s="60" customFormat="1" ht="86" customHeight="1" outlineLevel="3" spans="1:33">
      <c r="A68" s="80">
        <v>1</v>
      </c>
      <c r="B68" s="81" t="s">
        <v>2340</v>
      </c>
      <c r="C68" s="82" t="e">
        <f>IF(ISNUMBER(FIND(#REF!,$B68,1)),#REF!,VLOOKUP($B68,#REF!,MATCH(C$2,#REF!,0),0))</f>
        <v>#REF!</v>
      </c>
      <c r="D68" s="83" t="s">
        <v>212</v>
      </c>
      <c r="E68" s="83" t="s">
        <v>212</v>
      </c>
      <c r="F68" s="81" t="e">
        <f>IF(ISNUMBER(FIND(#REF!,$B68,1)),#REF!,VLOOKUP($B68,#REF!,MATCH(F$2,#REF!,0),0))</f>
        <v>#REF!</v>
      </c>
      <c r="G68" s="84" t="e">
        <f>IF(ISNUMBER(FIND(#REF!,$B68,1)),#REF!,VLOOKUP($B68,#REF!,MATCH(G$2,#REF!,0),0))</f>
        <v>#REF!</v>
      </c>
      <c r="H68" s="85">
        <v>1998.3</v>
      </c>
      <c r="I68" s="85">
        <v>1990.8</v>
      </c>
      <c r="J68" s="85">
        <v>1651.3</v>
      </c>
      <c r="K68" s="85">
        <v>1651.3</v>
      </c>
      <c r="L68" s="85">
        <v>1241.77</v>
      </c>
      <c r="M68" s="85">
        <v>1015.6</v>
      </c>
      <c r="N68" s="85">
        <v>1015.6</v>
      </c>
      <c r="O68" s="85">
        <v>1015.6</v>
      </c>
      <c r="P68" s="85">
        <v>0</v>
      </c>
      <c r="Q68" s="85">
        <v>0</v>
      </c>
      <c r="R68" s="85" t="e">
        <f>$G68*H68</f>
        <v>#REF!</v>
      </c>
      <c r="S68" s="85" t="e">
        <f t="shared" ref="S68:AA68" si="55">$G68*I68</f>
        <v>#REF!</v>
      </c>
      <c r="T68" s="85" t="e">
        <f t="shared" si="55"/>
        <v>#REF!</v>
      </c>
      <c r="U68" s="85" t="e">
        <f t="shared" si="55"/>
        <v>#REF!</v>
      </c>
      <c r="V68" s="85" t="e">
        <f t="shared" si="55"/>
        <v>#REF!</v>
      </c>
      <c r="W68" s="85" t="e">
        <f t="shared" si="55"/>
        <v>#REF!</v>
      </c>
      <c r="X68" s="85" t="e">
        <f t="shared" si="55"/>
        <v>#REF!</v>
      </c>
      <c r="Y68" s="85" t="e">
        <f t="shared" si="55"/>
        <v>#REF!</v>
      </c>
      <c r="Z68" s="85" t="e">
        <f t="shared" si="55"/>
        <v>#REF!</v>
      </c>
      <c r="AA68" s="85" t="e">
        <f t="shared" si="55"/>
        <v>#REF!</v>
      </c>
      <c r="AB68" s="99"/>
      <c r="AC68" s="100" t="e">
        <f>IF(ISNUMBER(FIND("模板",B68)),42,_xlfn.XLOOKUP(B68,#REF!,#REF!))</f>
        <v>#REF!</v>
      </c>
      <c r="AD68" s="100" t="e">
        <f t="shared" si="5"/>
        <v>#REF!</v>
      </c>
      <c r="AE68" s="100"/>
      <c r="AF68" s="100"/>
      <c r="AG68" s="100"/>
    </row>
    <row r="69" s="60" customFormat="1" ht="86" customHeight="1" outlineLevel="3" spans="1:33">
      <c r="A69" s="80">
        <v>2</v>
      </c>
      <c r="B69" s="81" t="s">
        <v>2341</v>
      </c>
      <c r="C69" s="82" t="e">
        <f>IF(ISNUMBER(FIND(#REF!,$B69,1)),#REF!,VLOOKUP($B69,#REF!,MATCH(C$2,#REF!,0),0))</f>
        <v>#REF!</v>
      </c>
      <c r="D69" s="83" t="s">
        <v>212</v>
      </c>
      <c r="E69" s="83" t="s">
        <v>212</v>
      </c>
      <c r="F69" s="81" t="e">
        <f>IF(ISNUMBER(FIND(#REF!,$B69,1)),#REF!,VLOOKUP($B69,#REF!,MATCH(F$2,#REF!,0),0))</f>
        <v>#REF!</v>
      </c>
      <c r="G69" s="84" t="e">
        <f>IF(ISNUMBER(FIND(#REF!,$B69,1)),#REF!,VLOOKUP($B69,#REF!,MATCH(G$2,#REF!,0),0))</f>
        <v>#REF!</v>
      </c>
      <c r="H69" s="85">
        <v>10480</v>
      </c>
      <c r="I69" s="85">
        <v>10480</v>
      </c>
      <c r="J69" s="85">
        <v>3777.47</v>
      </c>
      <c r="K69" s="85">
        <v>3777.47</v>
      </c>
      <c r="L69" s="85">
        <v>2420.31</v>
      </c>
      <c r="M69" s="85">
        <v>0</v>
      </c>
      <c r="N69" s="85">
        <v>0</v>
      </c>
      <c r="O69" s="85">
        <v>0</v>
      </c>
      <c r="P69" s="85">
        <v>0</v>
      </c>
      <c r="Q69" s="85">
        <v>0</v>
      </c>
      <c r="R69" s="85" t="e">
        <f t="shared" ref="R69:AA69" si="56">$G69*H69</f>
        <v>#REF!</v>
      </c>
      <c r="S69" s="85" t="e">
        <f t="shared" si="56"/>
        <v>#REF!</v>
      </c>
      <c r="T69" s="85" t="e">
        <f t="shared" si="56"/>
        <v>#REF!</v>
      </c>
      <c r="U69" s="85" t="e">
        <f t="shared" si="56"/>
        <v>#REF!</v>
      </c>
      <c r="V69" s="85" t="e">
        <f t="shared" si="56"/>
        <v>#REF!</v>
      </c>
      <c r="W69" s="85" t="e">
        <f t="shared" si="56"/>
        <v>#REF!</v>
      </c>
      <c r="X69" s="85" t="e">
        <f t="shared" si="56"/>
        <v>#REF!</v>
      </c>
      <c r="Y69" s="85" t="e">
        <f t="shared" si="56"/>
        <v>#REF!</v>
      </c>
      <c r="Z69" s="85" t="e">
        <f t="shared" si="56"/>
        <v>#REF!</v>
      </c>
      <c r="AA69" s="85" t="e">
        <f t="shared" si="56"/>
        <v>#REF!</v>
      </c>
      <c r="AB69" s="99"/>
      <c r="AC69" s="100" t="e">
        <f>IF(ISNUMBER(FIND("模板",B69)),42,_xlfn.XLOOKUP(B69,#REF!,#REF!))</f>
        <v>#REF!</v>
      </c>
      <c r="AD69" s="100" t="e">
        <f t="shared" si="5"/>
        <v>#REF!</v>
      </c>
      <c r="AE69" s="100"/>
      <c r="AF69" s="100"/>
      <c r="AG69" s="100"/>
    </row>
    <row r="70" s="60" customFormat="1" ht="88" customHeight="1" outlineLevel="3" spans="1:33">
      <c r="A70" s="80">
        <v>3</v>
      </c>
      <c r="B70" s="81" t="s">
        <v>2342</v>
      </c>
      <c r="C70" s="82" t="e">
        <f>IF(ISNUMBER(FIND(#REF!,$B70,1)),#REF!,VLOOKUP($B70,#REF!,MATCH(C$2,#REF!,0),0))</f>
        <v>#REF!</v>
      </c>
      <c r="D70" s="83" t="s">
        <v>212</v>
      </c>
      <c r="E70" s="83" t="s">
        <v>212</v>
      </c>
      <c r="F70" s="81" t="e">
        <f>IF(ISNUMBER(FIND(#REF!,$B70,1)),#REF!,VLOOKUP($B70,#REF!,MATCH(F$2,#REF!,0),0))</f>
        <v>#REF!</v>
      </c>
      <c r="G70" s="84" t="e">
        <f>IF(ISNUMBER(FIND(#REF!,$B70,1)),#REF!,VLOOKUP($B70,#REF!,MATCH(G$2,#REF!,0),0))</f>
        <v>#REF!</v>
      </c>
      <c r="H70" s="85">
        <v>3</v>
      </c>
      <c r="I70" s="85">
        <v>3</v>
      </c>
      <c r="J70" s="85">
        <v>0</v>
      </c>
      <c r="K70" s="85">
        <v>0</v>
      </c>
      <c r="L70" s="85"/>
      <c r="M70" s="85">
        <v>0</v>
      </c>
      <c r="N70" s="85">
        <v>0</v>
      </c>
      <c r="O70" s="85">
        <v>0</v>
      </c>
      <c r="P70" s="85">
        <v>0</v>
      </c>
      <c r="Q70" s="85">
        <v>0</v>
      </c>
      <c r="R70" s="85" t="e">
        <f t="shared" ref="R70:AA70" si="57">$G70*H70</f>
        <v>#REF!</v>
      </c>
      <c r="S70" s="85" t="e">
        <f t="shared" si="57"/>
        <v>#REF!</v>
      </c>
      <c r="T70" s="85" t="e">
        <f t="shared" si="57"/>
        <v>#REF!</v>
      </c>
      <c r="U70" s="85" t="e">
        <f t="shared" si="57"/>
        <v>#REF!</v>
      </c>
      <c r="V70" s="85" t="e">
        <f t="shared" si="57"/>
        <v>#REF!</v>
      </c>
      <c r="W70" s="85" t="e">
        <f t="shared" si="57"/>
        <v>#REF!</v>
      </c>
      <c r="X70" s="85" t="e">
        <f t="shared" si="57"/>
        <v>#REF!</v>
      </c>
      <c r="Y70" s="85" t="e">
        <f t="shared" si="57"/>
        <v>#REF!</v>
      </c>
      <c r="Z70" s="85" t="e">
        <f t="shared" si="57"/>
        <v>#REF!</v>
      </c>
      <c r="AA70" s="85" t="e">
        <f t="shared" si="57"/>
        <v>#REF!</v>
      </c>
      <c r="AB70" s="99"/>
      <c r="AC70" s="100" t="e">
        <f>IF(ISNUMBER(FIND("模板",B70)),42,_xlfn.XLOOKUP(B70,#REF!,#REF!))</f>
        <v>#REF!</v>
      </c>
      <c r="AD70" s="100" t="e">
        <f t="shared" si="5"/>
        <v>#REF!</v>
      </c>
      <c r="AE70" s="100"/>
      <c r="AF70" s="100"/>
      <c r="AG70" s="100"/>
    </row>
    <row r="71" s="61" customFormat="1" ht="84" customHeight="1" outlineLevel="3" spans="1:33">
      <c r="A71" s="80">
        <v>4</v>
      </c>
      <c r="B71" s="81" t="s">
        <v>2343</v>
      </c>
      <c r="C71" s="82" t="e">
        <f>IF(ISNUMBER(FIND(#REF!,$B71,1)),#REF!,VLOOKUP($B71,#REF!,MATCH(C$2,#REF!,0),0))</f>
        <v>#REF!</v>
      </c>
      <c r="D71" s="101"/>
      <c r="E71" s="101"/>
      <c r="F71" s="81" t="e">
        <f>IF(ISNUMBER(FIND(#REF!,$B71,1)),#REF!,VLOOKUP($B71,#REF!,MATCH(F$2,#REF!,0),0))</f>
        <v>#REF!</v>
      </c>
      <c r="G71" s="84" t="e">
        <f>IF(ISNUMBER(FIND(#REF!,$B71,1)),#REF!,VLOOKUP($B71,#REF!,MATCH(G$2,#REF!,0),0))</f>
        <v>#REF!</v>
      </c>
      <c r="H71" s="87"/>
      <c r="I71" s="87"/>
      <c r="J71" s="16">
        <v>2</v>
      </c>
      <c r="K71" s="16">
        <v>2</v>
      </c>
      <c r="L71" s="87">
        <v>1</v>
      </c>
      <c r="M71" s="87"/>
      <c r="N71" s="87"/>
      <c r="O71" s="87"/>
      <c r="P71" s="87"/>
      <c r="Q71" s="87"/>
      <c r="R71" s="85" t="e">
        <f t="shared" ref="R71:AA71" si="58">$G71*H71</f>
        <v>#REF!</v>
      </c>
      <c r="S71" s="85" t="e">
        <f t="shared" si="58"/>
        <v>#REF!</v>
      </c>
      <c r="T71" s="85" t="e">
        <f t="shared" si="58"/>
        <v>#REF!</v>
      </c>
      <c r="U71" s="85" t="e">
        <f t="shared" si="58"/>
        <v>#REF!</v>
      </c>
      <c r="V71" s="85" t="e">
        <f t="shared" si="58"/>
        <v>#REF!</v>
      </c>
      <c r="W71" s="85" t="e">
        <f t="shared" si="58"/>
        <v>#REF!</v>
      </c>
      <c r="X71" s="85" t="e">
        <f t="shared" si="58"/>
        <v>#REF!</v>
      </c>
      <c r="Y71" s="85" t="e">
        <f t="shared" si="58"/>
        <v>#REF!</v>
      </c>
      <c r="Z71" s="85" t="e">
        <f t="shared" si="58"/>
        <v>#REF!</v>
      </c>
      <c r="AA71" s="85" t="e">
        <f t="shared" si="58"/>
        <v>#REF!</v>
      </c>
      <c r="AB71" s="101"/>
      <c r="AC71" s="100" t="e">
        <f>IF(ISNUMBER(FIND("模板",B71)),42,_xlfn.XLOOKUP(B71,#REF!,#REF!))</f>
        <v>#REF!</v>
      </c>
      <c r="AD71" s="100" t="e">
        <f t="shared" ref="AD71:AD87" si="59">SUM(H71:Q71)*AC71</f>
        <v>#REF!</v>
      </c>
      <c r="AE71" s="102"/>
      <c r="AF71" s="102"/>
      <c r="AG71" s="102"/>
    </row>
    <row r="72" s="58" customFormat="1" ht="12" outlineLevel="1" spans="1:33">
      <c r="A72" s="75" t="s">
        <v>163</v>
      </c>
      <c r="B72" s="76" t="s">
        <v>2326</v>
      </c>
      <c r="C72" s="77"/>
      <c r="D72" s="78"/>
      <c r="E72" s="78"/>
      <c r="F72" s="75"/>
      <c r="G72" s="79"/>
      <c r="H72" s="79"/>
      <c r="I72" s="79"/>
      <c r="J72" s="79"/>
      <c r="K72" s="79"/>
      <c r="L72" s="79"/>
      <c r="M72" s="79"/>
      <c r="N72" s="79"/>
      <c r="O72" s="79"/>
      <c r="P72" s="79"/>
      <c r="Q72" s="79"/>
      <c r="R72" s="79" t="e">
        <f>SUM(R73,R84)</f>
        <v>#REF!</v>
      </c>
      <c r="S72" s="79" t="e">
        <f t="shared" ref="S72:AA72" si="60">SUM(S73,S84)</f>
        <v>#REF!</v>
      </c>
      <c r="T72" s="79" t="e">
        <f t="shared" si="60"/>
        <v>#REF!</v>
      </c>
      <c r="U72" s="79" t="e">
        <f t="shared" si="60"/>
        <v>#REF!</v>
      </c>
      <c r="V72" s="79" t="e">
        <f t="shared" si="60"/>
        <v>#REF!</v>
      </c>
      <c r="W72" s="79" t="e">
        <f t="shared" si="60"/>
        <v>#REF!</v>
      </c>
      <c r="X72" s="79" t="e">
        <f t="shared" si="60"/>
        <v>#REF!</v>
      </c>
      <c r="Y72" s="79" t="e">
        <f t="shared" si="60"/>
        <v>#REF!</v>
      </c>
      <c r="Z72" s="79" t="e">
        <f t="shared" si="60"/>
        <v>#REF!</v>
      </c>
      <c r="AA72" s="79" t="e">
        <f t="shared" si="60"/>
        <v>#REF!</v>
      </c>
      <c r="AB72" s="78"/>
      <c r="AC72" s="100"/>
      <c r="AD72" s="100">
        <f t="shared" si="59"/>
        <v>0</v>
      </c>
      <c r="AE72" s="96"/>
      <c r="AF72" s="96"/>
      <c r="AG72" s="96"/>
    </row>
    <row r="73" s="59" customFormat="1" ht="12" outlineLevel="2" spans="1:33">
      <c r="A73" s="70" t="s">
        <v>2292</v>
      </c>
      <c r="B73" s="71" t="str">
        <f>目录!H58</f>
        <v>E.01.01模板工程</v>
      </c>
      <c r="C73" s="72"/>
      <c r="D73" s="73"/>
      <c r="E73" s="73"/>
      <c r="F73" s="70"/>
      <c r="G73" s="74"/>
      <c r="H73" s="74">
        <f t="shared" ref="H73:R73" si="61">SUM(H74:H83)</f>
        <v>2870.36</v>
      </c>
      <c r="I73" s="74">
        <f t="shared" si="61"/>
        <v>4711.13</v>
      </c>
      <c r="J73" s="74">
        <f t="shared" si="61"/>
        <v>1519.69</v>
      </c>
      <c r="K73" s="74">
        <f t="shared" si="61"/>
        <v>1519.69</v>
      </c>
      <c r="L73" s="74">
        <f t="shared" si="61"/>
        <v>482.6276</v>
      </c>
      <c r="M73" s="74">
        <f t="shared" si="61"/>
        <v>159.7</v>
      </c>
      <c r="N73" s="74">
        <f t="shared" si="61"/>
        <v>159.7</v>
      </c>
      <c r="O73" s="74">
        <f t="shared" si="61"/>
        <v>159.7</v>
      </c>
      <c r="P73" s="74">
        <f t="shared" si="61"/>
        <v>0</v>
      </c>
      <c r="Q73" s="74">
        <f t="shared" si="61"/>
        <v>0</v>
      </c>
      <c r="R73" s="74" t="e">
        <f t="shared" si="61"/>
        <v>#REF!</v>
      </c>
      <c r="S73" s="74" t="e">
        <f t="shared" ref="S73:AA73" si="62">SUM(S74:S83)</f>
        <v>#REF!</v>
      </c>
      <c r="T73" s="74" t="e">
        <f t="shared" si="62"/>
        <v>#REF!</v>
      </c>
      <c r="U73" s="74" t="e">
        <f t="shared" si="62"/>
        <v>#REF!</v>
      </c>
      <c r="V73" s="74" t="e">
        <f t="shared" si="62"/>
        <v>#REF!</v>
      </c>
      <c r="W73" s="74" t="e">
        <f t="shared" si="62"/>
        <v>#REF!</v>
      </c>
      <c r="X73" s="74" t="e">
        <f t="shared" si="62"/>
        <v>#REF!</v>
      </c>
      <c r="Y73" s="74" t="e">
        <f t="shared" si="62"/>
        <v>#REF!</v>
      </c>
      <c r="Z73" s="74" t="e">
        <f t="shared" si="62"/>
        <v>#REF!</v>
      </c>
      <c r="AA73" s="74" t="e">
        <f t="shared" si="62"/>
        <v>#REF!</v>
      </c>
      <c r="AB73" s="73"/>
      <c r="AC73" s="100"/>
      <c r="AD73" s="100"/>
      <c r="AE73" s="98"/>
      <c r="AF73" s="98"/>
      <c r="AG73" s="98"/>
    </row>
    <row r="74" s="60" customFormat="1" ht="24" outlineLevel="3" spans="1:33">
      <c r="A74" s="80">
        <v>1</v>
      </c>
      <c r="B74" s="81" t="s">
        <v>2328</v>
      </c>
      <c r="C74" s="82" t="e">
        <f>IF(ISNUMBER(FIND(#REF!,$B74,1)),#REF!,VLOOKUP($B74,#REF!,MATCH(C$2,#REF!,0),0))</f>
        <v>#REF!</v>
      </c>
      <c r="D74" s="83" t="s">
        <v>198</v>
      </c>
      <c r="E74" s="83" t="s">
        <v>198</v>
      </c>
      <c r="F74" s="81" t="e">
        <f>IF(ISNUMBER(FIND(#REF!,$B74,1)),#REF!,VLOOKUP($B74,#REF!,MATCH(F$2,#REF!,0),0))</f>
        <v>#REF!</v>
      </c>
      <c r="G74" s="84" t="e">
        <f>IF(ISNUMBER(FIND(#REF!,$B74,1)),#REF!,VLOOKUP($B74,#REF!,MATCH(G$2,#REF!,0),0))</f>
        <v>#REF!</v>
      </c>
      <c r="H74" s="85">
        <v>894.63</v>
      </c>
      <c r="I74" s="85">
        <v>2691.5</v>
      </c>
      <c r="J74" s="85">
        <v>1026.84</v>
      </c>
      <c r="K74" s="85">
        <v>1026.84</v>
      </c>
      <c r="L74" s="85">
        <v>137.0844</v>
      </c>
      <c r="M74" s="85">
        <v>111.07</v>
      </c>
      <c r="N74" s="85">
        <v>111.07</v>
      </c>
      <c r="O74" s="85">
        <v>111.07</v>
      </c>
      <c r="P74" s="85">
        <v>0</v>
      </c>
      <c r="Q74" s="85">
        <v>0</v>
      </c>
      <c r="R74" s="85" t="e">
        <f>$G74*H74</f>
        <v>#REF!</v>
      </c>
      <c r="S74" s="85" t="e">
        <f t="shared" ref="S74:AA74" si="63">$G74*I74</f>
        <v>#REF!</v>
      </c>
      <c r="T74" s="85" t="e">
        <f t="shared" si="63"/>
        <v>#REF!</v>
      </c>
      <c r="U74" s="85" t="e">
        <f t="shared" si="63"/>
        <v>#REF!</v>
      </c>
      <c r="V74" s="85" t="e">
        <f t="shared" si="63"/>
        <v>#REF!</v>
      </c>
      <c r="W74" s="85" t="e">
        <f t="shared" si="63"/>
        <v>#REF!</v>
      </c>
      <c r="X74" s="85" t="e">
        <f t="shared" si="63"/>
        <v>#REF!</v>
      </c>
      <c r="Y74" s="85" t="e">
        <f t="shared" si="63"/>
        <v>#REF!</v>
      </c>
      <c r="Z74" s="85" t="e">
        <f t="shared" si="63"/>
        <v>#REF!</v>
      </c>
      <c r="AA74" s="85" t="e">
        <f t="shared" si="63"/>
        <v>#REF!</v>
      </c>
      <c r="AB74" s="99"/>
      <c r="AC74" s="100">
        <f>IF(ISNUMBER(FIND("模板",B74)),42,_xlfn.XLOOKUP(B74,#REF!,#REF!))</f>
        <v>42</v>
      </c>
      <c r="AD74" s="100">
        <f t="shared" si="59"/>
        <v>256624.3848</v>
      </c>
      <c r="AE74" s="100"/>
      <c r="AF74" s="100"/>
      <c r="AG74" s="100"/>
    </row>
    <row r="75" s="60" customFormat="1" ht="24" outlineLevel="3" spans="1:33">
      <c r="A75" s="80">
        <v>2</v>
      </c>
      <c r="B75" s="81" t="s">
        <v>2327</v>
      </c>
      <c r="C75" s="82" t="e">
        <f>IF(ISNUMBER(FIND(#REF!,$B75,1)),#REF!,VLOOKUP($B75,#REF!,MATCH(C$2,#REF!,0),0))</f>
        <v>#REF!</v>
      </c>
      <c r="D75" s="83" t="s">
        <v>198</v>
      </c>
      <c r="E75" s="83" t="s">
        <v>198</v>
      </c>
      <c r="F75" s="81" t="e">
        <f>IF(ISNUMBER(FIND(#REF!,$B75,1)),#REF!,VLOOKUP($B75,#REF!,MATCH(F$2,#REF!,0),0))</f>
        <v>#REF!</v>
      </c>
      <c r="G75" s="84" t="e">
        <f>IF(ISNUMBER(FIND(#REF!,$B75,1)),#REF!,VLOOKUP($B75,#REF!,MATCH(G$2,#REF!,0),0))</f>
        <v>#REF!</v>
      </c>
      <c r="H75" s="85">
        <v>37.3</v>
      </c>
      <c r="I75" s="85">
        <v>35.64</v>
      </c>
      <c r="J75" s="85">
        <v>30.11</v>
      </c>
      <c r="K75" s="85">
        <v>30.11</v>
      </c>
      <c r="L75" s="85">
        <v>18.0948</v>
      </c>
      <c r="M75" s="85">
        <v>2.91</v>
      </c>
      <c r="N75" s="85">
        <v>2.91</v>
      </c>
      <c r="O75" s="85">
        <v>2.91</v>
      </c>
      <c r="P75" s="85">
        <v>0</v>
      </c>
      <c r="Q75" s="85">
        <v>0</v>
      </c>
      <c r="R75" s="85" t="e">
        <f t="shared" ref="R75:AA75" si="64">$G75*H75</f>
        <v>#REF!</v>
      </c>
      <c r="S75" s="85" t="e">
        <f t="shared" si="64"/>
        <v>#REF!</v>
      </c>
      <c r="T75" s="85" t="e">
        <f t="shared" si="64"/>
        <v>#REF!</v>
      </c>
      <c r="U75" s="85" t="e">
        <f t="shared" si="64"/>
        <v>#REF!</v>
      </c>
      <c r="V75" s="85" t="e">
        <f t="shared" si="64"/>
        <v>#REF!</v>
      </c>
      <c r="W75" s="85" t="e">
        <f t="shared" si="64"/>
        <v>#REF!</v>
      </c>
      <c r="X75" s="85" t="e">
        <f t="shared" si="64"/>
        <v>#REF!</v>
      </c>
      <c r="Y75" s="85" t="e">
        <f t="shared" si="64"/>
        <v>#REF!</v>
      </c>
      <c r="Z75" s="85" t="e">
        <f t="shared" si="64"/>
        <v>#REF!</v>
      </c>
      <c r="AA75" s="85" t="e">
        <f t="shared" si="64"/>
        <v>#REF!</v>
      </c>
      <c r="AB75" s="99"/>
      <c r="AC75" s="100">
        <f>IF(ISNUMBER(FIND("模板",B75)),42,_xlfn.XLOOKUP(B75,#REF!,#REF!))</f>
        <v>42</v>
      </c>
      <c r="AD75" s="100">
        <f t="shared" si="59"/>
        <v>6719.3616</v>
      </c>
      <c r="AE75" s="100"/>
      <c r="AF75" s="100"/>
      <c r="AG75" s="100"/>
    </row>
    <row r="76" s="60" customFormat="1" ht="24" outlineLevel="3" spans="1:33">
      <c r="A76" s="80">
        <v>3</v>
      </c>
      <c r="B76" s="81" t="s">
        <v>2344</v>
      </c>
      <c r="C76" s="82" t="e">
        <f>IF(ISNUMBER(FIND(#REF!,$B76,1)),#REF!,VLOOKUP($B76,#REF!,MATCH(C$2,#REF!,0),0))</f>
        <v>#REF!</v>
      </c>
      <c r="D76" s="83" t="s">
        <v>198</v>
      </c>
      <c r="E76" s="83" t="s">
        <v>198</v>
      </c>
      <c r="F76" s="81" t="e">
        <f>IF(ISNUMBER(FIND(#REF!,$B76,1)),#REF!,VLOOKUP($B76,#REF!,MATCH(F$2,#REF!,0),0))</f>
        <v>#REF!</v>
      </c>
      <c r="G76" s="84" t="e">
        <f>IF(ISNUMBER(FIND(#REF!,$B76,1)),#REF!,VLOOKUP($B76,#REF!,MATCH(G$2,#REF!,0),0))</f>
        <v>#REF!</v>
      </c>
      <c r="H76" s="85">
        <v>19.07</v>
      </c>
      <c r="I76" s="85">
        <v>19.07</v>
      </c>
      <c r="J76" s="85">
        <v>13.6</v>
      </c>
      <c r="K76" s="85">
        <v>13.6</v>
      </c>
      <c r="L76" s="85">
        <v>13.274</v>
      </c>
      <c r="M76" s="85">
        <v>1</v>
      </c>
      <c r="N76" s="85">
        <v>1</v>
      </c>
      <c r="O76" s="85">
        <v>1</v>
      </c>
      <c r="P76" s="85">
        <v>0</v>
      </c>
      <c r="Q76" s="85">
        <v>0</v>
      </c>
      <c r="R76" s="85" t="e">
        <f t="shared" ref="R76:AA76" si="65">$G76*H76</f>
        <v>#REF!</v>
      </c>
      <c r="S76" s="85" t="e">
        <f t="shared" si="65"/>
        <v>#REF!</v>
      </c>
      <c r="T76" s="85" t="e">
        <f t="shared" si="65"/>
        <v>#REF!</v>
      </c>
      <c r="U76" s="85" t="e">
        <f t="shared" si="65"/>
        <v>#REF!</v>
      </c>
      <c r="V76" s="85" t="e">
        <f t="shared" si="65"/>
        <v>#REF!</v>
      </c>
      <c r="W76" s="85" t="e">
        <f t="shared" si="65"/>
        <v>#REF!</v>
      </c>
      <c r="X76" s="85" t="e">
        <f t="shared" si="65"/>
        <v>#REF!</v>
      </c>
      <c r="Y76" s="85" t="e">
        <f t="shared" si="65"/>
        <v>#REF!</v>
      </c>
      <c r="Z76" s="85" t="e">
        <f t="shared" si="65"/>
        <v>#REF!</v>
      </c>
      <c r="AA76" s="85" t="e">
        <f t="shared" si="65"/>
        <v>#REF!</v>
      </c>
      <c r="AB76" s="99"/>
      <c r="AC76" s="100">
        <f>IF(ISNUMBER(FIND("模板",B76)),42,_xlfn.XLOOKUP(B76,#REF!,#REF!))</f>
        <v>42</v>
      </c>
      <c r="AD76" s="100">
        <f t="shared" si="59"/>
        <v>3427.788</v>
      </c>
      <c r="AE76" s="100"/>
      <c r="AF76" s="100"/>
      <c r="AG76" s="100"/>
    </row>
    <row r="77" s="60" customFormat="1" ht="24" outlineLevel="3" spans="1:33">
      <c r="A77" s="80">
        <v>4</v>
      </c>
      <c r="B77" s="81" t="s">
        <v>2345</v>
      </c>
      <c r="C77" s="82" t="e">
        <f>IF(ISNUMBER(FIND(#REF!,$B77,1)),#REF!,VLOOKUP($B77,#REF!,MATCH(C$2,#REF!,0),0))</f>
        <v>#REF!</v>
      </c>
      <c r="D77" s="83" t="s">
        <v>198</v>
      </c>
      <c r="E77" s="83" t="s">
        <v>198</v>
      </c>
      <c r="F77" s="81" t="e">
        <f>IF(ISNUMBER(FIND(#REF!,$B77,1)),#REF!,VLOOKUP($B77,#REF!,MATCH(F$2,#REF!,0),0))</f>
        <v>#REF!</v>
      </c>
      <c r="G77" s="84" t="e">
        <f>IF(ISNUMBER(FIND(#REF!,$B77,1)),#REF!,VLOOKUP($B77,#REF!,MATCH(G$2,#REF!,0),0))</f>
        <v>#REF!</v>
      </c>
      <c r="H77" s="85">
        <v>920.85</v>
      </c>
      <c r="I77" s="85">
        <v>903.02</v>
      </c>
      <c r="J77" s="85">
        <v>297.06</v>
      </c>
      <c r="K77" s="85">
        <v>297.06</v>
      </c>
      <c r="L77" s="85">
        <v>163.9962</v>
      </c>
      <c r="M77" s="85">
        <v>0</v>
      </c>
      <c r="N77" s="85">
        <v>0</v>
      </c>
      <c r="O77" s="85">
        <v>0</v>
      </c>
      <c r="P77" s="85">
        <v>0</v>
      </c>
      <c r="Q77" s="85">
        <v>0</v>
      </c>
      <c r="R77" s="85" t="e">
        <f t="shared" ref="R77:AA77" si="66">$G77*H77</f>
        <v>#REF!</v>
      </c>
      <c r="S77" s="85" t="e">
        <f t="shared" si="66"/>
        <v>#REF!</v>
      </c>
      <c r="T77" s="85" t="e">
        <f t="shared" si="66"/>
        <v>#REF!</v>
      </c>
      <c r="U77" s="85" t="e">
        <f t="shared" si="66"/>
        <v>#REF!</v>
      </c>
      <c r="V77" s="85" t="e">
        <f t="shared" si="66"/>
        <v>#REF!</v>
      </c>
      <c r="W77" s="85" t="e">
        <f t="shared" si="66"/>
        <v>#REF!</v>
      </c>
      <c r="X77" s="85" t="e">
        <f t="shared" si="66"/>
        <v>#REF!</v>
      </c>
      <c r="Y77" s="85" t="e">
        <f t="shared" si="66"/>
        <v>#REF!</v>
      </c>
      <c r="Z77" s="85" t="e">
        <f t="shared" si="66"/>
        <v>#REF!</v>
      </c>
      <c r="AA77" s="85" t="e">
        <f t="shared" si="66"/>
        <v>#REF!</v>
      </c>
      <c r="AB77" s="99"/>
      <c r="AC77" s="100">
        <f>IF(ISNUMBER(FIND("模板",B77)),42,_xlfn.XLOOKUP(B77,#REF!,#REF!))</f>
        <v>42</v>
      </c>
      <c r="AD77" s="100">
        <f t="shared" si="59"/>
        <v>108443.4204</v>
      </c>
      <c r="AE77" s="100"/>
      <c r="AF77" s="100"/>
      <c r="AG77" s="100"/>
    </row>
    <row r="78" s="60" customFormat="1" ht="24" outlineLevel="3" spans="1:33">
      <c r="A78" s="80">
        <v>5</v>
      </c>
      <c r="B78" s="81" t="s">
        <v>2329</v>
      </c>
      <c r="C78" s="82" t="e">
        <f>IF(ISNUMBER(FIND(#REF!,$B78,1)),#REF!,VLOOKUP($B78,#REF!,MATCH(C$2,#REF!,0),0))</f>
        <v>#REF!</v>
      </c>
      <c r="D78" s="83" t="s">
        <v>198</v>
      </c>
      <c r="E78" s="83" t="s">
        <v>198</v>
      </c>
      <c r="F78" s="81" t="e">
        <f>IF(ISNUMBER(FIND(#REF!,$B78,1)),#REF!,VLOOKUP($B78,#REF!,MATCH(F$2,#REF!,0),0))</f>
        <v>#REF!</v>
      </c>
      <c r="G78" s="84" t="e">
        <f>IF(ISNUMBER(FIND(#REF!,$B78,1)),#REF!,VLOOKUP($B78,#REF!,MATCH(G$2,#REF!,0),0))</f>
        <v>#REF!</v>
      </c>
      <c r="H78" s="85">
        <v>59.22</v>
      </c>
      <c r="I78" s="85">
        <v>202.91</v>
      </c>
      <c r="J78" s="85">
        <v>74.76</v>
      </c>
      <c r="K78" s="85">
        <v>74.76</v>
      </c>
      <c r="L78" s="85">
        <v>55.2728</v>
      </c>
      <c r="M78" s="85">
        <v>19.02</v>
      </c>
      <c r="N78" s="85">
        <v>19.02</v>
      </c>
      <c r="O78" s="85">
        <v>19.02</v>
      </c>
      <c r="P78" s="85">
        <v>0</v>
      </c>
      <c r="Q78" s="85">
        <v>0</v>
      </c>
      <c r="R78" s="85" t="e">
        <f t="shared" ref="R78:AA78" si="67">$G78*H78</f>
        <v>#REF!</v>
      </c>
      <c r="S78" s="85" t="e">
        <f t="shared" si="67"/>
        <v>#REF!</v>
      </c>
      <c r="T78" s="85" t="e">
        <f t="shared" si="67"/>
        <v>#REF!</v>
      </c>
      <c r="U78" s="85" t="e">
        <f t="shared" si="67"/>
        <v>#REF!</v>
      </c>
      <c r="V78" s="85" t="e">
        <f t="shared" si="67"/>
        <v>#REF!</v>
      </c>
      <c r="W78" s="85" t="e">
        <f t="shared" si="67"/>
        <v>#REF!</v>
      </c>
      <c r="X78" s="85" t="e">
        <f t="shared" si="67"/>
        <v>#REF!</v>
      </c>
      <c r="Y78" s="85" t="e">
        <f t="shared" si="67"/>
        <v>#REF!</v>
      </c>
      <c r="Z78" s="85" t="e">
        <f t="shared" si="67"/>
        <v>#REF!</v>
      </c>
      <c r="AA78" s="85" t="e">
        <f t="shared" si="67"/>
        <v>#REF!</v>
      </c>
      <c r="AB78" s="99"/>
      <c r="AC78" s="100">
        <f>IF(ISNUMBER(FIND("模板",B78)),42,_xlfn.XLOOKUP(B78,#REF!,#REF!))</f>
        <v>42</v>
      </c>
      <c r="AD78" s="100">
        <f t="shared" si="59"/>
        <v>22007.2776</v>
      </c>
      <c r="AE78" s="100"/>
      <c r="AF78" s="100"/>
      <c r="AG78" s="100"/>
    </row>
    <row r="79" s="60" customFormat="1" ht="24" outlineLevel="3" spans="1:33">
      <c r="A79" s="80">
        <v>6</v>
      </c>
      <c r="B79" s="81" t="s">
        <v>2330</v>
      </c>
      <c r="C79" s="82" t="e">
        <f>IF(ISNUMBER(FIND(#REF!,$B79,1)),#REF!,VLOOKUP($B79,#REF!,MATCH(C$2,#REF!,0),0))</f>
        <v>#REF!</v>
      </c>
      <c r="D79" s="83" t="s">
        <v>198</v>
      </c>
      <c r="E79" s="83" t="s">
        <v>198</v>
      </c>
      <c r="F79" s="81" t="e">
        <f>IF(ISNUMBER(FIND(#REF!,$B79,1)),#REF!,VLOOKUP($B79,#REF!,MATCH(F$2,#REF!,0),0))</f>
        <v>#REF!</v>
      </c>
      <c r="G79" s="84" t="e">
        <f>IF(ISNUMBER(FIND(#REF!,$B79,1)),#REF!,VLOOKUP($B79,#REF!,MATCH(G$2,#REF!,0),0))</f>
        <v>#REF!</v>
      </c>
      <c r="H79" s="85">
        <v>893.2</v>
      </c>
      <c r="I79" s="85">
        <v>829.41</v>
      </c>
      <c r="J79" s="85">
        <v>66.47</v>
      </c>
      <c r="K79" s="85">
        <v>66.47</v>
      </c>
      <c r="L79" s="85">
        <v>61.045</v>
      </c>
      <c r="M79" s="85">
        <v>10.7</v>
      </c>
      <c r="N79" s="85">
        <v>10.7</v>
      </c>
      <c r="O79" s="85">
        <v>10.7</v>
      </c>
      <c r="P79" s="85">
        <v>0</v>
      </c>
      <c r="Q79" s="85">
        <v>0</v>
      </c>
      <c r="R79" s="85" t="e">
        <f t="shared" ref="R79:AA79" si="68">$G79*H79</f>
        <v>#REF!</v>
      </c>
      <c r="S79" s="85" t="e">
        <f t="shared" si="68"/>
        <v>#REF!</v>
      </c>
      <c r="T79" s="85" t="e">
        <f t="shared" si="68"/>
        <v>#REF!</v>
      </c>
      <c r="U79" s="85" t="e">
        <f t="shared" si="68"/>
        <v>#REF!</v>
      </c>
      <c r="V79" s="85" t="e">
        <f t="shared" si="68"/>
        <v>#REF!</v>
      </c>
      <c r="W79" s="85" t="e">
        <f t="shared" si="68"/>
        <v>#REF!</v>
      </c>
      <c r="X79" s="85" t="e">
        <f t="shared" si="68"/>
        <v>#REF!</v>
      </c>
      <c r="Y79" s="85" t="e">
        <f t="shared" si="68"/>
        <v>#REF!</v>
      </c>
      <c r="Z79" s="85" t="e">
        <f t="shared" si="68"/>
        <v>#REF!</v>
      </c>
      <c r="AA79" s="85" t="e">
        <f t="shared" si="68"/>
        <v>#REF!</v>
      </c>
      <c r="AB79" s="99"/>
      <c r="AC79" s="100">
        <f>IF(ISNUMBER(FIND("模板",B79)),42,_xlfn.XLOOKUP(B79,#REF!,#REF!))</f>
        <v>42</v>
      </c>
      <c r="AD79" s="100">
        <f t="shared" si="59"/>
        <v>81845.19</v>
      </c>
      <c r="AE79" s="100"/>
      <c r="AF79" s="100"/>
      <c r="AG79" s="100"/>
    </row>
    <row r="80" s="60" customFormat="1" ht="24" outlineLevel="3" spans="1:33">
      <c r="A80" s="80">
        <v>7</v>
      </c>
      <c r="B80" s="81" t="s">
        <v>2346</v>
      </c>
      <c r="C80" s="82" t="e">
        <f>IF(ISNUMBER(FIND(#REF!,$B80,1)),#REF!,VLOOKUP($B80,#REF!,MATCH(C$2,#REF!,0),0))</f>
        <v>#REF!</v>
      </c>
      <c r="D80" s="83" t="s">
        <v>198</v>
      </c>
      <c r="E80" s="83" t="s">
        <v>198</v>
      </c>
      <c r="F80" s="81" t="e">
        <f>IF(ISNUMBER(FIND(#REF!,$B80,1)),#REF!,VLOOKUP($B80,#REF!,MATCH(F$2,#REF!,0),0))</f>
        <v>#REF!</v>
      </c>
      <c r="G80" s="84" t="e">
        <f>IF(ISNUMBER(FIND(#REF!,$B80,1)),#REF!,VLOOKUP($B80,#REF!,MATCH(G$2,#REF!,0),0))</f>
        <v>#REF!</v>
      </c>
      <c r="H80" s="85">
        <v>42.17</v>
      </c>
      <c r="I80" s="85">
        <v>25.66</v>
      </c>
      <c r="J80" s="85">
        <v>5.76</v>
      </c>
      <c r="K80" s="85">
        <v>5.76</v>
      </c>
      <c r="L80" s="85">
        <v>15.5019</v>
      </c>
      <c r="M80" s="85">
        <v>6</v>
      </c>
      <c r="N80" s="85">
        <v>6</v>
      </c>
      <c r="O80" s="85">
        <v>6</v>
      </c>
      <c r="P80" s="85">
        <v>0</v>
      </c>
      <c r="Q80" s="85">
        <v>0</v>
      </c>
      <c r="R80" s="85" t="e">
        <f t="shared" ref="R80:AA80" si="69">$G80*H80</f>
        <v>#REF!</v>
      </c>
      <c r="S80" s="85" t="e">
        <f t="shared" si="69"/>
        <v>#REF!</v>
      </c>
      <c r="T80" s="85" t="e">
        <f t="shared" si="69"/>
        <v>#REF!</v>
      </c>
      <c r="U80" s="85" t="e">
        <f t="shared" si="69"/>
        <v>#REF!</v>
      </c>
      <c r="V80" s="85" t="e">
        <f t="shared" si="69"/>
        <v>#REF!</v>
      </c>
      <c r="W80" s="85" t="e">
        <f t="shared" si="69"/>
        <v>#REF!</v>
      </c>
      <c r="X80" s="85" t="e">
        <f t="shared" si="69"/>
        <v>#REF!</v>
      </c>
      <c r="Y80" s="85" t="e">
        <f t="shared" si="69"/>
        <v>#REF!</v>
      </c>
      <c r="Z80" s="85" t="e">
        <f t="shared" si="69"/>
        <v>#REF!</v>
      </c>
      <c r="AA80" s="85" t="e">
        <f t="shared" si="69"/>
        <v>#REF!</v>
      </c>
      <c r="AB80" s="99"/>
      <c r="AC80" s="100">
        <f>IF(ISNUMBER(FIND("模板",B80)),42,_xlfn.XLOOKUP(B80,#REF!,#REF!))</f>
        <v>42</v>
      </c>
      <c r="AD80" s="100">
        <f t="shared" si="59"/>
        <v>4739.7798</v>
      </c>
      <c r="AE80" s="100"/>
      <c r="AF80" s="100"/>
      <c r="AG80" s="100"/>
    </row>
    <row r="81" s="60" customFormat="1" ht="24" outlineLevel="3" spans="1:33">
      <c r="A81" s="80">
        <v>8</v>
      </c>
      <c r="B81" s="81" t="s">
        <v>2347</v>
      </c>
      <c r="C81" s="82" t="e">
        <f>IF(ISNUMBER(FIND(#REF!,$B81,1)),#REF!,VLOOKUP($B81,#REF!,MATCH(C$2,#REF!,0),0))</f>
        <v>#REF!</v>
      </c>
      <c r="D81" s="83" t="s">
        <v>198</v>
      </c>
      <c r="E81" s="83" t="s">
        <v>198</v>
      </c>
      <c r="F81" s="81" t="e">
        <f>IF(ISNUMBER(FIND(#REF!,$B81,1)),#REF!,VLOOKUP($B81,#REF!,MATCH(F$2,#REF!,0),0))</f>
        <v>#REF!</v>
      </c>
      <c r="G81" s="84" t="e">
        <f>IF(ISNUMBER(FIND(#REF!,$B81,1)),#REF!,VLOOKUP($B81,#REF!,MATCH(G$2,#REF!,0),0))</f>
        <v>#REF!</v>
      </c>
      <c r="H81" s="85">
        <v>3.11</v>
      </c>
      <c r="I81" s="85">
        <v>3.11</v>
      </c>
      <c r="J81" s="85">
        <v>2.25</v>
      </c>
      <c r="K81" s="85">
        <v>2.25</v>
      </c>
      <c r="L81" s="85"/>
      <c r="M81" s="85">
        <v>5.1</v>
      </c>
      <c r="N81" s="85">
        <v>5.1</v>
      </c>
      <c r="O81" s="85">
        <v>5.1</v>
      </c>
      <c r="P81" s="85">
        <v>0</v>
      </c>
      <c r="Q81" s="85">
        <v>0</v>
      </c>
      <c r="R81" s="85" t="e">
        <f t="shared" ref="R81:AA81" si="70">$G81*H81</f>
        <v>#REF!</v>
      </c>
      <c r="S81" s="85" t="e">
        <f t="shared" si="70"/>
        <v>#REF!</v>
      </c>
      <c r="T81" s="85" t="e">
        <f t="shared" si="70"/>
        <v>#REF!</v>
      </c>
      <c r="U81" s="85" t="e">
        <f t="shared" si="70"/>
        <v>#REF!</v>
      </c>
      <c r="V81" s="85" t="e">
        <f t="shared" si="70"/>
        <v>#REF!</v>
      </c>
      <c r="W81" s="85" t="e">
        <f t="shared" si="70"/>
        <v>#REF!</v>
      </c>
      <c r="X81" s="85" t="e">
        <f t="shared" si="70"/>
        <v>#REF!</v>
      </c>
      <c r="Y81" s="85" t="e">
        <f t="shared" si="70"/>
        <v>#REF!</v>
      </c>
      <c r="Z81" s="85" t="e">
        <f t="shared" si="70"/>
        <v>#REF!</v>
      </c>
      <c r="AA81" s="85" t="e">
        <f t="shared" si="70"/>
        <v>#REF!</v>
      </c>
      <c r="AB81" s="99"/>
      <c r="AC81" s="100">
        <f>IF(ISNUMBER(FIND("模板",B81)),42,_xlfn.XLOOKUP(B81,#REF!,#REF!))</f>
        <v>42</v>
      </c>
      <c r="AD81" s="100">
        <f t="shared" si="59"/>
        <v>1092.84</v>
      </c>
      <c r="AE81" s="100"/>
      <c r="AF81" s="100"/>
      <c r="AG81" s="100"/>
    </row>
    <row r="82" s="60" customFormat="1" ht="24" outlineLevel="3" spans="1:33">
      <c r="A82" s="80">
        <v>9</v>
      </c>
      <c r="B82" s="81" t="s">
        <v>2348</v>
      </c>
      <c r="C82" s="82" t="e">
        <f>IF(ISNUMBER(FIND(#REF!,$B82,1)),#REF!,VLOOKUP($B82,#REF!,MATCH(C$2,#REF!,0),0))</f>
        <v>#REF!</v>
      </c>
      <c r="D82" s="83" t="s">
        <v>198</v>
      </c>
      <c r="E82" s="83" t="s">
        <v>198</v>
      </c>
      <c r="F82" s="81" t="e">
        <f>IF(ISNUMBER(FIND(#REF!,$B82,1)),#REF!,VLOOKUP($B82,#REF!,MATCH(F$2,#REF!,0),0))</f>
        <v>#REF!</v>
      </c>
      <c r="G82" s="84" t="e">
        <f>IF(ISNUMBER(FIND(#REF!,$B82,1)),#REF!,VLOOKUP($B82,#REF!,MATCH(G$2,#REF!,0),0))</f>
        <v>#REF!</v>
      </c>
      <c r="H82" s="85">
        <v>0</v>
      </c>
      <c r="I82" s="85">
        <v>0</v>
      </c>
      <c r="J82" s="85">
        <v>0</v>
      </c>
      <c r="K82" s="85">
        <v>0</v>
      </c>
      <c r="L82" s="85">
        <v>18.3585</v>
      </c>
      <c r="M82" s="85">
        <v>2.9</v>
      </c>
      <c r="N82" s="85">
        <v>2.9</v>
      </c>
      <c r="O82" s="85">
        <v>2.9</v>
      </c>
      <c r="P82" s="85">
        <v>0</v>
      </c>
      <c r="Q82" s="85">
        <v>0</v>
      </c>
      <c r="R82" s="85" t="e">
        <f t="shared" ref="R82:AA82" si="71">$G82*H82</f>
        <v>#REF!</v>
      </c>
      <c r="S82" s="85" t="e">
        <f t="shared" si="71"/>
        <v>#REF!</v>
      </c>
      <c r="T82" s="85" t="e">
        <f t="shared" si="71"/>
        <v>#REF!</v>
      </c>
      <c r="U82" s="85" t="e">
        <f t="shared" si="71"/>
        <v>#REF!</v>
      </c>
      <c r="V82" s="85" t="e">
        <f t="shared" si="71"/>
        <v>#REF!</v>
      </c>
      <c r="W82" s="85" t="e">
        <f t="shared" si="71"/>
        <v>#REF!</v>
      </c>
      <c r="X82" s="85" t="e">
        <f t="shared" si="71"/>
        <v>#REF!</v>
      </c>
      <c r="Y82" s="85" t="e">
        <f t="shared" si="71"/>
        <v>#REF!</v>
      </c>
      <c r="Z82" s="85" t="e">
        <f t="shared" si="71"/>
        <v>#REF!</v>
      </c>
      <c r="AA82" s="85" t="e">
        <f t="shared" si="71"/>
        <v>#REF!</v>
      </c>
      <c r="AB82" s="99"/>
      <c r="AC82" s="100">
        <f>IF(ISNUMBER(FIND("模板",B82)),42,_xlfn.XLOOKUP(B82,#REF!,#REF!))</f>
        <v>42</v>
      </c>
      <c r="AD82" s="100">
        <f t="shared" si="59"/>
        <v>1136.457</v>
      </c>
      <c r="AE82" s="100"/>
      <c r="AF82" s="100"/>
      <c r="AG82" s="100"/>
    </row>
    <row r="83" s="60" customFormat="1" ht="24" outlineLevel="3" spans="1:33">
      <c r="A83" s="80">
        <v>10</v>
      </c>
      <c r="B83" s="81" t="s">
        <v>2349</v>
      </c>
      <c r="C83" s="82" t="e">
        <f>IF(ISNUMBER(FIND(#REF!,$B83,1)),#REF!,VLOOKUP($B83,#REF!,MATCH(C$2,#REF!,0),0))</f>
        <v>#REF!</v>
      </c>
      <c r="D83" s="83" t="s">
        <v>198</v>
      </c>
      <c r="E83" s="83" t="s">
        <v>198</v>
      </c>
      <c r="F83" s="81" t="e">
        <f>IF(ISNUMBER(FIND(#REF!,$B83,1)),#REF!,VLOOKUP($B83,#REF!,MATCH(F$2,#REF!,0),0))</f>
        <v>#REF!</v>
      </c>
      <c r="G83" s="84" t="e">
        <f>IF(ISNUMBER(FIND(#REF!,$B83,1)),#REF!,VLOOKUP($B83,#REF!,MATCH(G$2,#REF!,0),0))</f>
        <v>#REF!</v>
      </c>
      <c r="H83" s="85">
        <v>0.81</v>
      </c>
      <c r="I83" s="85">
        <v>0.81</v>
      </c>
      <c r="J83" s="85">
        <v>2.84</v>
      </c>
      <c r="K83" s="85">
        <v>2.84</v>
      </c>
      <c r="L83" s="85"/>
      <c r="M83" s="85">
        <v>1</v>
      </c>
      <c r="N83" s="85">
        <v>1</v>
      </c>
      <c r="O83" s="85">
        <v>1</v>
      </c>
      <c r="P83" s="85">
        <v>0</v>
      </c>
      <c r="Q83" s="85">
        <v>0</v>
      </c>
      <c r="R83" s="85" t="e">
        <f t="shared" ref="R83:AA83" si="72">$G83*H83</f>
        <v>#REF!</v>
      </c>
      <c r="S83" s="85" t="e">
        <f t="shared" si="72"/>
        <v>#REF!</v>
      </c>
      <c r="T83" s="85" t="e">
        <f t="shared" si="72"/>
        <v>#REF!</v>
      </c>
      <c r="U83" s="85" t="e">
        <f t="shared" si="72"/>
        <v>#REF!</v>
      </c>
      <c r="V83" s="85" t="e">
        <f t="shared" si="72"/>
        <v>#REF!</v>
      </c>
      <c r="W83" s="85" t="e">
        <f t="shared" si="72"/>
        <v>#REF!</v>
      </c>
      <c r="X83" s="85" t="e">
        <f t="shared" si="72"/>
        <v>#REF!</v>
      </c>
      <c r="Y83" s="85" t="e">
        <f t="shared" si="72"/>
        <v>#REF!</v>
      </c>
      <c r="Z83" s="85" t="e">
        <f t="shared" si="72"/>
        <v>#REF!</v>
      </c>
      <c r="AA83" s="85" t="e">
        <f t="shared" si="72"/>
        <v>#REF!</v>
      </c>
      <c r="AB83" s="99"/>
      <c r="AC83" s="100">
        <f>IF(ISNUMBER(FIND("模板",B83)),42,_xlfn.XLOOKUP(B83,#REF!,#REF!))</f>
        <v>42</v>
      </c>
      <c r="AD83" s="100">
        <f t="shared" si="59"/>
        <v>432.6</v>
      </c>
      <c r="AE83" s="100"/>
      <c r="AF83" s="100"/>
      <c r="AG83" s="100"/>
    </row>
    <row r="84" s="59" customFormat="1" ht="12" outlineLevel="2" spans="1:33">
      <c r="A84" s="70" t="s">
        <v>2322</v>
      </c>
      <c r="B84" s="71" t="str">
        <f>目录!H59</f>
        <v>E.01.02脚手架工程</v>
      </c>
      <c r="C84" s="72"/>
      <c r="D84" s="73"/>
      <c r="E84" s="73"/>
      <c r="F84" s="70"/>
      <c r="G84" s="74"/>
      <c r="H84" s="74">
        <f t="shared" ref="H84:R84" si="73">SUM(H85:H87)</f>
        <v>54264.22</v>
      </c>
      <c r="I84" s="74">
        <f t="shared" si="73"/>
        <v>61356.04</v>
      </c>
      <c r="J84" s="74">
        <f t="shared" si="73"/>
        <v>27228.24</v>
      </c>
      <c r="K84" s="74">
        <f t="shared" si="73"/>
        <v>27228.24</v>
      </c>
      <c r="L84" s="74">
        <f t="shared" si="73"/>
        <v>22350.7823</v>
      </c>
      <c r="M84" s="74">
        <f t="shared" si="73"/>
        <v>218.73</v>
      </c>
      <c r="N84" s="74">
        <f t="shared" si="73"/>
        <v>218.73</v>
      </c>
      <c r="O84" s="74">
        <f t="shared" si="73"/>
        <v>218.73</v>
      </c>
      <c r="P84" s="74">
        <f t="shared" si="73"/>
        <v>0</v>
      </c>
      <c r="Q84" s="74">
        <f t="shared" si="73"/>
        <v>0</v>
      </c>
      <c r="R84" s="74" t="e">
        <f t="shared" si="73"/>
        <v>#REF!</v>
      </c>
      <c r="S84" s="74" t="e">
        <f t="shared" ref="S84:AA84" si="74">SUM(S85:S87)</f>
        <v>#REF!</v>
      </c>
      <c r="T84" s="74" t="e">
        <f t="shared" si="74"/>
        <v>#REF!</v>
      </c>
      <c r="U84" s="74" t="e">
        <f t="shared" si="74"/>
        <v>#REF!</v>
      </c>
      <c r="V84" s="74" t="e">
        <f t="shared" si="74"/>
        <v>#REF!</v>
      </c>
      <c r="W84" s="74" t="e">
        <f t="shared" si="74"/>
        <v>#REF!</v>
      </c>
      <c r="X84" s="74" t="e">
        <f t="shared" si="74"/>
        <v>#REF!</v>
      </c>
      <c r="Y84" s="74" t="e">
        <f t="shared" si="74"/>
        <v>#REF!</v>
      </c>
      <c r="Z84" s="74" t="e">
        <f t="shared" si="74"/>
        <v>#REF!</v>
      </c>
      <c r="AA84" s="74" t="e">
        <f t="shared" si="74"/>
        <v>#REF!</v>
      </c>
      <c r="AB84" s="73"/>
      <c r="AC84" s="100"/>
      <c r="AD84" s="100">
        <f t="shared" si="59"/>
        <v>0</v>
      </c>
      <c r="AE84" s="98"/>
      <c r="AF84" s="98"/>
      <c r="AG84" s="98"/>
    </row>
    <row r="85" s="60" customFormat="1" ht="84" customHeight="1" outlineLevel="3" spans="1:33">
      <c r="A85" s="80">
        <v>1</v>
      </c>
      <c r="B85" s="81" t="s">
        <v>2331</v>
      </c>
      <c r="C85" s="82" t="e">
        <f>IF(ISNUMBER(FIND(#REF!,$B85,1)),#REF!,VLOOKUP($B85,#REF!,MATCH(C$2,#REF!,0),0))</f>
        <v>#REF!</v>
      </c>
      <c r="D85" s="83" t="s">
        <v>212</v>
      </c>
      <c r="E85" s="83" t="s">
        <v>212</v>
      </c>
      <c r="F85" s="81" t="e">
        <f>IF(ISNUMBER(FIND(#REF!,$B85,1)),#REF!,VLOOKUP($B85,#REF!,MATCH(F$2,#REF!,0),0))</f>
        <v>#REF!</v>
      </c>
      <c r="G85" s="84" t="e">
        <f>IF(ISNUMBER(FIND(#REF!,$B85,1)),#REF!,VLOOKUP($B85,#REF!,MATCH(G$2,#REF!,0),0))</f>
        <v>#REF!</v>
      </c>
      <c r="H85" s="85">
        <v>2580.23</v>
      </c>
      <c r="I85" s="85">
        <v>9335.65</v>
      </c>
      <c r="J85" s="85">
        <v>1135.9</v>
      </c>
      <c r="K85" s="85">
        <v>1135.9</v>
      </c>
      <c r="L85" s="85">
        <v>3874.43</v>
      </c>
      <c r="M85" s="85">
        <v>218.73</v>
      </c>
      <c r="N85" s="85">
        <v>218.73</v>
      </c>
      <c r="O85" s="85">
        <v>218.73</v>
      </c>
      <c r="P85" s="85">
        <v>0</v>
      </c>
      <c r="Q85" s="85">
        <v>0</v>
      </c>
      <c r="R85" s="85" t="e">
        <f>$G85*H85</f>
        <v>#REF!</v>
      </c>
      <c r="S85" s="85" t="e">
        <f t="shared" ref="S85:AA85" si="75">$G85*I85</f>
        <v>#REF!</v>
      </c>
      <c r="T85" s="85" t="e">
        <f t="shared" si="75"/>
        <v>#REF!</v>
      </c>
      <c r="U85" s="85" t="e">
        <f t="shared" si="75"/>
        <v>#REF!</v>
      </c>
      <c r="V85" s="85" t="e">
        <f t="shared" si="75"/>
        <v>#REF!</v>
      </c>
      <c r="W85" s="85" t="e">
        <f t="shared" si="75"/>
        <v>#REF!</v>
      </c>
      <c r="X85" s="85" t="e">
        <f t="shared" si="75"/>
        <v>#REF!</v>
      </c>
      <c r="Y85" s="85" t="e">
        <f t="shared" si="75"/>
        <v>#REF!</v>
      </c>
      <c r="Z85" s="85" t="e">
        <f t="shared" si="75"/>
        <v>#REF!</v>
      </c>
      <c r="AA85" s="85" t="e">
        <f t="shared" si="75"/>
        <v>#REF!</v>
      </c>
      <c r="AB85" s="99"/>
      <c r="AC85" s="100" t="e">
        <f>IF(ISNUMBER(FIND("模板",B85)),42,_xlfn.XLOOKUP(B85,#REF!,#REF!))</f>
        <v>#REF!</v>
      </c>
      <c r="AD85" s="100" t="e">
        <f t="shared" si="59"/>
        <v>#REF!</v>
      </c>
      <c r="AE85" s="100"/>
      <c r="AF85" s="100"/>
      <c r="AG85" s="100"/>
    </row>
    <row r="86" s="60" customFormat="1" ht="88" customHeight="1" outlineLevel="3" spans="1:33">
      <c r="A86" s="80">
        <v>2</v>
      </c>
      <c r="B86" s="81" t="s">
        <v>2333</v>
      </c>
      <c r="C86" s="82" t="e">
        <f>IF(ISNUMBER(FIND(#REF!,$B86,1)),#REF!,VLOOKUP($B86,#REF!,MATCH(C$2,#REF!,0),0))</f>
        <v>#REF!</v>
      </c>
      <c r="D86" s="83" t="s">
        <v>212</v>
      </c>
      <c r="E86" s="83" t="s">
        <v>212</v>
      </c>
      <c r="F86" s="81" t="e">
        <f>IF(ISNUMBER(FIND(#REF!,$B86,1)),#REF!,VLOOKUP($B86,#REF!,MATCH(F$2,#REF!,0),0))</f>
        <v>#REF!</v>
      </c>
      <c r="G86" s="84" t="e">
        <f>IF(ISNUMBER(FIND(#REF!,$B86,1)),#REF!,VLOOKUP($B86,#REF!,MATCH(G$2,#REF!,0),0))</f>
        <v>#REF!</v>
      </c>
      <c r="H86" s="90">
        <f>41929</f>
        <v>41929</v>
      </c>
      <c r="I86" s="90">
        <f>42265.4</f>
        <v>42265.4</v>
      </c>
      <c r="J86" s="90">
        <f>20069.34</f>
        <v>20069.34</v>
      </c>
      <c r="K86" s="90">
        <f>20069.34</f>
        <v>20069.34</v>
      </c>
      <c r="L86" s="85">
        <v>14386.303</v>
      </c>
      <c r="M86" s="85">
        <v>0</v>
      </c>
      <c r="N86" s="85">
        <v>0</v>
      </c>
      <c r="O86" s="85">
        <v>0</v>
      </c>
      <c r="P86" s="85">
        <v>0</v>
      </c>
      <c r="Q86" s="85">
        <v>0</v>
      </c>
      <c r="R86" s="85" t="e">
        <f t="shared" ref="R86:AA86" si="76">$G86*H86</f>
        <v>#REF!</v>
      </c>
      <c r="S86" s="85" t="e">
        <f t="shared" si="76"/>
        <v>#REF!</v>
      </c>
      <c r="T86" s="85" t="e">
        <f t="shared" si="76"/>
        <v>#REF!</v>
      </c>
      <c r="U86" s="85" t="e">
        <f t="shared" si="76"/>
        <v>#REF!</v>
      </c>
      <c r="V86" s="85" t="e">
        <f t="shared" si="76"/>
        <v>#REF!</v>
      </c>
      <c r="W86" s="85" t="e">
        <f t="shared" si="76"/>
        <v>#REF!</v>
      </c>
      <c r="X86" s="85" t="e">
        <f t="shared" si="76"/>
        <v>#REF!</v>
      </c>
      <c r="Y86" s="85" t="e">
        <f t="shared" si="76"/>
        <v>#REF!</v>
      </c>
      <c r="Z86" s="85" t="e">
        <f t="shared" si="76"/>
        <v>#REF!</v>
      </c>
      <c r="AA86" s="85" t="e">
        <f t="shared" si="76"/>
        <v>#REF!</v>
      </c>
      <c r="AB86" s="99"/>
      <c r="AC86" s="100" t="e">
        <f>IF(ISNUMBER(FIND("模板",B86)),42,_xlfn.XLOOKUP(B86,#REF!,#REF!))</f>
        <v>#REF!</v>
      </c>
      <c r="AD86" s="100" t="e">
        <f t="shared" si="59"/>
        <v>#REF!</v>
      </c>
      <c r="AE86" s="100"/>
      <c r="AF86" s="100"/>
      <c r="AG86" s="100"/>
    </row>
    <row r="87" s="60" customFormat="1" ht="36" outlineLevel="3" spans="1:33">
      <c r="A87" s="80">
        <v>3</v>
      </c>
      <c r="B87" s="81" t="s">
        <v>2334</v>
      </c>
      <c r="C87" s="82" t="e">
        <f>IF(ISNUMBER(FIND(#REF!,$B87,1)),#REF!,VLOOKUP($B87,#REF!,MATCH(C$2,#REF!,0),0))</f>
        <v>#REF!</v>
      </c>
      <c r="D87" s="83" t="s">
        <v>212</v>
      </c>
      <c r="E87" s="83" t="s">
        <v>212</v>
      </c>
      <c r="F87" s="81" t="e">
        <f>IF(ISNUMBER(FIND(#REF!,$B87,1)),#REF!,VLOOKUP($B87,#REF!,MATCH(F$2,#REF!,0),0))</f>
        <v>#REF!</v>
      </c>
      <c r="G87" s="84" t="e">
        <f>IF(ISNUMBER(FIND(#REF!,$B87,1)),#REF!,VLOOKUP($B87,#REF!,MATCH(G$2,#REF!,0),0))</f>
        <v>#REF!</v>
      </c>
      <c r="H87" s="90">
        <f>9754.99</f>
        <v>9754.99</v>
      </c>
      <c r="I87" s="90">
        <f>9754.99</f>
        <v>9754.99</v>
      </c>
      <c r="J87" s="90">
        <f>6023</f>
        <v>6023</v>
      </c>
      <c r="K87" s="90">
        <f>6023</f>
        <v>6023</v>
      </c>
      <c r="L87" s="85">
        <v>4090.0493</v>
      </c>
      <c r="M87" s="85">
        <v>0</v>
      </c>
      <c r="N87" s="85">
        <v>0</v>
      </c>
      <c r="O87" s="85">
        <v>0</v>
      </c>
      <c r="P87" s="85">
        <v>0</v>
      </c>
      <c r="Q87" s="85">
        <v>0</v>
      </c>
      <c r="R87" s="85" t="e">
        <f t="shared" ref="R87:AA87" si="77">$G87*H87</f>
        <v>#REF!</v>
      </c>
      <c r="S87" s="85" t="e">
        <f t="shared" si="77"/>
        <v>#REF!</v>
      </c>
      <c r="T87" s="85" t="e">
        <f t="shared" si="77"/>
        <v>#REF!</v>
      </c>
      <c r="U87" s="85" t="e">
        <f t="shared" si="77"/>
        <v>#REF!</v>
      </c>
      <c r="V87" s="85" t="e">
        <f t="shared" si="77"/>
        <v>#REF!</v>
      </c>
      <c r="W87" s="85" t="e">
        <f t="shared" si="77"/>
        <v>#REF!</v>
      </c>
      <c r="X87" s="85" t="e">
        <f t="shared" si="77"/>
        <v>#REF!</v>
      </c>
      <c r="Y87" s="85" t="e">
        <f t="shared" si="77"/>
        <v>#REF!</v>
      </c>
      <c r="Z87" s="85" t="e">
        <f t="shared" si="77"/>
        <v>#REF!</v>
      </c>
      <c r="AA87" s="85" t="e">
        <f t="shared" si="77"/>
        <v>#REF!</v>
      </c>
      <c r="AB87" s="99"/>
      <c r="AC87" s="100" t="e">
        <f>IF(ISNUMBER(FIND("模板",B87)),42,_xlfn.XLOOKUP(B87,#REF!,#REF!))</f>
        <v>#REF!</v>
      </c>
      <c r="AD87" s="100" t="e">
        <f t="shared" si="59"/>
        <v>#REF!</v>
      </c>
      <c r="AE87" s="100"/>
      <c r="AF87" s="100"/>
      <c r="AG87" s="100"/>
    </row>
    <row r="88" s="59" customFormat="1" ht="24" spans="1:33">
      <c r="A88" s="70"/>
      <c r="B88" s="71" t="str">
        <f>目录!G60</f>
        <v>E.02总价措施费（整体措施费）</v>
      </c>
      <c r="C88" s="72" t="e">
        <f>IF(ISNUMBER(FIND(#REF!,$B88,1)),#REF!,VLOOKUP($B88,#REF!,MATCH(C$2,#REF!,0),0))</f>
        <v>#REF!</v>
      </c>
      <c r="D88" s="103"/>
      <c r="E88" s="103"/>
      <c r="F88" s="71" t="e">
        <f>IF(ISNUMBER(FIND(#REF!,$B88,1)),#REF!,VLOOKUP($B88,#REF!,MATCH(F$2,#REF!,0),0))</f>
        <v>#REF!</v>
      </c>
      <c r="G88" s="74" t="e">
        <f>IF(ISNUMBER(FIND(#REF!,$B88,1)),#REF!,VLOOKUP($B88,#REF!,MATCH(G$2,#REF!,0),0))</f>
        <v>#REF!</v>
      </c>
      <c r="H88" s="74" t="e">
        <f>#REF!</f>
        <v>#REF!</v>
      </c>
      <c r="I88" s="74" t="e">
        <f>#REF!</f>
        <v>#REF!</v>
      </c>
      <c r="J88" s="74" t="e">
        <f>#REF!</f>
        <v>#REF!</v>
      </c>
      <c r="K88" s="74" t="e">
        <f>#REF!</f>
        <v>#REF!</v>
      </c>
      <c r="L88" s="74" t="e">
        <f>#REF!</f>
        <v>#REF!</v>
      </c>
      <c r="M88" s="74" t="e">
        <f>#REF!</f>
        <v>#REF!</v>
      </c>
      <c r="N88" s="74" t="e">
        <f>#REF!</f>
        <v>#REF!</v>
      </c>
      <c r="O88" s="74" t="e">
        <f>#REF!</f>
        <v>#REF!</v>
      </c>
      <c r="P88" s="74" t="e">
        <f>#REF!</f>
        <v>#REF!</v>
      </c>
      <c r="Q88" s="74" t="e">
        <f>#REF!</f>
        <v>#REF!</v>
      </c>
      <c r="R88" s="74" t="e">
        <f>$G88*H88</f>
        <v>#REF!</v>
      </c>
      <c r="S88" s="74" t="e">
        <f t="shared" ref="S88:AA88" si="78">$G88*I88</f>
        <v>#REF!</v>
      </c>
      <c r="T88" s="74" t="e">
        <f t="shared" si="78"/>
        <v>#REF!</v>
      </c>
      <c r="U88" s="74" t="e">
        <f t="shared" si="78"/>
        <v>#REF!</v>
      </c>
      <c r="V88" s="74" t="e">
        <f t="shared" si="78"/>
        <v>#REF!</v>
      </c>
      <c r="W88" s="74" t="e">
        <f t="shared" si="78"/>
        <v>#REF!</v>
      </c>
      <c r="X88" s="74" t="e">
        <f t="shared" si="78"/>
        <v>#REF!</v>
      </c>
      <c r="Y88" s="74" t="e">
        <f t="shared" si="78"/>
        <v>#REF!</v>
      </c>
      <c r="Z88" s="74" t="e">
        <f t="shared" si="78"/>
        <v>#REF!</v>
      </c>
      <c r="AA88" s="74" t="e">
        <f t="shared" si="78"/>
        <v>#REF!</v>
      </c>
      <c r="AB88" s="73"/>
      <c r="AC88" s="98"/>
      <c r="AD88" s="98"/>
      <c r="AE88" s="98"/>
      <c r="AF88" s="98"/>
      <c r="AG88" s="98"/>
    </row>
    <row r="89" s="62" customFormat="1" ht="36" outlineLevel="1" spans="1:33">
      <c r="A89" s="75" t="s">
        <v>163</v>
      </c>
      <c r="B89" s="76" t="str">
        <f>目录!G60</f>
        <v>E.02总价措施费（整体措施费）</v>
      </c>
      <c r="C89" s="104" t="e">
        <f>IF(ISNUMBER(FIND(#REF!,$B89,1)),#REF!,VLOOKUP($B89,#REF!,MATCH(C$2,#REF!,0),0))</f>
        <v>#REF!</v>
      </c>
      <c r="D89" s="105" t="s">
        <v>214</v>
      </c>
      <c r="E89" s="105" t="s">
        <v>214</v>
      </c>
      <c r="F89" s="106" t="e">
        <f>IF(ISNUMBER(FIND(#REF!,$B89,1)),#REF!,VLOOKUP($B89,#REF!,MATCH(F$2,#REF!,0),0))</f>
        <v>#REF!</v>
      </c>
      <c r="G89" s="107" t="e">
        <f>IF(ISNUMBER(FIND(#REF!,$B89,1)),#REF!,VLOOKUP($B89,#REF!,MATCH(G$2,#REF!,0),0))</f>
        <v>#REF!</v>
      </c>
      <c r="H89" s="107" t="e">
        <f>#REF!</f>
        <v>#REF!</v>
      </c>
      <c r="I89" s="107" t="e">
        <f>#REF!</f>
        <v>#REF!</v>
      </c>
      <c r="J89" s="107" t="e">
        <f>#REF!</f>
        <v>#REF!</v>
      </c>
      <c r="K89" s="107" t="e">
        <f>#REF!</f>
        <v>#REF!</v>
      </c>
      <c r="L89" s="107" t="e">
        <f>#REF!</f>
        <v>#REF!</v>
      </c>
      <c r="M89" s="107" t="e">
        <f>#REF!</f>
        <v>#REF!</v>
      </c>
      <c r="N89" s="107" t="e">
        <f>#REF!</f>
        <v>#REF!</v>
      </c>
      <c r="O89" s="107" t="e">
        <f>#REF!</f>
        <v>#REF!</v>
      </c>
      <c r="P89" s="107" t="e">
        <f>#REF!</f>
        <v>#REF!</v>
      </c>
      <c r="Q89" s="107" t="e">
        <f>#REF!</f>
        <v>#REF!</v>
      </c>
      <c r="R89" s="107" t="e">
        <f>$G89*H89</f>
        <v>#REF!</v>
      </c>
      <c r="S89" s="107" t="e">
        <f t="shared" ref="S89:AA89" si="79">$G89*I89</f>
        <v>#REF!</v>
      </c>
      <c r="T89" s="107" t="e">
        <f t="shared" si="79"/>
        <v>#REF!</v>
      </c>
      <c r="U89" s="107" t="e">
        <f t="shared" si="79"/>
        <v>#REF!</v>
      </c>
      <c r="V89" s="107" t="e">
        <f t="shared" si="79"/>
        <v>#REF!</v>
      </c>
      <c r="W89" s="107" t="e">
        <f t="shared" si="79"/>
        <v>#REF!</v>
      </c>
      <c r="X89" s="107" t="e">
        <f t="shared" si="79"/>
        <v>#REF!</v>
      </c>
      <c r="Y89" s="107" t="e">
        <f t="shared" si="79"/>
        <v>#REF!</v>
      </c>
      <c r="Z89" s="107" t="e">
        <f t="shared" si="79"/>
        <v>#REF!</v>
      </c>
      <c r="AA89" s="107" t="e">
        <f t="shared" si="79"/>
        <v>#REF!</v>
      </c>
      <c r="AB89" s="117"/>
      <c r="AC89" s="118"/>
      <c r="AD89" s="118"/>
      <c r="AE89" s="118"/>
      <c r="AF89" s="118"/>
      <c r="AG89" s="118"/>
    </row>
    <row r="90" s="62" customFormat="1" ht="36" outlineLevel="1" spans="1:33">
      <c r="A90" s="75" t="s">
        <v>167</v>
      </c>
      <c r="B90" s="76" t="str">
        <f>B89</f>
        <v>E.02总价措施费（整体措施费）</v>
      </c>
      <c r="C90" s="104" t="e">
        <f>IF(ISNUMBER(FIND(#REF!,$B90,1)),#REF!,VLOOKUP($B90,#REF!,MATCH(C$2,#REF!,0),0))</f>
        <v>#REF!</v>
      </c>
      <c r="D90" s="105" t="s">
        <v>215</v>
      </c>
      <c r="E90" s="105" t="s">
        <v>215</v>
      </c>
      <c r="F90" s="106" t="e">
        <f>IF(ISNUMBER(FIND(#REF!,$B90,1)),#REF!,VLOOKUP($B90,#REF!,MATCH(F$2,#REF!,0),0))</f>
        <v>#REF!</v>
      </c>
      <c r="G90" s="107" t="e">
        <f>IF(ISNUMBER(FIND(#REF!,$B90,1)),#REF!,VLOOKUP($B90,#REF!,MATCH(G$2,#REF!,0),0))</f>
        <v>#REF!</v>
      </c>
      <c r="H90" s="107" t="e">
        <f t="shared" ref="H90:Q90" si="80">H88-H89</f>
        <v>#REF!</v>
      </c>
      <c r="I90" s="107" t="e">
        <f t="shared" si="80"/>
        <v>#REF!</v>
      </c>
      <c r="J90" s="107" t="e">
        <f t="shared" si="80"/>
        <v>#REF!</v>
      </c>
      <c r="K90" s="107" t="e">
        <f t="shared" si="80"/>
        <v>#REF!</v>
      </c>
      <c r="L90" s="107" t="e">
        <f t="shared" si="80"/>
        <v>#REF!</v>
      </c>
      <c r="M90" s="107" t="e">
        <f t="shared" si="80"/>
        <v>#REF!</v>
      </c>
      <c r="N90" s="107" t="e">
        <f t="shared" si="80"/>
        <v>#REF!</v>
      </c>
      <c r="O90" s="107" t="e">
        <f t="shared" si="80"/>
        <v>#REF!</v>
      </c>
      <c r="P90" s="107" t="e">
        <f t="shared" si="80"/>
        <v>#REF!</v>
      </c>
      <c r="Q90" s="107" t="e">
        <f t="shared" si="80"/>
        <v>#REF!</v>
      </c>
      <c r="R90" s="107" t="e">
        <f>$G90*H90</f>
        <v>#REF!</v>
      </c>
      <c r="S90" s="107" t="e">
        <f t="shared" ref="S90:AA90" si="81">$G90*I90</f>
        <v>#REF!</v>
      </c>
      <c r="T90" s="107" t="e">
        <f t="shared" si="81"/>
        <v>#REF!</v>
      </c>
      <c r="U90" s="107" t="e">
        <f t="shared" si="81"/>
        <v>#REF!</v>
      </c>
      <c r="V90" s="107" t="e">
        <f t="shared" si="81"/>
        <v>#REF!</v>
      </c>
      <c r="W90" s="107" t="e">
        <f t="shared" si="81"/>
        <v>#REF!</v>
      </c>
      <c r="X90" s="107" t="e">
        <f t="shared" si="81"/>
        <v>#REF!</v>
      </c>
      <c r="Y90" s="107" t="e">
        <f t="shared" si="81"/>
        <v>#REF!</v>
      </c>
      <c r="Z90" s="107" t="e">
        <f t="shared" si="81"/>
        <v>#REF!</v>
      </c>
      <c r="AA90" s="107" t="e">
        <f t="shared" si="81"/>
        <v>#REF!</v>
      </c>
      <c r="AB90" s="117"/>
      <c r="AC90" s="118"/>
      <c r="AD90" s="118"/>
      <c r="AE90" s="118"/>
      <c r="AF90" s="118"/>
      <c r="AG90" s="118"/>
    </row>
    <row r="91" s="58" customFormat="1" ht="12" spans="1:33">
      <c r="A91" s="70"/>
      <c r="B91" s="71" t="str">
        <f>目录!G68</f>
        <v>E.03垂直运输</v>
      </c>
      <c r="C91" s="72"/>
      <c r="D91" s="103"/>
      <c r="E91" s="103"/>
      <c r="F91" s="71"/>
      <c r="G91" s="74"/>
      <c r="H91" s="74"/>
      <c r="I91" s="74"/>
      <c r="J91" s="74"/>
      <c r="K91" s="74"/>
      <c r="L91" s="74"/>
      <c r="M91" s="74"/>
      <c r="N91" s="74"/>
      <c r="O91" s="74"/>
      <c r="P91" s="74"/>
      <c r="Q91" s="74"/>
      <c r="R91" s="74" t="e">
        <f>SUM(R92,R97)</f>
        <v>#REF!</v>
      </c>
      <c r="S91" s="74" t="e">
        <f t="shared" ref="S91:AA91" si="82">SUM(S92,S97)</f>
        <v>#REF!</v>
      </c>
      <c r="T91" s="74" t="e">
        <f t="shared" si="82"/>
        <v>#REF!</v>
      </c>
      <c r="U91" s="74" t="e">
        <f t="shared" si="82"/>
        <v>#REF!</v>
      </c>
      <c r="V91" s="74" t="e">
        <f t="shared" si="82"/>
        <v>#REF!</v>
      </c>
      <c r="W91" s="74" t="e">
        <f t="shared" si="82"/>
        <v>#REF!</v>
      </c>
      <c r="X91" s="74" t="e">
        <f t="shared" si="82"/>
        <v>#REF!</v>
      </c>
      <c r="Y91" s="74" t="e">
        <f t="shared" si="82"/>
        <v>#REF!</v>
      </c>
      <c r="Z91" s="74" t="e">
        <f t="shared" si="82"/>
        <v>#REF!</v>
      </c>
      <c r="AA91" s="74" t="e">
        <f t="shared" si="82"/>
        <v>#REF!</v>
      </c>
      <c r="AB91" s="73"/>
      <c r="AC91" s="96"/>
      <c r="AD91" s="96"/>
      <c r="AE91" s="96"/>
      <c r="AF91" s="96"/>
      <c r="AG91" s="96"/>
    </row>
    <row r="92" s="62" customFormat="1" ht="100" customHeight="1" outlineLevel="1" spans="1:33">
      <c r="A92" s="75" t="s">
        <v>163</v>
      </c>
      <c r="B92" s="76" t="str">
        <f>目录!G68</f>
        <v>E.03垂直运输</v>
      </c>
      <c r="C92" s="104" t="e">
        <f>IF(ISNUMBER(FIND(#REF!,$B92,1)),#REF!,VLOOKUP($B92,#REF!,MATCH(C$2,#REF!,0),0))</f>
        <v>#REF!</v>
      </c>
      <c r="D92" s="105"/>
      <c r="E92" s="105"/>
      <c r="F92" s="106"/>
      <c r="G92" s="107"/>
      <c r="H92" s="107" t="e">
        <f t="shared" ref="H92:Q92" si="83">H89</f>
        <v>#REF!</v>
      </c>
      <c r="I92" s="107" t="e">
        <f t="shared" si="83"/>
        <v>#REF!</v>
      </c>
      <c r="J92" s="107" t="e">
        <f t="shared" si="83"/>
        <v>#REF!</v>
      </c>
      <c r="K92" s="107" t="e">
        <f t="shared" si="83"/>
        <v>#REF!</v>
      </c>
      <c r="L92" s="107" t="e">
        <f t="shared" si="83"/>
        <v>#REF!</v>
      </c>
      <c r="M92" s="107" t="e">
        <f t="shared" si="83"/>
        <v>#REF!</v>
      </c>
      <c r="N92" s="107" t="e">
        <f t="shared" si="83"/>
        <v>#REF!</v>
      </c>
      <c r="O92" s="107" t="e">
        <f t="shared" si="83"/>
        <v>#REF!</v>
      </c>
      <c r="P92" s="107" t="e">
        <f t="shared" si="83"/>
        <v>#REF!</v>
      </c>
      <c r="Q92" s="107" t="e">
        <f t="shared" si="83"/>
        <v>#REF!</v>
      </c>
      <c r="R92" s="107" t="e">
        <f>SUM(R93:R96)</f>
        <v>#REF!</v>
      </c>
      <c r="S92" s="107" t="e">
        <f t="shared" ref="S92:AA92" si="84">SUM(S93:S96)</f>
        <v>#REF!</v>
      </c>
      <c r="T92" s="107" t="e">
        <f t="shared" si="84"/>
        <v>#REF!</v>
      </c>
      <c r="U92" s="107" t="e">
        <f t="shared" si="84"/>
        <v>#REF!</v>
      </c>
      <c r="V92" s="107" t="e">
        <f t="shared" si="84"/>
        <v>#REF!</v>
      </c>
      <c r="W92" s="107" t="e">
        <f t="shared" si="84"/>
        <v>#REF!</v>
      </c>
      <c r="X92" s="107" t="e">
        <f t="shared" si="84"/>
        <v>#REF!</v>
      </c>
      <c r="Y92" s="107" t="e">
        <f t="shared" si="84"/>
        <v>#REF!</v>
      </c>
      <c r="Z92" s="107" t="e">
        <f t="shared" si="84"/>
        <v>#REF!</v>
      </c>
      <c r="AA92" s="107" t="e">
        <f t="shared" si="84"/>
        <v>#REF!</v>
      </c>
      <c r="AB92" s="117"/>
      <c r="AC92" s="118"/>
      <c r="AD92" s="118"/>
      <c r="AE92" s="118"/>
      <c r="AF92" s="118"/>
      <c r="AG92" s="118"/>
    </row>
    <row r="93" s="3" customFormat="1" ht="31" customHeight="1" outlineLevel="3" spans="1:33">
      <c r="A93" s="86"/>
      <c r="B93" s="108" t="s">
        <v>1007</v>
      </c>
      <c r="C93" s="82" t="e">
        <f>IF(ISNUMBER(FIND(#REF!,$B93,1)),#REF!,VLOOKUP($B93,#REF!,MATCH(C$2,#REF!,0),0))</f>
        <v>#REF!</v>
      </c>
      <c r="D93" s="83" t="s">
        <v>214</v>
      </c>
      <c r="E93" s="83" t="s">
        <v>214</v>
      </c>
      <c r="F93" s="81" t="e">
        <f>IF(ISNUMBER(FIND(#REF!,$B93,1)),#REF!,VLOOKUP($B93,#REF!,MATCH(F$2,#REF!,0),0))</f>
        <v>#REF!</v>
      </c>
      <c r="G93" s="84" t="e">
        <f>IF(ISNUMBER(FIND(#REF!,$B93,1)),#REF!,VLOOKUP($B93,#REF!,MATCH(G$2,#REF!,0),0))</f>
        <v>#REF!</v>
      </c>
      <c r="H93" s="16" t="e">
        <f>H89</f>
        <v>#REF!</v>
      </c>
      <c r="I93" s="16"/>
      <c r="J93" s="16"/>
      <c r="K93" s="16"/>
      <c r="L93" s="16"/>
      <c r="M93" s="16"/>
      <c r="N93" s="16"/>
      <c r="O93" s="16"/>
      <c r="P93" s="16"/>
      <c r="Q93" s="16"/>
      <c r="R93" s="85" t="e">
        <f>$G93*H93</f>
        <v>#REF!</v>
      </c>
      <c r="S93" s="85" t="e">
        <f t="shared" ref="S93:AA93" si="85">$G93*I93</f>
        <v>#REF!</v>
      </c>
      <c r="T93" s="85" t="e">
        <f t="shared" si="85"/>
        <v>#REF!</v>
      </c>
      <c r="U93" s="85" t="e">
        <f t="shared" si="85"/>
        <v>#REF!</v>
      </c>
      <c r="V93" s="85" t="e">
        <f t="shared" si="85"/>
        <v>#REF!</v>
      </c>
      <c r="W93" s="85" t="e">
        <f t="shared" si="85"/>
        <v>#REF!</v>
      </c>
      <c r="X93" s="85" t="e">
        <f t="shared" si="85"/>
        <v>#REF!</v>
      </c>
      <c r="Y93" s="85" t="e">
        <f t="shared" si="85"/>
        <v>#REF!</v>
      </c>
      <c r="Z93" s="85" t="e">
        <f t="shared" si="85"/>
        <v>#REF!</v>
      </c>
      <c r="AA93" s="85" t="e">
        <f t="shared" si="85"/>
        <v>#REF!</v>
      </c>
      <c r="AB93" s="24"/>
      <c r="AC93" s="119"/>
      <c r="AD93" s="119"/>
      <c r="AE93" s="119"/>
      <c r="AF93" s="119"/>
      <c r="AG93" s="119"/>
    </row>
    <row r="94" s="3" customFormat="1" ht="31" customHeight="1" outlineLevel="3" spans="1:33">
      <c r="A94" s="86"/>
      <c r="B94" s="108" t="s">
        <v>1008</v>
      </c>
      <c r="C94" s="82" t="e">
        <f>IF(ISNUMBER(FIND(#REF!,$B94,1)),#REF!,VLOOKUP($B94,#REF!,MATCH(C$2,#REF!,0),0))</f>
        <v>#REF!</v>
      </c>
      <c r="D94" s="83" t="s">
        <v>214</v>
      </c>
      <c r="E94" s="83" t="s">
        <v>214</v>
      </c>
      <c r="F94" s="81" t="e">
        <f>IF(ISNUMBER(FIND(#REF!,$B94,1)),#REF!,VLOOKUP($B94,#REF!,MATCH(F$2,#REF!,0),0))</f>
        <v>#REF!</v>
      </c>
      <c r="G94" s="84" t="e">
        <f>IF(ISNUMBER(FIND(#REF!,$B94,1)),#REF!,VLOOKUP($B94,#REF!,MATCH(G$2,#REF!,0),0))</f>
        <v>#REF!</v>
      </c>
      <c r="H94" s="16"/>
      <c r="I94" s="16" t="e">
        <f>I89</f>
        <v>#REF!</v>
      </c>
      <c r="J94" s="16" t="e">
        <f>J89</f>
        <v>#REF!</v>
      </c>
      <c r="K94" s="16" t="e">
        <f>K89</f>
        <v>#REF!</v>
      </c>
      <c r="L94" s="16" t="e">
        <f>L89</f>
        <v>#REF!</v>
      </c>
      <c r="M94" s="16"/>
      <c r="N94" s="16"/>
      <c r="O94" s="16"/>
      <c r="P94" s="16"/>
      <c r="Q94" s="16"/>
      <c r="R94" s="85" t="e">
        <f t="shared" ref="R94:AA94" si="86">$G94*H94</f>
        <v>#REF!</v>
      </c>
      <c r="S94" s="85" t="e">
        <f t="shared" si="86"/>
        <v>#REF!</v>
      </c>
      <c r="T94" s="85" t="e">
        <f t="shared" si="86"/>
        <v>#REF!</v>
      </c>
      <c r="U94" s="85" t="e">
        <f t="shared" si="86"/>
        <v>#REF!</v>
      </c>
      <c r="V94" s="85" t="e">
        <f t="shared" si="86"/>
        <v>#REF!</v>
      </c>
      <c r="W94" s="85" t="e">
        <f t="shared" si="86"/>
        <v>#REF!</v>
      </c>
      <c r="X94" s="85" t="e">
        <f t="shared" si="86"/>
        <v>#REF!</v>
      </c>
      <c r="Y94" s="85" t="e">
        <f t="shared" si="86"/>
        <v>#REF!</v>
      </c>
      <c r="Z94" s="85" t="e">
        <f t="shared" si="86"/>
        <v>#REF!</v>
      </c>
      <c r="AA94" s="85" t="e">
        <f t="shared" si="86"/>
        <v>#REF!</v>
      </c>
      <c r="AB94" s="24"/>
      <c r="AC94" s="119"/>
      <c r="AD94" s="119"/>
      <c r="AE94" s="119"/>
      <c r="AF94" s="119"/>
      <c r="AG94" s="119"/>
    </row>
    <row r="95" s="3" customFormat="1" ht="31" customHeight="1" outlineLevel="3" spans="1:33">
      <c r="A95" s="86"/>
      <c r="B95" s="108" t="s">
        <v>1009</v>
      </c>
      <c r="C95" s="82" t="e">
        <f>IF(ISNUMBER(FIND(#REF!,$B95,1)),#REF!,VLOOKUP($B95,#REF!,MATCH(C$2,#REF!,0),0))</f>
        <v>#REF!</v>
      </c>
      <c r="D95" s="83" t="s">
        <v>214</v>
      </c>
      <c r="E95" s="83" t="s">
        <v>214</v>
      </c>
      <c r="F95" s="81" t="e">
        <f>IF(ISNUMBER(FIND(#REF!,$B95,1)),#REF!,VLOOKUP($B95,#REF!,MATCH(F$2,#REF!,0),0))</f>
        <v>#REF!</v>
      </c>
      <c r="G95" s="84" t="e">
        <f>IF(ISNUMBER(FIND(#REF!,$B95,1)),#REF!,VLOOKUP($B95,#REF!,MATCH(G$2,#REF!,0),0))</f>
        <v>#REF!</v>
      </c>
      <c r="H95" s="16"/>
      <c r="I95" s="16"/>
      <c r="J95" s="16"/>
      <c r="K95" s="16"/>
      <c r="L95" s="16"/>
      <c r="M95" s="16" t="e">
        <f t="shared" ref="M95:O95" si="87">M89</f>
        <v>#REF!</v>
      </c>
      <c r="N95" s="16" t="e">
        <f t="shared" si="87"/>
        <v>#REF!</v>
      </c>
      <c r="O95" s="16" t="e">
        <f t="shared" si="87"/>
        <v>#REF!</v>
      </c>
      <c r="P95" s="16"/>
      <c r="Q95" s="16"/>
      <c r="R95" s="85" t="e">
        <f t="shared" ref="R95:AA95" si="88">$G95*H95</f>
        <v>#REF!</v>
      </c>
      <c r="S95" s="85" t="e">
        <f t="shared" si="88"/>
        <v>#REF!</v>
      </c>
      <c r="T95" s="85" t="e">
        <f t="shared" si="88"/>
        <v>#REF!</v>
      </c>
      <c r="U95" s="85" t="e">
        <f t="shared" si="88"/>
        <v>#REF!</v>
      </c>
      <c r="V95" s="85" t="e">
        <f t="shared" si="88"/>
        <v>#REF!</v>
      </c>
      <c r="W95" s="85" t="e">
        <f t="shared" si="88"/>
        <v>#REF!</v>
      </c>
      <c r="X95" s="85" t="e">
        <f t="shared" si="88"/>
        <v>#REF!</v>
      </c>
      <c r="Y95" s="85" t="e">
        <f t="shared" si="88"/>
        <v>#REF!</v>
      </c>
      <c r="Z95" s="85" t="e">
        <f t="shared" si="88"/>
        <v>#REF!</v>
      </c>
      <c r="AA95" s="85" t="e">
        <f t="shared" si="88"/>
        <v>#REF!</v>
      </c>
      <c r="AB95" s="24"/>
      <c r="AC95" s="119"/>
      <c r="AD95" s="119"/>
      <c r="AE95" s="119"/>
      <c r="AF95" s="119"/>
      <c r="AG95" s="119"/>
    </row>
    <row r="96" s="3" customFormat="1" ht="31" customHeight="1" outlineLevel="3" spans="1:33">
      <c r="A96" s="86"/>
      <c r="B96" s="108" t="s">
        <v>1010</v>
      </c>
      <c r="C96" s="82" t="e">
        <f>IF(ISNUMBER(FIND(#REF!,$B96,1)),#REF!,VLOOKUP($B96,#REF!,MATCH(C$2,#REF!,0),0))</f>
        <v>#REF!</v>
      </c>
      <c r="D96" s="83" t="s">
        <v>214</v>
      </c>
      <c r="E96" s="83" t="s">
        <v>214</v>
      </c>
      <c r="F96" s="81" t="e">
        <f>IF(ISNUMBER(FIND(#REF!,$B96,1)),#REF!,VLOOKUP($B96,#REF!,MATCH(F$2,#REF!,0),0))</f>
        <v>#REF!</v>
      </c>
      <c r="G96" s="84" t="e">
        <f>IF(ISNUMBER(FIND(#REF!,$B96,1)),#REF!,VLOOKUP($B96,#REF!,MATCH(G$2,#REF!,0),0))</f>
        <v>#REF!</v>
      </c>
      <c r="H96" s="16"/>
      <c r="I96" s="16"/>
      <c r="J96" s="16"/>
      <c r="K96" s="16"/>
      <c r="L96" s="16"/>
      <c r="M96" s="16"/>
      <c r="N96" s="16"/>
      <c r="O96" s="16"/>
      <c r="P96" s="16" t="e">
        <f>P89</f>
        <v>#REF!</v>
      </c>
      <c r="Q96" s="16" t="e">
        <f>Q89</f>
        <v>#REF!</v>
      </c>
      <c r="R96" s="85" t="e">
        <f t="shared" ref="R96:AA96" si="89">$G96*H96</f>
        <v>#REF!</v>
      </c>
      <c r="S96" s="85" t="e">
        <f t="shared" si="89"/>
        <v>#REF!</v>
      </c>
      <c r="T96" s="85" t="e">
        <f t="shared" si="89"/>
        <v>#REF!</v>
      </c>
      <c r="U96" s="85" t="e">
        <f t="shared" si="89"/>
        <v>#REF!</v>
      </c>
      <c r="V96" s="85" t="e">
        <f t="shared" si="89"/>
        <v>#REF!</v>
      </c>
      <c r="W96" s="85" t="e">
        <f t="shared" si="89"/>
        <v>#REF!</v>
      </c>
      <c r="X96" s="85" t="e">
        <f t="shared" si="89"/>
        <v>#REF!</v>
      </c>
      <c r="Y96" s="85" t="e">
        <f t="shared" si="89"/>
        <v>#REF!</v>
      </c>
      <c r="Z96" s="85" t="e">
        <f t="shared" si="89"/>
        <v>#REF!</v>
      </c>
      <c r="AA96" s="85" t="e">
        <f t="shared" si="89"/>
        <v>#REF!</v>
      </c>
      <c r="AB96" s="24"/>
      <c r="AC96" s="119"/>
      <c r="AD96" s="119"/>
      <c r="AE96" s="119"/>
      <c r="AF96" s="119"/>
      <c r="AG96" s="119"/>
    </row>
    <row r="97" s="62" customFormat="1" ht="12" outlineLevel="1" spans="1:33">
      <c r="A97" s="75" t="s">
        <v>167</v>
      </c>
      <c r="B97" s="76" t="str">
        <f>目录!G68</f>
        <v>E.03垂直运输</v>
      </c>
      <c r="C97" s="104" t="e">
        <f>IF(ISNUMBER(FIND(#REF!,$B97,1)),#REF!,VLOOKUP($B97,#REF!,MATCH(C$2,#REF!,0),0))</f>
        <v>#REF!</v>
      </c>
      <c r="D97" s="105"/>
      <c r="E97" s="105"/>
      <c r="F97" s="106"/>
      <c r="G97" s="107"/>
      <c r="H97" s="107" t="e">
        <f>#REF!</f>
        <v>#REF!</v>
      </c>
      <c r="I97" s="107" t="e">
        <f>#REF!</f>
        <v>#REF!</v>
      </c>
      <c r="J97" s="107" t="e">
        <f>#REF!</f>
        <v>#REF!</v>
      </c>
      <c r="K97" s="107" t="e">
        <f>#REF!</f>
        <v>#REF!</v>
      </c>
      <c r="L97" s="107" t="e">
        <f>#REF!</f>
        <v>#REF!</v>
      </c>
      <c r="M97" s="107" t="e">
        <f>#REF!</f>
        <v>#REF!</v>
      </c>
      <c r="N97" s="107" t="e">
        <f>#REF!</f>
        <v>#REF!</v>
      </c>
      <c r="O97" s="107" t="e">
        <f>#REF!</f>
        <v>#REF!</v>
      </c>
      <c r="P97" s="107" t="e">
        <f>#REF!</f>
        <v>#REF!</v>
      </c>
      <c r="Q97" s="107" t="e">
        <f>#REF!</f>
        <v>#REF!</v>
      </c>
      <c r="R97" s="107" t="e">
        <f>SUM(R98:R101)</f>
        <v>#REF!</v>
      </c>
      <c r="S97" s="107" t="e">
        <f t="shared" ref="S97:AA97" si="90">SUM(S98:S101)</f>
        <v>#REF!</v>
      </c>
      <c r="T97" s="107" t="e">
        <f t="shared" si="90"/>
        <v>#REF!</v>
      </c>
      <c r="U97" s="107" t="e">
        <f t="shared" si="90"/>
        <v>#REF!</v>
      </c>
      <c r="V97" s="107" t="e">
        <f t="shared" si="90"/>
        <v>#REF!</v>
      </c>
      <c r="W97" s="107" t="e">
        <f t="shared" si="90"/>
        <v>#REF!</v>
      </c>
      <c r="X97" s="107" t="e">
        <f t="shared" si="90"/>
        <v>#REF!</v>
      </c>
      <c r="Y97" s="107" t="e">
        <f t="shared" si="90"/>
        <v>#REF!</v>
      </c>
      <c r="Z97" s="107" t="e">
        <f t="shared" si="90"/>
        <v>#REF!</v>
      </c>
      <c r="AA97" s="107" t="e">
        <f t="shared" si="90"/>
        <v>#REF!</v>
      </c>
      <c r="AB97" s="117"/>
      <c r="AC97" s="118"/>
      <c r="AD97" s="118"/>
      <c r="AE97" s="118"/>
      <c r="AF97" s="118"/>
      <c r="AG97" s="118"/>
    </row>
    <row r="98" s="3" customFormat="1" ht="30" customHeight="1" outlineLevel="3" spans="1:33">
      <c r="A98" s="109"/>
      <c r="B98" s="108" t="s">
        <v>1007</v>
      </c>
      <c r="C98" s="82" t="e">
        <f>IF(ISNUMBER(FIND(#REF!,$B98,1)),#REF!,VLOOKUP($B98,#REF!,MATCH(C$2,#REF!,0),0))</f>
        <v>#REF!</v>
      </c>
      <c r="D98" s="83" t="s">
        <v>215</v>
      </c>
      <c r="E98" s="83" t="s">
        <v>215</v>
      </c>
      <c r="F98" s="81" t="e">
        <f>IF(ISNUMBER(FIND(#REF!,$B98,1)),#REF!,VLOOKUP($B98,#REF!,MATCH(F$2,#REF!,0),0))</f>
        <v>#REF!</v>
      </c>
      <c r="G98" s="84" t="e">
        <f>IF(ISNUMBER(FIND(#REF!,$B98,1)),#REF!,VLOOKUP($B98,#REF!,MATCH(G$2,#REF!,0),0))</f>
        <v>#REF!</v>
      </c>
      <c r="H98" s="110" t="e">
        <f>H90</f>
        <v>#REF!</v>
      </c>
      <c r="I98" s="110"/>
      <c r="J98" s="110"/>
      <c r="K98" s="110"/>
      <c r="L98" s="110"/>
      <c r="M98" s="110"/>
      <c r="N98" s="110"/>
      <c r="O98" s="110"/>
      <c r="P98" s="110"/>
      <c r="Q98" s="110"/>
      <c r="R98" s="85" t="e">
        <f>$G98*H98</f>
        <v>#REF!</v>
      </c>
      <c r="S98" s="85" t="e">
        <f t="shared" ref="S98:AA98" si="91">$G98*I98</f>
        <v>#REF!</v>
      </c>
      <c r="T98" s="85" t="e">
        <f t="shared" si="91"/>
        <v>#REF!</v>
      </c>
      <c r="U98" s="85" t="e">
        <f t="shared" si="91"/>
        <v>#REF!</v>
      </c>
      <c r="V98" s="85" t="e">
        <f t="shared" si="91"/>
        <v>#REF!</v>
      </c>
      <c r="W98" s="85" t="e">
        <f t="shared" si="91"/>
        <v>#REF!</v>
      </c>
      <c r="X98" s="85" t="e">
        <f t="shared" si="91"/>
        <v>#REF!</v>
      </c>
      <c r="Y98" s="85" t="e">
        <f t="shared" si="91"/>
        <v>#REF!</v>
      </c>
      <c r="Z98" s="85" t="e">
        <f t="shared" si="91"/>
        <v>#REF!</v>
      </c>
      <c r="AA98" s="85" t="e">
        <f t="shared" si="91"/>
        <v>#REF!</v>
      </c>
      <c r="AB98" s="120"/>
      <c r="AC98" s="119"/>
      <c r="AD98" s="119"/>
      <c r="AE98" s="119"/>
      <c r="AF98" s="119"/>
      <c r="AG98" s="119"/>
    </row>
    <row r="99" s="3" customFormat="1" ht="30" customHeight="1" outlineLevel="3" spans="1:33">
      <c r="A99" s="109"/>
      <c r="B99" s="108" t="s">
        <v>1008</v>
      </c>
      <c r="C99" s="82" t="e">
        <f>IF(ISNUMBER(FIND(#REF!,$B99,1)),#REF!,VLOOKUP($B99,#REF!,MATCH(C$2,#REF!,0),0))</f>
        <v>#REF!</v>
      </c>
      <c r="D99" s="83" t="s">
        <v>215</v>
      </c>
      <c r="E99" s="83" t="s">
        <v>215</v>
      </c>
      <c r="F99" s="81" t="e">
        <f>IF(ISNUMBER(FIND(#REF!,$B99,1)),#REF!,VLOOKUP($B99,#REF!,MATCH(F$2,#REF!,0),0))</f>
        <v>#REF!</v>
      </c>
      <c r="G99" s="84" t="e">
        <f>IF(ISNUMBER(FIND(#REF!,$B99,1)),#REF!,VLOOKUP($B99,#REF!,MATCH(G$2,#REF!,0),0))</f>
        <v>#REF!</v>
      </c>
      <c r="H99" s="110"/>
      <c r="I99" s="110" t="e">
        <f>I90</f>
        <v>#REF!</v>
      </c>
      <c r="J99" s="110" t="e">
        <f>J90</f>
        <v>#REF!</v>
      </c>
      <c r="K99" s="110" t="e">
        <f>K90</f>
        <v>#REF!</v>
      </c>
      <c r="L99" s="110" t="e">
        <f>L90</f>
        <v>#REF!</v>
      </c>
      <c r="M99" s="110"/>
      <c r="N99" s="110"/>
      <c r="O99" s="110"/>
      <c r="P99" s="110"/>
      <c r="Q99" s="110"/>
      <c r="R99" s="85" t="e">
        <f t="shared" ref="R99:AA99" si="92">$G99*H99</f>
        <v>#REF!</v>
      </c>
      <c r="S99" s="85" t="e">
        <f t="shared" si="92"/>
        <v>#REF!</v>
      </c>
      <c r="T99" s="85" t="e">
        <f t="shared" si="92"/>
        <v>#REF!</v>
      </c>
      <c r="U99" s="85" t="e">
        <f t="shared" si="92"/>
        <v>#REF!</v>
      </c>
      <c r="V99" s="85" t="e">
        <f t="shared" si="92"/>
        <v>#REF!</v>
      </c>
      <c r="W99" s="85" t="e">
        <f t="shared" si="92"/>
        <v>#REF!</v>
      </c>
      <c r="X99" s="85" t="e">
        <f t="shared" si="92"/>
        <v>#REF!</v>
      </c>
      <c r="Y99" s="85" t="e">
        <f t="shared" si="92"/>
        <v>#REF!</v>
      </c>
      <c r="Z99" s="85" t="e">
        <f t="shared" si="92"/>
        <v>#REF!</v>
      </c>
      <c r="AA99" s="85" t="e">
        <f t="shared" si="92"/>
        <v>#REF!</v>
      </c>
      <c r="AB99" s="120"/>
      <c r="AC99" s="119"/>
      <c r="AD99" s="119"/>
      <c r="AE99" s="119"/>
      <c r="AF99" s="119"/>
      <c r="AG99" s="119"/>
    </row>
    <row r="100" s="3" customFormat="1" ht="30" customHeight="1" outlineLevel="3" spans="1:33">
      <c r="A100" s="109"/>
      <c r="B100" s="108" t="s">
        <v>1009</v>
      </c>
      <c r="C100" s="82" t="e">
        <f>IF(ISNUMBER(FIND(#REF!,$B100,1)),#REF!,VLOOKUP($B100,#REF!,MATCH(C$2,#REF!,0),0))</f>
        <v>#REF!</v>
      </c>
      <c r="D100" s="83" t="s">
        <v>215</v>
      </c>
      <c r="E100" s="83" t="s">
        <v>215</v>
      </c>
      <c r="F100" s="81" t="e">
        <f>IF(ISNUMBER(FIND(#REF!,$B100,1)),#REF!,VLOOKUP($B100,#REF!,MATCH(F$2,#REF!,0),0))</f>
        <v>#REF!</v>
      </c>
      <c r="G100" s="84" t="e">
        <f>IF(ISNUMBER(FIND(#REF!,$B100,1)),#REF!,VLOOKUP($B100,#REF!,MATCH(G$2,#REF!,0),0))</f>
        <v>#REF!</v>
      </c>
      <c r="H100" s="110"/>
      <c r="I100" s="110"/>
      <c r="J100" s="110"/>
      <c r="K100" s="110"/>
      <c r="L100" s="110"/>
      <c r="M100" s="110" t="e">
        <f t="shared" ref="M100:O100" si="93">M90</f>
        <v>#REF!</v>
      </c>
      <c r="N100" s="110" t="e">
        <f t="shared" si="93"/>
        <v>#REF!</v>
      </c>
      <c r="O100" s="110" t="e">
        <f t="shared" si="93"/>
        <v>#REF!</v>
      </c>
      <c r="P100" s="110"/>
      <c r="Q100" s="110"/>
      <c r="R100" s="85" t="e">
        <f t="shared" ref="R100:AA100" si="94">$G100*H100</f>
        <v>#REF!</v>
      </c>
      <c r="S100" s="85" t="e">
        <f t="shared" si="94"/>
        <v>#REF!</v>
      </c>
      <c r="T100" s="85" t="e">
        <f t="shared" si="94"/>
        <v>#REF!</v>
      </c>
      <c r="U100" s="85" t="e">
        <f t="shared" si="94"/>
        <v>#REF!</v>
      </c>
      <c r="V100" s="85" t="e">
        <f t="shared" si="94"/>
        <v>#REF!</v>
      </c>
      <c r="W100" s="85" t="e">
        <f t="shared" si="94"/>
        <v>#REF!</v>
      </c>
      <c r="X100" s="85" t="e">
        <f t="shared" si="94"/>
        <v>#REF!</v>
      </c>
      <c r="Y100" s="85" t="e">
        <f t="shared" si="94"/>
        <v>#REF!</v>
      </c>
      <c r="Z100" s="85" t="e">
        <f t="shared" si="94"/>
        <v>#REF!</v>
      </c>
      <c r="AA100" s="85" t="e">
        <f t="shared" si="94"/>
        <v>#REF!</v>
      </c>
      <c r="AB100" s="120"/>
      <c r="AC100" s="119"/>
      <c r="AD100" s="119"/>
      <c r="AE100" s="119"/>
      <c r="AF100" s="119"/>
      <c r="AG100" s="119"/>
    </row>
    <row r="101" s="3" customFormat="1" ht="30" customHeight="1" outlineLevel="3" spans="1:33">
      <c r="A101" s="109"/>
      <c r="B101" s="108" t="s">
        <v>1010</v>
      </c>
      <c r="C101" s="82" t="e">
        <f>IF(ISNUMBER(FIND(#REF!,$B101,1)),#REF!,VLOOKUP($B101,#REF!,MATCH(C$2,#REF!,0),0))</f>
        <v>#REF!</v>
      </c>
      <c r="D101" s="83" t="s">
        <v>215</v>
      </c>
      <c r="E101" s="83" t="s">
        <v>215</v>
      </c>
      <c r="F101" s="81" t="e">
        <f>IF(ISNUMBER(FIND(#REF!,$B101,1)),#REF!,VLOOKUP($B101,#REF!,MATCH(F$2,#REF!,0),0))</f>
        <v>#REF!</v>
      </c>
      <c r="G101" s="84" t="e">
        <f>IF(ISNUMBER(FIND(#REF!,$B101,1)),#REF!,VLOOKUP($B101,#REF!,MATCH(G$2,#REF!,0),0))</f>
        <v>#REF!</v>
      </c>
      <c r="H101" s="110"/>
      <c r="I101" s="110"/>
      <c r="J101" s="110"/>
      <c r="K101" s="110"/>
      <c r="L101" s="110"/>
      <c r="M101" s="110"/>
      <c r="N101" s="110"/>
      <c r="O101" s="110"/>
      <c r="P101" s="110" t="e">
        <f>P90</f>
        <v>#REF!</v>
      </c>
      <c r="Q101" s="110" t="e">
        <f>Q90</f>
        <v>#REF!</v>
      </c>
      <c r="R101" s="85" t="e">
        <f t="shared" ref="R101:AA101" si="95">$G101*H101</f>
        <v>#REF!</v>
      </c>
      <c r="S101" s="85" t="e">
        <f t="shared" si="95"/>
        <v>#REF!</v>
      </c>
      <c r="T101" s="85" t="e">
        <f t="shared" si="95"/>
        <v>#REF!</v>
      </c>
      <c r="U101" s="85" t="e">
        <f t="shared" si="95"/>
        <v>#REF!</v>
      </c>
      <c r="V101" s="85" t="e">
        <f t="shared" si="95"/>
        <v>#REF!</v>
      </c>
      <c r="W101" s="85" t="e">
        <f t="shared" si="95"/>
        <v>#REF!</v>
      </c>
      <c r="X101" s="85" t="e">
        <f t="shared" si="95"/>
        <v>#REF!</v>
      </c>
      <c r="Y101" s="85" t="e">
        <f t="shared" si="95"/>
        <v>#REF!</v>
      </c>
      <c r="Z101" s="85" t="e">
        <f t="shared" si="95"/>
        <v>#REF!</v>
      </c>
      <c r="AA101" s="85" t="e">
        <f t="shared" si="95"/>
        <v>#REF!</v>
      </c>
      <c r="AB101" s="120"/>
      <c r="AC101" s="119"/>
      <c r="AD101" s="119"/>
      <c r="AE101" s="119"/>
      <c r="AF101" s="119"/>
      <c r="AG101" s="119"/>
    </row>
    <row r="102" s="60" customFormat="1" ht="15.6" spans="1:33">
      <c r="A102" s="111"/>
      <c r="B102" s="112" t="s">
        <v>180</v>
      </c>
      <c r="C102" s="113"/>
      <c r="D102" s="114"/>
      <c r="E102" s="114"/>
      <c r="F102" s="111"/>
      <c r="G102" s="115"/>
      <c r="H102" s="115"/>
      <c r="I102" s="115"/>
      <c r="J102" s="115"/>
      <c r="K102" s="115"/>
      <c r="L102" s="115"/>
      <c r="M102" s="115"/>
      <c r="N102" s="115"/>
      <c r="O102" s="115"/>
      <c r="P102" s="115"/>
      <c r="Q102" s="115"/>
      <c r="R102" s="115" t="e">
        <f>SUM(R4,R88,R91)</f>
        <v>#REF!</v>
      </c>
      <c r="S102" s="115" t="e">
        <f t="shared" ref="S102:AA102" si="96">SUM(S4,S88,S91)</f>
        <v>#REF!</v>
      </c>
      <c r="T102" s="115" t="e">
        <f t="shared" si="96"/>
        <v>#REF!</v>
      </c>
      <c r="U102" s="115" t="e">
        <f t="shared" si="96"/>
        <v>#REF!</v>
      </c>
      <c r="V102" s="116" t="e">
        <f t="shared" si="96"/>
        <v>#REF!</v>
      </c>
      <c r="W102" s="115" t="e">
        <f t="shared" si="96"/>
        <v>#REF!</v>
      </c>
      <c r="X102" s="115" t="e">
        <f t="shared" si="96"/>
        <v>#REF!</v>
      </c>
      <c r="Y102" s="115" t="e">
        <f t="shared" si="96"/>
        <v>#REF!</v>
      </c>
      <c r="Z102" s="115" t="e">
        <f t="shared" si="96"/>
        <v>#REF!</v>
      </c>
      <c r="AA102" s="115" t="e">
        <f t="shared" si="96"/>
        <v>#REF!</v>
      </c>
      <c r="AB102" s="114"/>
      <c r="AC102" s="100"/>
      <c r="AD102" s="100"/>
      <c r="AE102" s="100"/>
      <c r="AF102" s="100"/>
      <c r="AG102" s="100"/>
    </row>
    <row r="103" spans="9:33">
      <c r="I103" s="64"/>
      <c r="J103" s="64"/>
      <c r="K103" s="64"/>
      <c r="L103" s="64"/>
      <c r="M103" s="64"/>
      <c r="N103" s="64"/>
      <c r="O103" s="64"/>
      <c r="P103" s="64"/>
      <c r="Q103" s="64"/>
      <c r="AC103" s="121"/>
      <c r="AD103" s="121"/>
      <c r="AE103" s="121"/>
      <c r="AF103" s="121"/>
      <c r="AG103" s="121"/>
    </row>
    <row r="104" spans="29:33">
      <c r="AC104" s="121"/>
      <c r="AD104" s="121"/>
      <c r="AE104" s="121"/>
      <c r="AF104" s="121"/>
      <c r="AG104" s="121"/>
    </row>
  </sheetData>
  <autoFilter ref="A1:AD103">
    <extLst/>
  </autoFilter>
  <mergeCells count="17">
    <mergeCell ref="A1:G1"/>
    <mergeCell ref="H1:Q1"/>
    <mergeCell ref="R1:AA1"/>
    <mergeCell ref="D2:E2"/>
    <mergeCell ref="H2:K2"/>
    <mergeCell ref="M2:O2"/>
    <mergeCell ref="P2:Q2"/>
    <mergeCell ref="R2:V2"/>
    <mergeCell ref="W2:Y2"/>
    <mergeCell ref="Z2:AA2"/>
    <mergeCell ref="AC6:AD6"/>
    <mergeCell ref="A2:A3"/>
    <mergeCell ref="B2:B3"/>
    <mergeCell ref="C2:C3"/>
    <mergeCell ref="F2:F3"/>
    <mergeCell ref="G2:G3"/>
    <mergeCell ref="AB2:AB3"/>
  </mergeCells>
  <dataValidations count="1">
    <dataValidation type="list" allowBlank="1" showInputMessage="1" showErrorMessage="1" sqref="D7:E7 D8:E8 D9:E9 D10:E10 D11:E11 D12:E12 D13:E13 D14:E14 D15:E15 D16:E16 D17:E17 D18:E18 D19:E19 D20:E20 D21:E21 D22:E22 D23:E23 D24:E24 D25:E25 D26:E26 D27:E27 D28:E28 D29:E29 D30:E30 D31:E31 D32:E32 D33:E33 D34:E34 D36 E36 D37 E37 D41:E41 D42:E42 D43:E43 D44:E44 D46 E46 D47 E47 D48 E48 D49 E49 D52:E52 D53:E53 D54:E54 D55:E55 D56:E56 D57:E57 D58:E58 D59:E59 D60:E60 D61:E61 D62:E62 D63:E63 D64:E64 D65:E65 D66:E66 D68 E68 D69 E69 D70 E70 D74:E74 D75:E75 D76:E76 D77:E77 D78:E78 D79:E79 D80:E80 D81:E81 D82:E82 D83:E83 D85 E85 D86 E86 D87 E87 D88 E88 D89 E89 D90 E90 D91 E91 D92 E92 D97 E97 D98 E98 D99 E99 D100 E100 D101 E101 D93:E96">
      <formula1>INDIRECT("指标")</formula1>
    </dataValidation>
  </dataValidations>
  <hyperlinks>
    <hyperlink ref="AC1" location="目录!B3" display="返回目录"/>
  </hyperlinks>
  <pageMargins left="0.751388888888889" right="0.751388888888889" top="1" bottom="1" header="0.5" footer="0.5"/>
  <pageSetup paperSize="9" scale="68" fitToHeight="0" orientation="portrait" horizontalDpi="600"/>
  <headerFooter>
    <oddFooter>&amp;C第 &amp;P 页，共 &amp;N 页</oddFooter>
  </headerFooter>
  <colBreaks count="1" manualBreakCount="1">
    <brk id="3" max="101"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outlinePr summaryBelow="0" summaryRight="0"/>
    <pageSetUpPr fitToPage="1"/>
  </sheetPr>
  <dimension ref="A1:K1916"/>
  <sheetViews>
    <sheetView view="pageBreakPreview" zoomScaleNormal="100" workbookViewId="0">
      <pane ySplit="3" topLeftCell="A874" activePane="bottomLeft" state="frozen"/>
      <selection/>
      <selection pane="bottomLeft" activeCell="C875" sqref="C875"/>
    </sheetView>
  </sheetViews>
  <sheetFormatPr defaultColWidth="19.6296296296296" defaultRowHeight="14.4"/>
  <cols>
    <col min="1" max="1" width="4.87962962962963" style="28" customWidth="1"/>
    <col min="2" max="2" width="26.25" style="30" customWidth="1"/>
    <col min="3" max="3" width="38.6296296296296" style="30" customWidth="1" collapsed="1"/>
    <col min="4" max="5" width="7.5" style="30" hidden="1" customWidth="1" outlineLevel="1"/>
    <col min="6" max="6" width="10.8796296296296" style="31" customWidth="1"/>
    <col min="7" max="7" width="15.3796296296296" style="32" customWidth="1"/>
    <col min="8" max="8" width="12.3796296296296" style="33" customWidth="1"/>
    <col min="9" max="9" width="18" style="33" customWidth="1"/>
    <col min="10" max="10" width="8.62962962962963" style="28" customWidth="1"/>
    <col min="11" max="16384" width="19.6296296296296" style="28" customWidth="1"/>
  </cols>
  <sheetData>
    <row r="1" s="28" customFormat="1" ht="28.2" spans="1:11">
      <c r="A1" s="35" t="s">
        <v>2350</v>
      </c>
      <c r="B1" s="36"/>
      <c r="C1" s="36"/>
      <c r="D1" s="36"/>
      <c r="E1" s="36"/>
      <c r="F1" s="35"/>
      <c r="G1" s="37"/>
      <c r="H1" s="38"/>
      <c r="I1" s="38"/>
      <c r="J1" s="35"/>
      <c r="K1" s="53" t="s">
        <v>2351</v>
      </c>
    </row>
    <row r="2" s="28" customFormat="1" ht="15.6" spans="1:11">
      <c r="A2" s="9" t="s">
        <v>2</v>
      </c>
      <c r="B2" s="9" t="s">
        <v>227</v>
      </c>
      <c r="C2" s="10" t="s">
        <v>228</v>
      </c>
      <c r="D2" s="9" t="s">
        <v>229</v>
      </c>
      <c r="E2" s="9"/>
      <c r="F2" s="10" t="s">
        <v>230</v>
      </c>
      <c r="G2" s="11" t="s">
        <v>231</v>
      </c>
      <c r="H2" s="39" t="s">
        <v>225</v>
      </c>
      <c r="I2" s="39" t="s">
        <v>2352</v>
      </c>
      <c r="J2" s="23" t="s">
        <v>235</v>
      </c>
      <c r="K2" s="53" t="s">
        <v>2353</v>
      </c>
    </row>
    <row r="3" s="28" customFormat="1" ht="15.6" spans="1:11">
      <c r="A3" s="9"/>
      <c r="B3" s="9"/>
      <c r="C3" s="10"/>
      <c r="D3" s="9" t="s">
        <v>236</v>
      </c>
      <c r="E3" s="9" t="s">
        <v>237</v>
      </c>
      <c r="F3" s="10"/>
      <c r="G3" s="11"/>
      <c r="H3" s="39"/>
      <c r="I3" s="39"/>
      <c r="J3" s="23"/>
      <c r="K3" s="53" t="s">
        <v>2354</v>
      </c>
    </row>
    <row r="4" s="29" customFormat="1" spans="1:10">
      <c r="A4" s="40"/>
      <c r="B4" s="41" t="s">
        <v>2355</v>
      </c>
      <c r="C4" s="41"/>
      <c r="D4" s="41"/>
      <c r="E4" s="41"/>
      <c r="F4" s="42"/>
      <c r="G4" s="43"/>
      <c r="H4" s="44"/>
      <c r="I4" s="44"/>
      <c r="J4" s="40"/>
    </row>
    <row r="5" outlineLevel="1" spans="1:10">
      <c r="A5" s="45" t="str">
        <f ca="1" t="array" ref="A5:G900">IF(INDIRECT(K1&amp;"!A4：G900")=0,"",INDIRECT(K1&amp;"!A4：G900"))</f>
        <v/>
      </c>
      <c r="B5" s="46" t="str">
        <v>地下工程</v>
      </c>
      <c r="C5" s="46" t="str">
        <v/>
      </c>
      <c r="D5" s="46" t="str">
        <v/>
      </c>
      <c r="E5" s="46" t="str">
        <v/>
      </c>
      <c r="F5" s="47" t="str">
        <v/>
      </c>
      <c r="G5" s="48" t="str">
        <v/>
      </c>
      <c r="H5" s="49">
        <f ca="1" t="array" ref="H5:H900">INDIRECT(K1&amp;"!H4:H900")</f>
        <v>0</v>
      </c>
      <c r="I5" s="49" t="e">
        <f ca="1" t="array" ref="I5:I900">INDIRECT(K1&amp;"!R4:R900")</f>
        <v>#REF!</v>
      </c>
      <c r="J5" s="50"/>
    </row>
    <row r="6" outlineLevel="1" spans="1:10">
      <c r="A6" s="50" t="str">
        <v/>
      </c>
      <c r="B6" s="51" t="str">
        <v>A.01地下基础工程</v>
      </c>
      <c r="C6" s="51" t="str">
        <v/>
      </c>
      <c r="D6" s="51" t="str">
        <v/>
      </c>
      <c r="E6" s="51" t="str">
        <v/>
      </c>
      <c r="F6" s="52" t="str">
        <v/>
      </c>
      <c r="G6" s="48" t="str">
        <v/>
      </c>
      <c r="H6" s="49">
        <v>0</v>
      </c>
      <c r="I6" s="49" t="e">
        <v>#REF!</v>
      </c>
      <c r="J6" s="50"/>
    </row>
    <row r="7" outlineLevel="1" spans="1:10">
      <c r="A7" s="50" t="str">
        <v/>
      </c>
      <c r="B7" s="51" t="str">
        <v>A.01.01土石方工程</v>
      </c>
      <c r="C7" s="51" t="str">
        <v/>
      </c>
      <c r="D7" s="51" t="str">
        <v/>
      </c>
      <c r="E7" s="51" t="str">
        <v/>
      </c>
      <c r="F7" s="52" t="str">
        <v/>
      </c>
      <c r="G7" s="48" t="str">
        <v/>
      </c>
      <c r="H7" s="49">
        <v>0</v>
      </c>
      <c r="I7" s="49" t="e">
        <v>#REF!</v>
      </c>
      <c r="J7" s="50"/>
    </row>
    <row r="8" outlineLevel="1" spans="1:10">
      <c r="A8" s="50">
        <v>1</v>
      </c>
      <c r="B8" s="51" t="str">
        <v>人工清理基底</v>
      </c>
      <c r="C8" s="51" t="e">
        <v>#REF!</v>
      </c>
      <c r="D8" s="51" t="str">
        <v/>
      </c>
      <c r="E8" s="51" t="str">
        <v/>
      </c>
      <c r="F8" s="52" t="e">
        <v>#REF!</v>
      </c>
      <c r="G8" s="48" t="e">
        <v>#REF!</v>
      </c>
      <c r="H8" s="49">
        <v>0</v>
      </c>
      <c r="I8" s="49" t="e">
        <v>#REF!</v>
      </c>
      <c r="J8" s="50"/>
    </row>
    <row r="9" outlineLevel="1" spans="1:10">
      <c r="A9" s="50">
        <v>2</v>
      </c>
      <c r="B9" s="51" t="str">
        <v>挖基坑（电梯井.集水坑）</v>
      </c>
      <c r="C9" s="51" t="e">
        <v>#REF!</v>
      </c>
      <c r="D9" s="51" t="str">
        <v/>
      </c>
      <c r="E9" s="51" t="str">
        <v/>
      </c>
      <c r="F9" s="52" t="e">
        <v>#REF!</v>
      </c>
      <c r="G9" s="48" t="e">
        <v>#REF!</v>
      </c>
      <c r="H9" s="49">
        <v>0</v>
      </c>
      <c r="I9" s="49" t="e">
        <v>#REF!</v>
      </c>
      <c r="J9" s="50"/>
    </row>
    <row r="10" outlineLevel="1" spans="1:10">
      <c r="A10" s="50">
        <v>3</v>
      </c>
      <c r="B10" s="51" t="str">
        <v>房心素土回填</v>
      </c>
      <c r="C10" s="51" t="e">
        <v>#REF!</v>
      </c>
      <c r="D10" s="51" t="str">
        <v/>
      </c>
      <c r="E10" s="51" t="str">
        <v/>
      </c>
      <c r="F10" s="52" t="e">
        <v>#REF!</v>
      </c>
      <c r="G10" s="48" t="e">
        <v>#REF!</v>
      </c>
      <c r="H10" s="49">
        <v>0</v>
      </c>
      <c r="I10" s="49" t="e">
        <v>#REF!</v>
      </c>
      <c r="J10" s="50"/>
    </row>
    <row r="11" outlineLevel="1" spans="1:10">
      <c r="A11" s="50">
        <v>4</v>
      </c>
      <c r="B11" s="51" t="str">
        <v>其他素土回填</v>
      </c>
      <c r="C11" s="51" t="e">
        <v>#REF!</v>
      </c>
      <c r="D11" s="51" t="str">
        <v/>
      </c>
      <c r="E11" s="51" t="str">
        <v/>
      </c>
      <c r="F11" s="52" t="e">
        <v>#REF!</v>
      </c>
      <c r="G11" s="48" t="e">
        <v>#REF!</v>
      </c>
      <c r="H11" s="49">
        <v>0</v>
      </c>
      <c r="I11" s="49" t="e">
        <v>#REF!</v>
      </c>
      <c r="J11" s="50"/>
    </row>
    <row r="12" outlineLevel="1" spans="1:10">
      <c r="A12" s="50">
        <v>5</v>
      </c>
      <c r="B12" s="51" t="str">
        <v>3:7灰土回填灰土</v>
      </c>
      <c r="C12" s="51" t="e">
        <v>#REF!</v>
      </c>
      <c r="D12" s="51" t="str">
        <v/>
      </c>
      <c r="E12" s="51" t="str">
        <v/>
      </c>
      <c r="F12" s="52" t="e">
        <v>#REF!</v>
      </c>
      <c r="G12" s="48" t="e">
        <v>#REF!</v>
      </c>
      <c r="H12" s="49">
        <v>0</v>
      </c>
      <c r="I12" s="49" t="e">
        <v>#REF!</v>
      </c>
      <c r="J12" s="50"/>
    </row>
    <row r="13" outlineLevel="1" spans="1:10">
      <c r="A13" s="50">
        <v>6</v>
      </c>
      <c r="B13" s="51" t="str">
        <v>2:8灰土回填灰土</v>
      </c>
      <c r="C13" s="51" t="e">
        <v>#REF!</v>
      </c>
      <c r="D13" s="51" t="str">
        <v/>
      </c>
      <c r="E13" s="51" t="str">
        <v/>
      </c>
      <c r="F13" s="52" t="e">
        <v>#REF!</v>
      </c>
      <c r="G13" s="48" t="e">
        <v>#REF!</v>
      </c>
      <c r="H13" s="49">
        <v>0</v>
      </c>
      <c r="I13" s="49" t="e">
        <v>#REF!</v>
      </c>
      <c r="J13" s="50"/>
    </row>
    <row r="14" outlineLevel="1" spans="1:10">
      <c r="A14" s="50" t="str">
        <v/>
      </c>
      <c r="B14" s="51" t="str">
        <v>A.01.02地基处理工程</v>
      </c>
      <c r="C14" s="51" t="str">
        <v/>
      </c>
      <c r="D14" s="51" t="str">
        <v/>
      </c>
      <c r="E14" s="51" t="str">
        <v/>
      </c>
      <c r="F14" s="52" t="str">
        <v/>
      </c>
      <c r="G14" s="48" t="str">
        <v/>
      </c>
      <c r="H14" s="49">
        <v>0</v>
      </c>
      <c r="I14" s="49" t="e">
        <v>#REF!</v>
      </c>
      <c r="J14" s="50"/>
    </row>
    <row r="15" outlineLevel="1" spans="1:10">
      <c r="A15" s="50">
        <v>7</v>
      </c>
      <c r="B15" s="51" t="str">
        <v>砖胎膜</v>
      </c>
      <c r="C15" s="51" t="e">
        <v>#REF!</v>
      </c>
      <c r="D15" s="51" t="str">
        <v/>
      </c>
      <c r="E15" s="51" t="str">
        <v/>
      </c>
      <c r="F15" s="52" t="e">
        <v>#REF!</v>
      </c>
      <c r="G15" s="48" t="e">
        <v>#REF!</v>
      </c>
      <c r="H15" s="49">
        <v>3.05</v>
      </c>
      <c r="I15" s="49" t="e">
        <v>#REF!</v>
      </c>
      <c r="J15" s="50"/>
    </row>
    <row r="16" outlineLevel="1" spans="1:11">
      <c r="A16" s="50">
        <v>8</v>
      </c>
      <c r="B16" s="51" t="str">
        <v>砖胎膜抹灰</v>
      </c>
      <c r="C16" s="51" t="e">
        <v>#REF!</v>
      </c>
      <c r="D16" s="51" t="str">
        <v/>
      </c>
      <c r="E16" s="51" t="str">
        <v/>
      </c>
      <c r="F16" s="52" t="e">
        <v>#REF!</v>
      </c>
      <c r="G16" s="48" t="e">
        <v>#REF!</v>
      </c>
      <c r="H16" s="49">
        <v>25.45</v>
      </c>
      <c r="I16" s="49" t="e">
        <v>#REF!</v>
      </c>
      <c r="J16" s="50"/>
      <c r="K16" s="28" t="e">
        <f ca="1">G16*H16</f>
        <v>#REF!</v>
      </c>
    </row>
    <row r="17" outlineLevel="1" spans="1:10">
      <c r="A17" s="50">
        <v>9</v>
      </c>
      <c r="B17" s="51" t="str">
        <v>实心砖墙</v>
      </c>
      <c r="C17" s="51" t="e">
        <v>#REF!</v>
      </c>
      <c r="D17" s="51" t="str">
        <v/>
      </c>
      <c r="E17" s="51" t="str">
        <v/>
      </c>
      <c r="F17" s="52" t="e">
        <v>#REF!</v>
      </c>
      <c r="G17" s="48" t="e">
        <v>#REF!</v>
      </c>
      <c r="H17" s="49">
        <v>1.88</v>
      </c>
      <c r="I17" s="49" t="e">
        <v>#REF!</v>
      </c>
      <c r="J17" s="50"/>
    </row>
    <row r="18" outlineLevel="1" spans="1:10">
      <c r="A18" s="50">
        <v>10</v>
      </c>
      <c r="B18" s="51" t="str">
        <v>褥垫层</v>
      </c>
      <c r="C18" s="51" t="e">
        <v>#REF!</v>
      </c>
      <c r="D18" s="51" t="str">
        <v/>
      </c>
      <c r="E18" s="51" t="str">
        <v/>
      </c>
      <c r="F18" s="52" t="e">
        <v>#REF!</v>
      </c>
      <c r="G18" s="48" t="e">
        <v>#REF!</v>
      </c>
      <c r="H18" s="49">
        <v>0</v>
      </c>
      <c r="I18" s="49" t="e">
        <v>#REF!</v>
      </c>
      <c r="J18" s="50"/>
    </row>
    <row r="19" outlineLevel="1" spans="1:10">
      <c r="A19" s="50">
        <v>11</v>
      </c>
      <c r="B19" s="51" t="str">
        <v>非级配砂石回填</v>
      </c>
      <c r="C19" s="51" t="e">
        <v>#REF!</v>
      </c>
      <c r="D19" s="51" t="str">
        <v/>
      </c>
      <c r="E19" s="51" t="str">
        <v/>
      </c>
      <c r="F19" s="52" t="e">
        <v>#REF!</v>
      </c>
      <c r="G19" s="48" t="e">
        <v>#REF!</v>
      </c>
      <c r="H19" s="49">
        <v>1</v>
      </c>
      <c r="I19" s="49" t="e">
        <v>#REF!</v>
      </c>
      <c r="J19" s="50"/>
    </row>
    <row r="20" outlineLevel="1" spans="1:10">
      <c r="A20" s="50">
        <v>12</v>
      </c>
      <c r="B20" s="51" t="str">
        <v>级配砂石回填</v>
      </c>
      <c r="C20" s="51" t="e">
        <v>#REF!</v>
      </c>
      <c r="D20" s="51" t="str">
        <v/>
      </c>
      <c r="E20" s="51" t="str">
        <v/>
      </c>
      <c r="F20" s="52" t="e">
        <v>#REF!</v>
      </c>
      <c r="G20" s="48" t="e">
        <v>#REF!</v>
      </c>
      <c r="H20" s="49">
        <v>199.84</v>
      </c>
      <c r="I20" s="49" t="e">
        <v>#REF!</v>
      </c>
      <c r="J20" s="50"/>
    </row>
    <row r="21" outlineLevel="1" spans="1:10">
      <c r="A21" s="50">
        <v>13</v>
      </c>
      <c r="B21" s="51" t="str">
        <v>地基钎探</v>
      </c>
      <c r="C21" s="51" t="e">
        <v>#REF!</v>
      </c>
      <c r="D21" s="51" t="str">
        <v/>
      </c>
      <c r="E21" s="51" t="str">
        <v/>
      </c>
      <c r="F21" s="52" t="e">
        <v>#REF!</v>
      </c>
      <c r="G21" s="48" t="e">
        <v>#REF!</v>
      </c>
      <c r="H21" s="49">
        <v>0</v>
      </c>
      <c r="I21" s="49" t="e">
        <v>#REF!</v>
      </c>
      <c r="J21" s="50"/>
    </row>
    <row r="22" outlineLevel="1" spans="1:10">
      <c r="A22" s="50" t="str">
        <v/>
      </c>
      <c r="B22" s="51" t="str">
        <v>A.02主体结构工程</v>
      </c>
      <c r="C22" s="51" t="str">
        <v/>
      </c>
      <c r="D22" s="51" t="str">
        <v/>
      </c>
      <c r="E22" s="51" t="str">
        <v/>
      </c>
      <c r="F22" s="52" t="str">
        <v/>
      </c>
      <c r="G22" s="48" t="str">
        <v/>
      </c>
      <c r="H22" s="49">
        <v>0</v>
      </c>
      <c r="I22" s="49" t="e">
        <v>#REF!</v>
      </c>
      <c r="J22" s="50"/>
    </row>
    <row r="23" outlineLevel="1" spans="1:10">
      <c r="A23" s="50" t="str">
        <v/>
      </c>
      <c r="B23" s="51" t="str">
        <v>A.02.01混凝土工程</v>
      </c>
      <c r="C23" s="51" t="str">
        <v/>
      </c>
      <c r="D23" s="51" t="str">
        <v/>
      </c>
      <c r="E23" s="51" t="str">
        <v/>
      </c>
      <c r="F23" s="52" t="str">
        <v/>
      </c>
      <c r="G23" s="48" t="str">
        <v/>
      </c>
      <c r="H23" s="49">
        <v>0</v>
      </c>
      <c r="I23" s="49" t="e">
        <v>#REF!</v>
      </c>
      <c r="J23" s="50"/>
    </row>
    <row r="24" outlineLevel="1" spans="1:10">
      <c r="A24" s="50">
        <v>14</v>
      </c>
      <c r="B24" s="51" t="str">
        <v>垫层C15</v>
      </c>
      <c r="C24" s="51" t="e">
        <v>#REF!</v>
      </c>
      <c r="D24" s="51" t="str">
        <v/>
      </c>
      <c r="E24" s="51" t="str">
        <v/>
      </c>
      <c r="F24" s="52" t="e">
        <v>#REF!</v>
      </c>
      <c r="G24" s="48" t="e">
        <v>#REF!</v>
      </c>
      <c r="H24" s="49">
        <v>1</v>
      </c>
      <c r="I24" s="49" t="e">
        <v>#REF!</v>
      </c>
      <c r="J24" s="50"/>
    </row>
    <row r="25" outlineLevel="1" spans="1:10">
      <c r="A25" s="50">
        <v>15</v>
      </c>
      <c r="B25" s="51" t="str">
        <v>垫层C20</v>
      </c>
      <c r="C25" s="51" t="e">
        <v>#REF!</v>
      </c>
      <c r="D25" s="51" t="str">
        <v/>
      </c>
      <c r="E25" s="51" t="str">
        <v/>
      </c>
      <c r="F25" s="52" t="e">
        <v>#REF!</v>
      </c>
      <c r="G25" s="48" t="e">
        <v>#REF!</v>
      </c>
      <c r="H25" s="49">
        <v>99.92</v>
      </c>
      <c r="I25" s="49" t="e">
        <v>#REF!</v>
      </c>
      <c r="J25" s="50"/>
    </row>
    <row r="26" outlineLevel="1" spans="1:10">
      <c r="A26" s="50">
        <v>16</v>
      </c>
      <c r="B26" s="51" t="str">
        <v>砼保护层-50厚C20细石砼</v>
      </c>
      <c r="C26" s="51" t="e">
        <v>#REF!</v>
      </c>
      <c r="D26" s="51" t="str">
        <v/>
      </c>
      <c r="E26" s="51" t="str">
        <v/>
      </c>
      <c r="F26" s="52" t="e">
        <v>#REF!</v>
      </c>
      <c r="G26" s="48" t="e">
        <v>#REF!</v>
      </c>
      <c r="H26" s="49">
        <v>0</v>
      </c>
      <c r="I26" s="49" t="e">
        <v>#REF!</v>
      </c>
      <c r="J26" s="50"/>
    </row>
    <row r="27" outlineLevel="1" spans="1:10">
      <c r="A27" s="50">
        <v>17</v>
      </c>
      <c r="B27" s="51" t="str">
        <v>基础梁C35</v>
      </c>
      <c r="C27" s="51" t="e">
        <v>#REF!</v>
      </c>
      <c r="D27" s="51" t="str">
        <v/>
      </c>
      <c r="E27" s="51" t="str">
        <v/>
      </c>
      <c r="F27" s="52" t="e">
        <v>#REF!</v>
      </c>
      <c r="G27" s="48" t="e">
        <v>#REF!</v>
      </c>
      <c r="H27" s="49">
        <v>0</v>
      </c>
      <c r="I27" s="49" t="e">
        <v>#REF!</v>
      </c>
      <c r="J27" s="50"/>
    </row>
    <row r="28" outlineLevel="1" spans="1:10">
      <c r="A28" s="50">
        <v>18</v>
      </c>
      <c r="B28" s="51" t="str">
        <v>独立基础C35</v>
      </c>
      <c r="C28" s="51" t="e">
        <v>#REF!</v>
      </c>
      <c r="D28" s="51" t="str">
        <v/>
      </c>
      <c r="E28" s="51" t="str">
        <v/>
      </c>
      <c r="F28" s="52" t="e">
        <v>#REF!</v>
      </c>
      <c r="G28" s="48" t="e">
        <v>#REF!</v>
      </c>
      <c r="H28" s="49">
        <v>0</v>
      </c>
      <c r="I28" s="49" t="e">
        <v>#REF!</v>
      </c>
      <c r="J28" s="50"/>
    </row>
    <row r="29" outlineLevel="1" spans="1:10">
      <c r="A29" s="50">
        <v>19</v>
      </c>
      <c r="B29" s="51" t="str">
        <v>满堂基础C30抗渗P6/P8</v>
      </c>
      <c r="C29" s="51" t="e">
        <v>#REF!</v>
      </c>
      <c r="D29" s="51" t="str">
        <v/>
      </c>
      <c r="E29" s="51" t="str">
        <v/>
      </c>
      <c r="F29" s="52" t="e">
        <v>#REF!</v>
      </c>
      <c r="G29" s="48" t="e">
        <v>#REF!</v>
      </c>
      <c r="H29" s="49">
        <v>773.68</v>
      </c>
      <c r="I29" s="49" t="e">
        <v>#REF!</v>
      </c>
      <c r="J29" s="50"/>
    </row>
    <row r="30" outlineLevel="1" spans="1:10">
      <c r="A30" s="50">
        <v>20</v>
      </c>
      <c r="B30" s="51" t="str">
        <v>满堂基础C30</v>
      </c>
      <c r="C30" s="51" t="e">
        <v>#REF!</v>
      </c>
      <c r="D30" s="51" t="str">
        <v/>
      </c>
      <c r="E30" s="51" t="str">
        <v/>
      </c>
      <c r="F30" s="52" t="e">
        <v>#REF!</v>
      </c>
      <c r="G30" s="48" t="e">
        <v>#REF!</v>
      </c>
      <c r="H30" s="49">
        <v>0.85</v>
      </c>
      <c r="I30" s="49" t="e">
        <v>#REF!</v>
      </c>
      <c r="J30" s="50"/>
    </row>
    <row r="31" outlineLevel="1" spans="1:10">
      <c r="A31" s="50">
        <v>21</v>
      </c>
      <c r="B31" s="51" t="str">
        <v>矩形柱C30</v>
      </c>
      <c r="C31" s="51" t="e">
        <v>#REF!</v>
      </c>
      <c r="D31" s="51" t="str">
        <v/>
      </c>
      <c r="E31" s="51" t="str">
        <v/>
      </c>
      <c r="F31" s="52" t="e">
        <v>#REF!</v>
      </c>
      <c r="G31" s="48" t="e">
        <v>#REF!</v>
      </c>
      <c r="H31" s="49">
        <v>70.31</v>
      </c>
      <c r="I31" s="49" t="e">
        <v>#REF!</v>
      </c>
      <c r="J31" s="50"/>
    </row>
    <row r="32" outlineLevel="1" spans="1:10">
      <c r="A32" s="50">
        <v>22</v>
      </c>
      <c r="B32" s="51" t="str">
        <v>矩形柱C35</v>
      </c>
      <c r="C32" s="51" t="e">
        <v>#REF!</v>
      </c>
      <c r="D32" s="51" t="str">
        <v/>
      </c>
      <c r="E32" s="51" t="str">
        <v/>
      </c>
      <c r="F32" s="52" t="e">
        <v>#REF!</v>
      </c>
      <c r="G32" s="48" t="e">
        <v>#REF!</v>
      </c>
      <c r="H32" s="49">
        <v>0</v>
      </c>
      <c r="I32" s="49" t="e">
        <v>#REF!</v>
      </c>
      <c r="J32" s="50"/>
    </row>
    <row r="33" outlineLevel="1" spans="1:10">
      <c r="A33" s="50">
        <v>23</v>
      </c>
      <c r="B33" s="51" t="str">
        <v>矩形柱C40</v>
      </c>
      <c r="C33" s="51" t="e">
        <v>#REF!</v>
      </c>
      <c r="D33" s="51" t="str">
        <v/>
      </c>
      <c r="E33" s="51" t="str">
        <v/>
      </c>
      <c r="F33" s="52" t="e">
        <v>#REF!</v>
      </c>
      <c r="G33" s="48" t="e">
        <v>#REF!</v>
      </c>
      <c r="H33" s="49">
        <v>0</v>
      </c>
      <c r="I33" s="49" t="e">
        <v>#REF!</v>
      </c>
      <c r="J33" s="50"/>
    </row>
    <row r="34" outlineLevel="1" spans="1:10">
      <c r="A34" s="50">
        <v>24</v>
      </c>
      <c r="B34" s="51" t="str">
        <v>矩形柱C30P6/P8</v>
      </c>
      <c r="C34" s="51" t="e">
        <v>#REF!</v>
      </c>
      <c r="D34" s="51" t="str">
        <v/>
      </c>
      <c r="E34" s="51" t="str">
        <v/>
      </c>
      <c r="F34" s="52" t="e">
        <v>#REF!</v>
      </c>
      <c r="G34" s="48" t="e">
        <v>#REF!</v>
      </c>
      <c r="H34" s="49">
        <v>1</v>
      </c>
      <c r="I34" s="49" t="e">
        <v>#REF!</v>
      </c>
      <c r="J34" s="50"/>
    </row>
    <row r="35" outlineLevel="1" spans="1:10">
      <c r="A35" s="50">
        <v>25</v>
      </c>
      <c r="B35" s="51" t="str">
        <v>矩形柱C40P6/P8</v>
      </c>
      <c r="C35" s="51" t="e">
        <v>#REF!</v>
      </c>
      <c r="D35" s="51" t="str">
        <v/>
      </c>
      <c r="E35" s="51" t="str">
        <v/>
      </c>
      <c r="F35" s="52" t="e">
        <v>#REF!</v>
      </c>
      <c r="G35" s="48" t="e">
        <v>#REF!</v>
      </c>
      <c r="H35" s="49">
        <v>0</v>
      </c>
      <c r="I35" s="49" t="e">
        <v>#REF!</v>
      </c>
      <c r="J35" s="50"/>
    </row>
    <row r="36" outlineLevel="1" spans="1:10">
      <c r="A36" s="50">
        <v>26</v>
      </c>
      <c r="B36" s="51" t="str">
        <v>矩形梁C30</v>
      </c>
      <c r="C36" s="51" t="e">
        <v>#REF!</v>
      </c>
      <c r="D36" s="51" t="str">
        <v/>
      </c>
      <c r="E36" s="51" t="str">
        <v/>
      </c>
      <c r="F36" s="52" t="e">
        <v>#REF!</v>
      </c>
      <c r="G36" s="48" t="e">
        <v>#REF!</v>
      </c>
      <c r="H36" s="49">
        <v>56.89</v>
      </c>
      <c r="I36" s="49" t="e">
        <v>#REF!</v>
      </c>
      <c r="J36" s="50"/>
    </row>
    <row r="37" outlineLevel="1" spans="1:10">
      <c r="A37" s="50">
        <v>27</v>
      </c>
      <c r="B37" s="51" t="str">
        <v>矩形梁C35</v>
      </c>
      <c r="C37" s="51" t="e">
        <v>#REF!</v>
      </c>
      <c r="D37" s="51" t="str">
        <v/>
      </c>
      <c r="E37" s="51" t="str">
        <v/>
      </c>
      <c r="F37" s="52" t="e">
        <v>#REF!</v>
      </c>
      <c r="G37" s="48" t="e">
        <v>#REF!</v>
      </c>
      <c r="H37" s="49">
        <v>0</v>
      </c>
      <c r="I37" s="49" t="e">
        <v>#REF!</v>
      </c>
      <c r="J37" s="50"/>
    </row>
    <row r="38" outlineLevel="1" spans="1:10">
      <c r="A38" s="50">
        <v>28</v>
      </c>
      <c r="B38" s="51" t="str">
        <v>矩形梁C30P6/P8</v>
      </c>
      <c r="C38" s="51" t="e">
        <v>#REF!</v>
      </c>
      <c r="D38" s="51" t="str">
        <v/>
      </c>
      <c r="E38" s="51" t="str">
        <v/>
      </c>
      <c r="F38" s="52" t="e">
        <v>#REF!</v>
      </c>
      <c r="G38" s="48" t="e">
        <v>#REF!</v>
      </c>
      <c r="H38" s="49">
        <v>1</v>
      </c>
      <c r="I38" s="49" t="e">
        <v>#REF!</v>
      </c>
      <c r="J38" s="50"/>
    </row>
    <row r="39" outlineLevel="1" spans="1:10">
      <c r="A39" s="50">
        <v>29</v>
      </c>
      <c r="B39" s="51" t="str">
        <v>矩形梁C40P6/P8</v>
      </c>
      <c r="C39" s="51" t="e">
        <v>#REF!</v>
      </c>
      <c r="D39" s="51" t="str">
        <v/>
      </c>
      <c r="E39" s="51" t="str">
        <v/>
      </c>
      <c r="F39" s="52" t="e">
        <v>#REF!</v>
      </c>
      <c r="G39" s="48" t="e">
        <v>#REF!</v>
      </c>
      <c r="H39" s="49">
        <v>0</v>
      </c>
      <c r="I39" s="49" t="e">
        <v>#REF!</v>
      </c>
      <c r="J39" s="50"/>
    </row>
    <row r="40" outlineLevel="1" spans="1:10">
      <c r="A40" s="50">
        <v>30</v>
      </c>
      <c r="B40" s="51" t="str">
        <v>直形墙C30抗渗P6/P8</v>
      </c>
      <c r="C40" s="51" t="e">
        <v>#REF!</v>
      </c>
      <c r="D40" s="51" t="str">
        <v/>
      </c>
      <c r="E40" s="51" t="str">
        <v/>
      </c>
      <c r="F40" s="52" t="e">
        <v>#REF!</v>
      </c>
      <c r="G40" s="48" t="e">
        <v>#REF!</v>
      </c>
      <c r="H40" s="49">
        <v>92.72</v>
      </c>
      <c r="I40" s="49" t="e">
        <v>#REF!</v>
      </c>
      <c r="J40" s="50"/>
    </row>
    <row r="41" outlineLevel="1" spans="1:10">
      <c r="A41" s="50">
        <v>31</v>
      </c>
      <c r="B41" s="51" t="str">
        <v>直形墙C30</v>
      </c>
      <c r="C41" s="51" t="e">
        <v>#REF!</v>
      </c>
      <c r="D41" s="51" t="str">
        <v/>
      </c>
      <c r="E41" s="51" t="str">
        <v/>
      </c>
      <c r="F41" s="52" t="e">
        <v>#REF!</v>
      </c>
      <c r="G41" s="48" t="e">
        <v>#REF!</v>
      </c>
      <c r="H41" s="49">
        <v>246.3</v>
      </c>
      <c r="I41" s="49" t="e">
        <v>#REF!</v>
      </c>
      <c r="J41" s="50"/>
    </row>
    <row r="42" outlineLevel="1" spans="1:10">
      <c r="A42" s="50">
        <v>32</v>
      </c>
      <c r="B42" s="51" t="str">
        <v>电梯井壁C30</v>
      </c>
      <c r="C42" s="51" t="e">
        <v>#REF!</v>
      </c>
      <c r="D42" s="51" t="str">
        <v/>
      </c>
      <c r="E42" s="51" t="str">
        <v/>
      </c>
      <c r="F42" s="52" t="e">
        <v>#REF!</v>
      </c>
      <c r="G42" s="48" t="e">
        <v>#REF!</v>
      </c>
      <c r="H42" s="49">
        <v>18.6</v>
      </c>
      <c r="I42" s="49" t="e">
        <v>#REF!</v>
      </c>
      <c r="J42" s="50"/>
    </row>
    <row r="43" outlineLevel="1" spans="1:10">
      <c r="A43" s="50">
        <v>33</v>
      </c>
      <c r="B43" s="51" t="str">
        <v>人防预制梁C40抗渗P6/P8</v>
      </c>
      <c r="C43" s="51" t="e">
        <v>#REF!</v>
      </c>
      <c r="D43" s="51" t="str">
        <v/>
      </c>
      <c r="E43" s="51" t="str">
        <v/>
      </c>
      <c r="F43" s="52" t="e">
        <v>#REF!</v>
      </c>
      <c r="G43" s="48" t="e">
        <v>#REF!</v>
      </c>
      <c r="H43" s="49">
        <v>0</v>
      </c>
      <c r="I43" s="49" t="e">
        <v>#REF!</v>
      </c>
      <c r="J43" s="50"/>
    </row>
    <row r="44" outlineLevel="1" spans="1:10">
      <c r="A44" s="50">
        <v>34</v>
      </c>
      <c r="B44" s="51" t="str">
        <v>斜梁C40抗渗P6/P8</v>
      </c>
      <c r="C44" s="51" t="e">
        <v>#REF!</v>
      </c>
      <c r="D44" s="51" t="str">
        <v/>
      </c>
      <c r="E44" s="51" t="str">
        <v/>
      </c>
      <c r="F44" s="52" t="e">
        <v>#REF!</v>
      </c>
      <c r="G44" s="48" t="e">
        <v>#REF!</v>
      </c>
      <c r="H44" s="49">
        <v>0</v>
      </c>
      <c r="I44" s="49" t="e">
        <v>#REF!</v>
      </c>
      <c r="J44" s="50"/>
    </row>
    <row r="45" outlineLevel="1" spans="1:10">
      <c r="A45" s="50">
        <v>35</v>
      </c>
      <c r="B45" s="51" t="str">
        <v>电梯井壁C30P6/P8</v>
      </c>
      <c r="C45" s="51" t="e">
        <v>#REF!</v>
      </c>
      <c r="D45" s="51" t="str">
        <v/>
      </c>
      <c r="E45" s="51" t="str">
        <v/>
      </c>
      <c r="F45" s="52" t="e">
        <v>#REF!</v>
      </c>
      <c r="G45" s="48" t="e">
        <v>#REF!</v>
      </c>
      <c r="H45" s="49">
        <v>1</v>
      </c>
      <c r="I45" s="49" t="e">
        <v>#REF!</v>
      </c>
      <c r="J45" s="50"/>
    </row>
    <row r="46" outlineLevel="1" spans="1:10">
      <c r="A46" s="50">
        <v>36</v>
      </c>
      <c r="B46" s="51" t="str">
        <v>平板C30</v>
      </c>
      <c r="C46" s="51" t="e">
        <v>#REF!</v>
      </c>
      <c r="D46" s="51" t="str">
        <v/>
      </c>
      <c r="E46" s="51" t="str">
        <v/>
      </c>
      <c r="F46" s="52" t="e">
        <v>#REF!</v>
      </c>
      <c r="G46" s="48" t="e">
        <v>#REF!</v>
      </c>
      <c r="H46" s="49">
        <v>98.13</v>
      </c>
      <c r="I46" s="49" t="e">
        <v>#REF!</v>
      </c>
      <c r="J46" s="50"/>
    </row>
    <row r="47" outlineLevel="1" spans="1:10">
      <c r="A47" s="50">
        <v>37</v>
      </c>
      <c r="B47" s="51" t="str">
        <v>天沟(檐沟）挑檐板C30</v>
      </c>
      <c r="C47" s="51" t="e">
        <v>#REF!</v>
      </c>
      <c r="D47" s="51" t="str">
        <v/>
      </c>
      <c r="E47" s="51" t="str">
        <v/>
      </c>
      <c r="F47" s="52" t="e">
        <v>#REF!</v>
      </c>
      <c r="G47" s="48" t="e">
        <v>#REF!</v>
      </c>
      <c r="H47" s="49">
        <v>1.15</v>
      </c>
      <c r="I47" s="49" t="e">
        <v>#REF!</v>
      </c>
      <c r="J47" s="50"/>
    </row>
    <row r="48" outlineLevel="1" spans="1:10">
      <c r="A48" s="50">
        <v>38</v>
      </c>
      <c r="B48" s="51" t="str">
        <v>直形墙C40</v>
      </c>
      <c r="C48" s="51" t="e">
        <v>#REF!</v>
      </c>
      <c r="D48" s="51" t="str">
        <v/>
      </c>
      <c r="E48" s="51" t="str">
        <v/>
      </c>
      <c r="F48" s="52" t="e">
        <v>#REF!</v>
      </c>
      <c r="G48" s="48" t="e">
        <v>#REF!</v>
      </c>
      <c r="H48" s="49">
        <v>0</v>
      </c>
      <c r="I48" s="49" t="e">
        <v>#REF!</v>
      </c>
      <c r="J48" s="50"/>
    </row>
    <row r="49" outlineLevel="1" spans="1:10">
      <c r="A49" s="50">
        <v>39</v>
      </c>
      <c r="B49" s="51" t="str">
        <v>直形墙C40抗渗P6/P8</v>
      </c>
      <c r="C49" s="51" t="e">
        <v>#REF!</v>
      </c>
      <c r="D49" s="51" t="str">
        <v/>
      </c>
      <c r="E49" s="51" t="str">
        <v/>
      </c>
      <c r="F49" s="52" t="e">
        <v>#REF!</v>
      </c>
      <c r="G49" s="48" t="e">
        <v>#REF!</v>
      </c>
      <c r="H49" s="49">
        <v>0</v>
      </c>
      <c r="I49" s="49" t="e">
        <v>#REF!</v>
      </c>
      <c r="J49" s="50"/>
    </row>
    <row r="50" outlineLevel="1" spans="1:10">
      <c r="A50" s="50">
        <v>40</v>
      </c>
      <c r="B50" s="51" t="str">
        <v>弧形墙C40抗渗P6/P8</v>
      </c>
      <c r="C50" s="51" t="e">
        <v>#REF!</v>
      </c>
      <c r="D50" s="51" t="str">
        <v/>
      </c>
      <c r="E50" s="51" t="str">
        <v/>
      </c>
      <c r="F50" s="52" t="e">
        <v>#REF!</v>
      </c>
      <c r="G50" s="48" t="e">
        <v>#REF!</v>
      </c>
      <c r="H50" s="49">
        <v>0</v>
      </c>
      <c r="I50" s="49" t="e">
        <v>#REF!</v>
      </c>
      <c r="J50" s="50"/>
    </row>
    <row r="51" outlineLevel="1" spans="1:10">
      <c r="A51" s="50">
        <v>41</v>
      </c>
      <c r="B51" s="51" t="str">
        <v>直形楼梯C30</v>
      </c>
      <c r="C51" s="51" t="e">
        <v>#REF!</v>
      </c>
      <c r="D51" s="51" t="str">
        <v/>
      </c>
      <c r="E51" s="51" t="str">
        <v/>
      </c>
      <c r="F51" s="52" t="e">
        <v>#REF!</v>
      </c>
      <c r="G51" s="48" t="e">
        <v>#REF!</v>
      </c>
      <c r="H51" s="49">
        <v>10.78</v>
      </c>
      <c r="I51" s="49" t="e">
        <v>#REF!</v>
      </c>
      <c r="J51" s="50"/>
    </row>
    <row r="52" outlineLevel="1" spans="1:10">
      <c r="A52" s="50">
        <v>42</v>
      </c>
      <c r="B52" s="51" t="str">
        <v>梁后浇带C35</v>
      </c>
      <c r="C52" s="51" t="e">
        <v>#REF!</v>
      </c>
      <c r="D52" s="51" t="str">
        <v/>
      </c>
      <c r="E52" s="51" t="str">
        <v/>
      </c>
      <c r="F52" s="52" t="e">
        <v>#REF!</v>
      </c>
      <c r="G52" s="48" t="e">
        <v>#REF!</v>
      </c>
      <c r="H52" s="49">
        <v>0.54</v>
      </c>
      <c r="I52" s="49" t="e">
        <v>#REF!</v>
      </c>
      <c r="J52" s="50"/>
    </row>
    <row r="53" outlineLevel="1" spans="1:10">
      <c r="A53" s="50">
        <v>43</v>
      </c>
      <c r="B53" s="51" t="str">
        <v>板后浇带C35</v>
      </c>
      <c r="C53" s="51" t="e">
        <v>#REF!</v>
      </c>
      <c r="D53" s="51" t="str">
        <v/>
      </c>
      <c r="E53" s="51" t="str">
        <v/>
      </c>
      <c r="F53" s="52" t="e">
        <v>#REF!</v>
      </c>
      <c r="G53" s="48" t="e">
        <v>#REF!</v>
      </c>
      <c r="H53" s="49">
        <v>1.26</v>
      </c>
      <c r="I53" s="49" t="e">
        <v>#REF!</v>
      </c>
      <c r="J53" s="50"/>
    </row>
    <row r="54" outlineLevel="1" spans="1:10">
      <c r="A54" s="50">
        <v>44</v>
      </c>
      <c r="B54" s="51" t="str">
        <v>墙后浇带C40抗渗P6/P8</v>
      </c>
      <c r="C54" s="51" t="e">
        <v>#REF!</v>
      </c>
      <c r="D54" s="51" t="str">
        <v/>
      </c>
      <c r="E54" s="51" t="str">
        <v/>
      </c>
      <c r="F54" s="52" t="e">
        <v>#REF!</v>
      </c>
      <c r="G54" s="48" t="e">
        <v>#REF!</v>
      </c>
      <c r="H54" s="49">
        <v>1.12</v>
      </c>
      <c r="I54" s="49" t="e">
        <v>#REF!</v>
      </c>
      <c r="J54" s="50"/>
    </row>
    <row r="55" ht="28.8" outlineLevel="1" spans="1:10">
      <c r="A55" s="50">
        <v>45</v>
      </c>
      <c r="B55" s="51" t="str">
        <v>满堂基础后浇带C35抗渗P6/P8</v>
      </c>
      <c r="C55" s="51" t="e">
        <v>#REF!</v>
      </c>
      <c r="D55" s="51" t="str">
        <v/>
      </c>
      <c r="E55" s="51" t="str">
        <v/>
      </c>
      <c r="F55" s="52" t="e">
        <v>#REF!</v>
      </c>
      <c r="G55" s="48" t="e">
        <v>#REF!</v>
      </c>
      <c r="H55" s="49">
        <v>6.58</v>
      </c>
      <c r="I55" s="49" t="e">
        <v>#REF!</v>
      </c>
      <c r="J55" s="50"/>
    </row>
    <row r="56" outlineLevel="1" spans="1:10">
      <c r="A56" s="50">
        <v>46</v>
      </c>
      <c r="B56" s="51" t="str">
        <v>预制板C30</v>
      </c>
      <c r="C56" s="51" t="e">
        <v>#REF!</v>
      </c>
      <c r="D56" s="51" t="str">
        <v/>
      </c>
      <c r="E56" s="51" t="str">
        <v/>
      </c>
      <c r="F56" s="52" t="e">
        <v>#REF!</v>
      </c>
      <c r="G56" s="48" t="e">
        <v>#REF!</v>
      </c>
      <c r="H56" s="49">
        <v>0.15</v>
      </c>
      <c r="I56" s="49" t="e">
        <v>#REF!</v>
      </c>
      <c r="J56" s="50"/>
    </row>
    <row r="57" outlineLevel="1" spans="1:10">
      <c r="A57" s="50">
        <v>47</v>
      </c>
      <c r="B57" s="51" t="str">
        <v>无梁板C40抗渗P6/P8</v>
      </c>
      <c r="C57" s="51" t="e">
        <v>#REF!</v>
      </c>
      <c r="D57" s="51" t="str">
        <v/>
      </c>
      <c r="E57" s="51" t="str">
        <v/>
      </c>
      <c r="F57" s="52" t="e">
        <v>#REF!</v>
      </c>
      <c r="G57" s="48" t="e">
        <v>#REF!</v>
      </c>
      <c r="H57" s="49">
        <v>0</v>
      </c>
      <c r="I57" s="49" t="e">
        <v>#REF!</v>
      </c>
      <c r="J57" s="50"/>
    </row>
    <row r="58" outlineLevel="1" spans="1:10">
      <c r="A58" s="50">
        <v>48</v>
      </c>
      <c r="B58" s="51" t="str">
        <v>斜板C40抗渗P6/P8</v>
      </c>
      <c r="C58" s="51" t="e">
        <v>#REF!</v>
      </c>
      <c r="D58" s="51" t="str">
        <v/>
      </c>
      <c r="E58" s="51" t="str">
        <v/>
      </c>
      <c r="F58" s="52" t="e">
        <v>#REF!</v>
      </c>
      <c r="G58" s="48" t="e">
        <v>#REF!</v>
      </c>
      <c r="H58" s="49">
        <v>0</v>
      </c>
      <c r="I58" s="49" t="e">
        <v>#REF!</v>
      </c>
      <c r="J58" s="50"/>
    </row>
    <row r="59" outlineLevel="1" spans="1:10">
      <c r="A59" s="50">
        <v>49</v>
      </c>
      <c r="B59" s="51" t="str">
        <v>天沟(檐沟）挑檐板C30</v>
      </c>
      <c r="C59" s="51" t="e">
        <v>#REF!</v>
      </c>
      <c r="D59" s="51" t="str">
        <v/>
      </c>
      <c r="E59" s="51" t="str">
        <v/>
      </c>
      <c r="F59" s="52" t="e">
        <v>#REF!</v>
      </c>
      <c r="G59" s="48" t="e">
        <v>#REF!</v>
      </c>
      <c r="H59" s="49">
        <v>0</v>
      </c>
      <c r="I59" s="49" t="e">
        <v>#REF!</v>
      </c>
      <c r="J59" s="50"/>
    </row>
    <row r="60" outlineLevel="1" spans="1:10">
      <c r="A60" s="50">
        <v>50</v>
      </c>
      <c r="B60" s="51" t="str">
        <v>栏板C35</v>
      </c>
      <c r="C60" s="51" t="e">
        <v>#REF!</v>
      </c>
      <c r="D60" s="51" t="str">
        <v/>
      </c>
      <c r="E60" s="51" t="str">
        <v/>
      </c>
      <c r="F60" s="52" t="e">
        <v>#REF!</v>
      </c>
      <c r="G60" s="48" t="e">
        <v>#REF!</v>
      </c>
      <c r="H60" s="49">
        <v>0</v>
      </c>
      <c r="I60" s="49" t="e">
        <v>#REF!</v>
      </c>
      <c r="J60" s="50"/>
    </row>
    <row r="61" outlineLevel="1" spans="1:10">
      <c r="A61" s="50">
        <v>51</v>
      </c>
      <c r="B61" s="51" t="str">
        <v>平板C35</v>
      </c>
      <c r="C61" s="51" t="e">
        <v>#REF!</v>
      </c>
      <c r="D61" s="51" t="str">
        <v/>
      </c>
      <c r="E61" s="51" t="str">
        <v/>
      </c>
      <c r="F61" s="52" t="e">
        <v>#REF!</v>
      </c>
      <c r="G61" s="48" t="e">
        <v>#REF!</v>
      </c>
      <c r="H61" s="49">
        <v>0</v>
      </c>
      <c r="I61" s="49" t="e">
        <v>#REF!</v>
      </c>
      <c r="J61" s="50"/>
    </row>
    <row r="62" outlineLevel="1" spans="1:10">
      <c r="A62" s="50">
        <v>52</v>
      </c>
      <c r="B62" s="51" t="str">
        <v>平板C40抗渗P6/P8</v>
      </c>
      <c r="C62" s="51" t="e">
        <v>#REF!</v>
      </c>
      <c r="D62" s="51" t="str">
        <v/>
      </c>
      <c r="E62" s="51" t="str">
        <v/>
      </c>
      <c r="F62" s="52" t="e">
        <v>#REF!</v>
      </c>
      <c r="G62" s="48" t="e">
        <v>#REF!</v>
      </c>
      <c r="H62" s="49">
        <v>0</v>
      </c>
      <c r="I62" s="49" t="e">
        <v>#REF!</v>
      </c>
      <c r="J62" s="50"/>
    </row>
    <row r="63" outlineLevel="1" spans="1:10">
      <c r="A63" s="50">
        <v>53</v>
      </c>
      <c r="B63" s="51" t="str">
        <v>直形楼梯C30</v>
      </c>
      <c r="C63" s="51" t="e">
        <v>#REF!</v>
      </c>
      <c r="D63" s="51" t="str">
        <v/>
      </c>
      <c r="E63" s="51" t="str">
        <v/>
      </c>
      <c r="F63" s="52" t="e">
        <v>#REF!</v>
      </c>
      <c r="G63" s="48" t="e">
        <v>#REF!</v>
      </c>
      <c r="H63" s="49">
        <v>0</v>
      </c>
      <c r="I63" s="49" t="e">
        <v>#REF!</v>
      </c>
      <c r="J63" s="50"/>
    </row>
    <row r="64" outlineLevel="1" spans="1:10">
      <c r="A64" s="50">
        <v>54</v>
      </c>
      <c r="B64" s="51" t="str">
        <v>沟盖板C30抗渗P6/P8</v>
      </c>
      <c r="C64" s="51" t="e">
        <v>#REF!</v>
      </c>
      <c r="D64" s="51" t="str">
        <v/>
      </c>
      <c r="E64" s="51" t="str">
        <v/>
      </c>
      <c r="F64" s="52" t="e">
        <v>#REF!</v>
      </c>
      <c r="G64" s="48" t="e">
        <v>#REF!</v>
      </c>
      <c r="H64" s="49">
        <v>0</v>
      </c>
      <c r="I64" s="49" t="e">
        <v>#REF!</v>
      </c>
      <c r="J64" s="50"/>
    </row>
    <row r="65" outlineLevel="1" spans="1:10">
      <c r="A65" s="50">
        <v>55</v>
      </c>
      <c r="B65" s="51" t="str">
        <v>梁后浇带C45抗渗P6/P8</v>
      </c>
      <c r="C65" s="51" t="e">
        <v>#REF!</v>
      </c>
      <c r="D65" s="51" t="str">
        <v/>
      </c>
      <c r="E65" s="51" t="str">
        <v/>
      </c>
      <c r="F65" s="52" t="e">
        <v>#REF!</v>
      </c>
      <c r="G65" s="48" t="e">
        <v>#REF!</v>
      </c>
      <c r="H65" s="49">
        <v>0</v>
      </c>
      <c r="I65" s="49" t="e">
        <v>#REF!</v>
      </c>
      <c r="J65" s="50"/>
    </row>
    <row r="66" outlineLevel="1" spans="1:10">
      <c r="A66" s="50">
        <v>56</v>
      </c>
      <c r="B66" s="51" t="str">
        <v>板后浇带C45抗渗P6/P8</v>
      </c>
      <c r="C66" s="51" t="e">
        <v>#REF!</v>
      </c>
      <c r="D66" s="51" t="str">
        <v/>
      </c>
      <c r="E66" s="51" t="str">
        <v/>
      </c>
      <c r="F66" s="52" t="e">
        <v>#REF!</v>
      </c>
      <c r="G66" s="48" t="e">
        <v>#REF!</v>
      </c>
      <c r="H66" s="49">
        <v>0</v>
      </c>
      <c r="I66" s="49" t="e">
        <v>#REF!</v>
      </c>
      <c r="J66" s="50"/>
    </row>
    <row r="67" outlineLevel="1" spans="1:10">
      <c r="A67" s="50">
        <v>57</v>
      </c>
      <c r="B67" s="51" t="str">
        <v>墙后浇带C45抗渗P6/P8</v>
      </c>
      <c r="C67" s="51" t="e">
        <v>#REF!</v>
      </c>
      <c r="D67" s="51" t="str">
        <v/>
      </c>
      <c r="E67" s="51" t="str">
        <v/>
      </c>
      <c r="F67" s="52" t="e">
        <v>#REF!</v>
      </c>
      <c r="G67" s="48" t="e">
        <v>#REF!</v>
      </c>
      <c r="H67" s="49">
        <v>0</v>
      </c>
      <c r="I67" s="49" t="e">
        <v>#REF!</v>
      </c>
      <c r="J67" s="50"/>
    </row>
    <row r="68" ht="28.8" outlineLevel="1" spans="1:10">
      <c r="A68" s="50">
        <v>58</v>
      </c>
      <c r="B68" s="51" t="str">
        <v>满堂基础后浇带C35抗渗P6/P8</v>
      </c>
      <c r="C68" s="51" t="e">
        <v>#REF!</v>
      </c>
      <c r="D68" s="51" t="str">
        <v/>
      </c>
      <c r="E68" s="51" t="str">
        <v/>
      </c>
      <c r="F68" s="52" t="e">
        <v>#REF!</v>
      </c>
      <c r="G68" s="48" t="e">
        <v>#REF!</v>
      </c>
      <c r="H68" s="49">
        <v>0</v>
      </c>
      <c r="I68" s="49" t="e">
        <v>#REF!</v>
      </c>
      <c r="J68" s="50"/>
    </row>
    <row r="69" outlineLevel="1" spans="1:10">
      <c r="A69" s="50">
        <v>59</v>
      </c>
      <c r="B69" s="51" t="str">
        <v>消防水池池底C30抗渗P6/P8</v>
      </c>
      <c r="C69" s="51" t="e">
        <v>#REF!</v>
      </c>
      <c r="D69" s="51" t="str">
        <v/>
      </c>
      <c r="E69" s="51" t="str">
        <v/>
      </c>
      <c r="F69" s="52" t="e">
        <v>#REF!</v>
      </c>
      <c r="G69" s="48" t="e">
        <v>#REF!</v>
      </c>
      <c r="H69" s="49">
        <v>0</v>
      </c>
      <c r="I69" s="49" t="e">
        <v>#REF!</v>
      </c>
      <c r="J69" s="50"/>
    </row>
    <row r="70" outlineLevel="1" spans="1:10">
      <c r="A70" s="50">
        <v>60</v>
      </c>
      <c r="B70" s="51" t="str">
        <v>消防水池池壁C30抗渗P6/P8</v>
      </c>
      <c r="C70" s="51" t="e">
        <v>#REF!</v>
      </c>
      <c r="D70" s="51" t="str">
        <v/>
      </c>
      <c r="E70" s="51" t="str">
        <v/>
      </c>
      <c r="F70" s="52" t="e">
        <v>#REF!</v>
      </c>
      <c r="G70" s="48" t="e">
        <v>#REF!</v>
      </c>
      <c r="H70" s="49">
        <v>0</v>
      </c>
      <c r="I70" s="49" t="e">
        <v>#REF!</v>
      </c>
      <c r="J70" s="50"/>
    </row>
    <row r="71" outlineLevel="1" spans="1:10">
      <c r="A71" s="50">
        <v>61</v>
      </c>
      <c r="B71" s="51" t="str">
        <v>设备基础C25</v>
      </c>
      <c r="C71" s="51" t="e">
        <v>#REF!</v>
      </c>
      <c r="D71" s="51" t="str">
        <v/>
      </c>
      <c r="E71" s="51" t="str">
        <v/>
      </c>
      <c r="F71" s="52" t="e">
        <v>#REF!</v>
      </c>
      <c r="G71" s="48" t="e">
        <v>#REF!</v>
      </c>
      <c r="H71" s="49">
        <v>0</v>
      </c>
      <c r="I71" s="49" t="e">
        <v>#REF!</v>
      </c>
      <c r="J71" s="50"/>
    </row>
    <row r="72" outlineLevel="1" spans="1:10">
      <c r="A72" s="50" t="str">
        <v/>
      </c>
      <c r="B72" s="51" t="str">
        <v>A.02.02钢筋工程</v>
      </c>
      <c r="C72" s="51" t="str">
        <v/>
      </c>
      <c r="D72" s="51" t="str">
        <v/>
      </c>
      <c r="E72" s="51" t="str">
        <v/>
      </c>
      <c r="F72" s="52" t="str">
        <v/>
      </c>
      <c r="G72" s="48" t="str">
        <v/>
      </c>
      <c r="H72" s="49">
        <v>0</v>
      </c>
      <c r="I72" s="49" t="e">
        <v>#REF!</v>
      </c>
      <c r="J72" s="50"/>
    </row>
    <row r="73" ht="43.2" outlineLevel="1" spans="1:10">
      <c r="A73" s="50">
        <v>62</v>
      </c>
      <c r="B73" s="51" t="str">
        <v>地下现浇构件钢筋-φ10以内</v>
      </c>
      <c r="C73" s="51" t="e">
        <v>#REF!</v>
      </c>
      <c r="D73" s="51" t="str">
        <v>地下主体结构钢筋</v>
      </c>
      <c r="E73" s="51" t="str">
        <v>地下主体结构钢筋</v>
      </c>
      <c r="F73" s="52" t="e">
        <v>#REF!</v>
      </c>
      <c r="G73" s="48" t="e">
        <v>#REF!</v>
      </c>
      <c r="H73" s="49">
        <v>0.21</v>
      </c>
      <c r="I73" s="49" t="e">
        <v>#REF!</v>
      </c>
      <c r="J73" s="50"/>
    </row>
    <row r="74" ht="43.2" outlineLevel="1" spans="1:10">
      <c r="A74" s="50">
        <v>63</v>
      </c>
      <c r="B74" s="51" t="str">
        <v>地下现浇构件钢筋-三级钢筋 Φ6</v>
      </c>
      <c r="C74" s="51" t="e">
        <v>#REF!</v>
      </c>
      <c r="D74" s="51" t="str">
        <v>地下主体结构钢筋</v>
      </c>
      <c r="E74" s="51" t="str">
        <v>地下主体结构钢筋</v>
      </c>
      <c r="F74" s="52" t="e">
        <v>#REF!</v>
      </c>
      <c r="G74" s="48" t="e">
        <v>#REF!</v>
      </c>
      <c r="H74" s="49">
        <v>1.575</v>
      </c>
      <c r="I74" s="49" t="e">
        <v>#REF!</v>
      </c>
      <c r="J74" s="50"/>
    </row>
    <row r="75" ht="43.2" outlineLevel="1" spans="1:10">
      <c r="A75" s="50">
        <v>64</v>
      </c>
      <c r="B75" s="51" t="str">
        <v>地下现浇构件钢筋-三级钢筋 Φ8</v>
      </c>
      <c r="C75" s="51" t="e">
        <v>#REF!</v>
      </c>
      <c r="D75" s="51" t="str">
        <v>地下主体结构钢筋</v>
      </c>
      <c r="E75" s="51" t="str">
        <v>地下主体结构钢筋</v>
      </c>
      <c r="F75" s="52" t="e">
        <v>#REF!</v>
      </c>
      <c r="G75" s="48" t="e">
        <v>#REF!</v>
      </c>
      <c r="H75" s="49">
        <v>20.088</v>
      </c>
      <c r="I75" s="49" t="e">
        <v>#REF!</v>
      </c>
      <c r="J75" s="50"/>
    </row>
    <row r="76" ht="43.2" outlineLevel="1" spans="1:10">
      <c r="A76" s="50">
        <v>65</v>
      </c>
      <c r="B76" s="51" t="str">
        <v>地下现浇构件钢筋-三级钢筋 Φ10</v>
      </c>
      <c r="C76" s="51" t="e">
        <v>#REF!</v>
      </c>
      <c r="D76" s="51" t="str">
        <v>地下主体结构钢筋</v>
      </c>
      <c r="E76" s="51" t="str">
        <v>地下主体结构钢筋</v>
      </c>
      <c r="F76" s="52" t="e">
        <v>#REF!</v>
      </c>
      <c r="G76" s="48" t="e">
        <v>#REF!</v>
      </c>
      <c r="H76" s="49">
        <v>4.626</v>
      </c>
      <c r="I76" s="49" t="e">
        <v>#REF!</v>
      </c>
      <c r="J76" s="50"/>
    </row>
    <row r="77" ht="43.2" outlineLevel="1" spans="1:10">
      <c r="A77" s="50">
        <v>66</v>
      </c>
      <c r="B77" s="51" t="str">
        <v>地下现浇构件钢筋-三级钢筋 Φ12</v>
      </c>
      <c r="C77" s="51" t="e">
        <v>#REF!</v>
      </c>
      <c r="D77" s="51" t="str">
        <v>地下主体结构钢筋</v>
      </c>
      <c r="E77" s="51" t="str">
        <v>地下主体结构钢筋</v>
      </c>
      <c r="F77" s="52" t="e">
        <v>#REF!</v>
      </c>
      <c r="G77" s="48" t="e">
        <v>#REF!</v>
      </c>
      <c r="H77" s="49">
        <v>43.787</v>
      </c>
      <c r="I77" s="49" t="e">
        <v>#REF!</v>
      </c>
      <c r="J77" s="50"/>
    </row>
    <row r="78" ht="43.2" outlineLevel="1" spans="1:10">
      <c r="A78" s="50">
        <v>67</v>
      </c>
      <c r="B78" s="51" t="str">
        <v>地下现浇构件钢筋-三级钢筋 Φ14</v>
      </c>
      <c r="C78" s="51" t="e">
        <v>#REF!</v>
      </c>
      <c r="D78" s="51" t="str">
        <v>地下主体结构钢筋</v>
      </c>
      <c r="E78" s="51" t="str">
        <v>地下主体结构钢筋</v>
      </c>
      <c r="F78" s="52" t="e">
        <v>#REF!</v>
      </c>
      <c r="G78" s="48" t="e">
        <v>#REF!</v>
      </c>
      <c r="H78" s="49">
        <v>3.55</v>
      </c>
      <c r="I78" s="49" t="e">
        <v>#REF!</v>
      </c>
      <c r="J78" s="50"/>
    </row>
    <row r="79" ht="43.2" outlineLevel="1" spans="1:10">
      <c r="A79" s="50">
        <v>68</v>
      </c>
      <c r="B79" s="51" t="str">
        <v>地下现浇构件钢筋-三级钢筋 Φ16</v>
      </c>
      <c r="C79" s="51" t="e">
        <v>#REF!</v>
      </c>
      <c r="D79" s="51" t="str">
        <v>地下主体结构钢筋</v>
      </c>
      <c r="E79" s="51" t="str">
        <v>地下主体结构钢筋</v>
      </c>
      <c r="F79" s="52" t="e">
        <v>#REF!</v>
      </c>
      <c r="G79" s="48" t="e">
        <v>#REF!</v>
      </c>
      <c r="H79" s="49">
        <v>57.564</v>
      </c>
      <c r="I79" s="49" t="e">
        <v>#REF!</v>
      </c>
      <c r="J79" s="50"/>
    </row>
    <row r="80" ht="43.2" outlineLevel="1" spans="1:10">
      <c r="A80" s="50">
        <v>69</v>
      </c>
      <c r="B80" s="51" t="str">
        <v>地下现浇构件钢筋-三级钢筋 Φ18</v>
      </c>
      <c r="C80" s="51" t="e">
        <v>#REF!</v>
      </c>
      <c r="D80" s="51" t="str">
        <v>地下主体结构钢筋</v>
      </c>
      <c r="E80" s="51" t="str">
        <v>地下主体结构钢筋</v>
      </c>
      <c r="F80" s="52" t="e">
        <v>#REF!</v>
      </c>
      <c r="G80" s="48" t="e">
        <v>#REF!</v>
      </c>
      <c r="H80" s="49">
        <v>3.798</v>
      </c>
      <c r="I80" s="49" t="e">
        <v>#REF!</v>
      </c>
      <c r="J80" s="50"/>
    </row>
    <row r="81" ht="43.2" outlineLevel="1" spans="1:10">
      <c r="A81" s="50">
        <v>70</v>
      </c>
      <c r="B81" s="51" t="str">
        <v>地下现浇构件钢筋-三级钢筋 Φ20</v>
      </c>
      <c r="C81" s="51" t="e">
        <v>#REF!</v>
      </c>
      <c r="D81" s="51" t="str">
        <v>地下主体结构钢筋</v>
      </c>
      <c r="E81" s="51" t="str">
        <v>地下主体结构钢筋</v>
      </c>
      <c r="F81" s="52" t="e">
        <v>#REF!</v>
      </c>
      <c r="G81" s="48" t="e">
        <v>#REF!</v>
      </c>
      <c r="H81" s="49">
        <v>7.675</v>
      </c>
      <c r="I81" s="49" t="e">
        <v>#REF!</v>
      </c>
      <c r="J81" s="50"/>
    </row>
    <row r="82" ht="43.2" outlineLevel="1" spans="1:10">
      <c r="A82" s="50">
        <v>71</v>
      </c>
      <c r="B82" s="51" t="str">
        <v>地下现浇构件钢筋-三级钢筋 Φ22</v>
      </c>
      <c r="C82" s="51" t="e">
        <v>#REF!</v>
      </c>
      <c r="D82" s="51" t="str">
        <v>地下主体结构钢筋</v>
      </c>
      <c r="E82" s="51" t="str">
        <v>地下主体结构钢筋</v>
      </c>
      <c r="F82" s="52" t="e">
        <v>#REF!</v>
      </c>
      <c r="G82" s="48" t="e">
        <v>#REF!</v>
      </c>
      <c r="H82" s="49">
        <v>9.417</v>
      </c>
      <c r="I82" s="49" t="e">
        <v>#REF!</v>
      </c>
      <c r="J82" s="50"/>
    </row>
    <row r="83" ht="43.2" outlineLevel="1" spans="1:10">
      <c r="A83" s="50">
        <v>72</v>
      </c>
      <c r="B83" s="51" t="str">
        <v>地下现浇构件钢筋-三级钢筋 Φ25</v>
      </c>
      <c r="C83" s="51" t="e">
        <v>#REF!</v>
      </c>
      <c r="D83" s="51" t="str">
        <v>地下主体结构钢筋</v>
      </c>
      <c r="E83" s="51" t="str">
        <v>地下主体结构钢筋</v>
      </c>
      <c r="F83" s="52" t="e">
        <v>#REF!</v>
      </c>
      <c r="G83" s="48" t="e">
        <v>#REF!</v>
      </c>
      <c r="H83" s="49">
        <v>0.836</v>
      </c>
      <c r="I83" s="49" t="e">
        <v>#REF!</v>
      </c>
      <c r="J83" s="50"/>
    </row>
    <row r="84" ht="43.2" outlineLevel="1" spans="1:10">
      <c r="A84" s="50">
        <v>73</v>
      </c>
      <c r="B84" s="51" t="str">
        <v>地下现浇构件措施钢筋-三级钢筋 Φ10</v>
      </c>
      <c r="C84" s="51" t="e">
        <v>#REF!</v>
      </c>
      <c r="D84" s="51" t="str">
        <v>地下主体结构钢筋</v>
      </c>
      <c r="E84" s="51" t="str">
        <v>地下主体结构钢筋</v>
      </c>
      <c r="F84" s="52" t="e">
        <v>#REF!</v>
      </c>
      <c r="G84" s="48" t="e">
        <v>#REF!</v>
      </c>
      <c r="H84" s="49">
        <v>0.211</v>
      </c>
      <c r="I84" s="49" t="e">
        <v>#REF!</v>
      </c>
      <c r="J84" s="50"/>
    </row>
    <row r="85" ht="43.2" outlineLevel="1" spans="1:10">
      <c r="A85" s="50">
        <v>74</v>
      </c>
      <c r="B85" s="51" t="str">
        <v>地下现浇构件措施钢筋-三级钢筋 Φ16</v>
      </c>
      <c r="C85" s="51" t="e">
        <v>#REF!</v>
      </c>
      <c r="D85" s="51" t="str">
        <v>地下主体结构钢筋</v>
      </c>
      <c r="E85" s="51" t="str">
        <v>地下主体结构钢筋</v>
      </c>
      <c r="F85" s="52" t="e">
        <v>#REF!</v>
      </c>
      <c r="G85" s="48" t="e">
        <v>#REF!</v>
      </c>
      <c r="H85" s="49">
        <v>1.111</v>
      </c>
      <c r="I85" s="49" t="e">
        <v>#REF!</v>
      </c>
      <c r="J85" s="50"/>
    </row>
    <row r="86" ht="43.2" outlineLevel="1" spans="1:10">
      <c r="A86" s="50">
        <v>75</v>
      </c>
      <c r="B86" s="51" t="str">
        <v>钢筋接头-直螺纹连接-φ20以内</v>
      </c>
      <c r="C86" s="51" t="e">
        <v>#REF!</v>
      </c>
      <c r="D86" s="51" t="str">
        <v/>
      </c>
      <c r="E86" s="51" t="str">
        <v>地下主体结构钢筋</v>
      </c>
      <c r="F86" s="52" t="e">
        <v>#REF!</v>
      </c>
      <c r="G86" s="48" t="e">
        <v>#REF!</v>
      </c>
      <c r="H86" s="49">
        <v>1236</v>
      </c>
      <c r="I86" s="49" t="e">
        <v>#REF!</v>
      </c>
      <c r="J86" s="50"/>
    </row>
    <row r="87" ht="43.2" outlineLevel="1" spans="1:10">
      <c r="A87" s="50">
        <v>76</v>
      </c>
      <c r="B87" s="51" t="str">
        <v>钢筋接头-直螺纹连接-Φ30以内</v>
      </c>
      <c r="C87" s="51" t="e">
        <v>#REF!</v>
      </c>
      <c r="D87" s="51" t="str">
        <v/>
      </c>
      <c r="E87" s="51" t="str">
        <v>地下主体结构钢筋</v>
      </c>
      <c r="F87" s="52" t="e">
        <v>#REF!</v>
      </c>
      <c r="G87" s="48" t="e">
        <v>#REF!</v>
      </c>
      <c r="H87" s="49">
        <v>44</v>
      </c>
      <c r="I87" s="49" t="e">
        <v>#REF!</v>
      </c>
      <c r="J87" s="50"/>
    </row>
    <row r="88" ht="43.2" outlineLevel="1" spans="1:10">
      <c r="A88" s="50">
        <v>77</v>
      </c>
      <c r="B88" s="51" t="str">
        <v>钢筋接头-电渣压力焊</v>
      </c>
      <c r="C88" s="51" t="e">
        <v>#REF!</v>
      </c>
      <c r="D88" s="51" t="str">
        <v/>
      </c>
      <c r="E88" s="51" t="str">
        <v>地下主体结构钢筋</v>
      </c>
      <c r="F88" s="52" t="e">
        <v>#REF!</v>
      </c>
      <c r="G88" s="48" t="e">
        <v>#REF!</v>
      </c>
      <c r="H88" s="49">
        <v>3224</v>
      </c>
      <c r="I88" s="49" t="e">
        <v>#REF!</v>
      </c>
      <c r="J88" s="50"/>
    </row>
    <row r="89" outlineLevel="1" spans="1:10">
      <c r="A89" s="50" t="str">
        <v/>
      </c>
      <c r="B89" s="51" t="str">
        <v>A.03二次结构工程</v>
      </c>
      <c r="C89" s="51" t="str">
        <v/>
      </c>
      <c r="D89" s="51" t="str">
        <v/>
      </c>
      <c r="E89" s="51" t="str">
        <v/>
      </c>
      <c r="F89" s="52" t="str">
        <v/>
      </c>
      <c r="G89" s="48" t="str">
        <v/>
      </c>
      <c r="H89" s="49">
        <v>0</v>
      </c>
      <c r="I89" s="49" t="e">
        <v>#REF!</v>
      </c>
      <c r="J89" s="50"/>
    </row>
    <row r="90" outlineLevel="1" spans="1:10">
      <c r="A90" s="50" t="str">
        <v/>
      </c>
      <c r="B90" s="51" t="str">
        <v>A.03.01砌筑工程</v>
      </c>
      <c r="C90" s="51" t="str">
        <v/>
      </c>
      <c r="D90" s="51" t="str">
        <v/>
      </c>
      <c r="E90" s="51" t="str">
        <v/>
      </c>
      <c r="F90" s="52" t="str">
        <v/>
      </c>
      <c r="G90" s="48" t="str">
        <v/>
      </c>
      <c r="H90" s="49">
        <v>0</v>
      </c>
      <c r="I90" s="49" t="e">
        <v>#REF!</v>
      </c>
      <c r="J90" s="50"/>
    </row>
    <row r="91" outlineLevel="1" spans="1:10">
      <c r="A91" s="50">
        <v>78</v>
      </c>
      <c r="B91" s="51" t="str">
        <v>小型砼空心砌块</v>
      </c>
      <c r="C91" s="51" t="e">
        <v>#REF!</v>
      </c>
      <c r="D91" s="51" t="str">
        <v/>
      </c>
      <c r="E91" s="51" t="str">
        <v/>
      </c>
      <c r="F91" s="52" t="e">
        <v>#REF!</v>
      </c>
      <c r="G91" s="48" t="e">
        <v>#REF!</v>
      </c>
      <c r="H91" s="49">
        <v>138.61</v>
      </c>
      <c r="I91" s="49" t="e">
        <v>#REF!</v>
      </c>
      <c r="J91" s="50"/>
    </row>
    <row r="92" outlineLevel="1" spans="1:10">
      <c r="A92" s="50">
        <v>79</v>
      </c>
      <c r="B92" s="51" t="str">
        <v>砖台阶</v>
      </c>
      <c r="C92" s="51" t="e">
        <v>#REF!</v>
      </c>
      <c r="D92" s="51" t="str">
        <v/>
      </c>
      <c r="E92" s="51" t="str">
        <v/>
      </c>
      <c r="F92" s="52" t="e">
        <v>#REF!</v>
      </c>
      <c r="G92" s="48" t="e">
        <v>#REF!</v>
      </c>
      <c r="H92" s="49">
        <v>0</v>
      </c>
      <c r="I92" s="49" t="e">
        <v>#REF!</v>
      </c>
      <c r="J92" s="50"/>
    </row>
    <row r="93" outlineLevel="1" spans="1:10">
      <c r="A93" s="50" t="str">
        <v/>
      </c>
      <c r="B93" s="51" t="str">
        <v>A.03.02混凝土工程</v>
      </c>
      <c r="C93" s="51" t="str">
        <v/>
      </c>
      <c r="D93" s="51" t="str">
        <v/>
      </c>
      <c r="E93" s="51" t="str">
        <v/>
      </c>
      <c r="F93" s="52" t="str">
        <v/>
      </c>
      <c r="G93" s="48" t="str">
        <v/>
      </c>
      <c r="H93" s="49">
        <v>0</v>
      </c>
      <c r="I93" s="49" t="e">
        <v>#REF!</v>
      </c>
      <c r="J93" s="50"/>
    </row>
    <row r="94" outlineLevel="1" spans="1:10">
      <c r="A94" s="50">
        <v>80</v>
      </c>
      <c r="B94" s="51" t="str">
        <v>圈梁C25</v>
      </c>
      <c r="C94" s="51" t="e">
        <v>#REF!</v>
      </c>
      <c r="D94" s="51" t="str">
        <v/>
      </c>
      <c r="E94" s="51" t="str">
        <v/>
      </c>
      <c r="F94" s="52" t="e">
        <v>#REF!</v>
      </c>
      <c r="G94" s="48" t="e">
        <v>#REF!</v>
      </c>
      <c r="H94" s="49">
        <v>3.59</v>
      </c>
      <c r="I94" s="49" t="e">
        <v>#REF!</v>
      </c>
      <c r="J94" s="50"/>
    </row>
    <row r="95" outlineLevel="1" spans="1:10">
      <c r="A95" s="50">
        <v>81</v>
      </c>
      <c r="B95" s="51" t="str">
        <v>构造柱C25</v>
      </c>
      <c r="C95" s="51" t="e">
        <v>#REF!</v>
      </c>
      <c r="D95" s="51" t="str">
        <v/>
      </c>
      <c r="E95" s="51" t="str">
        <v/>
      </c>
      <c r="F95" s="52" t="e">
        <v>#REF!</v>
      </c>
      <c r="G95" s="48" t="e">
        <v>#REF!</v>
      </c>
      <c r="H95" s="49">
        <v>6.66</v>
      </c>
      <c r="I95" s="49" t="e">
        <v>#REF!</v>
      </c>
      <c r="J95" s="50"/>
    </row>
    <row r="96" outlineLevel="1" spans="1:10">
      <c r="A96" s="50">
        <v>82</v>
      </c>
      <c r="B96" s="51" t="str">
        <v>过梁C25</v>
      </c>
      <c r="C96" s="51" t="e">
        <v>#REF!</v>
      </c>
      <c r="D96" s="51" t="str">
        <v/>
      </c>
      <c r="E96" s="51" t="str">
        <v/>
      </c>
      <c r="F96" s="52" t="e">
        <v>#REF!</v>
      </c>
      <c r="G96" s="48" t="e">
        <v>#REF!</v>
      </c>
      <c r="H96" s="49">
        <v>0.01</v>
      </c>
      <c r="I96" s="49" t="e">
        <v>#REF!</v>
      </c>
      <c r="J96" s="50"/>
    </row>
    <row r="97" outlineLevel="1" spans="1:10">
      <c r="A97" s="50">
        <v>83</v>
      </c>
      <c r="B97" s="51" t="str">
        <v>门槛C20细石</v>
      </c>
      <c r="C97" s="51" t="e">
        <v>#REF!</v>
      </c>
      <c r="D97" s="51" t="str">
        <v/>
      </c>
      <c r="E97" s="51" t="str">
        <v/>
      </c>
      <c r="F97" s="52" t="e">
        <v>#REF!</v>
      </c>
      <c r="G97" s="48" t="e">
        <v>#REF!</v>
      </c>
      <c r="H97" s="49">
        <v>0.229090909090909</v>
      </c>
      <c r="I97" s="49" t="e">
        <v>#REF!</v>
      </c>
      <c r="J97" s="50"/>
    </row>
    <row r="98" outlineLevel="1" spans="1:10">
      <c r="A98" s="50">
        <v>84</v>
      </c>
      <c r="B98" s="51" t="str">
        <v>压顶C25</v>
      </c>
      <c r="C98" s="51" t="e">
        <v>#REF!</v>
      </c>
      <c r="D98" s="51" t="str">
        <v/>
      </c>
      <c r="E98" s="51" t="str">
        <v/>
      </c>
      <c r="F98" s="52" t="e">
        <v>#REF!</v>
      </c>
      <c r="G98" s="48" t="e">
        <v>#REF!</v>
      </c>
      <c r="H98" s="49">
        <v>0</v>
      </c>
      <c r="I98" s="49" t="e">
        <v>#REF!</v>
      </c>
      <c r="J98" s="50"/>
    </row>
    <row r="99" outlineLevel="1" spans="1:10">
      <c r="A99" s="50" t="str">
        <v/>
      </c>
      <c r="B99" s="51" t="str">
        <v>散水</v>
      </c>
      <c r="C99" s="51" t="str">
        <v/>
      </c>
      <c r="D99" s="51" t="str">
        <v/>
      </c>
      <c r="E99" s="51" t="str">
        <v/>
      </c>
      <c r="F99" s="52" t="str">
        <v/>
      </c>
      <c r="G99" s="48" t="str">
        <v/>
      </c>
      <c r="H99" s="49">
        <v>0</v>
      </c>
      <c r="I99" s="49">
        <v>0</v>
      </c>
      <c r="J99" s="50"/>
    </row>
    <row r="100" outlineLevel="1" spans="1:10">
      <c r="A100" s="50">
        <v>85</v>
      </c>
      <c r="B100" s="51" t="str">
        <v>散水-40厚C20细石</v>
      </c>
      <c r="C100" s="51" t="e">
        <v>#REF!</v>
      </c>
      <c r="D100" s="51" t="str">
        <v/>
      </c>
      <c r="E100" s="51" t="str">
        <v/>
      </c>
      <c r="F100" s="52" t="e">
        <v>#REF!</v>
      </c>
      <c r="G100" s="48" t="e">
        <v>#REF!</v>
      </c>
      <c r="H100" s="49">
        <v>0</v>
      </c>
      <c r="I100" s="49" t="e">
        <v>#REF!</v>
      </c>
      <c r="J100" s="50"/>
    </row>
    <row r="101" outlineLevel="1" spans="1:10">
      <c r="A101" s="50">
        <v>86</v>
      </c>
      <c r="B101" s="51" t="str">
        <v>150厚3:7灰土</v>
      </c>
      <c r="C101" s="51" t="e">
        <v>#REF!</v>
      </c>
      <c r="D101" s="51" t="str">
        <v/>
      </c>
      <c r="E101" s="51" t="str">
        <v/>
      </c>
      <c r="F101" s="52" t="e">
        <v>#REF!</v>
      </c>
      <c r="G101" s="48" t="e">
        <v>#REF!</v>
      </c>
      <c r="H101" s="49">
        <v>0</v>
      </c>
      <c r="I101" s="49" t="e">
        <v>#REF!</v>
      </c>
      <c r="J101" s="50"/>
    </row>
    <row r="102" outlineLevel="1" spans="1:10">
      <c r="A102" s="50">
        <v>87</v>
      </c>
      <c r="B102" s="51" t="str">
        <v>散水-素土夯实</v>
      </c>
      <c r="C102" s="51" t="e">
        <v>#REF!</v>
      </c>
      <c r="D102" s="51" t="str">
        <v/>
      </c>
      <c r="E102" s="51" t="str">
        <v/>
      </c>
      <c r="F102" s="52" t="e">
        <v>#REF!</v>
      </c>
      <c r="G102" s="48" t="e">
        <v>#REF!</v>
      </c>
      <c r="H102" s="49">
        <v>0</v>
      </c>
      <c r="I102" s="49" t="e">
        <v>#REF!</v>
      </c>
      <c r="J102" s="50"/>
    </row>
    <row r="103" outlineLevel="1" spans="1:10">
      <c r="A103" s="50" t="str">
        <v/>
      </c>
      <c r="B103" s="51" t="str">
        <v>坡道</v>
      </c>
      <c r="C103" s="51" t="str">
        <v/>
      </c>
      <c r="D103" s="51" t="str">
        <v/>
      </c>
      <c r="E103" s="51" t="str">
        <v/>
      </c>
      <c r="F103" s="52" t="str">
        <v/>
      </c>
      <c r="G103" s="48" t="str">
        <v/>
      </c>
      <c r="H103" s="49">
        <v>0</v>
      </c>
      <c r="I103" s="49">
        <v>0</v>
      </c>
      <c r="J103" s="50"/>
    </row>
    <row r="104" outlineLevel="1" spans="1:10">
      <c r="A104" s="50">
        <v>88</v>
      </c>
      <c r="B104" s="51" t="str">
        <v>坡道-100厚C15</v>
      </c>
      <c r="C104" s="51" t="e">
        <v>#REF!</v>
      </c>
      <c r="D104" s="51" t="str">
        <v/>
      </c>
      <c r="E104" s="51" t="str">
        <v/>
      </c>
      <c r="F104" s="52" t="e">
        <v>#REF!</v>
      </c>
      <c r="G104" s="48" t="e">
        <v>#REF!</v>
      </c>
      <c r="H104" s="49">
        <v>0</v>
      </c>
      <c r="I104" s="49" t="e">
        <v>#REF!</v>
      </c>
      <c r="J104" s="50"/>
    </row>
    <row r="105" outlineLevel="1" spans="1:10">
      <c r="A105" s="50">
        <v>89</v>
      </c>
      <c r="B105" s="51" t="str">
        <v>300厚3:7灰土</v>
      </c>
      <c r="C105" s="51" t="e">
        <v>#REF!</v>
      </c>
      <c r="D105" s="51" t="str">
        <v/>
      </c>
      <c r="E105" s="51" t="str">
        <v/>
      </c>
      <c r="F105" s="52" t="e">
        <v>#REF!</v>
      </c>
      <c r="G105" s="48" t="e">
        <v>#REF!</v>
      </c>
      <c r="H105" s="49">
        <v>0</v>
      </c>
      <c r="I105" s="49" t="e">
        <v>#REF!</v>
      </c>
      <c r="J105" s="50"/>
    </row>
    <row r="106" outlineLevel="1" spans="1:10">
      <c r="A106" s="50">
        <v>90</v>
      </c>
      <c r="B106" s="51" t="str">
        <v>坡道-素土夯实</v>
      </c>
      <c r="C106" s="51" t="e">
        <v>#REF!</v>
      </c>
      <c r="D106" s="51" t="str">
        <v/>
      </c>
      <c r="E106" s="51" t="str">
        <v/>
      </c>
      <c r="F106" s="52" t="e">
        <v>#REF!</v>
      </c>
      <c r="G106" s="48" t="e">
        <v>#REF!</v>
      </c>
      <c r="H106" s="49">
        <v>0</v>
      </c>
      <c r="I106" s="49" t="e">
        <v>#REF!</v>
      </c>
      <c r="J106" s="50"/>
    </row>
    <row r="107" outlineLevel="1" spans="1:10">
      <c r="A107" s="50" t="str">
        <v/>
      </c>
      <c r="B107" s="51" t="str">
        <v>A.03.03钢筋工程</v>
      </c>
      <c r="C107" s="51" t="str">
        <v/>
      </c>
      <c r="D107" s="51" t="str">
        <v/>
      </c>
      <c r="E107" s="51" t="str">
        <v/>
      </c>
      <c r="F107" s="52" t="str">
        <v/>
      </c>
      <c r="G107" s="48" t="str">
        <v/>
      </c>
      <c r="H107" s="49">
        <v>0</v>
      </c>
      <c r="I107" s="49" t="e">
        <v>#REF!</v>
      </c>
      <c r="J107" s="50"/>
    </row>
    <row r="108" outlineLevel="1" spans="1:10">
      <c r="A108" s="50">
        <v>91</v>
      </c>
      <c r="B108" s="51" t="str">
        <v>地下现浇构件钢筋-φ10以内</v>
      </c>
      <c r="C108" s="51" t="e">
        <v>#REF!</v>
      </c>
      <c r="D108" s="51" t="str">
        <v/>
      </c>
      <c r="E108" s="51" t="str">
        <v/>
      </c>
      <c r="F108" s="52" t="e">
        <v>#REF!</v>
      </c>
      <c r="G108" s="48" t="e">
        <v>#REF!</v>
      </c>
      <c r="H108" s="49">
        <v>0.354</v>
      </c>
      <c r="I108" s="49" t="e">
        <v>#REF!</v>
      </c>
      <c r="J108" s="50"/>
    </row>
    <row r="109" ht="28.8" outlineLevel="1" spans="1:10">
      <c r="A109" s="50">
        <v>92</v>
      </c>
      <c r="B109" s="51" t="str">
        <v>地下现浇构件钢筋-三级钢筋 Φ6</v>
      </c>
      <c r="C109" s="51" t="e">
        <v>#REF!</v>
      </c>
      <c r="D109" s="51" t="str">
        <v/>
      </c>
      <c r="E109" s="51" t="str">
        <v/>
      </c>
      <c r="F109" s="52" t="e">
        <v>#REF!</v>
      </c>
      <c r="G109" s="48" t="e">
        <v>#REF!</v>
      </c>
      <c r="H109" s="49">
        <v>0.137</v>
      </c>
      <c r="I109" s="49" t="e">
        <v>#REF!</v>
      </c>
      <c r="J109" s="50"/>
    </row>
    <row r="110" ht="28.8" outlineLevel="1" spans="1:10">
      <c r="A110" s="50">
        <v>93</v>
      </c>
      <c r="B110" s="51" t="str">
        <v>地下现浇构件钢筋-三级钢筋 Φ8</v>
      </c>
      <c r="C110" s="51" t="e">
        <v>#REF!</v>
      </c>
      <c r="D110" s="51" t="str">
        <v/>
      </c>
      <c r="E110" s="51" t="str">
        <v/>
      </c>
      <c r="F110" s="52" t="e">
        <v>#REF!</v>
      </c>
      <c r="G110" s="48" t="e">
        <v>#REF!</v>
      </c>
      <c r="H110" s="49">
        <v>0</v>
      </c>
      <c r="I110" s="49" t="e">
        <v>#REF!</v>
      </c>
      <c r="J110" s="50"/>
    </row>
    <row r="111" ht="28.8" outlineLevel="1" spans="1:10">
      <c r="A111" s="50">
        <v>94</v>
      </c>
      <c r="B111" s="51" t="str">
        <v>地下现浇构件钢筋-三级钢筋 Φ10</v>
      </c>
      <c r="C111" s="51" t="e">
        <v>#REF!</v>
      </c>
      <c r="D111" s="51" t="str">
        <v/>
      </c>
      <c r="E111" s="51" t="str">
        <v/>
      </c>
      <c r="F111" s="52" t="e">
        <v>#REF!</v>
      </c>
      <c r="G111" s="48" t="e">
        <v>#REF!</v>
      </c>
      <c r="H111" s="49">
        <v>0.621</v>
      </c>
      <c r="I111" s="49" t="e">
        <v>#REF!</v>
      </c>
      <c r="J111" s="50"/>
    </row>
    <row r="112" ht="28.8" outlineLevel="1" spans="1:10">
      <c r="A112" s="50">
        <v>95</v>
      </c>
      <c r="B112" s="51" t="str">
        <v>地下现浇构件钢筋-三级钢筋 Φ12</v>
      </c>
      <c r="C112" s="51" t="e">
        <v>#REF!</v>
      </c>
      <c r="D112" s="51" t="str">
        <v/>
      </c>
      <c r="E112" s="51" t="str">
        <v/>
      </c>
      <c r="F112" s="52" t="e">
        <v>#REF!</v>
      </c>
      <c r="G112" s="48" t="e">
        <v>#REF!</v>
      </c>
      <c r="H112" s="49">
        <v>0.52</v>
      </c>
      <c r="I112" s="49" t="e">
        <v>#REF!</v>
      </c>
      <c r="J112" s="50"/>
    </row>
    <row r="113" ht="28.8" outlineLevel="1" spans="1:10">
      <c r="A113" s="50">
        <v>96</v>
      </c>
      <c r="B113" s="51" t="str">
        <v>地下现浇构件钢筋-三级钢筋 Φ14</v>
      </c>
      <c r="C113" s="51" t="e">
        <v>#REF!</v>
      </c>
      <c r="D113" s="51" t="str">
        <v/>
      </c>
      <c r="E113" s="51" t="str">
        <v/>
      </c>
      <c r="F113" s="52" t="e">
        <v>#REF!</v>
      </c>
      <c r="G113" s="48" t="e">
        <v>#REF!</v>
      </c>
      <c r="H113" s="49">
        <v>0</v>
      </c>
      <c r="I113" s="49" t="e">
        <v>#REF!</v>
      </c>
      <c r="J113" s="50"/>
    </row>
    <row r="114" ht="28.8" outlineLevel="1" spans="1:10">
      <c r="A114" s="50">
        <v>97</v>
      </c>
      <c r="B114" s="51" t="str">
        <v>地下现浇构件钢筋-三级钢筋 Φ16</v>
      </c>
      <c r="C114" s="51" t="e">
        <v>#REF!</v>
      </c>
      <c r="D114" s="51" t="str">
        <v/>
      </c>
      <c r="E114" s="51" t="str">
        <v/>
      </c>
      <c r="F114" s="52" t="e">
        <v>#REF!</v>
      </c>
      <c r="G114" s="48" t="e">
        <v>#REF!</v>
      </c>
      <c r="H114" s="49">
        <v>0</v>
      </c>
      <c r="I114" s="49" t="e">
        <v>#REF!</v>
      </c>
      <c r="J114" s="50"/>
    </row>
    <row r="115" outlineLevel="1" spans="1:10">
      <c r="A115" s="50">
        <v>98</v>
      </c>
      <c r="B115" s="51" t="str">
        <v>地下砌体加筋-三级钢筋 Φ6</v>
      </c>
      <c r="C115" s="51" t="e">
        <v>#REF!</v>
      </c>
      <c r="D115" s="51" t="str">
        <v/>
      </c>
      <c r="E115" s="51" t="str">
        <v/>
      </c>
      <c r="F115" s="52" t="e">
        <v>#REF!</v>
      </c>
      <c r="G115" s="48" t="e">
        <v>#REF!</v>
      </c>
      <c r="H115" s="49">
        <v>0.712</v>
      </c>
      <c r="I115" s="49" t="e">
        <v>#REF!</v>
      </c>
      <c r="J115" s="50"/>
    </row>
    <row r="116" outlineLevel="1" spans="1:10">
      <c r="A116" s="50" t="str">
        <v/>
      </c>
      <c r="B116" s="51" t="str">
        <v>A.03.04金属工程</v>
      </c>
      <c r="C116" s="51" t="str">
        <v/>
      </c>
      <c r="D116" s="51" t="str">
        <v/>
      </c>
      <c r="E116" s="51" t="str">
        <v/>
      </c>
      <c r="F116" s="52" t="str">
        <v/>
      </c>
      <c r="G116" s="48" t="str">
        <v/>
      </c>
      <c r="H116" s="49">
        <v>0</v>
      </c>
      <c r="I116" s="49" t="e">
        <v>#REF!</v>
      </c>
      <c r="J116" s="50"/>
    </row>
    <row r="117" ht="28.8" outlineLevel="1" spans="1:10">
      <c r="A117" s="50">
        <v>99</v>
      </c>
      <c r="B117" s="51" t="str">
        <v>不同材质墙体交接处挂钢丝网</v>
      </c>
      <c r="C117" s="51" t="e">
        <v>#REF!</v>
      </c>
      <c r="D117" s="51" t="str">
        <v/>
      </c>
      <c r="E117" s="51" t="str">
        <v/>
      </c>
      <c r="F117" s="52" t="e">
        <v>#REF!</v>
      </c>
      <c r="G117" s="48" t="e">
        <v>#REF!</v>
      </c>
      <c r="H117" s="49">
        <v>667.08</v>
      </c>
      <c r="I117" s="49" t="e">
        <v>#REF!</v>
      </c>
      <c r="J117" s="50"/>
    </row>
    <row r="118" outlineLevel="1" spans="1:10">
      <c r="A118" s="50">
        <v>100</v>
      </c>
      <c r="B118" s="51" t="str">
        <v>砌块墙钢丝网满挂</v>
      </c>
      <c r="C118" s="51" t="e">
        <v>#REF!</v>
      </c>
      <c r="D118" s="51" t="str">
        <v/>
      </c>
      <c r="E118" s="51" t="str">
        <v/>
      </c>
      <c r="F118" s="52" t="e">
        <v>#REF!</v>
      </c>
      <c r="G118" s="48" t="e">
        <v>#REF!</v>
      </c>
      <c r="H118" s="49">
        <v>182.19</v>
      </c>
      <c r="I118" s="49" t="e">
        <v>#REF!</v>
      </c>
      <c r="J118" s="50"/>
    </row>
    <row r="119" outlineLevel="1" spans="1:10">
      <c r="A119" s="50">
        <v>101</v>
      </c>
      <c r="B119" s="51" t="str">
        <v>钢爬梯-屋面检修</v>
      </c>
      <c r="C119" s="51" t="e">
        <v>#REF!</v>
      </c>
      <c r="D119" s="51" t="str">
        <v/>
      </c>
      <c r="E119" s="51" t="str">
        <v/>
      </c>
      <c r="F119" s="52" t="e">
        <v>#REF!</v>
      </c>
      <c r="G119" s="48" t="e">
        <v>#REF!</v>
      </c>
      <c r="H119" s="49">
        <v>0</v>
      </c>
      <c r="I119" s="49" t="e">
        <v>#REF!</v>
      </c>
      <c r="J119" s="50"/>
    </row>
    <row r="120" outlineLevel="1" spans="1:10">
      <c r="A120" s="50">
        <v>102</v>
      </c>
      <c r="B120" s="51" t="str">
        <v>地面排水沟</v>
      </c>
      <c r="C120" s="51" t="e">
        <v>#REF!</v>
      </c>
      <c r="D120" s="51" t="str">
        <v/>
      </c>
      <c r="E120" s="51" t="str">
        <v/>
      </c>
      <c r="F120" s="52" t="e">
        <v>#REF!</v>
      </c>
      <c r="G120" s="48" t="e">
        <v>#REF!</v>
      </c>
      <c r="H120" s="49">
        <v>0</v>
      </c>
      <c r="I120" s="49" t="e">
        <v>#REF!</v>
      </c>
      <c r="J120" s="50"/>
    </row>
    <row r="121" outlineLevel="1" spans="1:10">
      <c r="A121" s="50">
        <v>103</v>
      </c>
      <c r="B121" s="51" t="str">
        <v>筏板排水沟</v>
      </c>
      <c r="C121" s="51" t="e">
        <v>#REF!</v>
      </c>
      <c r="D121" s="51" t="str">
        <v/>
      </c>
      <c r="E121" s="51" t="str">
        <v/>
      </c>
      <c r="F121" s="52" t="e">
        <v>#REF!</v>
      </c>
      <c r="G121" s="48" t="e">
        <v>#REF!</v>
      </c>
      <c r="H121" s="49">
        <v>0</v>
      </c>
      <c r="I121" s="49" t="e">
        <v>#REF!</v>
      </c>
      <c r="J121" s="50"/>
    </row>
    <row r="122" outlineLevel="1" spans="1:10">
      <c r="A122" s="50">
        <v>104</v>
      </c>
      <c r="B122" s="51" t="str">
        <v>铸铁篦子</v>
      </c>
      <c r="C122" s="51" t="e">
        <v>#REF!</v>
      </c>
      <c r="D122" s="51" t="str">
        <v/>
      </c>
      <c r="E122" s="51" t="str">
        <v/>
      </c>
      <c r="F122" s="52" t="e">
        <v>#REF!</v>
      </c>
      <c r="G122" s="48" t="e">
        <v>#REF!</v>
      </c>
      <c r="H122" s="49">
        <v>0</v>
      </c>
      <c r="I122" s="49" t="e">
        <v>#REF!</v>
      </c>
      <c r="J122" s="50"/>
    </row>
    <row r="123" outlineLevel="1" spans="1:10">
      <c r="A123" s="50">
        <v>105</v>
      </c>
      <c r="B123" s="51" t="str">
        <v>排水井</v>
      </c>
      <c r="C123" s="51" t="e">
        <v>#REF!</v>
      </c>
      <c r="D123" s="51" t="str">
        <v/>
      </c>
      <c r="E123" s="51" t="str">
        <v/>
      </c>
      <c r="F123" s="52" t="e">
        <v>#REF!</v>
      </c>
      <c r="G123" s="48" t="e">
        <v>#REF!</v>
      </c>
      <c r="H123" s="49">
        <v>0</v>
      </c>
      <c r="I123" s="49" t="e">
        <v>#REF!</v>
      </c>
      <c r="J123" s="50"/>
    </row>
    <row r="124" ht="28.8" outlineLevel="1" spans="1:10">
      <c r="A124" s="50">
        <v>106</v>
      </c>
      <c r="B124" s="51" t="str">
        <v>成品镀锌雨水篦子（车库坡道入口）</v>
      </c>
      <c r="C124" s="51" t="e">
        <v>#REF!</v>
      </c>
      <c r="D124" s="51" t="str">
        <v/>
      </c>
      <c r="E124" s="51" t="str">
        <v/>
      </c>
      <c r="F124" s="52" t="e">
        <v>#REF!</v>
      </c>
      <c r="G124" s="48" t="e">
        <v>#REF!</v>
      </c>
      <c r="H124" s="49">
        <v>0</v>
      </c>
      <c r="I124" s="49" t="e">
        <v>#REF!</v>
      </c>
      <c r="J124" s="50"/>
    </row>
    <row r="125" ht="28.8" outlineLevel="1" spans="1:10">
      <c r="A125" s="50">
        <v>107</v>
      </c>
      <c r="B125" s="51" t="str">
        <v>成品镀锌雨水篦子（车库排水沟）</v>
      </c>
      <c r="C125" s="51" t="e">
        <v>#REF!</v>
      </c>
      <c r="D125" s="51" t="str">
        <v/>
      </c>
      <c r="E125" s="51" t="str">
        <v/>
      </c>
      <c r="F125" s="52" t="e">
        <v>#REF!</v>
      </c>
      <c r="G125" s="48" t="e">
        <v>#REF!</v>
      </c>
      <c r="H125" s="49">
        <v>0</v>
      </c>
      <c r="I125" s="49" t="e">
        <v>#REF!</v>
      </c>
      <c r="J125" s="50"/>
    </row>
    <row r="126" outlineLevel="1" spans="1:10">
      <c r="A126" s="50">
        <v>108</v>
      </c>
      <c r="B126" s="51" t="str">
        <v>排水井篦子</v>
      </c>
      <c r="C126" s="51" t="e">
        <v>#REF!</v>
      </c>
      <c r="D126" s="51" t="str">
        <v/>
      </c>
      <c r="E126" s="51" t="str">
        <v/>
      </c>
      <c r="F126" s="52" t="e">
        <v>#REF!</v>
      </c>
      <c r="G126" s="48" t="e">
        <v>#REF!</v>
      </c>
      <c r="H126" s="49">
        <v>0</v>
      </c>
      <c r="I126" s="49" t="e">
        <v>#REF!</v>
      </c>
      <c r="J126" s="50"/>
    </row>
    <row r="127" outlineLevel="1" spans="1:10">
      <c r="A127" s="50" t="str">
        <v/>
      </c>
      <c r="B127" s="51" t="str">
        <v>A.04隔热防水工程</v>
      </c>
      <c r="C127" s="51" t="str">
        <v/>
      </c>
      <c r="D127" s="51" t="str">
        <v/>
      </c>
      <c r="E127" s="51" t="str">
        <v/>
      </c>
      <c r="F127" s="52" t="str">
        <v/>
      </c>
      <c r="G127" s="48" t="str">
        <v/>
      </c>
      <c r="H127" s="49">
        <v>0</v>
      </c>
      <c r="I127" s="49" t="e">
        <v>#REF!</v>
      </c>
      <c r="J127" s="50"/>
    </row>
    <row r="128" outlineLevel="1" spans="1:10">
      <c r="A128" s="50" t="str">
        <v/>
      </c>
      <c r="B128" s="51" t="str">
        <v>A.04.01保温隔热工程</v>
      </c>
      <c r="C128" s="51" t="str">
        <v/>
      </c>
      <c r="D128" s="51" t="str">
        <v/>
      </c>
      <c r="E128" s="51" t="str">
        <v/>
      </c>
      <c r="F128" s="52" t="str">
        <v/>
      </c>
      <c r="G128" s="48" t="str">
        <v/>
      </c>
      <c r="H128" s="49">
        <v>0</v>
      </c>
      <c r="I128" s="49" t="e">
        <v>#REF!</v>
      </c>
      <c r="J128" s="50"/>
    </row>
    <row r="129" outlineLevel="1" spans="1:10">
      <c r="A129" s="50" t="str">
        <v/>
      </c>
      <c r="B129" s="51" t="str">
        <v>保温隔热天棚</v>
      </c>
      <c r="C129" s="51" t="str">
        <v/>
      </c>
      <c r="D129" s="51" t="str">
        <v/>
      </c>
      <c r="E129" s="51" t="str">
        <v/>
      </c>
      <c r="F129" s="52" t="str">
        <v/>
      </c>
      <c r="G129" s="48" t="str">
        <v/>
      </c>
      <c r="H129" s="49">
        <v>0</v>
      </c>
      <c r="I129" s="49">
        <v>0</v>
      </c>
      <c r="J129" s="50"/>
    </row>
    <row r="130" outlineLevel="1" spans="1:10">
      <c r="A130" s="50">
        <v>109</v>
      </c>
      <c r="B130" s="51" t="str">
        <v>天棚-55厚岩棉板</v>
      </c>
      <c r="C130" s="51" t="e">
        <v>#REF!</v>
      </c>
      <c r="D130" s="51" t="str">
        <v/>
      </c>
      <c r="E130" s="51" t="str">
        <v/>
      </c>
      <c r="F130" s="52" t="e">
        <v>#REF!</v>
      </c>
      <c r="G130" s="48" t="e">
        <v>#REF!</v>
      </c>
      <c r="H130" s="49">
        <v>556.62</v>
      </c>
      <c r="I130" s="49" t="e">
        <v>#REF!</v>
      </c>
      <c r="J130" s="50"/>
    </row>
    <row r="131" outlineLevel="1" spans="1:10">
      <c r="A131" s="50">
        <v>110</v>
      </c>
      <c r="B131" s="51" t="str">
        <v>天棚-50厚岩棉板</v>
      </c>
      <c r="C131" s="51" t="e">
        <v>#REF!</v>
      </c>
      <c r="D131" s="51" t="str">
        <v/>
      </c>
      <c r="E131" s="51" t="str">
        <v/>
      </c>
      <c r="F131" s="52" t="e">
        <v>#REF!</v>
      </c>
      <c r="G131" s="48" t="e">
        <v>#REF!</v>
      </c>
      <c r="H131" s="49">
        <v>0</v>
      </c>
      <c r="I131" s="49" t="e">
        <v>#REF!</v>
      </c>
      <c r="J131" s="50"/>
    </row>
    <row r="132" outlineLevel="1" spans="1:10">
      <c r="A132" s="50">
        <v>111</v>
      </c>
      <c r="B132" s="51" t="str">
        <v>天棚-镀锌钢丝网</v>
      </c>
      <c r="C132" s="51" t="e">
        <v>#REF!</v>
      </c>
      <c r="D132" s="51" t="str">
        <v/>
      </c>
      <c r="E132" s="51" t="str">
        <v/>
      </c>
      <c r="F132" s="52" t="e">
        <v>#REF!</v>
      </c>
      <c r="G132" s="48" t="e">
        <v>#REF!</v>
      </c>
      <c r="H132" s="49">
        <v>556.62</v>
      </c>
      <c r="I132" s="49" t="e">
        <v>#REF!</v>
      </c>
      <c r="J132" s="50"/>
    </row>
    <row r="133" outlineLevel="1" spans="1:10">
      <c r="A133" s="50">
        <v>112</v>
      </c>
      <c r="B133" s="51" t="str">
        <v>天棚-3厚抗裂砂浆</v>
      </c>
      <c r="C133" s="51" t="e">
        <v>#REF!</v>
      </c>
      <c r="D133" s="51" t="str">
        <v/>
      </c>
      <c r="E133" s="51" t="str">
        <v/>
      </c>
      <c r="F133" s="52" t="e">
        <v>#REF!</v>
      </c>
      <c r="G133" s="48" t="e">
        <v>#REF!</v>
      </c>
      <c r="H133" s="49">
        <v>556.62</v>
      </c>
      <c r="I133" s="49" t="e">
        <v>#REF!</v>
      </c>
      <c r="J133" s="50"/>
    </row>
    <row r="134" outlineLevel="1" spans="1:10">
      <c r="A134" s="50">
        <v>113</v>
      </c>
      <c r="B134" s="51" t="str">
        <v>天棚-网格布</v>
      </c>
      <c r="C134" s="51" t="e">
        <v>#REF!</v>
      </c>
      <c r="D134" s="51" t="str">
        <v/>
      </c>
      <c r="E134" s="51" t="str">
        <v/>
      </c>
      <c r="F134" s="52" t="e">
        <v>#REF!</v>
      </c>
      <c r="G134" s="48" t="e">
        <v>#REF!</v>
      </c>
      <c r="H134" s="49">
        <v>556.62</v>
      </c>
      <c r="I134" s="49" t="e">
        <v>#REF!</v>
      </c>
      <c r="J134" s="50"/>
    </row>
    <row r="135" outlineLevel="1" spans="1:10">
      <c r="A135" s="50" t="str">
        <v/>
      </c>
      <c r="B135" s="51" t="str">
        <v>地下室外墙保温</v>
      </c>
      <c r="C135" s="51" t="str">
        <v/>
      </c>
      <c r="D135" s="51" t="str">
        <v/>
      </c>
      <c r="E135" s="51" t="str">
        <v/>
      </c>
      <c r="F135" s="52" t="str">
        <v/>
      </c>
      <c r="G135" s="48" t="str">
        <v/>
      </c>
      <c r="H135" s="49">
        <v>0</v>
      </c>
      <c r="I135" s="49">
        <v>0</v>
      </c>
      <c r="J135" s="50"/>
    </row>
    <row r="136" outlineLevel="1" spans="1:10">
      <c r="A136" s="50">
        <v>114</v>
      </c>
      <c r="B136" s="51" t="str">
        <v>外墙-220厚XPS</v>
      </c>
      <c r="C136" s="51" t="e">
        <v>#REF!</v>
      </c>
      <c r="D136" s="51" t="str">
        <v/>
      </c>
      <c r="E136" s="51" t="str">
        <v/>
      </c>
      <c r="F136" s="52" t="e">
        <v>#REF!</v>
      </c>
      <c r="G136" s="48" t="e">
        <v>#REF!</v>
      </c>
      <c r="H136" s="49">
        <v>0</v>
      </c>
      <c r="I136" s="49" t="e">
        <v>#REF!</v>
      </c>
      <c r="J136" s="50"/>
    </row>
    <row r="137" outlineLevel="1" spans="1:10">
      <c r="A137" s="50">
        <v>115</v>
      </c>
      <c r="B137" s="51" t="str">
        <v>外墙面-3厚抗裂砂浆</v>
      </c>
      <c r="C137" s="51" t="e">
        <v>#REF!</v>
      </c>
      <c r="D137" s="51" t="str">
        <v/>
      </c>
      <c r="E137" s="51" t="str">
        <v/>
      </c>
      <c r="F137" s="52" t="e">
        <v>#REF!</v>
      </c>
      <c r="G137" s="48" t="e">
        <v>#REF!</v>
      </c>
      <c r="H137" s="49">
        <v>0</v>
      </c>
      <c r="I137" s="49" t="e">
        <v>#REF!</v>
      </c>
      <c r="J137" s="50"/>
    </row>
    <row r="138" outlineLevel="1" spans="1:10">
      <c r="A138" s="50">
        <v>116</v>
      </c>
      <c r="B138" s="51" t="str">
        <v>外墙面-网格布</v>
      </c>
      <c r="C138" s="51" t="e">
        <v>#REF!</v>
      </c>
      <c r="D138" s="51" t="str">
        <v/>
      </c>
      <c r="E138" s="51" t="str">
        <v/>
      </c>
      <c r="F138" s="52" t="e">
        <v>#REF!</v>
      </c>
      <c r="G138" s="48" t="e">
        <v>#REF!</v>
      </c>
      <c r="H138" s="49">
        <v>0</v>
      </c>
      <c r="I138" s="49" t="e">
        <v>#REF!</v>
      </c>
      <c r="J138" s="50"/>
    </row>
    <row r="139" ht="28.8" outlineLevel="1" spans="1:10">
      <c r="A139" s="50" t="str">
        <v/>
      </c>
      <c r="B139" s="51" t="str">
        <v>地下室外墙保温（合用前室与车库外侧）</v>
      </c>
      <c r="C139" s="51" t="str">
        <v/>
      </c>
      <c r="D139" s="51" t="str">
        <v/>
      </c>
      <c r="E139" s="51" t="str">
        <v/>
      </c>
      <c r="F139" s="52" t="str">
        <v/>
      </c>
      <c r="G139" s="48" t="str">
        <v/>
      </c>
      <c r="H139" s="49">
        <v>0</v>
      </c>
      <c r="I139" s="49">
        <v>0</v>
      </c>
      <c r="J139" s="50"/>
    </row>
    <row r="140" outlineLevel="1" spans="1:10">
      <c r="A140" s="50">
        <v>117</v>
      </c>
      <c r="B140" s="51" t="str">
        <v>外墙-160厚岩棉板</v>
      </c>
      <c r="C140" s="51" t="e">
        <v>#REF!</v>
      </c>
      <c r="D140" s="51" t="str">
        <v/>
      </c>
      <c r="E140" s="51" t="str">
        <v/>
      </c>
      <c r="F140" s="52" t="e">
        <v>#REF!</v>
      </c>
      <c r="G140" s="48" t="e">
        <v>#REF!</v>
      </c>
      <c r="H140" s="49">
        <v>0</v>
      </c>
      <c r="I140" s="49" t="e">
        <v>#REF!</v>
      </c>
      <c r="J140" s="50"/>
    </row>
    <row r="141" outlineLevel="1" spans="1:10">
      <c r="A141" s="50">
        <v>118</v>
      </c>
      <c r="B141" s="51" t="str">
        <v>外墙面-3厚抗裂砂浆</v>
      </c>
      <c r="C141" s="51" t="e">
        <v>#REF!</v>
      </c>
      <c r="D141" s="51" t="str">
        <v/>
      </c>
      <c r="E141" s="51" t="str">
        <v/>
      </c>
      <c r="F141" s="52" t="e">
        <v>#REF!</v>
      </c>
      <c r="G141" s="48" t="e">
        <v>#REF!</v>
      </c>
      <c r="H141" s="49">
        <v>0</v>
      </c>
      <c r="I141" s="49" t="e">
        <v>#REF!</v>
      </c>
      <c r="J141" s="50"/>
    </row>
    <row r="142" outlineLevel="1" spans="1:10">
      <c r="A142" s="50">
        <v>119</v>
      </c>
      <c r="B142" s="51" t="str">
        <v>外墙面-网格布</v>
      </c>
      <c r="C142" s="51" t="e">
        <v>#REF!</v>
      </c>
      <c r="D142" s="51" t="str">
        <v/>
      </c>
      <c r="E142" s="51" t="str">
        <v/>
      </c>
      <c r="F142" s="52" t="e">
        <v>#REF!</v>
      </c>
      <c r="G142" s="48" t="e">
        <v>#REF!</v>
      </c>
      <c r="H142" s="49">
        <v>0</v>
      </c>
      <c r="I142" s="49" t="e">
        <v>#REF!</v>
      </c>
      <c r="J142" s="50"/>
    </row>
    <row r="143" outlineLevel="1" spans="1:10">
      <c r="A143" s="50">
        <v>120</v>
      </c>
      <c r="B143" s="51" t="str">
        <v>内墙面-聚合物水泥</v>
      </c>
      <c r="C143" s="51" t="e">
        <v>#REF!</v>
      </c>
      <c r="D143" s="51" t="str">
        <v/>
      </c>
      <c r="E143" s="51" t="str">
        <v/>
      </c>
      <c r="F143" s="52" t="e">
        <v>#REF!</v>
      </c>
      <c r="G143" s="48" t="e">
        <v>#REF!</v>
      </c>
      <c r="H143" s="49">
        <v>0</v>
      </c>
      <c r="I143" s="49" t="e">
        <v>#REF!</v>
      </c>
      <c r="J143" s="50"/>
    </row>
    <row r="144" outlineLevel="1" spans="1:10">
      <c r="A144" s="50" t="str">
        <v/>
      </c>
      <c r="B144" s="51" t="str">
        <v>被动区与非被动区保温隔热</v>
      </c>
      <c r="C144" s="51" t="str">
        <v/>
      </c>
      <c r="D144" s="51" t="str">
        <v/>
      </c>
      <c r="E144" s="51" t="str">
        <v/>
      </c>
      <c r="F144" s="52" t="str">
        <v/>
      </c>
      <c r="G144" s="48" t="str">
        <v/>
      </c>
      <c r="H144" s="49">
        <v>0</v>
      </c>
      <c r="I144" s="49">
        <v>0</v>
      </c>
      <c r="J144" s="50"/>
    </row>
    <row r="145" outlineLevel="1" spans="1:10">
      <c r="A145" s="50">
        <v>121</v>
      </c>
      <c r="B145" s="51" t="str">
        <v>内墙面-界面剂</v>
      </c>
      <c r="C145" s="51" t="e">
        <v>#REF!</v>
      </c>
      <c r="D145" s="51" t="str">
        <v/>
      </c>
      <c r="E145" s="51" t="str">
        <v/>
      </c>
      <c r="F145" s="52" t="e">
        <v>#REF!</v>
      </c>
      <c r="G145" s="48" t="e">
        <v>#REF!</v>
      </c>
      <c r="H145" s="49">
        <v>0</v>
      </c>
      <c r="I145" s="49" t="e">
        <v>#REF!</v>
      </c>
      <c r="J145" s="50"/>
    </row>
    <row r="146" outlineLevel="1" spans="1:10">
      <c r="A146" s="50">
        <v>122</v>
      </c>
      <c r="B146" s="51" t="str">
        <v>内墙保温-100厚岩棉板</v>
      </c>
      <c r="C146" s="51" t="e">
        <v>#REF!</v>
      </c>
      <c r="D146" s="51" t="str">
        <v/>
      </c>
      <c r="E146" s="51" t="str">
        <v/>
      </c>
      <c r="F146" s="52" t="e">
        <v>#REF!</v>
      </c>
      <c r="G146" s="48" t="e">
        <v>#REF!</v>
      </c>
      <c r="H146" s="49">
        <v>0</v>
      </c>
      <c r="I146" s="49" t="e">
        <v>#REF!</v>
      </c>
      <c r="J146" s="50"/>
    </row>
    <row r="147" outlineLevel="1" spans="1:10">
      <c r="A147" s="50">
        <v>123</v>
      </c>
      <c r="B147" s="51" t="str">
        <v>内墙面-5厚抗裂砂浆</v>
      </c>
      <c r="C147" s="51" t="e">
        <v>#REF!</v>
      </c>
      <c r="D147" s="51" t="str">
        <v/>
      </c>
      <c r="E147" s="51" t="str">
        <v/>
      </c>
      <c r="F147" s="52" t="e">
        <v>#REF!</v>
      </c>
      <c r="G147" s="48" t="e">
        <v>#REF!</v>
      </c>
      <c r="H147" s="49">
        <v>0</v>
      </c>
      <c r="I147" s="49" t="e">
        <v>#REF!</v>
      </c>
      <c r="J147" s="50"/>
    </row>
    <row r="148" outlineLevel="1" spans="1:10">
      <c r="A148" s="50">
        <v>124</v>
      </c>
      <c r="B148" s="51" t="str">
        <v>内墙面-网格布</v>
      </c>
      <c r="C148" s="51" t="e">
        <v>#REF!</v>
      </c>
      <c r="D148" s="51" t="str">
        <v/>
      </c>
      <c r="E148" s="51" t="str">
        <v/>
      </c>
      <c r="F148" s="52" t="e">
        <v>#REF!</v>
      </c>
      <c r="G148" s="48" t="e">
        <v>#REF!</v>
      </c>
      <c r="H148" s="49">
        <v>0</v>
      </c>
      <c r="I148" s="49" t="e">
        <v>#REF!</v>
      </c>
      <c r="J148" s="50"/>
    </row>
    <row r="149" outlineLevel="1" spans="1:10">
      <c r="A149" s="50" t="str">
        <v/>
      </c>
      <c r="B149" s="51" t="str">
        <v>A.04.02屋面与防水工程</v>
      </c>
      <c r="C149" s="51" t="str">
        <v/>
      </c>
      <c r="D149" s="51" t="str">
        <v/>
      </c>
      <c r="E149" s="51" t="str">
        <v/>
      </c>
      <c r="F149" s="52" t="str">
        <v/>
      </c>
      <c r="G149" s="48" t="str">
        <v/>
      </c>
      <c r="H149" s="49">
        <v>0</v>
      </c>
      <c r="I149" s="49" t="e">
        <v>#REF!</v>
      </c>
      <c r="J149" s="50"/>
    </row>
    <row r="150" outlineLevel="1" spans="1:10">
      <c r="A150" s="50" t="str">
        <v/>
      </c>
      <c r="B150" s="51" t="str">
        <v>地下室外墙1</v>
      </c>
      <c r="C150" s="51" t="str">
        <v/>
      </c>
      <c r="D150" s="51" t="str">
        <v/>
      </c>
      <c r="E150" s="51" t="str">
        <v/>
      </c>
      <c r="F150" s="52" t="str">
        <v/>
      </c>
      <c r="G150" s="48" t="str">
        <v/>
      </c>
      <c r="H150" s="49">
        <v>0</v>
      </c>
      <c r="I150" s="49">
        <v>0</v>
      </c>
      <c r="J150" s="50"/>
    </row>
    <row r="151" outlineLevel="1" spans="1:10">
      <c r="A151" s="50">
        <v>125</v>
      </c>
      <c r="B151" s="51" t="str">
        <v>外墙-50厚EPS</v>
      </c>
      <c r="C151" s="51" t="e">
        <v>#REF!</v>
      </c>
      <c r="D151" s="51" t="str">
        <v/>
      </c>
      <c r="E151" s="51" t="str">
        <v/>
      </c>
      <c r="F151" s="52" t="e">
        <v>#REF!</v>
      </c>
      <c r="G151" s="48" t="e">
        <v>#REF!</v>
      </c>
      <c r="H151" s="49">
        <v>0</v>
      </c>
      <c r="I151" s="49" t="e">
        <v>#REF!</v>
      </c>
      <c r="J151" s="50"/>
    </row>
    <row r="152" outlineLevel="1" spans="1:10">
      <c r="A152" s="50">
        <v>126</v>
      </c>
      <c r="B152" s="51" t="str">
        <v>外墙防水-1.5厚双面粘</v>
      </c>
      <c r="C152" s="51" t="e">
        <v>#REF!</v>
      </c>
      <c r="D152" s="51" t="str">
        <v/>
      </c>
      <c r="E152" s="51" t="str">
        <v/>
      </c>
      <c r="F152" s="52" t="e">
        <v>#REF!</v>
      </c>
      <c r="G152" s="48" t="e">
        <v>#REF!</v>
      </c>
      <c r="H152" s="49">
        <v>0</v>
      </c>
      <c r="I152" s="49" t="e">
        <v>#REF!</v>
      </c>
      <c r="J152" s="50"/>
    </row>
    <row r="153" outlineLevel="1" spans="1:10">
      <c r="A153" s="50">
        <v>127</v>
      </c>
      <c r="B153" s="51" t="str">
        <v>外墙-1.5厚水泥凝胶</v>
      </c>
      <c r="C153" s="51" t="e">
        <v>#REF!</v>
      </c>
      <c r="D153" s="51" t="str">
        <v/>
      </c>
      <c r="E153" s="51" t="str">
        <v/>
      </c>
      <c r="F153" s="52" t="e">
        <v>#REF!</v>
      </c>
      <c r="G153" s="48" t="e">
        <v>#REF!</v>
      </c>
      <c r="H153" s="49">
        <v>0</v>
      </c>
      <c r="I153" s="49" t="e">
        <v>#REF!</v>
      </c>
      <c r="J153" s="50"/>
    </row>
    <row r="154" outlineLevel="1" spans="1:10">
      <c r="A154" s="50" t="str">
        <v/>
      </c>
      <c r="B154" s="51" t="str">
        <v>地下室外墙2</v>
      </c>
      <c r="C154" s="51" t="str">
        <v/>
      </c>
      <c r="D154" s="51" t="str">
        <v/>
      </c>
      <c r="E154" s="51" t="str">
        <v/>
      </c>
      <c r="F154" s="52" t="str">
        <v/>
      </c>
      <c r="G154" s="48" t="str">
        <v/>
      </c>
      <c r="H154" s="49">
        <v>0</v>
      </c>
      <c r="I154" s="49">
        <v>0</v>
      </c>
      <c r="J154" s="50"/>
    </row>
    <row r="155" outlineLevel="1" spans="1:10">
      <c r="A155" s="50">
        <v>128</v>
      </c>
      <c r="B155" s="51" t="str">
        <v>外墙-50厚EPS</v>
      </c>
      <c r="C155" s="51" t="e">
        <v>#REF!</v>
      </c>
      <c r="D155" s="51" t="str">
        <v/>
      </c>
      <c r="E155" s="51" t="str">
        <v/>
      </c>
      <c r="F155" s="52" t="e">
        <v>#REF!</v>
      </c>
      <c r="G155" s="48" t="e">
        <v>#REF!</v>
      </c>
      <c r="H155" s="49">
        <v>0</v>
      </c>
      <c r="I155" s="49" t="e">
        <v>#REF!</v>
      </c>
      <c r="J155" s="50"/>
    </row>
    <row r="156" outlineLevel="1" spans="1:10">
      <c r="A156" s="50">
        <v>129</v>
      </c>
      <c r="B156" s="51" t="str">
        <v>外墙防水-1.5厚双面粘</v>
      </c>
      <c r="C156" s="51" t="e">
        <v>#REF!</v>
      </c>
      <c r="D156" s="51" t="str">
        <v/>
      </c>
      <c r="E156" s="51" t="str">
        <v/>
      </c>
      <c r="F156" s="52" t="e">
        <v>#REF!</v>
      </c>
      <c r="G156" s="48" t="e">
        <v>#REF!</v>
      </c>
      <c r="H156" s="49">
        <v>0</v>
      </c>
      <c r="I156" s="49" t="e">
        <v>#REF!</v>
      </c>
      <c r="J156" s="50"/>
    </row>
    <row r="157" outlineLevel="1" spans="1:10">
      <c r="A157" s="50">
        <v>130</v>
      </c>
      <c r="B157" s="51" t="str">
        <v>外墙防水-1.5厚单面粘</v>
      </c>
      <c r="C157" s="51" t="e">
        <v>#REF!</v>
      </c>
      <c r="D157" s="51" t="str">
        <v/>
      </c>
      <c r="E157" s="51" t="str">
        <v/>
      </c>
      <c r="F157" s="52" t="e">
        <v>#REF!</v>
      </c>
      <c r="G157" s="48" t="e">
        <v>#REF!</v>
      </c>
      <c r="H157" s="49">
        <v>0</v>
      </c>
      <c r="I157" s="49" t="e">
        <v>#REF!</v>
      </c>
      <c r="J157" s="50"/>
    </row>
    <row r="158" outlineLevel="1" spans="1:10">
      <c r="A158" s="50">
        <v>131</v>
      </c>
      <c r="B158" s="51" t="str">
        <v>外墙-1.5厚水泥凝胶</v>
      </c>
      <c r="C158" s="51" t="e">
        <v>#REF!</v>
      </c>
      <c r="D158" s="51" t="str">
        <v/>
      </c>
      <c r="E158" s="51" t="str">
        <v/>
      </c>
      <c r="F158" s="52" t="e">
        <v>#REF!</v>
      </c>
      <c r="G158" s="48" t="e">
        <v>#REF!</v>
      </c>
      <c r="H158" s="49">
        <v>0</v>
      </c>
      <c r="I158" s="49" t="e">
        <v>#REF!</v>
      </c>
      <c r="J158" s="50"/>
    </row>
    <row r="159" outlineLevel="1" spans="1:10">
      <c r="A159" s="50" t="str">
        <v/>
      </c>
      <c r="B159" s="51" t="str">
        <v>地下室外墙3</v>
      </c>
      <c r="C159" s="51" t="str">
        <v/>
      </c>
      <c r="D159" s="51" t="str">
        <v/>
      </c>
      <c r="E159" s="51" t="str">
        <v/>
      </c>
      <c r="F159" s="52" t="str">
        <v/>
      </c>
      <c r="G159" s="48" t="str">
        <v/>
      </c>
      <c r="H159" s="49">
        <v>0</v>
      </c>
      <c r="I159" s="49">
        <v>0</v>
      </c>
      <c r="J159" s="50"/>
    </row>
    <row r="160" outlineLevel="1" spans="1:10">
      <c r="A160" s="50">
        <v>132</v>
      </c>
      <c r="B160" s="51" t="str">
        <v>外墙-30厚EPS</v>
      </c>
      <c r="C160" s="51" t="e">
        <v>#REF!</v>
      </c>
      <c r="D160" s="51" t="str">
        <v/>
      </c>
      <c r="E160" s="51" t="str">
        <v/>
      </c>
      <c r="F160" s="52" t="e">
        <v>#REF!</v>
      </c>
      <c r="G160" s="48" t="e">
        <v>#REF!</v>
      </c>
      <c r="H160" s="49">
        <v>463.77</v>
      </c>
      <c r="I160" s="49" t="e">
        <v>#REF!</v>
      </c>
      <c r="J160" s="50"/>
    </row>
    <row r="161" outlineLevel="1" spans="1:10">
      <c r="A161" s="50">
        <v>133</v>
      </c>
      <c r="B161" s="51" t="str">
        <v>外墙防水-1.5厚双面粘</v>
      </c>
      <c r="C161" s="51" t="e">
        <v>#REF!</v>
      </c>
      <c r="D161" s="51" t="str">
        <v/>
      </c>
      <c r="E161" s="51" t="str">
        <v/>
      </c>
      <c r="F161" s="52" t="e">
        <v>#REF!</v>
      </c>
      <c r="G161" s="48" t="e">
        <v>#REF!</v>
      </c>
      <c r="H161" s="49">
        <v>463.77</v>
      </c>
      <c r="I161" s="49" t="e">
        <v>#REF!</v>
      </c>
      <c r="J161" s="50"/>
    </row>
    <row r="162" outlineLevel="1" spans="1:10">
      <c r="A162" s="50">
        <v>134</v>
      </c>
      <c r="B162" s="51" t="str">
        <v>外墙-1.5厚水泥凝胶</v>
      </c>
      <c r="C162" s="51" t="e">
        <v>#REF!</v>
      </c>
      <c r="D162" s="51" t="str">
        <v/>
      </c>
      <c r="E162" s="51" t="str">
        <v/>
      </c>
      <c r="F162" s="52" t="e">
        <v>#REF!</v>
      </c>
      <c r="G162" s="48" t="e">
        <v>#REF!</v>
      </c>
      <c r="H162" s="49">
        <v>463.77</v>
      </c>
      <c r="I162" s="49" t="e">
        <v>#REF!</v>
      </c>
      <c r="J162" s="50"/>
    </row>
    <row r="163" outlineLevel="1" spans="1:10">
      <c r="A163" s="50" t="str">
        <v/>
      </c>
      <c r="B163" s="51" t="str">
        <v>地下室外墙4</v>
      </c>
      <c r="C163" s="51" t="str">
        <v/>
      </c>
      <c r="D163" s="51" t="str">
        <v/>
      </c>
      <c r="E163" s="51" t="str">
        <v/>
      </c>
      <c r="F163" s="52" t="str">
        <v/>
      </c>
      <c r="G163" s="48" t="str">
        <v/>
      </c>
      <c r="H163" s="49">
        <v>0</v>
      </c>
      <c r="I163" s="49">
        <v>0</v>
      </c>
      <c r="J163" s="50"/>
    </row>
    <row r="164" outlineLevel="1" spans="1:10">
      <c r="A164" s="50">
        <v>135</v>
      </c>
      <c r="B164" s="51" t="str">
        <v>外墙-30厚EPS</v>
      </c>
      <c r="C164" s="51" t="e">
        <v>#REF!</v>
      </c>
      <c r="D164" s="51" t="str">
        <v/>
      </c>
      <c r="E164" s="51" t="str">
        <v/>
      </c>
      <c r="F164" s="52" t="e">
        <v>#REF!</v>
      </c>
      <c r="G164" s="48" t="e">
        <v>#REF!</v>
      </c>
      <c r="H164" s="49">
        <v>31.15</v>
      </c>
      <c r="I164" s="49" t="e">
        <v>#REF!</v>
      </c>
      <c r="J164" s="50"/>
    </row>
    <row r="165" outlineLevel="1" spans="1:10">
      <c r="A165" s="50">
        <v>136</v>
      </c>
      <c r="B165" s="51" t="str">
        <v>外墙防水-1.5厚双面粘</v>
      </c>
      <c r="C165" s="51" t="e">
        <v>#REF!</v>
      </c>
      <c r="D165" s="51" t="str">
        <v/>
      </c>
      <c r="E165" s="51" t="str">
        <v/>
      </c>
      <c r="F165" s="52" t="e">
        <v>#REF!</v>
      </c>
      <c r="G165" s="48" t="e">
        <v>#REF!</v>
      </c>
      <c r="H165" s="49">
        <v>31.15</v>
      </c>
      <c r="I165" s="49" t="e">
        <v>#REF!</v>
      </c>
      <c r="J165" s="50"/>
    </row>
    <row r="166" outlineLevel="1" spans="1:10">
      <c r="A166" s="50">
        <v>137</v>
      </c>
      <c r="B166" s="51" t="str">
        <v>外墙防水-1.5厚单面粘</v>
      </c>
      <c r="C166" s="51" t="e">
        <v>#REF!</v>
      </c>
      <c r="D166" s="51" t="str">
        <v/>
      </c>
      <c r="E166" s="51" t="str">
        <v/>
      </c>
      <c r="F166" s="52" t="e">
        <v>#REF!</v>
      </c>
      <c r="G166" s="48" t="e">
        <v>#REF!</v>
      </c>
      <c r="H166" s="49">
        <v>31.15</v>
      </c>
      <c r="I166" s="49" t="e">
        <v>#REF!</v>
      </c>
      <c r="J166" s="50"/>
    </row>
    <row r="167" outlineLevel="1" spans="1:10">
      <c r="A167" s="50">
        <v>138</v>
      </c>
      <c r="B167" s="51" t="str">
        <v>外墙-1.5厚水泥凝胶</v>
      </c>
      <c r="C167" s="51" t="e">
        <v>#REF!</v>
      </c>
      <c r="D167" s="51" t="str">
        <v/>
      </c>
      <c r="E167" s="51" t="str">
        <v/>
      </c>
      <c r="F167" s="52" t="e">
        <v>#REF!</v>
      </c>
      <c r="G167" s="48" t="e">
        <v>#REF!</v>
      </c>
      <c r="H167" s="49">
        <v>31.15</v>
      </c>
      <c r="I167" s="49" t="e">
        <v>#REF!</v>
      </c>
      <c r="J167" s="50"/>
    </row>
    <row r="168" ht="28.8" outlineLevel="1" spans="1:10">
      <c r="A168" s="50" t="str">
        <v/>
      </c>
      <c r="B168" s="51" t="str">
        <v>独立楼梯间、坡道、进排风井外墙面于混凝土墙</v>
      </c>
      <c r="C168" s="51" t="str">
        <v/>
      </c>
      <c r="D168" s="51" t="str">
        <v/>
      </c>
      <c r="E168" s="51" t="str">
        <v/>
      </c>
      <c r="F168" s="52" t="str">
        <v/>
      </c>
      <c r="G168" s="48" t="str">
        <v/>
      </c>
      <c r="H168" s="49">
        <v>0</v>
      </c>
      <c r="I168" s="49">
        <v>0</v>
      </c>
      <c r="J168" s="50"/>
    </row>
    <row r="169" outlineLevel="1" spans="1:10">
      <c r="A169" s="50">
        <v>139</v>
      </c>
      <c r="B169" s="51" t="str">
        <v>外墙面-界面剂</v>
      </c>
      <c r="C169" s="51" t="e">
        <v>#REF!</v>
      </c>
      <c r="D169" s="51" t="str">
        <v/>
      </c>
      <c r="E169" s="51" t="str">
        <v/>
      </c>
      <c r="F169" s="52" t="e">
        <v>#REF!</v>
      </c>
      <c r="G169" s="48" t="e">
        <v>#REF!</v>
      </c>
      <c r="H169" s="49">
        <v>0</v>
      </c>
      <c r="I169" s="49" t="e">
        <v>#REF!</v>
      </c>
      <c r="J169" s="50"/>
    </row>
    <row r="170" outlineLevel="1" spans="1:10">
      <c r="A170" s="50">
        <v>140</v>
      </c>
      <c r="B170" s="51" t="str">
        <v>外墙面-15厚M7.5</v>
      </c>
      <c r="C170" s="51" t="e">
        <v>#REF!</v>
      </c>
      <c r="D170" s="51" t="str">
        <v/>
      </c>
      <c r="E170" s="51" t="str">
        <v/>
      </c>
      <c r="F170" s="52" t="e">
        <v>#REF!</v>
      </c>
      <c r="G170" s="48" t="e">
        <v>#REF!</v>
      </c>
      <c r="H170" s="49">
        <v>0</v>
      </c>
      <c r="I170" s="49" t="e">
        <v>#REF!</v>
      </c>
      <c r="J170" s="50"/>
    </row>
    <row r="171" outlineLevel="1" spans="1:10">
      <c r="A171" s="50">
        <v>141</v>
      </c>
      <c r="B171" s="51" t="str">
        <v>外墙面-网格布</v>
      </c>
      <c r="C171" s="51" t="e">
        <v>#REF!</v>
      </c>
      <c r="D171" s="51" t="str">
        <v/>
      </c>
      <c r="E171" s="51" t="str">
        <v/>
      </c>
      <c r="F171" s="52" t="e">
        <v>#REF!</v>
      </c>
      <c r="G171" s="48" t="e">
        <v>#REF!</v>
      </c>
      <c r="H171" s="49">
        <v>0</v>
      </c>
      <c r="I171" s="49" t="e">
        <v>#REF!</v>
      </c>
      <c r="J171" s="50"/>
    </row>
    <row r="172" ht="28.8" outlineLevel="1" spans="1:10">
      <c r="A172" s="50" t="str">
        <v/>
      </c>
      <c r="B172" s="51" t="str">
        <v>独立楼梯间、坡道、进排风井外墙面于砌筑墙</v>
      </c>
      <c r="C172" s="51" t="str">
        <v/>
      </c>
      <c r="D172" s="51" t="str">
        <v/>
      </c>
      <c r="E172" s="51" t="str">
        <v/>
      </c>
      <c r="F172" s="52" t="str">
        <v/>
      </c>
      <c r="G172" s="48" t="str">
        <v/>
      </c>
      <c r="H172" s="49">
        <v>0</v>
      </c>
      <c r="I172" s="49">
        <v>0</v>
      </c>
      <c r="J172" s="50"/>
    </row>
    <row r="173" outlineLevel="1" spans="1:10">
      <c r="A173" s="50">
        <v>142</v>
      </c>
      <c r="B173" s="51" t="str">
        <v>外墙面-界面剂</v>
      </c>
      <c r="C173" s="51" t="e">
        <v>#REF!</v>
      </c>
      <c r="D173" s="51" t="str">
        <v/>
      </c>
      <c r="E173" s="51" t="str">
        <v/>
      </c>
      <c r="F173" s="52" t="e">
        <v>#REF!</v>
      </c>
      <c r="G173" s="48" t="e">
        <v>#REF!</v>
      </c>
      <c r="H173" s="49">
        <v>0</v>
      </c>
      <c r="I173" s="49" t="e">
        <v>#REF!</v>
      </c>
      <c r="J173" s="50"/>
    </row>
    <row r="174" outlineLevel="1" spans="1:10">
      <c r="A174" s="50">
        <v>143</v>
      </c>
      <c r="B174" s="51" t="str">
        <v>外墙面-15厚M7.5</v>
      </c>
      <c r="C174" s="51" t="e">
        <v>#REF!</v>
      </c>
      <c r="D174" s="51" t="str">
        <v/>
      </c>
      <c r="E174" s="51" t="str">
        <v/>
      </c>
      <c r="F174" s="52" t="e">
        <v>#REF!</v>
      </c>
      <c r="G174" s="48" t="e">
        <v>#REF!</v>
      </c>
      <c r="H174" s="49">
        <v>0</v>
      </c>
      <c r="I174" s="49" t="e">
        <v>#REF!</v>
      </c>
      <c r="J174" s="50"/>
    </row>
    <row r="175" outlineLevel="1" spans="1:10">
      <c r="A175" s="50">
        <v>144</v>
      </c>
      <c r="B175" s="51" t="str">
        <v>外墙面-网格布</v>
      </c>
      <c r="C175" s="51" t="e">
        <v>#REF!</v>
      </c>
      <c r="D175" s="51" t="str">
        <v/>
      </c>
      <c r="E175" s="51" t="str">
        <v/>
      </c>
      <c r="F175" s="52" t="e">
        <v>#REF!</v>
      </c>
      <c r="G175" s="48" t="e">
        <v>#REF!</v>
      </c>
      <c r="H175" s="49">
        <v>0</v>
      </c>
      <c r="I175" s="49" t="e">
        <v>#REF!</v>
      </c>
      <c r="J175" s="50"/>
    </row>
    <row r="176" outlineLevel="1" spans="1:10">
      <c r="A176" s="50" t="str">
        <v/>
      </c>
      <c r="B176" s="51" t="str">
        <v>地下室顶板1</v>
      </c>
      <c r="C176" s="51" t="str">
        <v/>
      </c>
      <c r="D176" s="51" t="str">
        <v/>
      </c>
      <c r="E176" s="51" t="str">
        <v/>
      </c>
      <c r="F176" s="52" t="str">
        <v/>
      </c>
      <c r="G176" s="48" t="str">
        <v/>
      </c>
      <c r="H176" s="49">
        <v>0</v>
      </c>
      <c r="I176" s="49">
        <v>0</v>
      </c>
      <c r="J176" s="50"/>
    </row>
    <row r="177" ht="28.8" outlineLevel="1" spans="1:10">
      <c r="A177" s="50">
        <v>145</v>
      </c>
      <c r="B177" s="51" t="str">
        <v>顶板防水-1.5厚单面粘（阻根型）</v>
      </c>
      <c r="C177" s="51" t="e">
        <v>#REF!</v>
      </c>
      <c r="D177" s="51" t="str">
        <v/>
      </c>
      <c r="E177" s="51" t="str">
        <v/>
      </c>
      <c r="F177" s="52" t="e">
        <v>#REF!</v>
      </c>
      <c r="G177" s="48" t="e">
        <v>#REF!</v>
      </c>
      <c r="H177" s="49">
        <v>34.64</v>
      </c>
      <c r="I177" s="49" t="e">
        <v>#REF!</v>
      </c>
      <c r="J177" s="50"/>
    </row>
    <row r="178" outlineLevel="1" spans="1:10">
      <c r="A178" s="50">
        <v>146</v>
      </c>
      <c r="B178" s="51" t="str">
        <v>顶板防水-1.5厚双面粘</v>
      </c>
      <c r="C178" s="51" t="e">
        <v>#REF!</v>
      </c>
      <c r="D178" s="51" t="str">
        <v/>
      </c>
      <c r="E178" s="51" t="str">
        <v/>
      </c>
      <c r="F178" s="52" t="e">
        <v>#REF!</v>
      </c>
      <c r="G178" s="48" t="e">
        <v>#REF!</v>
      </c>
      <c r="H178" s="49">
        <v>34.64</v>
      </c>
      <c r="I178" s="49" t="e">
        <v>#REF!</v>
      </c>
      <c r="J178" s="50"/>
    </row>
    <row r="179" outlineLevel="1" spans="1:10">
      <c r="A179" s="50" t="str">
        <v/>
      </c>
      <c r="B179" s="51" t="str">
        <v>地下室顶板2</v>
      </c>
      <c r="C179" s="51" t="str">
        <v/>
      </c>
      <c r="D179" s="51" t="str">
        <v/>
      </c>
      <c r="E179" s="51" t="str">
        <v/>
      </c>
      <c r="F179" s="52" t="str">
        <v/>
      </c>
      <c r="G179" s="48" t="str">
        <v/>
      </c>
      <c r="H179" s="49">
        <v>0</v>
      </c>
      <c r="I179" s="49">
        <v>0</v>
      </c>
      <c r="J179" s="50"/>
    </row>
    <row r="180" ht="28.8" outlineLevel="1" spans="1:10">
      <c r="A180" s="50">
        <v>147</v>
      </c>
      <c r="B180" s="51" t="str">
        <v>顶板防水-1.5厚单面粘（阻根型）</v>
      </c>
      <c r="C180" s="51" t="e">
        <v>#REF!</v>
      </c>
      <c r="D180" s="51" t="str">
        <v/>
      </c>
      <c r="E180" s="51" t="str">
        <v/>
      </c>
      <c r="F180" s="52" t="e">
        <v>#REF!</v>
      </c>
      <c r="G180" s="48" t="e">
        <v>#REF!</v>
      </c>
      <c r="H180" s="49">
        <v>1</v>
      </c>
      <c r="I180" s="49" t="e">
        <v>#REF!</v>
      </c>
      <c r="J180" s="50"/>
    </row>
    <row r="181" outlineLevel="1" spans="1:10">
      <c r="A181" s="50">
        <v>148</v>
      </c>
      <c r="B181" s="51" t="str">
        <v>顶板防水-1.5厚沥青涂料</v>
      </c>
      <c r="C181" s="51" t="e">
        <v>#REF!</v>
      </c>
      <c r="D181" s="51" t="str">
        <v/>
      </c>
      <c r="E181" s="51" t="str">
        <v/>
      </c>
      <c r="F181" s="52" t="e">
        <v>#REF!</v>
      </c>
      <c r="G181" s="48" t="e">
        <v>#REF!</v>
      </c>
      <c r="H181" s="49">
        <v>1</v>
      </c>
      <c r="I181" s="49" t="e">
        <v>#REF!</v>
      </c>
      <c r="J181" s="50"/>
    </row>
    <row r="182" outlineLevel="1" spans="1:10">
      <c r="A182" s="50">
        <v>149</v>
      </c>
      <c r="B182" s="51" t="str">
        <v>顶板-100厚XPS</v>
      </c>
      <c r="C182" s="51" t="e">
        <v>#REF!</v>
      </c>
      <c r="D182" s="51" t="str">
        <v/>
      </c>
      <c r="E182" s="51" t="str">
        <v/>
      </c>
      <c r="F182" s="52" t="e">
        <v>#REF!</v>
      </c>
      <c r="G182" s="48" t="e">
        <v>#REF!</v>
      </c>
      <c r="H182" s="49">
        <v>0</v>
      </c>
      <c r="I182" s="49" t="e">
        <v>#REF!</v>
      </c>
      <c r="J182" s="50"/>
    </row>
    <row r="183" outlineLevel="1" spans="1:10">
      <c r="A183" s="50">
        <v>150</v>
      </c>
      <c r="B183" s="51" t="str">
        <v>顶板-C20细石砼找坡</v>
      </c>
      <c r="C183" s="51" t="e">
        <v>#REF!</v>
      </c>
      <c r="D183" s="51" t="str">
        <v/>
      </c>
      <c r="E183" s="51" t="str">
        <v/>
      </c>
      <c r="F183" s="52" t="e">
        <v>#REF!</v>
      </c>
      <c r="G183" s="48" t="e">
        <v>#REF!</v>
      </c>
      <c r="H183" s="49">
        <v>0</v>
      </c>
      <c r="I183" s="49" t="e">
        <v>#REF!</v>
      </c>
      <c r="J183" s="50"/>
    </row>
    <row r="184" outlineLevel="1" spans="1:10">
      <c r="A184" s="50" t="str">
        <v/>
      </c>
      <c r="B184" s="51" t="str">
        <v>地下室底板</v>
      </c>
      <c r="C184" s="51" t="str">
        <v/>
      </c>
      <c r="D184" s="51" t="str">
        <v/>
      </c>
      <c r="E184" s="51" t="str">
        <v/>
      </c>
      <c r="F184" s="52" t="str">
        <v/>
      </c>
      <c r="G184" s="48" t="str">
        <v/>
      </c>
      <c r="H184" s="49">
        <v>0</v>
      </c>
      <c r="I184" s="49">
        <v>0</v>
      </c>
      <c r="J184" s="50"/>
    </row>
    <row r="185" ht="28.8" outlineLevel="1" spans="1:10">
      <c r="A185" s="50">
        <v>151</v>
      </c>
      <c r="B185" s="51" t="str">
        <v>底板防水-1.2厚预铺反粘（单面粘）</v>
      </c>
      <c r="C185" s="51" t="e">
        <v>#REF!</v>
      </c>
      <c r="D185" s="51" t="str">
        <v/>
      </c>
      <c r="E185" s="51" t="str">
        <v/>
      </c>
      <c r="F185" s="52" t="e">
        <v>#REF!</v>
      </c>
      <c r="G185" s="48" t="e">
        <v>#REF!</v>
      </c>
      <c r="H185" s="49">
        <v>993.95</v>
      </c>
      <c r="I185" s="49" t="e">
        <v>#REF!</v>
      </c>
      <c r="J185" s="50"/>
    </row>
    <row r="186" ht="28.8" outlineLevel="1" spans="1:10">
      <c r="A186" s="50">
        <v>152</v>
      </c>
      <c r="B186" s="51" t="str">
        <v>底板防水-1.5厚反粘（双面粘）</v>
      </c>
      <c r="C186" s="51" t="e">
        <v>#REF!</v>
      </c>
      <c r="D186" s="51" t="str">
        <v/>
      </c>
      <c r="E186" s="51" t="str">
        <v/>
      </c>
      <c r="F186" s="52" t="e">
        <v>#REF!</v>
      </c>
      <c r="G186" s="48" t="e">
        <v>#REF!</v>
      </c>
      <c r="H186" s="49">
        <v>0</v>
      </c>
      <c r="I186" s="49" t="e">
        <v>#REF!</v>
      </c>
      <c r="J186" s="50"/>
    </row>
    <row r="187" ht="28.8" outlineLevel="1" spans="1:10">
      <c r="A187" s="50">
        <v>153</v>
      </c>
      <c r="B187" s="51" t="str">
        <v>沟坑内壁-20厚聚合物防水砂浆</v>
      </c>
      <c r="C187" s="51" t="e">
        <v>#REF!</v>
      </c>
      <c r="D187" s="51" t="str">
        <v/>
      </c>
      <c r="E187" s="51" t="str">
        <v/>
      </c>
      <c r="F187" s="52" t="e">
        <v>#REF!</v>
      </c>
      <c r="G187" s="48" t="e">
        <v>#REF!</v>
      </c>
      <c r="H187" s="49">
        <v>113.11</v>
      </c>
      <c r="I187" s="49" t="e">
        <v>#REF!</v>
      </c>
      <c r="J187" s="50"/>
    </row>
    <row r="188" outlineLevel="1" spans="1:10">
      <c r="A188" s="50" t="str">
        <v/>
      </c>
      <c r="B188" s="51" t="str">
        <v>电梯基坑1</v>
      </c>
      <c r="C188" s="51" t="str">
        <v/>
      </c>
      <c r="D188" s="51" t="str">
        <v/>
      </c>
      <c r="E188" s="51" t="str">
        <v/>
      </c>
      <c r="F188" s="52" t="str">
        <v/>
      </c>
      <c r="G188" s="48" t="str">
        <v/>
      </c>
      <c r="H188" s="49">
        <v>0</v>
      </c>
      <c r="I188" s="49">
        <v>0</v>
      </c>
      <c r="J188" s="50"/>
    </row>
    <row r="189" outlineLevel="1" spans="1:10">
      <c r="A189" s="50">
        <v>154</v>
      </c>
      <c r="B189" s="51" t="str">
        <v>基坑-M20水泥砂浆</v>
      </c>
      <c r="C189" s="51" t="e">
        <v>#REF!</v>
      </c>
      <c r="D189" s="51" t="str">
        <v/>
      </c>
      <c r="E189" s="51" t="str">
        <v/>
      </c>
      <c r="F189" s="52" t="e">
        <v>#REF!</v>
      </c>
      <c r="G189" s="48" t="e">
        <v>#REF!</v>
      </c>
      <c r="H189" s="49">
        <v>0</v>
      </c>
      <c r="I189" s="49" t="e">
        <v>#REF!</v>
      </c>
      <c r="J189" s="50"/>
    </row>
    <row r="190" ht="28.8" outlineLevel="1" spans="1:10">
      <c r="A190" s="50">
        <v>155</v>
      </c>
      <c r="B190" s="51" t="str">
        <v>沟坑内壁-20厚聚合物防水砂浆</v>
      </c>
      <c r="C190" s="51" t="e">
        <v>#REF!</v>
      </c>
      <c r="D190" s="51" t="str">
        <v/>
      </c>
      <c r="E190" s="51" t="str">
        <v/>
      </c>
      <c r="F190" s="52" t="e">
        <v>#REF!</v>
      </c>
      <c r="G190" s="48" t="e">
        <v>#REF!</v>
      </c>
      <c r="H190" s="49">
        <v>0</v>
      </c>
      <c r="I190" s="49" t="e">
        <v>#REF!</v>
      </c>
      <c r="J190" s="50"/>
    </row>
    <row r="191" outlineLevel="1" spans="1:10">
      <c r="A191" s="50">
        <v>156</v>
      </c>
      <c r="B191" s="51" t="str">
        <v>基坑-1.5厚聚氨酯涂料</v>
      </c>
      <c r="C191" s="51" t="e">
        <v>#REF!</v>
      </c>
      <c r="D191" s="51" t="str">
        <v/>
      </c>
      <c r="E191" s="51" t="str">
        <v/>
      </c>
      <c r="F191" s="52" t="e">
        <v>#REF!</v>
      </c>
      <c r="G191" s="48" t="e">
        <v>#REF!</v>
      </c>
      <c r="H191" s="49">
        <v>0</v>
      </c>
      <c r="I191" s="49" t="e">
        <v>#REF!</v>
      </c>
      <c r="J191" s="50"/>
    </row>
    <row r="192" outlineLevel="1" spans="1:10">
      <c r="A192" s="50">
        <v>157</v>
      </c>
      <c r="B192" s="51" t="str">
        <v>基坑-40厚C20细石砼</v>
      </c>
      <c r="C192" s="51" t="e">
        <v>#REF!</v>
      </c>
      <c r="D192" s="51" t="str">
        <v/>
      </c>
      <c r="E192" s="51" t="str">
        <v/>
      </c>
      <c r="F192" s="52" t="e">
        <v>#REF!</v>
      </c>
      <c r="G192" s="48" t="e">
        <v>#REF!</v>
      </c>
      <c r="H192" s="49">
        <v>0</v>
      </c>
      <c r="I192" s="49" t="e">
        <v>#REF!</v>
      </c>
      <c r="J192" s="50"/>
    </row>
    <row r="193" outlineLevel="1" spans="1:10">
      <c r="A193" s="50">
        <v>158</v>
      </c>
      <c r="B193" s="51" t="str">
        <v>基坑-φ4@100钢筋网片</v>
      </c>
      <c r="C193" s="51" t="e">
        <v>#REF!</v>
      </c>
      <c r="D193" s="51" t="str">
        <v/>
      </c>
      <c r="E193" s="51" t="str">
        <v/>
      </c>
      <c r="F193" s="52" t="e">
        <v>#REF!</v>
      </c>
      <c r="G193" s="48" t="e">
        <v>#REF!</v>
      </c>
      <c r="H193" s="49">
        <v>0</v>
      </c>
      <c r="I193" s="49" t="e">
        <v>#REF!</v>
      </c>
      <c r="J193" s="50"/>
    </row>
    <row r="194" outlineLevel="1" spans="1:10">
      <c r="A194" s="50">
        <v>159</v>
      </c>
      <c r="B194" s="51" t="str">
        <v>基坑-塑料膜</v>
      </c>
      <c r="C194" s="51" t="e">
        <v>#REF!</v>
      </c>
      <c r="D194" s="51" t="str">
        <v/>
      </c>
      <c r="E194" s="51" t="str">
        <v/>
      </c>
      <c r="F194" s="52" t="e">
        <v>#REF!</v>
      </c>
      <c r="G194" s="48" t="e">
        <v>#REF!</v>
      </c>
      <c r="H194" s="49">
        <v>0</v>
      </c>
      <c r="I194" s="49" t="e">
        <v>#REF!</v>
      </c>
      <c r="J194" s="50"/>
    </row>
    <row r="195" outlineLevel="1" spans="1:10">
      <c r="A195" s="50">
        <v>160</v>
      </c>
      <c r="B195" s="51" t="str">
        <v>基坑-120厚XPS</v>
      </c>
      <c r="C195" s="51" t="e">
        <v>#REF!</v>
      </c>
      <c r="D195" s="51" t="str">
        <v/>
      </c>
      <c r="E195" s="51" t="str">
        <v/>
      </c>
      <c r="F195" s="52" t="e">
        <v>#REF!</v>
      </c>
      <c r="G195" s="48" t="e">
        <v>#REF!</v>
      </c>
      <c r="H195" s="49">
        <v>0</v>
      </c>
      <c r="I195" s="49" t="e">
        <v>#REF!</v>
      </c>
      <c r="J195" s="50"/>
    </row>
    <row r="196" outlineLevel="1" spans="1:10">
      <c r="A196" s="50">
        <v>161</v>
      </c>
      <c r="B196" s="51" t="str">
        <v>基坑-1.5厚聚氨酯涂料</v>
      </c>
      <c r="C196" s="51" t="e">
        <v>#REF!</v>
      </c>
      <c r="D196" s="51" t="str">
        <v/>
      </c>
      <c r="E196" s="51" t="str">
        <v/>
      </c>
      <c r="F196" s="52" t="e">
        <v>#REF!</v>
      </c>
      <c r="G196" s="48" t="e">
        <v>#REF!</v>
      </c>
      <c r="H196" s="49">
        <v>0</v>
      </c>
      <c r="I196" s="49" t="e">
        <v>#REF!</v>
      </c>
      <c r="J196" s="50"/>
    </row>
    <row r="197" outlineLevel="1" spans="1:10">
      <c r="A197" s="50">
        <v>162</v>
      </c>
      <c r="B197" s="51" t="str">
        <v>基坑-素水泥浆</v>
      </c>
      <c r="C197" s="51" t="e">
        <v>#REF!</v>
      </c>
      <c r="D197" s="51" t="str">
        <v/>
      </c>
      <c r="E197" s="51" t="str">
        <v/>
      </c>
      <c r="F197" s="52" t="e">
        <v>#REF!</v>
      </c>
      <c r="G197" s="48" t="e">
        <v>#REF!</v>
      </c>
      <c r="H197" s="49">
        <v>0</v>
      </c>
      <c r="I197" s="49" t="e">
        <v>#REF!</v>
      </c>
      <c r="J197" s="50"/>
    </row>
    <row r="198" outlineLevel="1" spans="1:10">
      <c r="A198" s="50">
        <v>163</v>
      </c>
      <c r="B198" s="51" t="str">
        <v>基坑-20厚真空绝热板</v>
      </c>
      <c r="C198" s="51" t="e">
        <v>#REF!</v>
      </c>
      <c r="D198" s="51" t="str">
        <v/>
      </c>
      <c r="E198" s="51" t="str">
        <v/>
      </c>
      <c r="F198" s="52" t="e">
        <v>#REF!</v>
      </c>
      <c r="G198" s="56" t="e">
        <v>#REF!</v>
      </c>
      <c r="H198" s="56">
        <v>0</v>
      </c>
      <c r="I198" s="49" t="e">
        <v>#REF!</v>
      </c>
      <c r="J198" s="50"/>
    </row>
    <row r="199" outlineLevel="1" spans="1:10">
      <c r="A199" s="50">
        <v>164</v>
      </c>
      <c r="B199" s="51" t="str">
        <v>基坑-1.2厚聚氨酯涂料</v>
      </c>
      <c r="C199" s="51" t="e">
        <v>#REF!</v>
      </c>
      <c r="D199" s="51" t="str">
        <v/>
      </c>
      <c r="E199" s="51" t="str">
        <v/>
      </c>
      <c r="F199" s="52" t="e">
        <v>#REF!</v>
      </c>
      <c r="G199" s="48" t="e">
        <v>#REF!</v>
      </c>
      <c r="H199" s="49">
        <v>0</v>
      </c>
      <c r="I199" s="49" t="e">
        <v>#REF!</v>
      </c>
      <c r="J199" s="50"/>
    </row>
    <row r="200" outlineLevel="1" spans="1:10">
      <c r="A200" s="50">
        <v>165</v>
      </c>
      <c r="B200" s="51" t="str">
        <v>遇水膨胀止水条</v>
      </c>
      <c r="C200" s="51" t="e">
        <v>#REF!</v>
      </c>
      <c r="D200" s="51" t="str">
        <v/>
      </c>
      <c r="E200" s="51" t="str">
        <v/>
      </c>
      <c r="F200" s="52" t="e">
        <v>#REF!</v>
      </c>
      <c r="G200" s="48" t="e">
        <v>#REF!</v>
      </c>
      <c r="H200" s="49">
        <v>35.5</v>
      </c>
      <c r="I200" s="49" t="e">
        <v>#REF!</v>
      </c>
      <c r="J200" s="50"/>
    </row>
    <row r="201" outlineLevel="1" spans="1:10">
      <c r="A201" s="50">
        <v>166</v>
      </c>
      <c r="B201" s="51" t="str">
        <v>钢板止水条</v>
      </c>
      <c r="C201" s="51" t="e">
        <v>#REF!</v>
      </c>
      <c r="D201" s="51" t="str">
        <v/>
      </c>
      <c r="E201" s="51" t="str">
        <v/>
      </c>
      <c r="F201" s="52" t="e">
        <v>#REF!</v>
      </c>
      <c r="G201" s="48" t="e">
        <v>#REF!</v>
      </c>
      <c r="H201" s="49">
        <v>218.732727272727</v>
      </c>
      <c r="I201" s="49" t="e">
        <v>#REF!</v>
      </c>
      <c r="J201" s="50"/>
    </row>
    <row r="202" outlineLevel="1" spans="1:10">
      <c r="A202" s="50">
        <v>167</v>
      </c>
      <c r="B202" s="51" t="str">
        <v>橡胶止水带</v>
      </c>
      <c r="C202" s="51" t="e">
        <v>#REF!</v>
      </c>
      <c r="D202" s="51" t="str">
        <v/>
      </c>
      <c r="E202" s="51" t="str">
        <v/>
      </c>
      <c r="F202" s="52" t="e">
        <v>#REF!</v>
      </c>
      <c r="G202" s="48" t="e">
        <v>#REF!</v>
      </c>
      <c r="H202" s="49">
        <v>0</v>
      </c>
      <c r="I202" s="49" t="e">
        <v>#REF!</v>
      </c>
      <c r="J202" s="50"/>
    </row>
    <row r="203" ht="28.8" outlineLevel="1" spans="1:10">
      <c r="A203" s="50" t="str">
        <v/>
      </c>
      <c r="B203" s="51" t="str">
        <v>非上人屋面（楼梯间.门厅.水箱间等）</v>
      </c>
      <c r="C203" s="51" t="str">
        <v/>
      </c>
      <c r="D203" s="51" t="str">
        <v/>
      </c>
      <c r="E203" s="51" t="str">
        <v/>
      </c>
      <c r="F203" s="52" t="str">
        <v/>
      </c>
      <c r="G203" s="48" t="str">
        <v/>
      </c>
      <c r="H203" s="49">
        <v>0</v>
      </c>
      <c r="I203" s="49">
        <v>0</v>
      </c>
      <c r="J203" s="50"/>
    </row>
    <row r="204" ht="28.8" outlineLevel="1" spans="1:10">
      <c r="A204" s="50">
        <v>168</v>
      </c>
      <c r="B204" s="51" t="str">
        <v>屋面-20厚M15水泥砂浆保护层</v>
      </c>
      <c r="C204" s="51" t="e">
        <v>#REF!</v>
      </c>
      <c r="D204" s="51" t="str">
        <v/>
      </c>
      <c r="E204" s="51" t="str">
        <v/>
      </c>
      <c r="F204" s="52" t="e">
        <v>#REF!</v>
      </c>
      <c r="G204" s="48" t="e">
        <v>#REF!</v>
      </c>
      <c r="H204" s="49">
        <v>0</v>
      </c>
      <c r="I204" s="49" t="e">
        <v>#REF!</v>
      </c>
      <c r="J204" s="50"/>
    </row>
    <row r="205" outlineLevel="1" spans="1:10">
      <c r="A205" s="50">
        <v>169</v>
      </c>
      <c r="B205" s="51" t="str">
        <v>屋面-土工布</v>
      </c>
      <c r="C205" s="51" t="e">
        <v>#REF!</v>
      </c>
      <c r="D205" s="51" t="str">
        <v/>
      </c>
      <c r="E205" s="51" t="str">
        <v/>
      </c>
      <c r="F205" s="52" t="e">
        <v>#REF!</v>
      </c>
      <c r="G205" s="48" t="e">
        <v>#REF!</v>
      </c>
      <c r="H205" s="49">
        <v>0</v>
      </c>
      <c r="I205" s="49" t="e">
        <v>#REF!</v>
      </c>
      <c r="J205" s="50"/>
    </row>
    <row r="206" outlineLevel="1" spans="1:10">
      <c r="A206" s="50">
        <v>170</v>
      </c>
      <c r="B206" s="51" t="str">
        <v>屋面-3+3SBS</v>
      </c>
      <c r="C206" s="51" t="e">
        <v>#REF!</v>
      </c>
      <c r="D206" s="51" t="str">
        <v/>
      </c>
      <c r="E206" s="51" t="str">
        <v/>
      </c>
      <c r="F206" s="52" t="e">
        <v>#REF!</v>
      </c>
      <c r="G206" s="48" t="e">
        <v>#REF!</v>
      </c>
      <c r="H206" s="49">
        <v>0</v>
      </c>
      <c r="I206" s="49" t="e">
        <v>#REF!</v>
      </c>
      <c r="J206" s="50"/>
    </row>
    <row r="207" outlineLevel="1" spans="1:10">
      <c r="A207" s="50">
        <v>171</v>
      </c>
      <c r="B207" s="51" t="str">
        <v>屋面-30厚C20细石砼</v>
      </c>
      <c r="C207" s="51" t="e">
        <v>#REF!</v>
      </c>
      <c r="D207" s="51" t="str">
        <v/>
      </c>
      <c r="E207" s="51" t="str">
        <v/>
      </c>
      <c r="F207" s="52" t="e">
        <v>#REF!</v>
      </c>
      <c r="G207" s="48" t="e">
        <v>#REF!</v>
      </c>
      <c r="H207" s="49">
        <v>0</v>
      </c>
      <c r="I207" s="49" t="e">
        <v>#REF!</v>
      </c>
      <c r="J207" s="50"/>
    </row>
    <row r="208" outlineLevel="1" spans="1:10">
      <c r="A208" s="50">
        <v>172</v>
      </c>
      <c r="B208" s="51" t="str">
        <v>屋面-最薄处30厚焦渣找坡</v>
      </c>
      <c r="C208" s="51" t="e">
        <v>#REF!</v>
      </c>
      <c r="D208" s="51" t="str">
        <v/>
      </c>
      <c r="E208" s="51" t="str">
        <v/>
      </c>
      <c r="F208" s="52" t="e">
        <v>#REF!</v>
      </c>
      <c r="G208" s="48" t="e">
        <v>#REF!</v>
      </c>
      <c r="H208" s="49">
        <v>0</v>
      </c>
      <c r="I208" s="49" t="e">
        <v>#REF!</v>
      </c>
      <c r="J208" s="50"/>
    </row>
    <row r="209" outlineLevel="1" spans="1:10">
      <c r="A209" s="50">
        <v>173</v>
      </c>
      <c r="B209" s="51" t="str">
        <v>屋面-190厚EPS</v>
      </c>
      <c r="C209" s="51" t="e">
        <v>#REF!</v>
      </c>
      <c r="D209" s="51" t="str">
        <v/>
      </c>
      <c r="E209" s="51" t="str">
        <v/>
      </c>
      <c r="F209" s="52" t="e">
        <v>#REF!</v>
      </c>
      <c r="G209" s="48" t="e">
        <v>#REF!</v>
      </c>
      <c r="H209" s="49">
        <v>0</v>
      </c>
      <c r="I209" s="49" t="e">
        <v>#REF!</v>
      </c>
      <c r="J209" s="50"/>
    </row>
    <row r="210" ht="28.8" outlineLevel="1" spans="1:10">
      <c r="A210" s="50" t="str">
        <v/>
      </c>
      <c r="B210" s="51" t="str">
        <v>非上人屋面（楼梯间.门厅.水箱间等）与主楼相连</v>
      </c>
      <c r="C210" s="51" t="str">
        <v/>
      </c>
      <c r="D210" s="51" t="str">
        <v/>
      </c>
      <c r="E210" s="51" t="str">
        <v/>
      </c>
      <c r="F210" s="52" t="str">
        <v/>
      </c>
      <c r="G210" s="48" t="str">
        <v/>
      </c>
      <c r="H210" s="49">
        <v>0</v>
      </c>
      <c r="I210" s="49">
        <v>0</v>
      </c>
      <c r="J210" s="50"/>
    </row>
    <row r="211" ht="28.8" outlineLevel="1" spans="1:10">
      <c r="A211" s="50">
        <v>174</v>
      </c>
      <c r="B211" s="51" t="str">
        <v>屋面-20厚M15水泥砂浆保护层</v>
      </c>
      <c r="C211" s="51" t="e">
        <v>#REF!</v>
      </c>
      <c r="D211" s="51" t="str">
        <v/>
      </c>
      <c r="E211" s="51" t="str">
        <v/>
      </c>
      <c r="F211" s="52" t="e">
        <v>#REF!</v>
      </c>
      <c r="G211" s="48" t="e">
        <v>#REF!</v>
      </c>
      <c r="H211" s="49">
        <v>0</v>
      </c>
      <c r="I211" s="49" t="e">
        <v>#REF!</v>
      </c>
      <c r="J211" s="50"/>
    </row>
    <row r="212" outlineLevel="1" spans="1:10">
      <c r="A212" s="50">
        <v>175</v>
      </c>
      <c r="B212" s="51" t="str">
        <v>屋面-土工布</v>
      </c>
      <c r="C212" s="51" t="e">
        <v>#REF!</v>
      </c>
      <c r="D212" s="51" t="str">
        <v/>
      </c>
      <c r="E212" s="51" t="str">
        <v/>
      </c>
      <c r="F212" s="52" t="e">
        <v>#REF!</v>
      </c>
      <c r="G212" s="48" t="e">
        <v>#REF!</v>
      </c>
      <c r="H212" s="49">
        <v>0</v>
      </c>
      <c r="I212" s="49" t="e">
        <v>#REF!</v>
      </c>
      <c r="J212" s="50"/>
    </row>
    <row r="213" outlineLevel="1" spans="1:10">
      <c r="A213" s="50">
        <v>176</v>
      </c>
      <c r="B213" s="51" t="str">
        <v>屋面-4厚SBS</v>
      </c>
      <c r="C213" s="51" t="e">
        <v>#REF!</v>
      </c>
      <c r="D213" s="51" t="str">
        <v/>
      </c>
      <c r="E213" s="51" t="str">
        <v/>
      </c>
      <c r="F213" s="52" t="e">
        <v>#REF!</v>
      </c>
      <c r="G213" s="48" t="e">
        <v>#REF!</v>
      </c>
      <c r="H213" s="49">
        <v>0</v>
      </c>
      <c r="I213" s="49" t="e">
        <v>#REF!</v>
      </c>
      <c r="J213" s="50"/>
    </row>
    <row r="214" outlineLevel="1" spans="1:10">
      <c r="A214" s="50">
        <v>177</v>
      </c>
      <c r="B214" s="51" t="str">
        <v>屋面-30厚C20细石砼</v>
      </c>
      <c r="C214" s="51" t="e">
        <v>#REF!</v>
      </c>
      <c r="D214" s="51" t="str">
        <v/>
      </c>
      <c r="E214" s="51" t="str">
        <v/>
      </c>
      <c r="F214" s="52" t="e">
        <v>#REF!</v>
      </c>
      <c r="G214" s="48" t="e">
        <v>#REF!</v>
      </c>
      <c r="H214" s="49">
        <v>0</v>
      </c>
      <c r="I214" s="49" t="e">
        <v>#REF!</v>
      </c>
      <c r="J214" s="50"/>
    </row>
    <row r="215" outlineLevel="1" spans="1:10">
      <c r="A215" s="50">
        <v>178</v>
      </c>
      <c r="B215" s="51" t="str">
        <v>屋面-最薄处30厚焦渣找坡</v>
      </c>
      <c r="C215" s="51" t="e">
        <v>#REF!</v>
      </c>
      <c r="D215" s="51" t="str">
        <v/>
      </c>
      <c r="E215" s="51" t="str">
        <v/>
      </c>
      <c r="F215" s="52" t="e">
        <v>#REF!</v>
      </c>
      <c r="G215" s="48" t="e">
        <v>#REF!</v>
      </c>
      <c r="H215" s="49">
        <v>0</v>
      </c>
      <c r="I215" s="49" t="e">
        <v>#REF!</v>
      </c>
      <c r="J215" s="50"/>
    </row>
    <row r="216" outlineLevel="1" spans="1:10">
      <c r="A216" s="50">
        <v>179</v>
      </c>
      <c r="B216" s="51" t="str">
        <v>屋面-200厚EPS</v>
      </c>
      <c r="C216" s="51" t="e">
        <v>#REF!</v>
      </c>
      <c r="D216" s="51" t="str">
        <v/>
      </c>
      <c r="E216" s="51" t="str">
        <v/>
      </c>
      <c r="F216" s="52" t="e">
        <v>#REF!</v>
      </c>
      <c r="G216" s="48" t="e">
        <v>#REF!</v>
      </c>
      <c r="H216" s="49">
        <v>0</v>
      </c>
      <c r="I216" s="49" t="e">
        <v>#REF!</v>
      </c>
      <c r="J216" s="50"/>
    </row>
    <row r="217" ht="28.8" outlineLevel="1" spans="1:10">
      <c r="A217" s="50" t="str">
        <v/>
      </c>
      <c r="B217" s="51" t="str">
        <v>非上人屋面（楼梯间.门厅.水箱间等）不与主楼相连</v>
      </c>
      <c r="C217" s="51" t="str">
        <v/>
      </c>
      <c r="D217" s="51" t="str">
        <v/>
      </c>
      <c r="E217" s="51" t="str">
        <v/>
      </c>
      <c r="F217" s="52" t="str">
        <v/>
      </c>
      <c r="G217" s="48" t="str">
        <v/>
      </c>
      <c r="H217" s="49">
        <v>0</v>
      </c>
      <c r="I217" s="49">
        <v>0</v>
      </c>
      <c r="J217" s="50"/>
    </row>
    <row r="218" ht="28.8" outlineLevel="1" spans="1:10">
      <c r="A218" s="50">
        <v>180</v>
      </c>
      <c r="B218" s="51" t="str">
        <v>屋面-20厚M15水泥砂浆保护层</v>
      </c>
      <c r="C218" s="51" t="e">
        <v>#REF!</v>
      </c>
      <c r="D218" s="51" t="str">
        <v/>
      </c>
      <c r="E218" s="51" t="str">
        <v/>
      </c>
      <c r="F218" s="52" t="e">
        <v>#REF!</v>
      </c>
      <c r="G218" s="48" t="e">
        <v>#REF!</v>
      </c>
      <c r="H218" s="49">
        <v>0</v>
      </c>
      <c r="I218" s="49" t="e">
        <v>#REF!</v>
      </c>
      <c r="J218" s="50"/>
    </row>
    <row r="219" outlineLevel="1" spans="1:10">
      <c r="A219" s="50">
        <v>181</v>
      </c>
      <c r="B219" s="51" t="str">
        <v>屋面-土工布</v>
      </c>
      <c r="C219" s="51" t="e">
        <v>#REF!</v>
      </c>
      <c r="D219" s="51" t="str">
        <v/>
      </c>
      <c r="E219" s="51" t="str">
        <v/>
      </c>
      <c r="F219" s="52" t="e">
        <v>#REF!</v>
      </c>
      <c r="G219" s="48" t="e">
        <v>#REF!</v>
      </c>
      <c r="H219" s="49">
        <v>0</v>
      </c>
      <c r="I219" s="49" t="e">
        <v>#REF!</v>
      </c>
      <c r="J219" s="50"/>
    </row>
    <row r="220" outlineLevel="1" spans="1:10">
      <c r="A220" s="50">
        <v>182</v>
      </c>
      <c r="B220" s="51" t="str">
        <v>屋面-4厚SBS</v>
      </c>
      <c r="C220" s="51" t="e">
        <v>#REF!</v>
      </c>
      <c r="D220" s="51" t="str">
        <v/>
      </c>
      <c r="E220" s="51" t="str">
        <v/>
      </c>
      <c r="F220" s="52" t="e">
        <v>#REF!</v>
      </c>
      <c r="G220" s="48" t="e">
        <v>#REF!</v>
      </c>
      <c r="H220" s="49">
        <v>0</v>
      </c>
      <c r="I220" s="49" t="e">
        <v>#REF!</v>
      </c>
      <c r="J220" s="50"/>
    </row>
    <row r="221" outlineLevel="1" spans="1:10">
      <c r="A221" s="50">
        <v>183</v>
      </c>
      <c r="B221" s="51" t="str">
        <v>屋面-30厚C20细石砼</v>
      </c>
      <c r="C221" s="51" t="e">
        <v>#REF!</v>
      </c>
      <c r="D221" s="51" t="str">
        <v/>
      </c>
      <c r="E221" s="51" t="str">
        <v/>
      </c>
      <c r="F221" s="52" t="e">
        <v>#REF!</v>
      </c>
      <c r="G221" s="48" t="e">
        <v>#REF!</v>
      </c>
      <c r="H221" s="49">
        <v>0</v>
      </c>
      <c r="I221" s="49" t="e">
        <v>#REF!</v>
      </c>
      <c r="J221" s="50"/>
    </row>
    <row r="222" outlineLevel="1" spans="1:10">
      <c r="A222" s="50">
        <v>184</v>
      </c>
      <c r="B222" s="51" t="str">
        <v>屋面-最薄处30厚焦渣找坡</v>
      </c>
      <c r="C222" s="51" t="e">
        <v>#REF!</v>
      </c>
      <c r="D222" s="51" t="str">
        <v/>
      </c>
      <c r="E222" s="51" t="str">
        <v/>
      </c>
      <c r="F222" s="52" t="e">
        <v>#REF!</v>
      </c>
      <c r="G222" s="48" t="e">
        <v>#REF!</v>
      </c>
      <c r="H222" s="49">
        <v>0</v>
      </c>
      <c r="I222" s="49" t="e">
        <v>#REF!</v>
      </c>
      <c r="J222" s="50"/>
    </row>
    <row r="223" outlineLevel="1" spans="1:10">
      <c r="A223" s="50">
        <v>185</v>
      </c>
      <c r="B223" s="51" t="str">
        <v>屋面-风井窗井</v>
      </c>
      <c r="C223" s="51" t="e">
        <v>#REF!</v>
      </c>
      <c r="D223" s="51" t="str">
        <v/>
      </c>
      <c r="E223" s="51" t="str">
        <v/>
      </c>
      <c r="F223" s="52" t="e">
        <v>#REF!</v>
      </c>
      <c r="G223" s="48" t="e">
        <v>#REF!</v>
      </c>
      <c r="H223" s="49">
        <v>0</v>
      </c>
      <c r="I223" s="49" t="e">
        <v>#REF!</v>
      </c>
      <c r="J223" s="50"/>
    </row>
    <row r="224" outlineLevel="1" spans="1:10">
      <c r="A224" s="50">
        <v>186</v>
      </c>
      <c r="B224" s="51" t="str">
        <v>屋面-顶板后浇带找平层</v>
      </c>
      <c r="C224" s="51" t="e">
        <v>#REF!</v>
      </c>
      <c r="D224" s="51" t="str">
        <v/>
      </c>
      <c r="E224" s="51" t="str">
        <v/>
      </c>
      <c r="F224" s="52" t="e">
        <v>#REF!</v>
      </c>
      <c r="G224" s="48" t="e">
        <v>#REF!</v>
      </c>
      <c r="H224" s="49">
        <v>0</v>
      </c>
      <c r="I224" s="49" t="e">
        <v>#REF!</v>
      </c>
      <c r="J224" s="50"/>
    </row>
    <row r="225" outlineLevel="1" spans="1:10">
      <c r="A225" s="50">
        <v>187</v>
      </c>
      <c r="B225" s="51" t="str">
        <v>水簸箕-C20细石砼</v>
      </c>
      <c r="C225" s="51" t="e">
        <v>#REF!</v>
      </c>
      <c r="D225" s="51" t="str">
        <v/>
      </c>
      <c r="E225" s="51" t="str">
        <v/>
      </c>
      <c r="F225" s="52" t="e">
        <v>#REF!</v>
      </c>
      <c r="G225" s="48" t="e">
        <v>#REF!</v>
      </c>
      <c r="H225" s="49">
        <v>0</v>
      </c>
      <c r="I225" s="49" t="e">
        <v>#REF!</v>
      </c>
      <c r="J225" s="50"/>
    </row>
    <row r="226" outlineLevel="1" spans="1:10">
      <c r="A226" s="50">
        <v>188</v>
      </c>
      <c r="B226" s="51" t="str">
        <v>屋面-Φ110UPVC雨水管</v>
      </c>
      <c r="C226" s="51" t="e">
        <v>#REF!</v>
      </c>
      <c r="D226" s="51" t="str">
        <v/>
      </c>
      <c r="E226" s="51" t="str">
        <v/>
      </c>
      <c r="F226" s="52" t="e">
        <v>#REF!</v>
      </c>
      <c r="G226" s="48" t="e">
        <v>#REF!</v>
      </c>
      <c r="H226" s="49">
        <v>0</v>
      </c>
      <c r="I226" s="49" t="e">
        <v>#REF!</v>
      </c>
      <c r="J226" s="50"/>
    </row>
    <row r="227" outlineLevel="1" spans="1:10">
      <c r="A227" s="50" t="str">
        <v/>
      </c>
      <c r="B227" s="51" t="str">
        <v>A.05简易装修工程</v>
      </c>
      <c r="C227" s="51" t="str">
        <v/>
      </c>
      <c r="D227" s="51" t="str">
        <v/>
      </c>
      <c r="E227" s="51" t="str">
        <v/>
      </c>
      <c r="F227" s="52" t="str">
        <v/>
      </c>
      <c r="G227" s="48" t="str">
        <v/>
      </c>
      <c r="H227" s="49">
        <v>0</v>
      </c>
      <c r="I227" s="49" t="e">
        <v>#REF!</v>
      </c>
      <c r="J227" s="50"/>
    </row>
    <row r="228" outlineLevel="1" spans="1:10">
      <c r="A228" s="50" t="str">
        <v/>
      </c>
      <c r="B228" s="51" t="str">
        <v>A.05.01地面装饰工程</v>
      </c>
      <c r="C228" s="51" t="str">
        <v/>
      </c>
      <c r="D228" s="51" t="str">
        <v/>
      </c>
      <c r="E228" s="51" t="str">
        <v/>
      </c>
      <c r="F228" s="52" t="str">
        <v/>
      </c>
      <c r="G228" s="48" t="str">
        <v/>
      </c>
      <c r="H228" s="49">
        <v>0</v>
      </c>
      <c r="I228" s="49" t="e">
        <v>#REF!</v>
      </c>
      <c r="J228" s="50"/>
    </row>
    <row r="229" outlineLevel="1" spans="1:10">
      <c r="A229" s="50">
        <v>189</v>
      </c>
      <c r="B229" s="51" t="str">
        <v>楼地面-热计量间</v>
      </c>
      <c r="C229" s="51" t="e">
        <v>#REF!</v>
      </c>
      <c r="D229" s="51" t="str">
        <v/>
      </c>
      <c r="E229" s="51" t="str">
        <v/>
      </c>
      <c r="F229" s="52" t="e">
        <v>#REF!</v>
      </c>
      <c r="G229" s="48" t="e">
        <v>#REF!</v>
      </c>
      <c r="H229" s="49">
        <v>21.53</v>
      </c>
      <c r="I229" s="49" t="e">
        <v>#REF!</v>
      </c>
      <c r="J229" s="50"/>
    </row>
    <row r="230" outlineLevel="1" spans="1:10">
      <c r="A230" s="50">
        <v>190</v>
      </c>
      <c r="B230" s="51" t="str">
        <v>楼地面-地下走道进线间机房</v>
      </c>
      <c r="C230" s="51" t="e">
        <v>#REF!</v>
      </c>
      <c r="D230" s="51" t="str">
        <v/>
      </c>
      <c r="E230" s="51" t="str">
        <v/>
      </c>
      <c r="F230" s="52" t="e">
        <v>#REF!</v>
      </c>
      <c r="G230" s="48" t="e">
        <v>#REF!</v>
      </c>
      <c r="H230" s="49">
        <v>281.72</v>
      </c>
      <c r="I230" s="49" t="e">
        <v>#REF!</v>
      </c>
      <c r="J230" s="50"/>
    </row>
    <row r="231" outlineLevel="1" spans="1:10">
      <c r="A231" s="50">
        <v>191</v>
      </c>
      <c r="B231" s="51" t="str">
        <v>楼地面-电信间</v>
      </c>
      <c r="C231" s="51" t="e">
        <v>#REF!</v>
      </c>
      <c r="D231" s="51" t="str">
        <v/>
      </c>
      <c r="E231" s="51" t="str">
        <v/>
      </c>
      <c r="F231" s="52" t="e">
        <v>#REF!</v>
      </c>
      <c r="G231" s="48" t="e">
        <v>#REF!</v>
      </c>
      <c r="H231" s="49">
        <v>1</v>
      </c>
      <c r="I231" s="49" t="e">
        <v>#REF!</v>
      </c>
      <c r="J231" s="50"/>
    </row>
    <row r="232" outlineLevel="1" spans="1:10">
      <c r="A232" s="50">
        <v>192</v>
      </c>
      <c r="B232" s="51" t="str">
        <v>楼地面-40厚C20细石砼</v>
      </c>
      <c r="C232" s="51" t="e">
        <v>#REF!</v>
      </c>
      <c r="D232" s="51" t="str">
        <v/>
      </c>
      <c r="E232" s="51" t="str">
        <v/>
      </c>
      <c r="F232" s="52" t="e">
        <v>#REF!</v>
      </c>
      <c r="G232" s="48" t="e">
        <v>#REF!</v>
      </c>
      <c r="H232" s="49">
        <v>0</v>
      </c>
      <c r="I232" s="49" t="e">
        <v>#REF!</v>
      </c>
      <c r="J232" s="50"/>
    </row>
    <row r="233" outlineLevel="1" spans="1:10">
      <c r="A233" s="50">
        <v>193</v>
      </c>
      <c r="B233" s="51" t="str">
        <v>楼地面-风井</v>
      </c>
      <c r="C233" s="51" t="e">
        <v>#REF!</v>
      </c>
      <c r="D233" s="51" t="str">
        <v/>
      </c>
      <c r="E233" s="51" t="str">
        <v/>
      </c>
      <c r="F233" s="52" t="e">
        <v>#REF!</v>
      </c>
      <c r="G233" s="48" t="e">
        <v>#REF!</v>
      </c>
      <c r="H233" s="49">
        <v>15.33</v>
      </c>
      <c r="I233" s="49" t="e">
        <v>#REF!</v>
      </c>
      <c r="J233" s="50"/>
    </row>
    <row r="234" outlineLevel="1" spans="1:10">
      <c r="A234" s="50">
        <v>194</v>
      </c>
      <c r="B234" s="51" t="str">
        <v>楼地面-水暖电井</v>
      </c>
      <c r="C234" s="51" t="e">
        <v>#REF!</v>
      </c>
      <c r="D234" s="51" t="str">
        <v/>
      </c>
      <c r="E234" s="51" t="str">
        <v/>
      </c>
      <c r="F234" s="52" t="e">
        <v>#REF!</v>
      </c>
      <c r="G234" s="48" t="e">
        <v>#REF!</v>
      </c>
      <c r="H234" s="49">
        <v>6.08</v>
      </c>
      <c r="I234" s="49" t="e">
        <v>#REF!</v>
      </c>
      <c r="J234" s="50"/>
    </row>
    <row r="235" outlineLevel="1" spans="1:10">
      <c r="A235" s="50">
        <v>195</v>
      </c>
      <c r="B235" s="51" t="str">
        <v>楼地面-独立车库</v>
      </c>
      <c r="C235" s="51" t="e">
        <v>#REF!</v>
      </c>
      <c r="D235" s="51" t="str">
        <v/>
      </c>
      <c r="E235" s="51" t="str">
        <v/>
      </c>
      <c r="F235" s="52" t="e">
        <v>#REF!</v>
      </c>
      <c r="G235" s="48" t="e">
        <v>#REF!</v>
      </c>
      <c r="H235" s="49">
        <v>295.23</v>
      </c>
      <c r="I235" s="49" t="e">
        <v>#REF!</v>
      </c>
      <c r="J235" s="50"/>
    </row>
    <row r="236" outlineLevel="1" spans="1:10">
      <c r="A236" s="50">
        <v>196</v>
      </c>
      <c r="B236" s="51" t="str">
        <v>踢脚线-100mm灰色涂料</v>
      </c>
      <c r="C236" s="51" t="e">
        <v>#REF!</v>
      </c>
      <c r="D236" s="51" t="str">
        <v/>
      </c>
      <c r="E236" s="51" t="str">
        <v/>
      </c>
      <c r="F236" s="52" t="e">
        <v>#REF!</v>
      </c>
      <c r="G236" s="48" t="e">
        <v>#REF!</v>
      </c>
      <c r="H236" s="49">
        <v>30.98</v>
      </c>
      <c r="I236" s="49" t="e">
        <v>#REF!</v>
      </c>
      <c r="J236" s="50"/>
    </row>
    <row r="237" outlineLevel="1" spans="1:10">
      <c r="A237" s="50">
        <v>197</v>
      </c>
      <c r="B237" s="51" t="str">
        <v>踢脚线-50mm灰色涂料</v>
      </c>
      <c r="C237" s="51" t="e">
        <v>#REF!</v>
      </c>
      <c r="D237" s="51" t="str">
        <v/>
      </c>
      <c r="E237" s="51" t="str">
        <v/>
      </c>
      <c r="F237" s="52" t="e">
        <v>#REF!</v>
      </c>
      <c r="G237" s="48" t="e">
        <v>#REF!</v>
      </c>
      <c r="H237" s="49">
        <v>0</v>
      </c>
      <c r="I237" s="49" t="e">
        <v>#REF!</v>
      </c>
      <c r="J237" s="50"/>
    </row>
    <row r="238" outlineLevel="1" spans="1:10">
      <c r="A238" s="50">
        <v>198</v>
      </c>
      <c r="B238" s="51" t="str">
        <v>踢脚线-150mm灰色涂料</v>
      </c>
      <c r="C238" s="51" t="e">
        <v>#REF!</v>
      </c>
      <c r="D238" s="51" t="str">
        <v/>
      </c>
      <c r="E238" s="51" t="str">
        <v/>
      </c>
      <c r="F238" s="52" t="e">
        <v>#REF!</v>
      </c>
      <c r="G238" s="48" t="e">
        <v>#REF!</v>
      </c>
      <c r="H238" s="49">
        <v>0</v>
      </c>
      <c r="I238" s="49" t="e">
        <v>#REF!</v>
      </c>
      <c r="J238" s="50"/>
    </row>
    <row r="239" outlineLevel="1" spans="1:10">
      <c r="A239" s="50">
        <v>199</v>
      </c>
      <c r="B239" s="51" t="str">
        <v>楼地面-楼梯间（30厚）</v>
      </c>
      <c r="C239" s="51" t="e">
        <v>#REF!</v>
      </c>
      <c r="D239" s="51" t="str">
        <v/>
      </c>
      <c r="E239" s="51" t="str">
        <v/>
      </c>
      <c r="F239" s="52" t="e">
        <v>#REF!</v>
      </c>
      <c r="G239" s="48" t="e">
        <v>#REF!</v>
      </c>
      <c r="H239" s="49">
        <v>120.04</v>
      </c>
      <c r="I239" s="49" t="e">
        <v>#REF!</v>
      </c>
      <c r="J239" s="50"/>
    </row>
    <row r="240" outlineLevel="1" spans="1:10">
      <c r="A240" s="50">
        <v>200</v>
      </c>
      <c r="B240" s="51" t="str">
        <v>楼地面-筏板（坡道）</v>
      </c>
      <c r="C240" s="51" t="e">
        <v>#REF!</v>
      </c>
      <c r="D240" s="51" t="str">
        <v/>
      </c>
      <c r="E240" s="51" t="str">
        <v/>
      </c>
      <c r="F240" s="52" t="e">
        <v>#REF!</v>
      </c>
      <c r="G240" s="48" t="e">
        <v>#REF!</v>
      </c>
      <c r="H240" s="49">
        <v>0</v>
      </c>
      <c r="I240" s="49" t="e">
        <v>#REF!</v>
      </c>
      <c r="J240" s="50"/>
    </row>
    <row r="241" ht="28.8" outlineLevel="1" spans="1:10">
      <c r="A241" s="50" t="str">
        <v/>
      </c>
      <c r="B241" s="51" t="str">
        <v>地下室底板（含坡道）防水板</v>
      </c>
      <c r="C241" s="51" t="str">
        <v/>
      </c>
      <c r="D241" s="51" t="str">
        <v/>
      </c>
      <c r="E241" s="51" t="str">
        <v/>
      </c>
      <c r="F241" s="52" t="str">
        <v/>
      </c>
      <c r="G241" s="48" t="str">
        <v/>
      </c>
      <c r="H241" s="49">
        <v>0</v>
      </c>
      <c r="I241" s="49">
        <v>0</v>
      </c>
      <c r="J241" s="50"/>
    </row>
    <row r="242" outlineLevel="1" spans="1:10">
      <c r="A242" s="50">
        <v>201</v>
      </c>
      <c r="B242" s="51" t="str">
        <v>楼地面-150厚C25细石砼</v>
      </c>
      <c r="C242" s="51" t="e">
        <v>#REF!</v>
      </c>
      <c r="D242" s="51" t="str">
        <v/>
      </c>
      <c r="E242" s="51" t="str">
        <v/>
      </c>
      <c r="F242" s="52" t="e">
        <v>#REF!</v>
      </c>
      <c r="G242" s="48" t="e">
        <v>#REF!</v>
      </c>
      <c r="H242" s="49">
        <v>0</v>
      </c>
      <c r="I242" s="49" t="e">
        <v>#REF!</v>
      </c>
      <c r="J242" s="50"/>
    </row>
    <row r="243" outlineLevel="1" spans="1:10">
      <c r="A243" s="50">
        <v>202</v>
      </c>
      <c r="B243" s="51" t="str">
        <v>楼地面-塑料膜</v>
      </c>
      <c r="C243" s="51" t="e">
        <v>#REF!</v>
      </c>
      <c r="D243" s="51" t="str">
        <v/>
      </c>
      <c r="E243" s="51" t="str">
        <v/>
      </c>
      <c r="F243" s="52" t="e">
        <v>#REF!</v>
      </c>
      <c r="G243" s="48" t="e">
        <v>#REF!</v>
      </c>
      <c r="H243" s="49">
        <v>0</v>
      </c>
      <c r="I243" s="49" t="e">
        <v>#REF!</v>
      </c>
      <c r="J243" s="50"/>
    </row>
    <row r="244" outlineLevel="1" spans="1:10">
      <c r="A244" s="50">
        <v>203</v>
      </c>
      <c r="B244" s="51" t="str">
        <v>楼地面-素土夯实</v>
      </c>
      <c r="C244" s="51" t="e">
        <v>#REF!</v>
      </c>
      <c r="D244" s="51" t="str">
        <v/>
      </c>
      <c r="E244" s="51" t="str">
        <v/>
      </c>
      <c r="F244" s="52" t="e">
        <v>#REF!</v>
      </c>
      <c r="G244" s="48" t="e">
        <v>#REF!</v>
      </c>
      <c r="H244" s="49">
        <v>0</v>
      </c>
      <c r="I244" s="49" t="e">
        <v>#REF!</v>
      </c>
      <c r="J244" s="50"/>
    </row>
    <row r="245" outlineLevel="1" spans="1:10">
      <c r="A245" s="50">
        <v>204</v>
      </c>
      <c r="B245" s="51" t="str">
        <v>楼地面-φ4@200钢筋网片</v>
      </c>
      <c r="C245" s="51" t="e">
        <v>#REF!</v>
      </c>
      <c r="D245" s="51" t="str">
        <v/>
      </c>
      <c r="E245" s="51" t="str">
        <v/>
      </c>
      <c r="F245" s="52" t="e">
        <v>#REF!</v>
      </c>
      <c r="G245" s="48" t="e">
        <v>#REF!</v>
      </c>
      <c r="H245" s="49">
        <v>0</v>
      </c>
      <c r="I245" s="49" t="e">
        <v>#REF!</v>
      </c>
      <c r="J245" s="50"/>
    </row>
    <row r="246" outlineLevel="1" spans="1:10">
      <c r="A246" s="50">
        <v>205</v>
      </c>
      <c r="B246" s="51" t="str">
        <v>楼地面-自行车坡道</v>
      </c>
      <c r="C246" s="51" t="e">
        <v>#REF!</v>
      </c>
      <c r="D246" s="51" t="str">
        <v/>
      </c>
      <c r="E246" s="51" t="str">
        <v/>
      </c>
      <c r="F246" s="52" t="e">
        <v>#REF!</v>
      </c>
      <c r="G246" s="48" t="e">
        <v>#REF!</v>
      </c>
      <c r="H246" s="49">
        <v>0</v>
      </c>
      <c r="I246" s="49" t="e">
        <v>#REF!</v>
      </c>
      <c r="J246" s="50"/>
    </row>
    <row r="247" outlineLevel="1" spans="1:10">
      <c r="A247" s="50" t="str">
        <v/>
      </c>
      <c r="B247" s="51" t="str">
        <v>水泵房地面（有/无覆土）</v>
      </c>
      <c r="C247" s="51" t="str">
        <v/>
      </c>
      <c r="D247" s="51" t="str">
        <v/>
      </c>
      <c r="E247" s="51" t="str">
        <v/>
      </c>
      <c r="F247" s="52" t="str">
        <v/>
      </c>
      <c r="G247" s="48" t="str">
        <v/>
      </c>
      <c r="H247" s="49">
        <v>0</v>
      </c>
      <c r="I247" s="49">
        <v>0</v>
      </c>
      <c r="J247" s="50"/>
    </row>
    <row r="248" outlineLevel="1" spans="1:10">
      <c r="A248" s="50">
        <v>206</v>
      </c>
      <c r="B248" s="51" t="str">
        <v>楼地面-60厚C15细石砼找坡</v>
      </c>
      <c r="C248" s="51" t="e">
        <v>#REF!</v>
      </c>
      <c r="D248" s="51" t="str">
        <v/>
      </c>
      <c r="E248" s="51" t="str">
        <v/>
      </c>
      <c r="F248" s="52" t="e">
        <v>#REF!</v>
      </c>
      <c r="G248" s="48" t="e">
        <v>#REF!</v>
      </c>
      <c r="H248" s="49">
        <v>0</v>
      </c>
      <c r="I248" s="49" t="e">
        <v>#REF!</v>
      </c>
      <c r="J248" s="50"/>
    </row>
    <row r="249" outlineLevel="1" spans="1:10">
      <c r="A249" s="50">
        <v>207</v>
      </c>
      <c r="B249" s="51" t="str">
        <v>楼地面-20厚C20细石砼找坡</v>
      </c>
      <c r="C249" s="51" t="e">
        <v>#REF!</v>
      </c>
      <c r="D249" s="51" t="str">
        <v/>
      </c>
      <c r="E249" s="51" t="str">
        <v/>
      </c>
      <c r="F249" s="52" t="e">
        <v>#REF!</v>
      </c>
      <c r="G249" s="48" t="e">
        <v>#REF!</v>
      </c>
      <c r="H249" s="49">
        <v>0</v>
      </c>
      <c r="I249" s="49" t="e">
        <v>#REF!</v>
      </c>
      <c r="J249" s="50"/>
    </row>
    <row r="250" ht="28.8" outlineLevel="1" spans="1:10">
      <c r="A250" s="50">
        <v>208</v>
      </c>
      <c r="B250" s="51" t="str">
        <v>楼地面-20厚M20水泥砂浆找坡</v>
      </c>
      <c r="C250" s="51" t="e">
        <v>#REF!</v>
      </c>
      <c r="D250" s="51" t="str">
        <v/>
      </c>
      <c r="E250" s="51" t="str">
        <v/>
      </c>
      <c r="F250" s="52" t="e">
        <v>#REF!</v>
      </c>
      <c r="G250" s="48" t="e">
        <v>#REF!</v>
      </c>
      <c r="H250" s="49">
        <v>0</v>
      </c>
      <c r="I250" s="49" t="e">
        <v>#REF!</v>
      </c>
      <c r="J250" s="50"/>
    </row>
    <row r="251" outlineLevel="1" spans="1:10">
      <c r="A251" s="50">
        <v>209</v>
      </c>
      <c r="B251" s="51" t="str">
        <v>楼地面-柴油电站</v>
      </c>
      <c r="C251" s="51" t="e">
        <v>#REF!</v>
      </c>
      <c r="D251" s="51" t="str">
        <v/>
      </c>
      <c r="E251" s="51" t="str">
        <v/>
      </c>
      <c r="F251" s="52" t="e">
        <v>#REF!</v>
      </c>
      <c r="G251" s="48" t="e">
        <v>#REF!</v>
      </c>
      <c r="H251" s="49">
        <v>0</v>
      </c>
      <c r="I251" s="49" t="e">
        <v>#REF!</v>
      </c>
      <c r="J251" s="50"/>
    </row>
    <row r="252" outlineLevel="1" spans="1:10">
      <c r="A252" s="50" t="str">
        <v/>
      </c>
      <c r="B252" s="51" t="str">
        <v>变配电室地面</v>
      </c>
      <c r="C252" s="51" t="str">
        <v/>
      </c>
      <c r="D252" s="51" t="str">
        <v/>
      </c>
      <c r="E252" s="51" t="str">
        <v/>
      </c>
      <c r="F252" s="52" t="str">
        <v/>
      </c>
      <c r="G252" s="48" t="str">
        <v/>
      </c>
      <c r="H252" s="49">
        <v>0</v>
      </c>
      <c r="I252" s="49">
        <v>0</v>
      </c>
      <c r="J252" s="50"/>
    </row>
    <row r="253" outlineLevel="1" spans="1:10">
      <c r="A253" s="50">
        <v>210</v>
      </c>
      <c r="B253" s="51" t="str">
        <v>楼地面-60厚C20细石砼</v>
      </c>
      <c r="C253" s="51" t="e">
        <v>#REF!</v>
      </c>
      <c r="D253" s="51" t="str">
        <v/>
      </c>
      <c r="E253" s="51" t="str">
        <v/>
      </c>
      <c r="F253" s="52" t="e">
        <v>#REF!</v>
      </c>
      <c r="G253" s="48" t="e">
        <v>#REF!</v>
      </c>
      <c r="H253" s="49">
        <v>0</v>
      </c>
      <c r="I253" s="49" t="e">
        <v>#REF!</v>
      </c>
      <c r="J253" s="50"/>
    </row>
    <row r="254" outlineLevel="1" spans="1:10">
      <c r="A254" s="50">
        <v>211</v>
      </c>
      <c r="B254" s="51" t="str">
        <v>楼地面-素土夯实</v>
      </c>
      <c r="C254" s="51" t="e">
        <v>#REF!</v>
      </c>
      <c r="D254" s="51" t="str">
        <v/>
      </c>
      <c r="E254" s="51" t="str">
        <v/>
      </c>
      <c r="F254" s="52" t="e">
        <v>#REF!</v>
      </c>
      <c r="G254" s="48" t="e">
        <v>#REF!</v>
      </c>
      <c r="H254" s="49">
        <v>0</v>
      </c>
      <c r="I254" s="49" t="e">
        <v>#REF!</v>
      </c>
      <c r="J254" s="50"/>
    </row>
    <row r="255" outlineLevel="1" spans="1:10">
      <c r="A255" s="50">
        <v>212</v>
      </c>
      <c r="B255" s="51" t="str">
        <v>楼地面-竖井</v>
      </c>
      <c r="C255" s="51" t="e">
        <v>#REF!</v>
      </c>
      <c r="D255" s="51" t="str">
        <v/>
      </c>
      <c r="E255" s="51" t="str">
        <v/>
      </c>
      <c r="F255" s="52" t="e">
        <v>#REF!</v>
      </c>
      <c r="G255" s="48" t="e">
        <v>#REF!</v>
      </c>
      <c r="H255" s="49">
        <v>0</v>
      </c>
      <c r="I255" s="49" t="e">
        <v>#REF!</v>
      </c>
      <c r="J255" s="50"/>
    </row>
    <row r="256" outlineLevel="1" spans="1:10">
      <c r="A256" s="50">
        <v>213</v>
      </c>
      <c r="B256" s="51" t="str">
        <v>楼地面-楼梯间（30厚）</v>
      </c>
      <c r="C256" s="51" t="e">
        <v>#REF!</v>
      </c>
      <c r="D256" s="51" t="str">
        <v/>
      </c>
      <c r="E256" s="51" t="str">
        <v/>
      </c>
      <c r="F256" s="52" t="e">
        <v>#REF!</v>
      </c>
      <c r="G256" s="48" t="e">
        <v>#REF!</v>
      </c>
      <c r="H256" s="49">
        <v>0</v>
      </c>
      <c r="I256" s="49" t="e">
        <v>#REF!</v>
      </c>
      <c r="J256" s="50"/>
    </row>
    <row r="257" outlineLevel="1" spans="1:10">
      <c r="A257" s="50">
        <v>214</v>
      </c>
      <c r="B257" s="51" t="str">
        <v>楼地面-自行车斜道</v>
      </c>
      <c r="C257" s="51" t="e">
        <v>#REF!</v>
      </c>
      <c r="D257" s="51" t="str">
        <v/>
      </c>
      <c r="E257" s="51" t="str">
        <v/>
      </c>
      <c r="F257" s="52" t="e">
        <v>#REF!</v>
      </c>
      <c r="G257" s="48" t="e">
        <v>#REF!</v>
      </c>
      <c r="H257" s="49">
        <v>0</v>
      </c>
      <c r="I257" s="49" t="e">
        <v>#REF!</v>
      </c>
      <c r="J257" s="50"/>
    </row>
    <row r="258" outlineLevel="1" spans="1:10">
      <c r="A258" s="50">
        <v>215</v>
      </c>
      <c r="B258" s="51" t="str">
        <v>楼地面-聚氨酯防水涂料</v>
      </c>
      <c r="C258" s="51" t="e">
        <v>#REF!</v>
      </c>
      <c r="D258" s="51" t="str">
        <v/>
      </c>
      <c r="E258" s="51" t="str">
        <v/>
      </c>
      <c r="F258" s="52" t="e">
        <v>#REF!</v>
      </c>
      <c r="G258" s="48" t="e">
        <v>#REF!</v>
      </c>
      <c r="H258" s="49">
        <v>0</v>
      </c>
      <c r="I258" s="49" t="e">
        <v>#REF!</v>
      </c>
      <c r="J258" s="50"/>
    </row>
    <row r="259" outlineLevel="1" spans="1:10">
      <c r="A259" s="50">
        <v>216</v>
      </c>
      <c r="B259" s="51" t="str">
        <v>踢脚线-100mm灰色涂料</v>
      </c>
      <c r="C259" s="51" t="e">
        <v>#REF!</v>
      </c>
      <c r="D259" s="51" t="str">
        <v/>
      </c>
      <c r="E259" s="51" t="str">
        <v/>
      </c>
      <c r="F259" s="52" t="e">
        <v>#REF!</v>
      </c>
      <c r="G259" s="48" t="e">
        <v>#REF!</v>
      </c>
      <c r="H259" s="49">
        <v>0</v>
      </c>
      <c r="I259" s="49" t="e">
        <v>#REF!</v>
      </c>
      <c r="J259" s="50"/>
    </row>
    <row r="260" outlineLevel="1" spans="1:10">
      <c r="A260" s="50" t="str">
        <v/>
      </c>
      <c r="B260" s="51" t="str">
        <v>A.05.02墙柱装饰工程</v>
      </c>
      <c r="C260" s="51" t="str">
        <v/>
      </c>
      <c r="D260" s="51" t="str">
        <v/>
      </c>
      <c r="E260" s="51" t="str">
        <v/>
      </c>
      <c r="F260" s="52" t="str">
        <v/>
      </c>
      <c r="G260" s="48" t="str">
        <v/>
      </c>
      <c r="H260" s="49">
        <v>0</v>
      </c>
      <c r="I260" s="49" t="e">
        <v>#REF!</v>
      </c>
      <c r="J260" s="50"/>
    </row>
    <row r="261" ht="28.8" outlineLevel="1" spans="1:10">
      <c r="A261" s="50" t="str">
        <v/>
      </c>
      <c r="B261" s="51" t="str">
        <v>地下室内墙（二次结构墙体）</v>
      </c>
      <c r="C261" s="51" t="str">
        <v/>
      </c>
      <c r="D261" s="51" t="str">
        <v/>
      </c>
      <c r="E261" s="51" t="str">
        <v/>
      </c>
      <c r="F261" s="52" t="str">
        <v/>
      </c>
      <c r="G261" s="48" t="str">
        <v/>
      </c>
      <c r="H261" s="49">
        <v>0</v>
      </c>
      <c r="I261" s="49">
        <v>0</v>
      </c>
      <c r="J261" s="50"/>
    </row>
    <row r="262" outlineLevel="1" spans="1:10">
      <c r="A262" s="50">
        <v>217</v>
      </c>
      <c r="B262" s="51" t="str">
        <v>内墙面-界面剂</v>
      </c>
      <c r="C262" s="51" t="e">
        <v>#REF!</v>
      </c>
      <c r="D262" s="51" t="str">
        <v/>
      </c>
      <c r="E262" s="51" t="str">
        <v/>
      </c>
      <c r="F262" s="52" t="e">
        <v>#REF!</v>
      </c>
      <c r="G262" s="48" t="e">
        <v>#REF!</v>
      </c>
      <c r="H262" s="49">
        <v>1</v>
      </c>
      <c r="I262" s="49" t="e">
        <v>#REF!</v>
      </c>
      <c r="J262" s="50"/>
    </row>
    <row r="263" outlineLevel="1" spans="1:10">
      <c r="A263" s="50">
        <v>218</v>
      </c>
      <c r="B263" s="51" t="str">
        <v>内墙面-7厚M5石灰砂浆</v>
      </c>
      <c r="C263" s="51" t="e">
        <v>#REF!</v>
      </c>
      <c r="D263" s="51" t="str">
        <v/>
      </c>
      <c r="E263" s="51" t="str">
        <v/>
      </c>
      <c r="F263" s="52" t="e">
        <v>#REF!</v>
      </c>
      <c r="G263" s="48" t="e">
        <v>#REF!</v>
      </c>
      <c r="H263" s="49">
        <v>1</v>
      </c>
      <c r="I263" s="49" t="e">
        <v>#REF!</v>
      </c>
      <c r="J263" s="50"/>
    </row>
    <row r="264" outlineLevel="1" spans="1:10">
      <c r="A264" s="50">
        <v>219</v>
      </c>
      <c r="B264" s="51" t="str">
        <v>内墙面-6厚M7.5水泥砂浆</v>
      </c>
      <c r="C264" s="51" t="e">
        <v>#REF!</v>
      </c>
      <c r="D264" s="51" t="str">
        <v/>
      </c>
      <c r="E264" s="51" t="str">
        <v/>
      </c>
      <c r="F264" s="52" t="e">
        <v>#REF!</v>
      </c>
      <c r="G264" s="48" t="e">
        <v>#REF!</v>
      </c>
      <c r="H264" s="49">
        <v>1</v>
      </c>
      <c r="I264" s="49" t="e">
        <v>#REF!</v>
      </c>
      <c r="J264" s="50"/>
    </row>
    <row r="265" ht="28.8" outlineLevel="1" spans="1:10">
      <c r="A265" s="50" t="str">
        <v/>
      </c>
      <c r="B265" s="51" t="str">
        <v>地下室内墙（二次结构墙体）1</v>
      </c>
      <c r="C265" s="51" t="str">
        <v/>
      </c>
      <c r="D265" s="51" t="str">
        <v/>
      </c>
      <c r="E265" s="51" t="str">
        <v/>
      </c>
      <c r="F265" s="52" t="str">
        <v/>
      </c>
      <c r="G265" s="48" t="str">
        <v/>
      </c>
      <c r="H265" s="49">
        <v>0</v>
      </c>
      <c r="I265" s="49">
        <v>0</v>
      </c>
      <c r="J265" s="50"/>
    </row>
    <row r="266" outlineLevel="1" spans="1:10">
      <c r="A266" s="50">
        <v>220</v>
      </c>
      <c r="B266" s="51" t="str">
        <v>内墙面-界面剂</v>
      </c>
      <c r="C266" s="51" t="e">
        <v>#REF!</v>
      </c>
      <c r="D266" s="51" t="str">
        <v/>
      </c>
      <c r="E266" s="51" t="str">
        <v/>
      </c>
      <c r="F266" s="52" t="e">
        <v>#REF!</v>
      </c>
      <c r="G266" s="48" t="e">
        <v>#REF!</v>
      </c>
      <c r="H266" s="49">
        <v>818.61</v>
      </c>
      <c r="I266" s="49" t="e">
        <v>#REF!</v>
      </c>
      <c r="J266" s="50"/>
    </row>
    <row r="267" outlineLevel="1" spans="1:10">
      <c r="A267" s="50">
        <v>221</v>
      </c>
      <c r="B267" s="51" t="str">
        <v>内墙面-15厚M5水泥砂浆</v>
      </c>
      <c r="C267" s="51" t="e">
        <v>#REF!</v>
      </c>
      <c r="D267" s="51" t="str">
        <v/>
      </c>
      <c r="E267" s="51" t="str">
        <v/>
      </c>
      <c r="F267" s="52" t="e">
        <v>#REF!</v>
      </c>
      <c r="G267" s="48" t="e">
        <v>#REF!</v>
      </c>
      <c r="H267" s="49">
        <v>818.61</v>
      </c>
      <c r="I267" s="49" t="e">
        <v>#REF!</v>
      </c>
      <c r="J267" s="50"/>
    </row>
    <row r="268" ht="28.8" outlineLevel="1" spans="1:10">
      <c r="A268" s="50" t="str">
        <v/>
      </c>
      <c r="B268" s="51" t="str">
        <v>独立车库（带卷帘门）内墙（二次结构墙体）</v>
      </c>
      <c r="C268" s="51" t="str">
        <v/>
      </c>
      <c r="D268" s="51" t="str">
        <v/>
      </c>
      <c r="E268" s="51" t="str">
        <v/>
      </c>
      <c r="F268" s="52" t="str">
        <v/>
      </c>
      <c r="G268" s="48" t="str">
        <v/>
      </c>
      <c r="H268" s="49">
        <v>0</v>
      </c>
      <c r="I268" s="49">
        <v>0</v>
      </c>
      <c r="J268" s="50"/>
    </row>
    <row r="269" outlineLevel="1" spans="1:10">
      <c r="A269" s="50">
        <v>222</v>
      </c>
      <c r="B269" s="51" t="str">
        <v>内墙面-界面剂</v>
      </c>
      <c r="C269" s="51" t="e">
        <v>#REF!</v>
      </c>
      <c r="D269" s="51" t="str">
        <v/>
      </c>
      <c r="E269" s="51" t="str">
        <v/>
      </c>
      <c r="F269" s="52" t="e">
        <v>#REF!</v>
      </c>
      <c r="G269" s="48" t="e">
        <v>#REF!</v>
      </c>
      <c r="H269" s="49">
        <v>1</v>
      </c>
      <c r="I269" s="49" t="e">
        <v>#REF!</v>
      </c>
      <c r="J269" s="50"/>
    </row>
    <row r="270" outlineLevel="1" spans="1:10">
      <c r="A270" s="50">
        <v>223</v>
      </c>
      <c r="B270" s="51" t="str">
        <v>内墙面-7厚M5石灰砂浆</v>
      </c>
      <c r="C270" s="51" t="e">
        <v>#REF!</v>
      </c>
      <c r="D270" s="51" t="str">
        <v/>
      </c>
      <c r="E270" s="51" t="str">
        <v/>
      </c>
      <c r="F270" s="52" t="e">
        <v>#REF!</v>
      </c>
      <c r="G270" s="48" t="e">
        <v>#REF!</v>
      </c>
      <c r="H270" s="49">
        <v>1</v>
      </c>
      <c r="I270" s="49" t="e">
        <v>#REF!</v>
      </c>
      <c r="J270" s="50"/>
    </row>
    <row r="271" outlineLevel="1" spans="1:10">
      <c r="A271" s="50">
        <v>224</v>
      </c>
      <c r="B271" s="51" t="str">
        <v>内墙面-6厚M7.5水泥砂浆</v>
      </c>
      <c r="C271" s="51" t="e">
        <v>#REF!</v>
      </c>
      <c r="D271" s="51" t="str">
        <v/>
      </c>
      <c r="E271" s="51" t="str">
        <v/>
      </c>
      <c r="F271" s="52" t="e">
        <v>#REF!</v>
      </c>
      <c r="G271" s="48" t="e">
        <v>#REF!</v>
      </c>
      <c r="H271" s="49">
        <v>1</v>
      </c>
      <c r="I271" s="49" t="e">
        <v>#REF!</v>
      </c>
      <c r="J271" s="50"/>
    </row>
    <row r="272" outlineLevel="1" spans="1:10">
      <c r="A272" s="50" t="str">
        <v/>
      </c>
      <c r="B272" s="51" t="str">
        <v>楼梯间内墙</v>
      </c>
      <c r="C272" s="51" t="str">
        <v/>
      </c>
      <c r="D272" s="51" t="str">
        <v/>
      </c>
      <c r="E272" s="51" t="str">
        <v/>
      </c>
      <c r="F272" s="52" t="str">
        <v/>
      </c>
      <c r="G272" s="48" t="str">
        <v/>
      </c>
      <c r="H272" s="49">
        <v>0</v>
      </c>
      <c r="I272" s="49">
        <v>0</v>
      </c>
      <c r="J272" s="50"/>
    </row>
    <row r="273" outlineLevel="1" spans="1:10">
      <c r="A273" s="50">
        <v>225</v>
      </c>
      <c r="B273" s="51" t="str">
        <v>内墙面-界面剂</v>
      </c>
      <c r="C273" s="51" t="e">
        <v>#REF!</v>
      </c>
      <c r="D273" s="51" t="str">
        <v/>
      </c>
      <c r="E273" s="51" t="str">
        <v/>
      </c>
      <c r="F273" s="52" t="e">
        <v>#REF!</v>
      </c>
      <c r="G273" s="48" t="e">
        <v>#REF!</v>
      </c>
      <c r="H273" s="49">
        <v>481.14</v>
      </c>
      <c r="I273" s="49" t="e">
        <v>#REF!</v>
      </c>
      <c r="J273" s="50"/>
    </row>
    <row r="274" outlineLevel="1" spans="1:10">
      <c r="A274" s="50">
        <v>226</v>
      </c>
      <c r="B274" s="51" t="str">
        <v>内墙面-7厚M5石灰砂浆</v>
      </c>
      <c r="C274" s="51" t="e">
        <v>#REF!</v>
      </c>
      <c r="D274" s="51" t="str">
        <v/>
      </c>
      <c r="E274" s="51" t="str">
        <v/>
      </c>
      <c r="F274" s="52" t="e">
        <v>#REF!</v>
      </c>
      <c r="G274" s="48" t="e">
        <v>#REF!</v>
      </c>
      <c r="H274" s="49">
        <v>481.14</v>
      </c>
      <c r="I274" s="49" t="e">
        <v>#REF!</v>
      </c>
      <c r="J274" s="50"/>
    </row>
    <row r="275" outlineLevel="1" spans="1:10">
      <c r="A275" s="50">
        <v>227</v>
      </c>
      <c r="B275" s="51" t="str">
        <v>内墙面-6厚M7.5水泥砂浆</v>
      </c>
      <c r="C275" s="51" t="e">
        <v>#REF!</v>
      </c>
      <c r="D275" s="51" t="str">
        <v/>
      </c>
      <c r="E275" s="51" t="str">
        <v/>
      </c>
      <c r="F275" s="52" t="e">
        <v>#REF!</v>
      </c>
      <c r="G275" s="48" t="e">
        <v>#REF!</v>
      </c>
      <c r="H275" s="49">
        <v>481.14</v>
      </c>
      <c r="I275" s="49" t="e">
        <v>#REF!</v>
      </c>
      <c r="J275" s="50"/>
    </row>
    <row r="276" outlineLevel="1" spans="1:10">
      <c r="A276" s="50">
        <v>228</v>
      </c>
      <c r="B276" s="51" t="str">
        <v>砌块墙钢丝网满挂</v>
      </c>
      <c r="C276" s="51" t="e">
        <v>#REF!</v>
      </c>
      <c r="D276" s="51" t="str">
        <v/>
      </c>
      <c r="E276" s="51" t="str">
        <v/>
      </c>
      <c r="F276" s="52" t="e">
        <v>#REF!</v>
      </c>
      <c r="G276" s="48" t="e">
        <v>#REF!</v>
      </c>
      <c r="H276" s="49">
        <v>1</v>
      </c>
      <c r="I276" s="49" t="e">
        <v>#REF!</v>
      </c>
      <c r="J276" s="50"/>
    </row>
    <row r="277" ht="28.8" outlineLevel="1" spans="1:10">
      <c r="A277" s="50" t="str">
        <v/>
      </c>
      <c r="B277" s="51" t="str">
        <v>水暖电井内墙（二次结构墙体）</v>
      </c>
      <c r="C277" s="51" t="str">
        <v/>
      </c>
      <c r="D277" s="51" t="str">
        <v/>
      </c>
      <c r="E277" s="51" t="str">
        <v/>
      </c>
      <c r="F277" s="52" t="str">
        <v/>
      </c>
      <c r="G277" s="48" t="str">
        <v/>
      </c>
      <c r="H277" s="49">
        <v>0</v>
      </c>
      <c r="I277" s="49">
        <v>0</v>
      </c>
      <c r="J277" s="50"/>
    </row>
    <row r="278" outlineLevel="1" spans="1:10">
      <c r="A278" s="50">
        <v>229</v>
      </c>
      <c r="B278" s="51" t="str">
        <v>内墙面-界面剂</v>
      </c>
      <c r="C278" s="51" t="e">
        <v>#REF!</v>
      </c>
      <c r="D278" s="51" t="str">
        <v/>
      </c>
      <c r="E278" s="51" t="str">
        <v/>
      </c>
      <c r="F278" s="52" t="e">
        <v>#REF!</v>
      </c>
      <c r="G278" s="48" t="e">
        <v>#REF!</v>
      </c>
      <c r="H278" s="49">
        <v>61.03</v>
      </c>
      <c r="I278" s="49" t="e">
        <v>#REF!</v>
      </c>
      <c r="J278" s="50"/>
    </row>
    <row r="279" outlineLevel="1" spans="1:10">
      <c r="A279" s="50">
        <v>230</v>
      </c>
      <c r="B279" s="51" t="str">
        <v>内墙面-7厚M5石灰砂浆</v>
      </c>
      <c r="C279" s="51" t="e">
        <v>#REF!</v>
      </c>
      <c r="D279" s="51" t="str">
        <v/>
      </c>
      <c r="E279" s="51" t="str">
        <v/>
      </c>
      <c r="F279" s="52" t="e">
        <v>#REF!</v>
      </c>
      <c r="G279" s="48" t="e">
        <v>#REF!</v>
      </c>
      <c r="H279" s="49">
        <v>61.03</v>
      </c>
      <c r="I279" s="49" t="e">
        <v>#REF!</v>
      </c>
      <c r="J279" s="50"/>
    </row>
    <row r="280" outlineLevel="1" spans="1:10">
      <c r="A280" s="50">
        <v>231</v>
      </c>
      <c r="B280" s="51" t="str">
        <v>内墙面-6厚M7.5水泥砂浆</v>
      </c>
      <c r="C280" s="51" t="e">
        <v>#REF!</v>
      </c>
      <c r="D280" s="51" t="str">
        <v/>
      </c>
      <c r="E280" s="51" t="str">
        <v/>
      </c>
      <c r="F280" s="52" t="e">
        <v>#REF!</v>
      </c>
      <c r="G280" s="48" t="e">
        <v>#REF!</v>
      </c>
      <c r="H280" s="49">
        <v>61.03</v>
      </c>
      <c r="I280" s="49" t="e">
        <v>#REF!</v>
      </c>
      <c r="J280" s="50"/>
    </row>
    <row r="281" ht="28.8" outlineLevel="1" spans="1:10">
      <c r="A281" s="50" t="str">
        <v/>
      </c>
      <c r="B281" s="51" t="str">
        <v>窗井.风井、竖井内墙（二次结构墙体）</v>
      </c>
      <c r="C281" s="51" t="str">
        <v/>
      </c>
      <c r="D281" s="51" t="str">
        <v/>
      </c>
      <c r="E281" s="51" t="str">
        <v/>
      </c>
      <c r="F281" s="52" t="str">
        <v/>
      </c>
      <c r="G281" s="48" t="str">
        <v/>
      </c>
      <c r="H281" s="49">
        <v>0</v>
      </c>
      <c r="I281" s="49">
        <v>0</v>
      </c>
      <c r="J281" s="50"/>
    </row>
    <row r="282" outlineLevel="1" spans="1:10">
      <c r="A282" s="50">
        <v>232</v>
      </c>
      <c r="B282" s="51" t="str">
        <v>内墙面-15厚M20水泥砂浆</v>
      </c>
      <c r="C282" s="51" t="e">
        <v>#REF!</v>
      </c>
      <c r="D282" s="51" t="str">
        <v/>
      </c>
      <c r="E282" s="51" t="str">
        <v/>
      </c>
      <c r="F282" s="52" t="e">
        <v>#REF!</v>
      </c>
      <c r="G282" s="48" t="e">
        <v>#REF!</v>
      </c>
      <c r="H282" s="49">
        <v>43.14</v>
      </c>
      <c r="I282" s="49" t="e">
        <v>#REF!</v>
      </c>
      <c r="J282" s="50"/>
    </row>
    <row r="283" outlineLevel="1" spans="1:10">
      <c r="A283" s="50">
        <v>233</v>
      </c>
      <c r="B283" s="51" t="str">
        <v>内墙面-地下室柱面</v>
      </c>
      <c r="C283" s="51" t="e">
        <v>#REF!</v>
      </c>
      <c r="D283" s="51" t="str">
        <v/>
      </c>
      <c r="E283" s="51" t="str">
        <v/>
      </c>
      <c r="F283" s="52" t="e">
        <v>#REF!</v>
      </c>
      <c r="G283" s="48" t="e">
        <v>#REF!</v>
      </c>
      <c r="H283" s="49">
        <v>0</v>
      </c>
      <c r="I283" s="49" t="e">
        <v>#REF!</v>
      </c>
      <c r="J283" s="50"/>
    </row>
    <row r="284" outlineLevel="1" spans="1:10">
      <c r="A284" s="50" t="str">
        <v/>
      </c>
      <c r="B284" s="51" t="str">
        <v>消防水池内壁</v>
      </c>
      <c r="C284" s="51" t="str">
        <v/>
      </c>
      <c r="D284" s="51" t="str">
        <v/>
      </c>
      <c r="E284" s="51" t="str">
        <v/>
      </c>
      <c r="F284" s="52" t="str">
        <v/>
      </c>
      <c r="G284" s="48" t="str">
        <v/>
      </c>
      <c r="H284" s="49">
        <v>0</v>
      </c>
      <c r="I284" s="49">
        <v>0</v>
      </c>
      <c r="J284" s="50"/>
    </row>
    <row r="285" outlineLevel="1" spans="1:10">
      <c r="A285" s="50">
        <v>234</v>
      </c>
      <c r="B285" s="51" t="str">
        <v>内墙面-1.5厚RG涂料</v>
      </c>
      <c r="C285" s="51" t="e">
        <v>#REF!</v>
      </c>
      <c r="D285" s="51" t="str">
        <v/>
      </c>
      <c r="E285" s="51" t="str">
        <v/>
      </c>
      <c r="F285" s="52" t="e">
        <v>#REF!</v>
      </c>
      <c r="G285" s="48" t="e">
        <v>#REF!</v>
      </c>
      <c r="H285" s="49">
        <v>0</v>
      </c>
      <c r="I285" s="49" t="e">
        <v>#REF!</v>
      </c>
      <c r="J285" s="50"/>
    </row>
    <row r="286" outlineLevel="1" spans="1:10">
      <c r="A286" s="50">
        <v>235</v>
      </c>
      <c r="B286" s="51" t="str">
        <v>内墙面-10厚M15水泥砂浆</v>
      </c>
      <c r="C286" s="51" t="e">
        <v>#REF!</v>
      </c>
      <c r="D286" s="51" t="str">
        <v/>
      </c>
      <c r="E286" s="51" t="str">
        <v/>
      </c>
      <c r="F286" s="52" t="e">
        <v>#REF!</v>
      </c>
      <c r="G286" s="48" t="e">
        <v>#REF!</v>
      </c>
      <c r="H286" s="49">
        <v>0</v>
      </c>
      <c r="I286" s="49" t="e">
        <v>#REF!</v>
      </c>
      <c r="J286" s="50"/>
    </row>
    <row r="287" outlineLevel="1" spans="1:10">
      <c r="A287" s="50" t="str">
        <v/>
      </c>
      <c r="B287" s="51" t="str">
        <v>A.05.04白水泥工程</v>
      </c>
      <c r="C287" s="51" t="str">
        <v/>
      </c>
      <c r="D287" s="51" t="str">
        <v/>
      </c>
      <c r="E287" s="51" t="str">
        <v/>
      </c>
      <c r="F287" s="52" t="str">
        <v/>
      </c>
      <c r="G287" s="48" t="str">
        <v/>
      </c>
      <c r="H287" s="49">
        <v>0</v>
      </c>
      <c r="I287" s="49" t="e">
        <v>#REF!</v>
      </c>
      <c r="J287" s="50"/>
    </row>
    <row r="288" outlineLevel="1" spans="1:10">
      <c r="A288" s="50">
        <v>236</v>
      </c>
      <c r="B288" s="51" t="str">
        <v>内墙面-地下白水泥</v>
      </c>
      <c r="C288" s="51" t="e">
        <v>#REF!</v>
      </c>
      <c r="D288" s="51" t="str">
        <v/>
      </c>
      <c r="E288" s="51" t="str">
        <v/>
      </c>
      <c r="F288" s="52" t="e">
        <v>#REF!</v>
      </c>
      <c r="G288" s="48" t="e">
        <v>#REF!</v>
      </c>
      <c r="H288" s="49">
        <v>835.21</v>
      </c>
      <c r="I288" s="49" t="e">
        <v>#REF!</v>
      </c>
      <c r="J288" s="50"/>
    </row>
    <row r="289" outlineLevel="1" spans="1:10">
      <c r="A289" s="50">
        <v>237</v>
      </c>
      <c r="B289" s="51" t="str">
        <v>内墙面-独立车库白水泥</v>
      </c>
      <c r="C289" s="51" t="e">
        <v>#REF!</v>
      </c>
      <c r="D289" s="51" t="str">
        <v/>
      </c>
      <c r="E289" s="51" t="str">
        <v/>
      </c>
      <c r="F289" s="52" t="e">
        <v>#REF!</v>
      </c>
      <c r="G289" s="48" t="e">
        <v>#REF!</v>
      </c>
      <c r="H289" s="49">
        <v>1330.6</v>
      </c>
      <c r="I289" s="49" t="e">
        <v>#REF!</v>
      </c>
      <c r="J289" s="50"/>
    </row>
    <row r="290" outlineLevel="1" spans="1:10">
      <c r="A290" s="50">
        <v>238</v>
      </c>
      <c r="B290" s="51" t="str">
        <v>内墙面-楼梯间白水泥</v>
      </c>
      <c r="C290" s="51" t="e">
        <v>#REF!</v>
      </c>
      <c r="D290" s="51" t="str">
        <v/>
      </c>
      <c r="E290" s="51" t="str">
        <v/>
      </c>
      <c r="F290" s="52" t="e">
        <v>#REF!</v>
      </c>
      <c r="G290" s="48" t="e">
        <v>#REF!</v>
      </c>
      <c r="H290" s="49">
        <v>481.14</v>
      </c>
      <c r="I290" s="49" t="e">
        <v>#REF!</v>
      </c>
      <c r="J290" s="50"/>
    </row>
    <row r="291" outlineLevel="1" spans="1:10">
      <c r="A291" s="50">
        <v>239</v>
      </c>
      <c r="B291" s="51" t="str">
        <v>天棚-地下室白水泥</v>
      </c>
      <c r="C291" s="51" t="e">
        <v>#REF!</v>
      </c>
      <c r="D291" s="51" t="str">
        <v/>
      </c>
      <c r="E291" s="51" t="str">
        <v/>
      </c>
      <c r="F291" s="52" t="e">
        <v>#REF!</v>
      </c>
      <c r="G291" s="48" t="e">
        <v>#REF!</v>
      </c>
      <c r="H291" s="49">
        <v>793.72</v>
      </c>
      <c r="I291" s="49" t="e">
        <v>#REF!</v>
      </c>
      <c r="J291" s="50"/>
    </row>
    <row r="292" outlineLevel="1" spans="1:10">
      <c r="A292" s="50">
        <v>240</v>
      </c>
      <c r="B292" s="51" t="str">
        <v>天棚-楼梯间白水泥</v>
      </c>
      <c r="C292" s="51" t="e">
        <v>#REF!</v>
      </c>
      <c r="D292" s="51" t="str">
        <v/>
      </c>
      <c r="E292" s="51" t="str">
        <v/>
      </c>
      <c r="F292" s="52" t="e">
        <v>#REF!</v>
      </c>
      <c r="G292" s="48" t="e">
        <v>#REF!</v>
      </c>
      <c r="H292" s="49">
        <v>141.7</v>
      </c>
      <c r="I292" s="49" t="e">
        <v>#REF!</v>
      </c>
      <c r="J292" s="50"/>
    </row>
    <row r="293" ht="28.8" outlineLevel="1" spans="1:10">
      <c r="A293" s="50">
        <v>241</v>
      </c>
      <c r="B293" s="51" t="str">
        <v>内墙面-人防扩散室集气室滤尘室白水泥</v>
      </c>
      <c r="C293" s="51" t="e">
        <v>#REF!</v>
      </c>
      <c r="D293" s="51" t="str">
        <v/>
      </c>
      <c r="E293" s="51" t="str">
        <v/>
      </c>
      <c r="F293" s="52" t="e">
        <v>#REF!</v>
      </c>
      <c r="G293" s="48" t="e">
        <v>#REF!</v>
      </c>
      <c r="H293" s="49">
        <v>0</v>
      </c>
      <c r="I293" s="49" t="e">
        <v>#REF!</v>
      </c>
      <c r="J293" s="50"/>
    </row>
    <row r="294" ht="28.8" outlineLevel="1" spans="1:10">
      <c r="A294" s="50">
        <v>242</v>
      </c>
      <c r="B294" s="51" t="str">
        <v>天棚-人防扩散室集气室滤尘室白水泥</v>
      </c>
      <c r="C294" s="51" t="e">
        <v>#REF!</v>
      </c>
      <c r="D294" s="51" t="str">
        <v/>
      </c>
      <c r="E294" s="51" t="str">
        <v/>
      </c>
      <c r="F294" s="52" t="e">
        <v>#REF!</v>
      </c>
      <c r="G294" s="48" t="e">
        <v>#REF!</v>
      </c>
      <c r="H294" s="49">
        <v>0</v>
      </c>
      <c r="I294" s="49" t="e">
        <v>#REF!</v>
      </c>
      <c r="J294" s="50"/>
    </row>
    <row r="295" outlineLevel="1" spans="1:10">
      <c r="A295" s="50">
        <v>243</v>
      </c>
      <c r="B295" s="51" t="str">
        <v>天棚-地下车道白水泥</v>
      </c>
      <c r="C295" s="51" t="e">
        <v>#REF!</v>
      </c>
      <c r="D295" s="51" t="str">
        <v/>
      </c>
      <c r="E295" s="51" t="str">
        <v/>
      </c>
      <c r="F295" s="52" t="e">
        <v>#REF!</v>
      </c>
      <c r="G295" s="48" t="e">
        <v>#REF!</v>
      </c>
      <c r="H295" s="49">
        <v>0</v>
      </c>
      <c r="I295" s="49" t="e">
        <v>#REF!</v>
      </c>
      <c r="J295" s="50"/>
    </row>
    <row r="296" outlineLevel="1" spans="1:10">
      <c r="A296" s="50">
        <v>244</v>
      </c>
      <c r="B296" s="51" t="str">
        <v>天棚-地下白水泥</v>
      </c>
      <c r="C296" s="51" t="e">
        <v>#REF!</v>
      </c>
      <c r="D296" s="51" t="str">
        <v/>
      </c>
      <c r="E296" s="51" t="str">
        <v/>
      </c>
      <c r="F296" s="52" t="e">
        <v>#REF!</v>
      </c>
      <c r="G296" s="48" t="e">
        <v>#REF!</v>
      </c>
      <c r="H296" s="49">
        <v>0</v>
      </c>
      <c r="I296" s="49" t="e">
        <v>#REF!</v>
      </c>
      <c r="J296" s="50"/>
    </row>
    <row r="297" outlineLevel="1" spans="1:10">
      <c r="A297" s="50">
        <v>245</v>
      </c>
      <c r="B297" s="51" t="str">
        <v>天棚-水泵房白水泥</v>
      </c>
      <c r="C297" s="51" t="e">
        <v>#REF!</v>
      </c>
      <c r="D297" s="51" t="str">
        <v/>
      </c>
      <c r="E297" s="51" t="str">
        <v/>
      </c>
      <c r="F297" s="52" t="e">
        <v>#REF!</v>
      </c>
      <c r="G297" s="48" t="e">
        <v>#REF!</v>
      </c>
      <c r="H297" s="49">
        <v>0</v>
      </c>
      <c r="I297" s="49" t="e">
        <v>#REF!</v>
      </c>
      <c r="J297" s="50"/>
    </row>
    <row r="298" outlineLevel="1" spans="1:10">
      <c r="A298" s="50" t="str">
        <v/>
      </c>
      <c r="B298" s="51" t="str">
        <v>地上工程</v>
      </c>
      <c r="C298" s="51" t="str">
        <v/>
      </c>
      <c r="D298" s="51" t="str">
        <v/>
      </c>
      <c r="E298" s="51" t="str">
        <v/>
      </c>
      <c r="F298" s="52" t="str">
        <v/>
      </c>
      <c r="G298" s="48" t="str">
        <v/>
      </c>
      <c r="H298" s="49">
        <v>0</v>
      </c>
      <c r="I298" s="49" t="e">
        <v>#REF!</v>
      </c>
      <c r="J298" s="50"/>
    </row>
    <row r="299" outlineLevel="1" spans="1:10">
      <c r="A299" s="50" t="str">
        <v/>
      </c>
      <c r="B299" s="51" t="str">
        <v>A.02主体结构工程</v>
      </c>
      <c r="C299" s="51" t="str">
        <v/>
      </c>
      <c r="D299" s="51" t="str">
        <v/>
      </c>
      <c r="E299" s="51" t="str">
        <v/>
      </c>
      <c r="F299" s="52" t="str">
        <v/>
      </c>
      <c r="G299" s="48" t="str">
        <v/>
      </c>
      <c r="H299" s="49">
        <v>0</v>
      </c>
      <c r="I299" s="49" t="e">
        <v>#REF!</v>
      </c>
      <c r="J299" s="50"/>
    </row>
    <row r="300" outlineLevel="1" spans="1:10">
      <c r="A300" s="50" t="str">
        <v/>
      </c>
      <c r="B300" s="51" t="str">
        <v>A.02.01混凝土工程</v>
      </c>
      <c r="C300" s="51" t="str">
        <v/>
      </c>
      <c r="D300" s="51" t="str">
        <v/>
      </c>
      <c r="E300" s="51" t="str">
        <v/>
      </c>
      <c r="F300" s="52" t="str">
        <v/>
      </c>
      <c r="G300" s="48" t="str">
        <v/>
      </c>
      <c r="H300" s="49">
        <v>0</v>
      </c>
      <c r="I300" s="49" t="e">
        <v>#REF!</v>
      </c>
      <c r="J300" s="50"/>
    </row>
    <row r="301" outlineLevel="1" spans="1:10">
      <c r="A301" s="50">
        <v>246</v>
      </c>
      <c r="B301" s="51" t="str">
        <v>柱C30</v>
      </c>
      <c r="C301" s="51" t="e">
        <v>#REF!</v>
      </c>
      <c r="D301" s="51" t="str">
        <v/>
      </c>
      <c r="E301" s="51" t="str">
        <v/>
      </c>
      <c r="F301" s="52" t="e">
        <v>#REF!</v>
      </c>
      <c r="G301" s="48" t="e">
        <v>#REF!</v>
      </c>
      <c r="H301" s="49">
        <v>17.18</v>
      </c>
      <c r="I301" s="49" t="e">
        <v>#REF!</v>
      </c>
      <c r="J301" s="50"/>
    </row>
    <row r="302" outlineLevel="1" spans="1:10">
      <c r="A302" s="50">
        <v>247</v>
      </c>
      <c r="B302" s="51" t="str">
        <v>梁C30</v>
      </c>
      <c r="C302" s="51" t="e">
        <v>#REF!</v>
      </c>
      <c r="D302" s="51" t="str">
        <v/>
      </c>
      <c r="E302" s="51" t="str">
        <v/>
      </c>
      <c r="F302" s="52" t="e">
        <v>#REF!</v>
      </c>
      <c r="G302" s="48" t="e">
        <v>#REF!</v>
      </c>
      <c r="H302" s="49">
        <v>392.61</v>
      </c>
      <c r="I302" s="49" t="e">
        <v>#REF!</v>
      </c>
      <c r="J302" s="50"/>
    </row>
    <row r="303" outlineLevel="1" spans="1:10">
      <c r="A303" s="50">
        <v>248</v>
      </c>
      <c r="B303" s="51" t="str">
        <v>拱形梁C30</v>
      </c>
      <c r="C303" s="51" t="e">
        <v>#REF!</v>
      </c>
      <c r="D303" s="51" t="str">
        <v/>
      </c>
      <c r="E303" s="51" t="str">
        <v/>
      </c>
      <c r="F303" s="52" t="e">
        <v>#REF!</v>
      </c>
      <c r="G303" s="48" t="e">
        <v>#REF!</v>
      </c>
      <c r="H303" s="49">
        <v>2.94</v>
      </c>
      <c r="I303" s="49" t="e">
        <v>#REF!</v>
      </c>
      <c r="J303" s="50"/>
    </row>
    <row r="304" outlineLevel="1" spans="1:10">
      <c r="A304" s="50">
        <v>249</v>
      </c>
      <c r="B304" s="51" t="str">
        <v>墙C30</v>
      </c>
      <c r="C304" s="51" t="e">
        <v>#REF!</v>
      </c>
      <c r="D304" s="51" t="str">
        <v/>
      </c>
      <c r="E304" s="51" t="str">
        <v/>
      </c>
      <c r="F304" s="52" t="e">
        <v>#REF!</v>
      </c>
      <c r="G304" s="48" t="e">
        <v>#REF!</v>
      </c>
      <c r="H304" s="49">
        <v>2122.18</v>
      </c>
      <c r="I304" s="49" t="e">
        <v>#REF!</v>
      </c>
      <c r="J304" s="50"/>
    </row>
    <row r="305" outlineLevel="1" spans="1:10">
      <c r="A305" s="50">
        <v>250</v>
      </c>
      <c r="B305" s="51" t="str">
        <v>墙C35</v>
      </c>
      <c r="C305" s="51" t="e">
        <v>#REF!</v>
      </c>
      <c r="D305" s="51" t="str">
        <v/>
      </c>
      <c r="E305" s="51" t="str">
        <v/>
      </c>
      <c r="F305" s="52" t="e">
        <v>#REF!</v>
      </c>
      <c r="G305" s="48" t="e">
        <v>#REF!</v>
      </c>
      <c r="H305" s="49">
        <v>1</v>
      </c>
      <c r="I305" s="49" t="e">
        <v>#REF!</v>
      </c>
      <c r="J305" s="50"/>
    </row>
    <row r="306" outlineLevel="1" spans="1:10">
      <c r="A306" s="50">
        <v>251</v>
      </c>
      <c r="B306" s="51" t="str">
        <v>电梯井壁墙C30</v>
      </c>
      <c r="C306" s="51" t="e">
        <v>#REF!</v>
      </c>
      <c r="D306" s="51" t="str">
        <v/>
      </c>
      <c r="E306" s="51" t="str">
        <v/>
      </c>
      <c r="F306" s="52" t="e">
        <v>#REF!</v>
      </c>
      <c r="G306" s="48" t="e">
        <v>#REF!</v>
      </c>
      <c r="H306" s="49">
        <v>276.47</v>
      </c>
      <c r="I306" s="49" t="e">
        <v>#REF!</v>
      </c>
      <c r="J306" s="50"/>
    </row>
    <row r="307" outlineLevel="1" spans="1:10">
      <c r="A307" s="50">
        <v>252</v>
      </c>
      <c r="B307" s="51" t="str">
        <v>电梯井壁墙C35</v>
      </c>
      <c r="C307" s="51" t="e">
        <v>#REF!</v>
      </c>
      <c r="D307" s="51" t="str">
        <v/>
      </c>
      <c r="E307" s="51" t="str">
        <v/>
      </c>
      <c r="F307" s="52" t="e">
        <v>#REF!</v>
      </c>
      <c r="G307" s="48" t="e">
        <v>#REF!</v>
      </c>
      <c r="H307" s="49">
        <v>1</v>
      </c>
      <c r="I307" s="49" t="e">
        <v>#REF!</v>
      </c>
      <c r="J307" s="50"/>
    </row>
    <row r="308" outlineLevel="1" spans="1:10">
      <c r="A308" s="50">
        <v>253</v>
      </c>
      <c r="B308" s="51" t="str">
        <v>平板C30</v>
      </c>
      <c r="C308" s="51" t="e">
        <v>#REF!</v>
      </c>
      <c r="D308" s="51" t="str">
        <v/>
      </c>
      <c r="E308" s="51" t="str">
        <v/>
      </c>
      <c r="F308" s="52" t="e">
        <v>#REF!</v>
      </c>
      <c r="G308" s="48" t="e">
        <v>#REF!</v>
      </c>
      <c r="H308" s="49">
        <v>95.47</v>
      </c>
      <c r="I308" s="49" t="e">
        <v>#REF!</v>
      </c>
      <c r="J308" s="50"/>
    </row>
    <row r="309" outlineLevel="1" spans="1:10">
      <c r="A309" s="50">
        <v>254</v>
      </c>
      <c r="B309" s="51" t="str">
        <v>斜板C30</v>
      </c>
      <c r="C309" s="51" t="e">
        <v>#REF!</v>
      </c>
      <c r="D309" s="51" t="str">
        <v/>
      </c>
      <c r="E309" s="51" t="str">
        <v/>
      </c>
      <c r="F309" s="52" t="e">
        <v>#REF!</v>
      </c>
      <c r="G309" s="48" t="e">
        <v>#REF!</v>
      </c>
      <c r="H309" s="49">
        <v>39.24</v>
      </c>
      <c r="I309" s="49" t="e">
        <v>#REF!</v>
      </c>
      <c r="J309" s="50"/>
    </row>
    <row r="310" outlineLevel="1" spans="1:10">
      <c r="A310" s="50">
        <v>255</v>
      </c>
      <c r="B310" s="51" t="str">
        <v>拱板C30</v>
      </c>
      <c r="C310" s="51" t="e">
        <v>#REF!</v>
      </c>
      <c r="D310" s="51" t="str">
        <v/>
      </c>
      <c r="E310" s="51" t="str">
        <v/>
      </c>
      <c r="F310" s="52" t="e">
        <v>#REF!</v>
      </c>
      <c r="G310" s="48" t="e">
        <v>#REF!</v>
      </c>
      <c r="H310" s="49">
        <v>4.34</v>
      </c>
      <c r="I310" s="49" t="e">
        <v>#REF!</v>
      </c>
      <c r="J310" s="50"/>
    </row>
    <row r="311" outlineLevel="1" spans="1:10">
      <c r="A311" s="50">
        <v>256</v>
      </c>
      <c r="B311" s="51" t="str">
        <v>叠合板现浇部位C30</v>
      </c>
      <c r="C311" s="51" t="e">
        <v>#REF!</v>
      </c>
      <c r="D311" s="51" t="str">
        <v/>
      </c>
      <c r="E311" s="51" t="str">
        <v/>
      </c>
      <c r="F311" s="52" t="e">
        <v>#REF!</v>
      </c>
      <c r="G311" s="48" t="e">
        <v>#REF!</v>
      </c>
      <c r="H311" s="49">
        <v>597.94</v>
      </c>
      <c r="I311" s="49" t="e">
        <v>#REF!</v>
      </c>
      <c r="J311" s="50"/>
    </row>
    <row r="312" outlineLevel="1" spans="1:10">
      <c r="A312" s="50">
        <v>257</v>
      </c>
      <c r="B312" s="51" t="str">
        <v>PC板补板缝C30</v>
      </c>
      <c r="C312" s="51" t="e">
        <v>#REF!</v>
      </c>
      <c r="D312" s="51" t="str">
        <v/>
      </c>
      <c r="E312" s="51" t="str">
        <v/>
      </c>
      <c r="F312" s="52" t="e">
        <v>#REF!</v>
      </c>
      <c r="G312" s="48" t="e">
        <v>#REF!</v>
      </c>
      <c r="H312" s="49">
        <v>145.15</v>
      </c>
      <c r="I312" s="49" t="e">
        <v>#REF!</v>
      </c>
      <c r="J312" s="50"/>
    </row>
    <row r="313" outlineLevel="1" spans="1:10">
      <c r="A313" s="50">
        <v>258</v>
      </c>
      <c r="B313" s="51" t="str">
        <v>雨篷C30</v>
      </c>
      <c r="C313" s="51" t="e">
        <v>#REF!</v>
      </c>
      <c r="D313" s="51" t="str">
        <v/>
      </c>
      <c r="E313" s="51" t="str">
        <v/>
      </c>
      <c r="F313" s="52" t="e">
        <v>#REF!</v>
      </c>
      <c r="G313" s="48" t="e">
        <v>#REF!</v>
      </c>
      <c r="H313" s="49">
        <v>1</v>
      </c>
      <c r="I313" s="49" t="e">
        <v>#REF!</v>
      </c>
      <c r="J313" s="50"/>
    </row>
    <row r="314" outlineLevel="1" spans="1:10">
      <c r="A314" s="50">
        <v>259</v>
      </c>
      <c r="B314" s="51" t="str">
        <v>天沟(檐沟）挑檐板C30</v>
      </c>
      <c r="C314" s="51" t="e">
        <v>#REF!</v>
      </c>
      <c r="D314" s="51" t="str">
        <v/>
      </c>
      <c r="E314" s="51" t="str">
        <v/>
      </c>
      <c r="F314" s="52" t="e">
        <v>#REF!</v>
      </c>
      <c r="G314" s="48" t="e">
        <v>#REF!</v>
      </c>
      <c r="H314" s="49">
        <v>96.67</v>
      </c>
      <c r="I314" s="49" t="e">
        <v>#REF!</v>
      </c>
      <c r="J314" s="50"/>
    </row>
    <row r="315" outlineLevel="1" spans="1:10">
      <c r="A315" s="50">
        <v>260</v>
      </c>
      <c r="B315" s="51" t="str">
        <v>栏板C30</v>
      </c>
      <c r="C315" s="51" t="e">
        <v>#REF!</v>
      </c>
      <c r="D315" s="51" t="str">
        <v/>
      </c>
      <c r="E315" s="51" t="str">
        <v/>
      </c>
      <c r="F315" s="52" t="e">
        <v>#REF!</v>
      </c>
      <c r="G315" s="48" t="e">
        <v>#REF!</v>
      </c>
      <c r="H315" s="49">
        <v>6.01</v>
      </c>
      <c r="I315" s="49" t="e">
        <v>#REF!</v>
      </c>
      <c r="J315" s="50"/>
    </row>
    <row r="316" outlineLevel="1" spans="1:10">
      <c r="A316" s="50">
        <v>261</v>
      </c>
      <c r="B316" s="51" t="str">
        <v>直形楼梯C30</v>
      </c>
      <c r="C316" s="51" t="e">
        <v>#REF!</v>
      </c>
      <c r="D316" s="51" t="str">
        <v/>
      </c>
      <c r="E316" s="51" t="str">
        <v/>
      </c>
      <c r="F316" s="52" t="e">
        <v>#REF!</v>
      </c>
      <c r="G316" s="48" t="e">
        <v>#REF!</v>
      </c>
      <c r="H316" s="49">
        <v>23.13</v>
      </c>
      <c r="I316" s="49" t="e">
        <v>#REF!</v>
      </c>
      <c r="J316" s="50"/>
    </row>
    <row r="317" outlineLevel="1" spans="1:10">
      <c r="A317" s="50">
        <v>262</v>
      </c>
      <c r="B317" s="51" t="str">
        <v>设备基础C25</v>
      </c>
      <c r="C317" s="51" t="e">
        <v>#REF!</v>
      </c>
      <c r="D317" s="51" t="str">
        <v/>
      </c>
      <c r="E317" s="51" t="str">
        <v/>
      </c>
      <c r="F317" s="52" t="e">
        <v>#REF!</v>
      </c>
      <c r="G317" s="48" t="e">
        <v>#REF!</v>
      </c>
      <c r="H317" s="49">
        <v>2.51</v>
      </c>
      <c r="I317" s="49" t="e">
        <v>#REF!</v>
      </c>
      <c r="J317" s="50"/>
    </row>
    <row r="318" outlineLevel="1" spans="1:10">
      <c r="A318" s="50">
        <v>263</v>
      </c>
      <c r="B318" s="51" t="str">
        <v>自密实混凝土-50厚C30</v>
      </c>
      <c r="C318" s="51" t="e">
        <v>#REF!</v>
      </c>
      <c r="D318" s="51" t="str">
        <v/>
      </c>
      <c r="E318" s="51" t="str">
        <v/>
      </c>
      <c r="F318" s="52" t="e">
        <v>#REF!</v>
      </c>
      <c r="G318" s="48" t="e">
        <v>#REF!</v>
      </c>
      <c r="H318" s="49">
        <v>0</v>
      </c>
      <c r="I318" s="49" t="e">
        <v>#REF!</v>
      </c>
      <c r="J318" s="50"/>
    </row>
    <row r="319" outlineLevel="1" spans="1:10">
      <c r="A319" s="50">
        <v>264</v>
      </c>
      <c r="B319" s="51" t="str">
        <v>预制钢筋混凝土叠合楼板</v>
      </c>
      <c r="C319" s="51" t="e">
        <v>#REF!</v>
      </c>
      <c r="D319" s="51" t="str">
        <v/>
      </c>
      <c r="E319" s="51" t="str">
        <v/>
      </c>
      <c r="F319" s="52" t="e">
        <v>#REF!</v>
      </c>
      <c r="G319" s="48" t="e">
        <v>#REF!</v>
      </c>
      <c r="H319" s="49">
        <v>506.75</v>
      </c>
      <c r="I319" s="49" t="e">
        <v>#REF!</v>
      </c>
      <c r="J319" s="50"/>
    </row>
    <row r="320" outlineLevel="1" spans="1:10">
      <c r="A320" s="50">
        <v>265</v>
      </c>
      <c r="B320" s="51" t="str">
        <v>预制钢筋混凝土空调板</v>
      </c>
      <c r="C320" s="51" t="e">
        <v>#REF!</v>
      </c>
      <c r="D320" s="51" t="str">
        <v/>
      </c>
      <c r="E320" s="51" t="str">
        <v/>
      </c>
      <c r="F320" s="52" t="e">
        <v>#REF!</v>
      </c>
      <c r="G320" s="48" t="e">
        <v>#REF!</v>
      </c>
      <c r="H320" s="49">
        <v>9.09</v>
      </c>
      <c r="I320" s="49" t="e">
        <v>#REF!</v>
      </c>
      <c r="J320" s="50"/>
    </row>
    <row r="321" outlineLevel="1" spans="1:10">
      <c r="A321" s="50">
        <v>266</v>
      </c>
      <c r="B321" s="51" t="str">
        <v>预制钢筋混凝土楼梯</v>
      </c>
      <c r="C321" s="51" t="e">
        <v>#REF!</v>
      </c>
      <c r="D321" s="51" t="str">
        <v/>
      </c>
      <c r="E321" s="51" t="str">
        <v/>
      </c>
      <c r="F321" s="52" t="e">
        <v>#REF!</v>
      </c>
      <c r="G321" s="48" t="e">
        <v>#REF!</v>
      </c>
      <c r="H321" s="49">
        <v>78.42</v>
      </c>
      <c r="I321" s="49" t="e">
        <v>#REF!</v>
      </c>
      <c r="J321" s="50"/>
    </row>
    <row r="322" outlineLevel="1" spans="1:10">
      <c r="A322" s="50" t="str">
        <v/>
      </c>
      <c r="B322" s="51" t="str">
        <v>A.02.02钢筋工程</v>
      </c>
      <c r="C322" s="51" t="str">
        <v/>
      </c>
      <c r="D322" s="51" t="str">
        <v/>
      </c>
      <c r="E322" s="51" t="str">
        <v/>
      </c>
      <c r="F322" s="52" t="str">
        <v/>
      </c>
      <c r="G322" s="48" t="str">
        <v/>
      </c>
      <c r="H322" s="49">
        <v>0</v>
      </c>
      <c r="I322" s="49" t="e">
        <v>#REF!</v>
      </c>
      <c r="J322" s="50"/>
    </row>
    <row r="323" outlineLevel="1" spans="1:10">
      <c r="A323" s="50">
        <v>267</v>
      </c>
      <c r="B323" s="51" t="str">
        <v>地上现浇构件钢筋-φ10以内</v>
      </c>
      <c r="C323" s="51" t="e">
        <v>#REF!</v>
      </c>
      <c r="D323" s="51" t="str">
        <v/>
      </c>
      <c r="E323" s="51" t="str">
        <v/>
      </c>
      <c r="F323" s="52" t="e">
        <v>#REF!</v>
      </c>
      <c r="G323" s="48" t="e">
        <v>#REF!</v>
      </c>
      <c r="H323" s="49">
        <v>1.744</v>
      </c>
      <c r="I323" s="49" t="e">
        <v>#REF!</v>
      </c>
      <c r="J323" s="50"/>
    </row>
    <row r="324" ht="28.8" outlineLevel="1" spans="1:10">
      <c r="A324" s="50">
        <v>268</v>
      </c>
      <c r="B324" s="51" t="str">
        <v>地上现浇构件钢筋-三级钢筋 Φ6</v>
      </c>
      <c r="C324" s="51" t="e">
        <v>#REF!</v>
      </c>
      <c r="D324" s="51" t="str">
        <v/>
      </c>
      <c r="E324" s="51" t="str">
        <v/>
      </c>
      <c r="F324" s="52" t="e">
        <v>#REF!</v>
      </c>
      <c r="G324" s="48" t="e">
        <v>#REF!</v>
      </c>
      <c r="H324" s="49">
        <v>15.529</v>
      </c>
      <c r="I324" s="49" t="e">
        <v>#REF!</v>
      </c>
      <c r="J324" s="50"/>
    </row>
    <row r="325" ht="28.8" outlineLevel="1" spans="1:10">
      <c r="A325" s="50">
        <v>269</v>
      </c>
      <c r="B325" s="51" t="str">
        <v>地上现浇构件钢筋-三级钢筋 Φ8</v>
      </c>
      <c r="C325" s="51" t="e">
        <v>#REF!</v>
      </c>
      <c r="D325" s="51" t="str">
        <v/>
      </c>
      <c r="E325" s="51" t="str">
        <v/>
      </c>
      <c r="F325" s="52" t="e">
        <v>#REF!</v>
      </c>
      <c r="G325" s="48" t="e">
        <v>#REF!</v>
      </c>
      <c r="H325" s="49">
        <v>185.993</v>
      </c>
      <c r="I325" s="49" t="e">
        <v>#REF!</v>
      </c>
      <c r="J325" s="50"/>
    </row>
    <row r="326" ht="28.8" outlineLevel="1" spans="1:10">
      <c r="A326" s="50">
        <v>270</v>
      </c>
      <c r="B326" s="51" t="str">
        <v>地上现浇构件钢筋-三级钢筋 Φ10</v>
      </c>
      <c r="C326" s="51" t="e">
        <v>#REF!</v>
      </c>
      <c r="D326" s="51" t="str">
        <v/>
      </c>
      <c r="E326" s="51" t="str">
        <v/>
      </c>
      <c r="F326" s="52" t="e">
        <v>#REF!</v>
      </c>
      <c r="G326" s="48" t="e">
        <v>#REF!</v>
      </c>
      <c r="H326" s="49">
        <v>12.827</v>
      </c>
      <c r="I326" s="49" t="e">
        <v>#REF!</v>
      </c>
      <c r="J326" s="50"/>
    </row>
    <row r="327" ht="28.8" outlineLevel="1" spans="1:10">
      <c r="A327" s="50">
        <v>271</v>
      </c>
      <c r="B327" s="51" t="str">
        <v>地上现浇构件钢筋-三级钢筋 Φ12</v>
      </c>
      <c r="C327" s="51" t="e">
        <v>#REF!</v>
      </c>
      <c r="D327" s="51" t="str">
        <v/>
      </c>
      <c r="E327" s="51" t="str">
        <v/>
      </c>
      <c r="F327" s="52" t="e">
        <v>#REF!</v>
      </c>
      <c r="G327" s="48" t="e">
        <v>#REF!</v>
      </c>
      <c r="H327" s="49">
        <v>67.637</v>
      </c>
      <c r="I327" s="49" t="e">
        <v>#REF!</v>
      </c>
      <c r="J327" s="50"/>
    </row>
    <row r="328" ht="28.8" outlineLevel="1" spans="1:10">
      <c r="A328" s="50">
        <v>272</v>
      </c>
      <c r="B328" s="51" t="str">
        <v>地上现浇构件钢筋-三级钢筋 Φ14</v>
      </c>
      <c r="C328" s="51" t="e">
        <v>#REF!</v>
      </c>
      <c r="D328" s="51" t="str">
        <v/>
      </c>
      <c r="E328" s="51" t="str">
        <v/>
      </c>
      <c r="F328" s="52" t="e">
        <v>#REF!</v>
      </c>
      <c r="G328" s="48" t="e">
        <v>#REF!</v>
      </c>
      <c r="H328" s="49">
        <v>24.896</v>
      </c>
      <c r="I328" s="49" t="e">
        <v>#REF!</v>
      </c>
      <c r="J328" s="50"/>
    </row>
    <row r="329" ht="28.8" outlineLevel="1" spans="1:10">
      <c r="A329" s="50">
        <v>273</v>
      </c>
      <c r="B329" s="51" t="str">
        <v>地上现浇构件钢筋-三级钢筋 Φ16</v>
      </c>
      <c r="C329" s="51" t="e">
        <v>#REF!</v>
      </c>
      <c r="D329" s="51" t="str">
        <v/>
      </c>
      <c r="E329" s="51" t="str">
        <v/>
      </c>
      <c r="F329" s="52" t="e">
        <v>#REF!</v>
      </c>
      <c r="G329" s="48" t="e">
        <v>#REF!</v>
      </c>
      <c r="H329" s="49">
        <v>56.957</v>
      </c>
      <c r="I329" s="49" t="e">
        <v>#REF!</v>
      </c>
      <c r="J329" s="50"/>
    </row>
    <row r="330" ht="28.8" outlineLevel="1" spans="1:10">
      <c r="A330" s="50">
        <v>274</v>
      </c>
      <c r="B330" s="51" t="str">
        <v>地上现浇构件钢筋-三级钢筋 Φ18</v>
      </c>
      <c r="C330" s="51" t="e">
        <v>#REF!</v>
      </c>
      <c r="D330" s="51" t="str">
        <v/>
      </c>
      <c r="E330" s="51" t="str">
        <v/>
      </c>
      <c r="F330" s="52" t="e">
        <v>#REF!</v>
      </c>
      <c r="G330" s="48" t="e">
        <v>#REF!</v>
      </c>
      <c r="H330" s="49">
        <v>21.492</v>
      </c>
      <c r="I330" s="49" t="e">
        <v>#REF!</v>
      </c>
      <c r="J330" s="50"/>
    </row>
    <row r="331" ht="28.8" outlineLevel="1" spans="1:10">
      <c r="A331" s="50">
        <v>275</v>
      </c>
      <c r="B331" s="51" t="str">
        <v>地上现浇构件钢筋-三级钢筋 Φ20</v>
      </c>
      <c r="C331" s="51" t="e">
        <v>#REF!</v>
      </c>
      <c r="D331" s="51" t="str">
        <v/>
      </c>
      <c r="E331" s="51" t="str">
        <v/>
      </c>
      <c r="F331" s="52" t="e">
        <v>#REF!</v>
      </c>
      <c r="G331" s="48" t="e">
        <v>#REF!</v>
      </c>
      <c r="H331" s="49">
        <v>22.019</v>
      </c>
      <c r="I331" s="49" t="e">
        <v>#REF!</v>
      </c>
      <c r="J331" s="50"/>
    </row>
    <row r="332" ht="28.8" outlineLevel="1" spans="1:10">
      <c r="A332" s="50">
        <v>276</v>
      </c>
      <c r="B332" s="51" t="str">
        <v>地上现浇构件钢筋-三级钢筋 Φ22</v>
      </c>
      <c r="C332" s="51" t="e">
        <v>#REF!</v>
      </c>
      <c r="D332" s="51" t="str">
        <v/>
      </c>
      <c r="E332" s="51" t="str">
        <v/>
      </c>
      <c r="F332" s="52" t="e">
        <v>#REF!</v>
      </c>
      <c r="G332" s="48" t="e">
        <v>#REF!</v>
      </c>
      <c r="H332" s="49">
        <v>3.799</v>
      </c>
      <c r="I332" s="49" t="e">
        <v>#REF!</v>
      </c>
      <c r="J332" s="50"/>
    </row>
    <row r="333" ht="28.8" outlineLevel="1" spans="1:10">
      <c r="A333" s="50">
        <v>277</v>
      </c>
      <c r="B333" s="51" t="str">
        <v>地上现浇构件钢筋-三级钢筋 Φ25</v>
      </c>
      <c r="C333" s="51" t="e">
        <v>#REF!</v>
      </c>
      <c r="D333" s="51" t="str">
        <v/>
      </c>
      <c r="E333" s="51" t="str">
        <v/>
      </c>
      <c r="F333" s="52" t="e">
        <v>#REF!</v>
      </c>
      <c r="G333" s="48" t="e">
        <v>#REF!</v>
      </c>
      <c r="H333" s="49">
        <v>1.549</v>
      </c>
      <c r="I333" s="49" t="e">
        <v>#REF!</v>
      </c>
      <c r="J333" s="50"/>
    </row>
    <row r="334" ht="28.8" outlineLevel="1" spans="1:10">
      <c r="A334" s="50">
        <v>278</v>
      </c>
      <c r="B334" s="51" t="str">
        <v>地上现浇构件措施钢筋-三级钢筋 Φ10</v>
      </c>
      <c r="C334" s="51" t="e">
        <v>#REF!</v>
      </c>
      <c r="D334" s="51" t="str">
        <v/>
      </c>
      <c r="E334" s="51" t="str">
        <v/>
      </c>
      <c r="F334" s="52" t="e">
        <v>#REF!</v>
      </c>
      <c r="G334" s="48" t="e">
        <v>#REF!</v>
      </c>
      <c r="H334" s="49">
        <v>0.08</v>
      </c>
      <c r="I334" s="49" t="e">
        <v>#REF!</v>
      </c>
      <c r="J334" s="50"/>
    </row>
    <row r="335" ht="28.8" outlineLevel="1" spans="1:10">
      <c r="A335" s="50">
        <v>279</v>
      </c>
      <c r="B335" s="51" t="str">
        <v>钢筋接头-直螺纹连接-φ20以内</v>
      </c>
      <c r="C335" s="51" t="e">
        <v>#REF!</v>
      </c>
      <c r="D335" s="51" t="str">
        <v/>
      </c>
      <c r="E335" s="51" t="str">
        <v/>
      </c>
      <c r="F335" s="52" t="e">
        <v>#REF!</v>
      </c>
      <c r="G335" s="48" t="e">
        <v>#REF!</v>
      </c>
      <c r="H335" s="49">
        <v>222</v>
      </c>
      <c r="I335" s="49" t="e">
        <v>#REF!</v>
      </c>
      <c r="J335" s="50"/>
    </row>
    <row r="336" ht="28.8" outlineLevel="1" spans="1:10">
      <c r="A336" s="50">
        <v>280</v>
      </c>
      <c r="B336" s="51" t="str">
        <v>钢筋接头-直螺纹连接-Φ30以内</v>
      </c>
      <c r="C336" s="51" t="e">
        <v>#REF!</v>
      </c>
      <c r="D336" s="51" t="str">
        <v/>
      </c>
      <c r="E336" s="51" t="str">
        <v/>
      </c>
      <c r="F336" s="52" t="e">
        <v>#REF!</v>
      </c>
      <c r="G336" s="48" t="e">
        <v>#REF!</v>
      </c>
      <c r="H336" s="49">
        <v>30</v>
      </c>
      <c r="I336" s="49" t="e">
        <v>#REF!</v>
      </c>
      <c r="J336" s="50"/>
    </row>
    <row r="337" outlineLevel="1" spans="1:10">
      <c r="A337" s="50">
        <v>281</v>
      </c>
      <c r="B337" s="51" t="str">
        <v>钢筋接头-电渣压力焊</v>
      </c>
      <c r="C337" s="51" t="e">
        <v>#REF!</v>
      </c>
      <c r="D337" s="51" t="str">
        <v/>
      </c>
      <c r="E337" s="51" t="str">
        <v/>
      </c>
      <c r="F337" s="52" t="e">
        <v>#REF!</v>
      </c>
      <c r="G337" s="48" t="e">
        <v>#REF!</v>
      </c>
      <c r="H337" s="49">
        <v>30943</v>
      </c>
      <c r="I337" s="49" t="e">
        <v>#REF!</v>
      </c>
      <c r="J337" s="50"/>
    </row>
    <row r="338" outlineLevel="1" spans="1:10">
      <c r="A338" s="50" t="str">
        <v/>
      </c>
      <c r="B338" s="51" t="str">
        <v>A.03二次结构工程</v>
      </c>
      <c r="C338" s="51" t="str">
        <v/>
      </c>
      <c r="D338" s="51" t="str">
        <v/>
      </c>
      <c r="E338" s="51" t="str">
        <v/>
      </c>
      <c r="F338" s="52" t="str">
        <v/>
      </c>
      <c r="G338" s="48" t="str">
        <v/>
      </c>
      <c r="H338" s="49">
        <v>0</v>
      </c>
      <c r="I338" s="49" t="e">
        <v>#REF!</v>
      </c>
      <c r="J338" s="50"/>
    </row>
    <row r="339" outlineLevel="1" spans="1:10">
      <c r="A339" s="50" t="str">
        <v/>
      </c>
      <c r="B339" s="51" t="str">
        <v>A.03.01砌筑工程</v>
      </c>
      <c r="C339" s="51" t="str">
        <v/>
      </c>
      <c r="D339" s="51" t="str">
        <v/>
      </c>
      <c r="E339" s="51" t="str">
        <v/>
      </c>
      <c r="F339" s="52" t="str">
        <v/>
      </c>
      <c r="G339" s="48" t="str">
        <v/>
      </c>
      <c r="H339" s="49">
        <v>0</v>
      </c>
      <c r="I339" s="49" t="e">
        <v>#REF!</v>
      </c>
      <c r="J339" s="50"/>
    </row>
    <row r="340" outlineLevel="1" spans="1:10">
      <c r="A340" s="50">
        <v>282</v>
      </c>
      <c r="B340" s="51" t="str">
        <v>出屋面砖台阶</v>
      </c>
      <c r="C340" s="51" t="e">
        <v>#REF!</v>
      </c>
      <c r="D340" s="51" t="str">
        <v/>
      </c>
      <c r="E340" s="51" t="str">
        <v/>
      </c>
      <c r="F340" s="52" t="e">
        <v>#REF!</v>
      </c>
      <c r="G340" s="48" t="e">
        <v>#REF!</v>
      </c>
      <c r="H340" s="49">
        <v>7.87</v>
      </c>
      <c r="I340" s="49" t="e">
        <v>#REF!</v>
      </c>
      <c r="J340" s="50"/>
    </row>
    <row r="341" outlineLevel="1" spans="1:10">
      <c r="A341" s="50">
        <v>283</v>
      </c>
      <c r="B341" s="51" t="str">
        <v>加气混凝土砌块</v>
      </c>
      <c r="C341" s="51" t="e">
        <v>#REF!</v>
      </c>
      <c r="D341" s="51" t="str">
        <v/>
      </c>
      <c r="E341" s="51" t="str">
        <v/>
      </c>
      <c r="F341" s="52" t="e">
        <v>#REF!</v>
      </c>
      <c r="G341" s="48" t="e">
        <v>#REF!</v>
      </c>
      <c r="H341" s="49">
        <v>329.3</v>
      </c>
      <c r="I341" s="49" t="e">
        <v>#REF!</v>
      </c>
      <c r="J341" s="50"/>
    </row>
    <row r="342" outlineLevel="1" spans="1:10">
      <c r="A342" s="50">
        <v>284</v>
      </c>
      <c r="B342" s="51" t="str">
        <v>管道包封砌筑</v>
      </c>
      <c r="C342" s="51" t="e">
        <v>#REF!</v>
      </c>
      <c r="D342" s="51" t="str">
        <v/>
      </c>
      <c r="E342" s="51" t="str">
        <v/>
      </c>
      <c r="F342" s="52" t="e">
        <v>#REF!</v>
      </c>
      <c r="G342" s="48" t="e">
        <v>#REF!</v>
      </c>
      <c r="H342" s="49">
        <v>0</v>
      </c>
      <c r="I342" s="49" t="e">
        <v>#REF!</v>
      </c>
      <c r="J342" s="50"/>
    </row>
    <row r="343" ht="28.8" outlineLevel="1" spans="1:10">
      <c r="A343" s="50">
        <v>285</v>
      </c>
      <c r="B343" s="51" t="str">
        <v>轻集料混凝土条板-100mm以内</v>
      </c>
      <c r="C343" s="51" t="e">
        <v>#REF!</v>
      </c>
      <c r="D343" s="51" t="str">
        <v/>
      </c>
      <c r="E343" s="51" t="str">
        <v/>
      </c>
      <c r="F343" s="52" t="e">
        <v>#REF!</v>
      </c>
      <c r="G343" s="48" t="e">
        <v>#REF!</v>
      </c>
      <c r="H343" s="49">
        <v>2397.3</v>
      </c>
      <c r="I343" s="49" t="e">
        <v>#REF!</v>
      </c>
      <c r="J343" s="50"/>
    </row>
    <row r="344" ht="28.8" outlineLevel="1" spans="1:10">
      <c r="A344" s="50">
        <v>286</v>
      </c>
      <c r="B344" s="51" t="str">
        <v>轻集料混凝土条板-200mm以内</v>
      </c>
      <c r="C344" s="51" t="e">
        <v>#REF!</v>
      </c>
      <c r="D344" s="51" t="str">
        <v/>
      </c>
      <c r="E344" s="51" t="str">
        <v/>
      </c>
      <c r="F344" s="52" t="e">
        <v>#REF!</v>
      </c>
      <c r="G344" s="48" t="e">
        <v>#REF!</v>
      </c>
      <c r="H344" s="49">
        <v>1027.89</v>
      </c>
      <c r="I344" s="49" t="e">
        <v>#REF!</v>
      </c>
      <c r="J344" s="50"/>
    </row>
    <row r="345" outlineLevel="1" spans="1:10">
      <c r="A345" s="50">
        <v>287</v>
      </c>
      <c r="B345" s="51" t="str">
        <v>AAC内墙板-180mm以内</v>
      </c>
      <c r="C345" s="51" t="e">
        <v>#REF!</v>
      </c>
      <c r="D345" s="51" t="str">
        <v/>
      </c>
      <c r="E345" s="51" t="str">
        <v/>
      </c>
      <c r="F345" s="52" t="e">
        <v>#REF!</v>
      </c>
      <c r="G345" s="48" t="e">
        <v>#REF!</v>
      </c>
      <c r="H345" s="49">
        <v>667.38</v>
      </c>
      <c r="I345" s="49" t="e">
        <v>#REF!</v>
      </c>
      <c r="J345" s="50"/>
    </row>
    <row r="346" outlineLevel="1" spans="1:10">
      <c r="A346" s="50">
        <v>288</v>
      </c>
      <c r="B346" s="51" t="str">
        <v>AAC外墙板-100mm以内</v>
      </c>
      <c r="C346" s="51" t="e">
        <v>#REF!</v>
      </c>
      <c r="D346" s="51" t="str">
        <v/>
      </c>
      <c r="E346" s="51" t="str">
        <v/>
      </c>
      <c r="F346" s="52" t="e">
        <v>#REF!</v>
      </c>
      <c r="G346" s="48" t="e">
        <v>#REF!</v>
      </c>
      <c r="H346" s="49">
        <v>240.1712</v>
      </c>
      <c r="I346" s="49" t="e">
        <v>#REF!</v>
      </c>
      <c r="J346" s="50"/>
    </row>
    <row r="347" outlineLevel="1" spans="1:10">
      <c r="A347" s="50">
        <v>289</v>
      </c>
      <c r="B347" s="51" t="str">
        <v>AAC外墙板-180mm以内</v>
      </c>
      <c r="C347" s="51" t="e">
        <v>#REF!</v>
      </c>
      <c r="D347" s="51" t="str">
        <v/>
      </c>
      <c r="E347" s="51" t="str">
        <v/>
      </c>
      <c r="F347" s="52" t="e">
        <v>#REF!</v>
      </c>
      <c r="G347" s="48" t="e">
        <v>#REF!</v>
      </c>
      <c r="H347" s="49">
        <v>45.0510999999999</v>
      </c>
      <c r="I347" s="49" t="e">
        <v>#REF!</v>
      </c>
      <c r="J347" s="50"/>
    </row>
    <row r="348" outlineLevel="1" spans="1:10">
      <c r="A348" s="50">
        <v>290</v>
      </c>
      <c r="B348" s="51" t="str">
        <v>AAC外墙板-280mm以内</v>
      </c>
      <c r="C348" s="51" t="e">
        <v>#REF!</v>
      </c>
      <c r="D348" s="51" t="str">
        <v/>
      </c>
      <c r="E348" s="51" t="str">
        <v/>
      </c>
      <c r="F348" s="52" t="e">
        <v>#REF!</v>
      </c>
      <c r="G348" s="48" t="e">
        <v>#REF!</v>
      </c>
      <c r="H348" s="49">
        <v>1215.9477</v>
      </c>
      <c r="I348" s="49" t="e">
        <v>#REF!</v>
      </c>
      <c r="J348" s="50"/>
    </row>
    <row r="349" outlineLevel="1" spans="1:10">
      <c r="A349" s="50">
        <v>291</v>
      </c>
      <c r="B349" s="51" t="str">
        <v>AAC自保温砌块</v>
      </c>
      <c r="C349" s="51" t="e">
        <v>#REF!</v>
      </c>
      <c r="D349" s="51" t="str">
        <v/>
      </c>
      <c r="E349" s="51" t="str">
        <v/>
      </c>
      <c r="F349" s="52" t="e">
        <v>#REF!</v>
      </c>
      <c r="G349" s="48" t="e">
        <v>#REF!</v>
      </c>
      <c r="H349" s="49">
        <v>1</v>
      </c>
      <c r="I349" s="49" t="e">
        <v>#REF!</v>
      </c>
      <c r="J349" s="50"/>
    </row>
    <row r="350" outlineLevel="1" spans="1:10">
      <c r="A350" s="50" t="str">
        <v/>
      </c>
      <c r="B350" s="51" t="str">
        <v>A.03.02混凝土工程</v>
      </c>
      <c r="C350" s="51" t="str">
        <v/>
      </c>
      <c r="D350" s="51" t="str">
        <v/>
      </c>
      <c r="E350" s="51" t="str">
        <v/>
      </c>
      <c r="F350" s="52" t="str">
        <v/>
      </c>
      <c r="G350" s="48" t="str">
        <v/>
      </c>
      <c r="H350" s="49">
        <v>0</v>
      </c>
      <c r="I350" s="49" t="e">
        <v>#REF!</v>
      </c>
      <c r="J350" s="50"/>
    </row>
    <row r="351" outlineLevel="1" spans="1:10">
      <c r="A351" s="50">
        <v>292</v>
      </c>
      <c r="B351" s="51" t="str">
        <v>构造柱C25</v>
      </c>
      <c r="C351" s="51" t="e">
        <v>#REF!</v>
      </c>
      <c r="D351" s="51" t="str">
        <v/>
      </c>
      <c r="E351" s="51" t="str">
        <v/>
      </c>
      <c r="F351" s="52" t="e">
        <v>#REF!</v>
      </c>
      <c r="G351" s="48" t="e">
        <v>#REF!</v>
      </c>
      <c r="H351" s="49">
        <v>65.6</v>
      </c>
      <c r="I351" s="49" t="e">
        <v>#REF!</v>
      </c>
      <c r="J351" s="50"/>
    </row>
    <row r="352" outlineLevel="1" spans="1:10">
      <c r="A352" s="50">
        <v>293</v>
      </c>
      <c r="B352" s="51" t="str">
        <v>圈梁C25</v>
      </c>
      <c r="C352" s="51" t="e">
        <v>#REF!</v>
      </c>
      <c r="D352" s="51" t="str">
        <v/>
      </c>
      <c r="E352" s="51" t="str">
        <v/>
      </c>
      <c r="F352" s="52" t="e">
        <v>#REF!</v>
      </c>
      <c r="G352" s="48" t="e">
        <v>#REF!</v>
      </c>
      <c r="H352" s="49">
        <v>2.86</v>
      </c>
      <c r="I352" s="49" t="e">
        <v>#REF!</v>
      </c>
      <c r="J352" s="50"/>
    </row>
    <row r="353" outlineLevel="1" spans="1:10">
      <c r="A353" s="50">
        <v>294</v>
      </c>
      <c r="B353" s="51" t="str">
        <v>门槛C20细石</v>
      </c>
      <c r="C353" s="51" t="e">
        <v>#REF!</v>
      </c>
      <c r="D353" s="51" t="str">
        <v/>
      </c>
      <c r="E353" s="51" t="str">
        <v/>
      </c>
      <c r="F353" s="52" t="e">
        <v>#REF!</v>
      </c>
      <c r="G353" s="48" t="e">
        <v>#REF!</v>
      </c>
      <c r="H353" s="49">
        <v>1.23</v>
      </c>
      <c r="I353" s="49" t="e">
        <v>#REF!</v>
      </c>
      <c r="J353" s="50"/>
    </row>
    <row r="354" outlineLevel="1" spans="1:10">
      <c r="A354" s="50">
        <v>295</v>
      </c>
      <c r="B354" s="51" t="str">
        <v>反坎C20</v>
      </c>
      <c r="C354" s="51" t="e">
        <v>#REF!</v>
      </c>
      <c r="D354" s="51" t="str">
        <v/>
      </c>
      <c r="E354" s="51" t="str">
        <v/>
      </c>
      <c r="F354" s="52" t="e">
        <v>#REF!</v>
      </c>
      <c r="G354" s="48" t="e">
        <v>#REF!</v>
      </c>
      <c r="H354" s="49">
        <v>60.16</v>
      </c>
      <c r="I354" s="49" t="e">
        <v>#REF!</v>
      </c>
      <c r="J354" s="50"/>
    </row>
    <row r="355" outlineLevel="1" spans="1:10">
      <c r="A355" s="50">
        <v>296</v>
      </c>
      <c r="B355" s="51" t="str">
        <v>过梁C25</v>
      </c>
      <c r="C355" s="51" t="e">
        <v>#REF!</v>
      </c>
      <c r="D355" s="51" t="str">
        <v/>
      </c>
      <c r="E355" s="51" t="str">
        <v/>
      </c>
      <c r="F355" s="52" t="e">
        <v>#REF!</v>
      </c>
      <c r="G355" s="48" t="e">
        <v>#REF!</v>
      </c>
      <c r="H355" s="49">
        <v>2.92</v>
      </c>
      <c r="I355" s="49" t="e">
        <v>#REF!</v>
      </c>
      <c r="J355" s="50"/>
    </row>
    <row r="356" outlineLevel="1" spans="1:10">
      <c r="A356" s="50">
        <v>297</v>
      </c>
      <c r="B356" s="51" t="str">
        <v>压顶C25</v>
      </c>
      <c r="C356" s="51" t="e">
        <v>#REF!</v>
      </c>
      <c r="D356" s="51" t="str">
        <v/>
      </c>
      <c r="E356" s="51" t="str">
        <v/>
      </c>
      <c r="F356" s="52" t="e">
        <v>#REF!</v>
      </c>
      <c r="G356" s="48" t="e">
        <v>#REF!</v>
      </c>
      <c r="H356" s="49">
        <v>54.74</v>
      </c>
      <c r="I356" s="49" t="e">
        <v>#REF!</v>
      </c>
      <c r="J356" s="50"/>
    </row>
    <row r="357" outlineLevel="1" spans="1:10">
      <c r="A357" s="50" t="str">
        <v/>
      </c>
      <c r="B357" s="51" t="str">
        <v>散水</v>
      </c>
      <c r="C357" s="51" t="str">
        <v/>
      </c>
      <c r="D357" s="51" t="str">
        <v/>
      </c>
      <c r="E357" s="51" t="str">
        <v/>
      </c>
      <c r="F357" s="52" t="str">
        <v/>
      </c>
      <c r="G357" s="48" t="str">
        <v/>
      </c>
      <c r="H357" s="49">
        <v>0</v>
      </c>
      <c r="I357" s="49">
        <v>0</v>
      </c>
      <c r="J357" s="50"/>
    </row>
    <row r="358" outlineLevel="1" spans="1:10">
      <c r="A358" s="50">
        <v>298</v>
      </c>
      <c r="B358" s="51" t="str">
        <v>散水-40厚C20细石</v>
      </c>
      <c r="C358" s="51" t="e">
        <v>#REF!</v>
      </c>
      <c r="D358" s="51" t="str">
        <v/>
      </c>
      <c r="E358" s="51" t="str">
        <v/>
      </c>
      <c r="F358" s="52" t="e">
        <v>#REF!</v>
      </c>
      <c r="G358" s="48" t="e">
        <v>#REF!</v>
      </c>
      <c r="H358" s="49">
        <v>67.384</v>
      </c>
      <c r="I358" s="49" t="e">
        <v>#REF!</v>
      </c>
      <c r="J358" s="50"/>
    </row>
    <row r="359" outlineLevel="1" spans="1:10">
      <c r="A359" s="50">
        <v>299</v>
      </c>
      <c r="B359" s="51" t="str">
        <v>散水-150厚3:7灰土</v>
      </c>
      <c r="C359" s="51" t="e">
        <v>#REF!</v>
      </c>
      <c r="D359" s="51" t="str">
        <v/>
      </c>
      <c r="E359" s="51" t="str">
        <v/>
      </c>
      <c r="F359" s="52" t="e">
        <v>#REF!</v>
      </c>
      <c r="G359" s="48" t="e">
        <v>#REF!</v>
      </c>
      <c r="H359" s="49">
        <v>67.384</v>
      </c>
      <c r="I359" s="49" t="e">
        <v>#REF!</v>
      </c>
      <c r="J359" s="50"/>
    </row>
    <row r="360" outlineLevel="1" spans="1:10">
      <c r="A360" s="50">
        <v>300</v>
      </c>
      <c r="B360" s="51" t="str">
        <v>散水-素土夯实</v>
      </c>
      <c r="C360" s="51" t="e">
        <v>#REF!</v>
      </c>
      <c r="D360" s="51" t="str">
        <v/>
      </c>
      <c r="E360" s="51" t="str">
        <v/>
      </c>
      <c r="F360" s="52" t="e">
        <v>#REF!</v>
      </c>
      <c r="G360" s="48" t="e">
        <v>#REF!</v>
      </c>
      <c r="H360" s="49">
        <v>67.384</v>
      </c>
      <c r="I360" s="49" t="e">
        <v>#REF!</v>
      </c>
      <c r="J360" s="50"/>
    </row>
    <row r="361" outlineLevel="1" spans="1:10">
      <c r="A361" s="50" t="str">
        <v/>
      </c>
      <c r="B361" s="51" t="str">
        <v/>
      </c>
      <c r="C361" s="51" t="str">
        <v>成品明沟</v>
      </c>
      <c r="D361" s="51" t="str">
        <v/>
      </c>
      <c r="E361" s="51" t="str">
        <v/>
      </c>
      <c r="F361" s="52" t="str">
        <v/>
      </c>
      <c r="G361" s="48" t="str">
        <v/>
      </c>
      <c r="H361" s="49">
        <v>0</v>
      </c>
      <c r="I361" s="49">
        <v>0</v>
      </c>
      <c r="J361" s="50"/>
    </row>
    <row r="362" outlineLevel="1" spans="1:10">
      <c r="A362" s="50">
        <v>298</v>
      </c>
      <c r="B362" s="51" t="str">
        <v>成品排水沟（含结构篦子）</v>
      </c>
      <c r="C362" s="51" t="e">
        <v>#REF!</v>
      </c>
      <c r="D362" s="51" t="str">
        <v/>
      </c>
      <c r="E362" s="51" t="str">
        <v/>
      </c>
      <c r="F362" s="52" t="e">
        <v>#REF!</v>
      </c>
      <c r="G362" s="48" t="e">
        <v>#REF!</v>
      </c>
      <c r="H362" s="49">
        <v>126.34</v>
      </c>
      <c r="I362" s="49" t="e">
        <v>#REF!</v>
      </c>
      <c r="J362" s="50"/>
    </row>
    <row r="363" outlineLevel="1" spans="1:10">
      <c r="A363" s="50" t="str">
        <v/>
      </c>
      <c r="B363" s="51" t="str">
        <v>明沟</v>
      </c>
      <c r="C363" s="51" t="str">
        <v/>
      </c>
      <c r="D363" s="51" t="str">
        <v/>
      </c>
      <c r="E363" s="51" t="str">
        <v/>
      </c>
      <c r="F363" s="52" t="str">
        <v/>
      </c>
      <c r="G363" s="48" t="str">
        <v/>
      </c>
      <c r="H363" s="49">
        <v>0</v>
      </c>
      <c r="I363" s="49">
        <v>0</v>
      </c>
      <c r="J363" s="50"/>
    </row>
    <row r="364" outlineLevel="1" spans="1:10">
      <c r="A364" s="50">
        <v>301</v>
      </c>
      <c r="B364" s="51" t="str">
        <v>明沟-雨水篦子</v>
      </c>
      <c r="C364" s="51" t="e">
        <v>#REF!</v>
      </c>
      <c r="D364" s="51" t="str">
        <v/>
      </c>
      <c r="E364" s="51" t="str">
        <v/>
      </c>
      <c r="F364" s="52" t="e">
        <v>#REF!</v>
      </c>
      <c r="G364" s="48" t="e">
        <v>#REF!</v>
      </c>
      <c r="H364" s="49">
        <v>1</v>
      </c>
      <c r="I364" s="49" t="e">
        <v>#REF!</v>
      </c>
      <c r="J364" s="50"/>
    </row>
    <row r="365" outlineLevel="1" spans="1:10">
      <c r="A365" s="50">
        <v>302</v>
      </c>
      <c r="B365" s="51" t="str">
        <v>明沟-20厚M20水泥砂浆</v>
      </c>
      <c r="C365" s="51" t="e">
        <v>#REF!</v>
      </c>
      <c r="D365" s="51" t="str">
        <v/>
      </c>
      <c r="E365" s="51" t="str">
        <v/>
      </c>
      <c r="F365" s="52" t="e">
        <v>#REF!</v>
      </c>
      <c r="G365" s="48" t="e">
        <v>#REF!</v>
      </c>
      <c r="H365" s="49">
        <v>1</v>
      </c>
      <c r="I365" s="49" t="e">
        <v>#REF!</v>
      </c>
      <c r="J365" s="50"/>
    </row>
    <row r="366" outlineLevel="1" spans="1:10">
      <c r="A366" s="50">
        <v>303</v>
      </c>
      <c r="B366" s="51" t="str">
        <v>明沟-20厚C20细石砼找坡</v>
      </c>
      <c r="C366" s="51" t="e">
        <v>#REF!</v>
      </c>
      <c r="D366" s="51" t="str">
        <v/>
      </c>
      <c r="E366" s="51" t="str">
        <v/>
      </c>
      <c r="F366" s="52" t="e">
        <v>#REF!</v>
      </c>
      <c r="G366" s="48" t="e">
        <v>#REF!</v>
      </c>
      <c r="H366" s="49">
        <v>1</v>
      </c>
      <c r="I366" s="49" t="e">
        <v>#REF!</v>
      </c>
      <c r="J366" s="50"/>
    </row>
    <row r="367" outlineLevel="1" spans="1:10">
      <c r="A367" s="50">
        <v>304</v>
      </c>
      <c r="B367" s="51" t="str">
        <v>明沟-80厚C20砼</v>
      </c>
      <c r="C367" s="51" t="e">
        <v>#REF!</v>
      </c>
      <c r="D367" s="51" t="str">
        <v/>
      </c>
      <c r="E367" s="51" t="str">
        <v/>
      </c>
      <c r="F367" s="52" t="e">
        <v>#REF!</v>
      </c>
      <c r="G367" s="48" t="e">
        <v>#REF!</v>
      </c>
      <c r="H367" s="49">
        <v>1</v>
      </c>
      <c r="I367" s="49" t="e">
        <v>#REF!</v>
      </c>
      <c r="J367" s="50"/>
    </row>
    <row r="368" outlineLevel="1" spans="1:10">
      <c r="A368" s="50">
        <v>305</v>
      </c>
      <c r="B368" s="51" t="str">
        <v>明沟-100厚3:7灰土</v>
      </c>
      <c r="C368" s="51" t="e">
        <v>#REF!</v>
      </c>
      <c r="D368" s="51" t="str">
        <v/>
      </c>
      <c r="E368" s="51" t="str">
        <v/>
      </c>
      <c r="F368" s="52" t="e">
        <v>#REF!</v>
      </c>
      <c r="G368" s="48" t="e">
        <v>#REF!</v>
      </c>
      <c r="H368" s="49">
        <v>1</v>
      </c>
      <c r="I368" s="49" t="e">
        <v>#REF!</v>
      </c>
      <c r="J368" s="50"/>
    </row>
    <row r="369" ht="28.8" outlineLevel="1" spans="1:10">
      <c r="A369" s="50" t="str">
        <v/>
      </c>
      <c r="B369" s="51" t="str">
        <v>台阶（参12J1-155-台6，结构面交付）</v>
      </c>
      <c r="C369" s="51" t="str">
        <v/>
      </c>
      <c r="D369" s="51" t="str">
        <v/>
      </c>
      <c r="E369" s="51" t="str">
        <v/>
      </c>
      <c r="F369" s="52" t="str">
        <v/>
      </c>
      <c r="G369" s="48" t="str">
        <v/>
      </c>
      <c r="H369" s="49">
        <v>0</v>
      </c>
      <c r="I369" s="49">
        <v>0</v>
      </c>
      <c r="J369" s="50"/>
    </row>
    <row r="370" outlineLevel="1" spans="1:10">
      <c r="A370" s="50">
        <v>306</v>
      </c>
      <c r="B370" s="51" t="str">
        <v>台阶-60厚C15砼</v>
      </c>
      <c r="C370" s="51" t="e">
        <v>#REF!</v>
      </c>
      <c r="D370" s="51" t="str">
        <v/>
      </c>
      <c r="E370" s="51" t="str">
        <v/>
      </c>
      <c r="F370" s="52" t="e">
        <v>#REF!</v>
      </c>
      <c r="G370" s="48" t="e">
        <v>#REF!</v>
      </c>
      <c r="H370" s="49">
        <v>0</v>
      </c>
      <c r="I370" s="49" t="e">
        <v>#REF!</v>
      </c>
      <c r="J370" s="50"/>
    </row>
    <row r="371" outlineLevel="1" spans="1:10">
      <c r="A371" s="50">
        <v>307</v>
      </c>
      <c r="B371" s="51" t="str">
        <v>台阶-300厚3:7灰土</v>
      </c>
      <c r="C371" s="51" t="e">
        <v>#REF!</v>
      </c>
      <c r="D371" s="51" t="str">
        <v/>
      </c>
      <c r="E371" s="51" t="str">
        <v/>
      </c>
      <c r="F371" s="52" t="e">
        <v>#REF!</v>
      </c>
      <c r="G371" s="48" t="e">
        <v>#REF!</v>
      </c>
      <c r="H371" s="49">
        <v>0</v>
      </c>
      <c r="I371" s="49" t="e">
        <v>#REF!</v>
      </c>
      <c r="J371" s="50"/>
    </row>
    <row r="372" outlineLevel="1" spans="1:10">
      <c r="A372" s="50">
        <v>308</v>
      </c>
      <c r="B372" s="51" t="str">
        <v>台阶-素土夯实</v>
      </c>
      <c r="C372" s="51" t="e">
        <v>#REF!</v>
      </c>
      <c r="D372" s="51" t="str">
        <v/>
      </c>
      <c r="E372" s="51" t="str">
        <v/>
      </c>
      <c r="F372" s="52" t="e">
        <v>#REF!</v>
      </c>
      <c r="G372" s="48" t="e">
        <v>#REF!</v>
      </c>
      <c r="H372" s="49">
        <v>0</v>
      </c>
      <c r="I372" s="49" t="e">
        <v>#REF!</v>
      </c>
      <c r="J372" s="50"/>
    </row>
    <row r="373" ht="28.8" outlineLevel="1" spans="1:10">
      <c r="A373" s="50" t="str">
        <v/>
      </c>
      <c r="B373" s="51" t="str">
        <v>坡道（参12J12-25-3，结构面交付）</v>
      </c>
      <c r="C373" s="51" t="str">
        <v/>
      </c>
      <c r="D373" s="51" t="str">
        <v/>
      </c>
      <c r="E373" s="51" t="str">
        <v/>
      </c>
      <c r="F373" s="52" t="str">
        <v/>
      </c>
      <c r="G373" s="48" t="str">
        <v/>
      </c>
      <c r="H373" s="49">
        <v>0</v>
      </c>
      <c r="I373" s="49">
        <v>0</v>
      </c>
      <c r="J373" s="50"/>
    </row>
    <row r="374" outlineLevel="1" spans="1:10">
      <c r="A374" s="50">
        <v>309</v>
      </c>
      <c r="B374" s="51" t="str">
        <v>坡道-100厚C15</v>
      </c>
      <c r="C374" s="51" t="e">
        <v>#REF!</v>
      </c>
      <c r="D374" s="51" t="str">
        <v/>
      </c>
      <c r="E374" s="51" t="str">
        <v/>
      </c>
      <c r="F374" s="52" t="e">
        <v>#REF!</v>
      </c>
      <c r="G374" s="48" t="e">
        <v>#REF!</v>
      </c>
      <c r="H374" s="49">
        <v>43.32</v>
      </c>
      <c r="I374" s="49" t="e">
        <v>#REF!</v>
      </c>
      <c r="J374" s="50"/>
    </row>
    <row r="375" outlineLevel="1" spans="1:10">
      <c r="A375" s="50">
        <v>310</v>
      </c>
      <c r="B375" s="51" t="str">
        <v>坡道-300厚3:7灰土</v>
      </c>
      <c r="C375" s="51" t="e">
        <v>#REF!</v>
      </c>
      <c r="D375" s="51" t="str">
        <v/>
      </c>
      <c r="E375" s="51" t="str">
        <v/>
      </c>
      <c r="F375" s="52" t="e">
        <v>#REF!</v>
      </c>
      <c r="G375" s="48" t="e">
        <v>#REF!</v>
      </c>
      <c r="H375" s="49">
        <v>43.32</v>
      </c>
      <c r="I375" s="49" t="e">
        <v>#REF!</v>
      </c>
      <c r="J375" s="50"/>
    </row>
    <row r="376" outlineLevel="1" spans="1:10">
      <c r="A376" s="50">
        <v>311</v>
      </c>
      <c r="B376" s="51" t="str">
        <v>坡道-素土夯实</v>
      </c>
      <c r="C376" s="51" t="e">
        <v>#REF!</v>
      </c>
      <c r="D376" s="51" t="str">
        <v/>
      </c>
      <c r="E376" s="51" t="str">
        <v/>
      </c>
      <c r="F376" s="52" t="e">
        <v>#REF!</v>
      </c>
      <c r="G376" s="48" t="e">
        <v>#REF!</v>
      </c>
      <c r="H376" s="49">
        <v>43.32</v>
      </c>
      <c r="I376" s="49" t="e">
        <v>#REF!</v>
      </c>
      <c r="J376" s="50"/>
    </row>
    <row r="377" outlineLevel="1" spans="1:10">
      <c r="A377" s="50">
        <v>312</v>
      </c>
      <c r="B377" s="51" t="str">
        <v>水簸箕-C20细石砼</v>
      </c>
      <c r="C377" s="51" t="e">
        <v>#REF!</v>
      </c>
      <c r="D377" s="51" t="str">
        <v/>
      </c>
      <c r="E377" s="51" t="str">
        <v/>
      </c>
      <c r="F377" s="52" t="e">
        <v>#REF!</v>
      </c>
      <c r="G377" s="48" t="e">
        <v>#REF!</v>
      </c>
      <c r="H377" s="49">
        <v>0.14</v>
      </c>
      <c r="I377" s="49" t="e">
        <v>#REF!</v>
      </c>
      <c r="J377" s="50"/>
    </row>
    <row r="378" outlineLevel="1" spans="1:10">
      <c r="A378" s="50">
        <v>313</v>
      </c>
      <c r="B378" s="51" t="str">
        <v>卫生间排气道</v>
      </c>
      <c r="C378" s="51" t="e">
        <v>#REF!</v>
      </c>
      <c r="D378" s="51" t="str">
        <v/>
      </c>
      <c r="E378" s="51" t="str">
        <v/>
      </c>
      <c r="F378" s="52" t="e">
        <v>#REF!</v>
      </c>
      <c r="G378" s="48" t="e">
        <v>#REF!</v>
      </c>
      <c r="H378" s="49">
        <v>645.6</v>
      </c>
      <c r="I378" s="49" t="e">
        <v>#REF!</v>
      </c>
      <c r="J378" s="50"/>
    </row>
    <row r="379" outlineLevel="1" spans="1:10">
      <c r="A379" s="50">
        <v>314</v>
      </c>
      <c r="B379" s="51" t="str">
        <v>厨房排气道</v>
      </c>
      <c r="C379" s="51" t="e">
        <v>#REF!</v>
      </c>
      <c r="D379" s="51" t="str">
        <v/>
      </c>
      <c r="E379" s="51" t="str">
        <v/>
      </c>
      <c r="F379" s="52" t="e">
        <v>#REF!</v>
      </c>
      <c r="G379" s="48" t="e">
        <v>#REF!</v>
      </c>
      <c r="H379" s="49">
        <v>322.8</v>
      </c>
      <c r="I379" s="49" t="e">
        <v>#REF!</v>
      </c>
      <c r="J379" s="50"/>
    </row>
    <row r="380" outlineLevel="1" spans="1:10">
      <c r="A380" s="50" t="str">
        <v/>
      </c>
      <c r="B380" s="51" t="str">
        <v>A.03.03钢筋工程</v>
      </c>
      <c r="C380" s="51" t="str">
        <v/>
      </c>
      <c r="D380" s="51" t="str">
        <v/>
      </c>
      <c r="E380" s="51" t="str">
        <v/>
      </c>
      <c r="F380" s="52" t="str">
        <v/>
      </c>
      <c r="G380" s="48" t="str">
        <v/>
      </c>
      <c r="H380" s="49">
        <v>0</v>
      </c>
      <c r="I380" s="49" t="e">
        <v>#REF!</v>
      </c>
      <c r="J380" s="50"/>
    </row>
    <row r="381" outlineLevel="1" spans="1:10">
      <c r="A381" s="50">
        <v>315</v>
      </c>
      <c r="B381" s="51" t="str">
        <v>地上现浇构件钢筋-φ10以内</v>
      </c>
      <c r="C381" s="51" t="e">
        <v>#REF!</v>
      </c>
      <c r="D381" s="51" t="str">
        <v/>
      </c>
      <c r="E381" s="51" t="str">
        <v/>
      </c>
      <c r="F381" s="52" t="e">
        <v>#REF!</v>
      </c>
      <c r="G381" s="48" t="e">
        <v>#REF!</v>
      </c>
      <c r="H381" s="49">
        <v>3.049</v>
      </c>
      <c r="I381" s="49" t="e">
        <v>#REF!</v>
      </c>
      <c r="J381" s="50"/>
    </row>
    <row r="382" ht="28.8" outlineLevel="1" spans="1:10">
      <c r="A382" s="50">
        <v>316</v>
      </c>
      <c r="B382" s="51" t="str">
        <v>地上现浇构件钢筋-三级钢筋 Φ6</v>
      </c>
      <c r="C382" s="51" t="e">
        <v>#REF!</v>
      </c>
      <c r="D382" s="51" t="str">
        <v/>
      </c>
      <c r="E382" s="51" t="str">
        <v/>
      </c>
      <c r="F382" s="52" t="e">
        <v>#REF!</v>
      </c>
      <c r="G382" s="48" t="e">
        <v>#REF!</v>
      </c>
      <c r="H382" s="49">
        <v>4.15</v>
      </c>
      <c r="I382" s="49" t="e">
        <v>#REF!</v>
      </c>
      <c r="J382" s="50"/>
    </row>
    <row r="383" ht="28.8" outlineLevel="1" spans="1:10">
      <c r="A383" s="50">
        <v>317</v>
      </c>
      <c r="B383" s="51" t="str">
        <v>地上现浇构件钢筋-三级钢筋 Φ8</v>
      </c>
      <c r="C383" s="51" t="e">
        <v>#REF!</v>
      </c>
      <c r="D383" s="51" t="str">
        <v/>
      </c>
      <c r="E383" s="51" t="str">
        <v/>
      </c>
      <c r="F383" s="52" t="e">
        <v>#REF!</v>
      </c>
      <c r="G383" s="48" t="e">
        <v>#REF!</v>
      </c>
      <c r="H383" s="49">
        <v>0.489</v>
      </c>
      <c r="I383" s="49" t="e">
        <v>#REF!</v>
      </c>
      <c r="J383" s="50"/>
    </row>
    <row r="384" ht="28.8" outlineLevel="1" spans="1:10">
      <c r="A384" s="50">
        <v>318</v>
      </c>
      <c r="B384" s="51" t="str">
        <v>地上现浇构件钢筋-三级钢筋 Φ10</v>
      </c>
      <c r="C384" s="51" t="e">
        <v>#REF!</v>
      </c>
      <c r="D384" s="51" t="str">
        <v/>
      </c>
      <c r="E384" s="51" t="str">
        <v/>
      </c>
      <c r="F384" s="52" t="e">
        <v>#REF!</v>
      </c>
      <c r="G384" s="48" t="e">
        <v>#REF!</v>
      </c>
      <c r="H384" s="49">
        <v>2.626</v>
      </c>
      <c r="I384" s="49" t="e">
        <v>#REF!</v>
      </c>
      <c r="J384" s="50"/>
    </row>
    <row r="385" ht="28.8" outlineLevel="1" spans="1:10">
      <c r="A385" s="50">
        <v>319</v>
      </c>
      <c r="B385" s="51" t="str">
        <v>地上现浇构件钢筋-三级钢筋 Φ12</v>
      </c>
      <c r="C385" s="51" t="e">
        <v>#REF!</v>
      </c>
      <c r="D385" s="51" t="str">
        <v/>
      </c>
      <c r="E385" s="51" t="str">
        <v/>
      </c>
      <c r="F385" s="52" t="e">
        <v>#REF!</v>
      </c>
      <c r="G385" s="48" t="e">
        <v>#REF!</v>
      </c>
      <c r="H385" s="49">
        <v>9.374</v>
      </c>
      <c r="I385" s="49" t="e">
        <v>#REF!</v>
      </c>
      <c r="J385" s="50"/>
    </row>
    <row r="386" outlineLevel="1" spans="1:10">
      <c r="A386" s="50">
        <v>320</v>
      </c>
      <c r="B386" s="51" t="str">
        <v>地上砌体加筋-三级钢筋 Φ6</v>
      </c>
      <c r="C386" s="51" t="e">
        <v>#REF!</v>
      </c>
      <c r="D386" s="51" t="str">
        <v/>
      </c>
      <c r="E386" s="51" t="str">
        <v/>
      </c>
      <c r="F386" s="52" t="e">
        <v>#REF!</v>
      </c>
      <c r="G386" s="48" t="e">
        <v>#REF!</v>
      </c>
      <c r="H386" s="49">
        <v>0.924</v>
      </c>
      <c r="I386" s="49" t="e">
        <v>#REF!</v>
      </c>
      <c r="J386" s="50"/>
    </row>
    <row r="387" ht="28.8" outlineLevel="1" spans="1:10">
      <c r="A387" s="50">
        <v>321</v>
      </c>
      <c r="B387" s="51" t="str">
        <v>地上现浇构件钢筋-三级钢筋 Φ20</v>
      </c>
      <c r="C387" s="51" t="e">
        <v>#REF!</v>
      </c>
      <c r="D387" s="51" t="str">
        <v/>
      </c>
      <c r="E387" s="51" t="str">
        <v/>
      </c>
      <c r="F387" s="52" t="e">
        <v>#REF!</v>
      </c>
      <c r="G387" s="48" t="e">
        <v>#REF!</v>
      </c>
      <c r="H387" s="49">
        <v>0</v>
      </c>
      <c r="I387" s="49" t="e">
        <v>#REF!</v>
      </c>
      <c r="J387" s="50"/>
    </row>
    <row r="388" outlineLevel="1" spans="1:10">
      <c r="A388" s="50" t="str">
        <v/>
      </c>
      <c r="B388" s="51" t="str">
        <v>A.03.04金属工程</v>
      </c>
      <c r="C388" s="51" t="str">
        <v/>
      </c>
      <c r="D388" s="51" t="str">
        <v/>
      </c>
      <c r="E388" s="51" t="str">
        <v/>
      </c>
      <c r="F388" s="52" t="str">
        <v/>
      </c>
      <c r="G388" s="48" t="str">
        <v/>
      </c>
      <c r="H388" s="49">
        <v>0</v>
      </c>
      <c r="I388" s="49" t="e">
        <v>#REF!</v>
      </c>
      <c r="J388" s="50"/>
    </row>
    <row r="389" outlineLevel="1" spans="1:10">
      <c r="A389" s="50">
        <v>322</v>
      </c>
      <c r="B389" s="51" t="str">
        <v>钢爬梯-屋面检修</v>
      </c>
      <c r="C389" s="51" t="e">
        <v>#REF!</v>
      </c>
      <c r="D389" s="51" t="str">
        <v/>
      </c>
      <c r="E389" s="51" t="str">
        <v/>
      </c>
      <c r="F389" s="52" t="e">
        <v>#REF!</v>
      </c>
      <c r="G389" s="48" t="e">
        <v>#REF!</v>
      </c>
      <c r="H389" s="49">
        <v>0.073</v>
      </c>
      <c r="I389" s="49" t="e">
        <v>#REF!</v>
      </c>
      <c r="J389" s="50"/>
    </row>
    <row r="390" outlineLevel="1" spans="1:10">
      <c r="A390" s="50">
        <v>323</v>
      </c>
      <c r="B390" s="51" t="str">
        <v>机房钢梯</v>
      </c>
      <c r="C390" s="51" t="e">
        <v>#REF!</v>
      </c>
      <c r="D390" s="51" t="str">
        <v/>
      </c>
      <c r="E390" s="51" t="str">
        <v/>
      </c>
      <c r="F390" s="52" t="e">
        <v>#REF!</v>
      </c>
      <c r="G390" s="48" t="e">
        <v>#REF!</v>
      </c>
      <c r="H390" s="49">
        <v>1</v>
      </c>
      <c r="I390" s="49" t="e">
        <v>#REF!</v>
      </c>
      <c r="J390" s="50"/>
    </row>
    <row r="391" ht="28.8" outlineLevel="1" spans="1:10">
      <c r="A391" s="50">
        <v>324</v>
      </c>
      <c r="B391" s="51" t="str">
        <v>不同材质墙体交接处挂钢丝网</v>
      </c>
      <c r="C391" s="51" t="e">
        <v>#REF!</v>
      </c>
      <c r="D391" s="51" t="str">
        <v/>
      </c>
      <c r="E391" s="51" t="str">
        <v/>
      </c>
      <c r="F391" s="52" t="e">
        <v>#REF!</v>
      </c>
      <c r="G391" s="48" t="e">
        <v>#REF!</v>
      </c>
      <c r="H391" s="49">
        <v>5965.53</v>
      </c>
      <c r="I391" s="49" t="e">
        <v>#REF!</v>
      </c>
      <c r="J391" s="50"/>
    </row>
    <row r="392" outlineLevel="1" spans="1:10">
      <c r="A392" s="50">
        <v>325</v>
      </c>
      <c r="B392" s="51" t="str">
        <v>砌块墙钢丝网满挂</v>
      </c>
      <c r="C392" s="51" t="e">
        <v>#REF!</v>
      </c>
      <c r="D392" s="51" t="str">
        <v/>
      </c>
      <c r="E392" s="51" t="str">
        <v/>
      </c>
      <c r="F392" s="52" t="e">
        <v>#REF!</v>
      </c>
      <c r="G392" s="48" t="e">
        <v>#REF!</v>
      </c>
      <c r="H392" s="49">
        <v>0</v>
      </c>
      <c r="I392" s="49" t="e">
        <v>#REF!</v>
      </c>
      <c r="J392" s="50"/>
    </row>
    <row r="393" outlineLevel="1" spans="1:10">
      <c r="A393" s="50">
        <v>326</v>
      </c>
      <c r="B393" s="51" t="str">
        <v>预埋铁件</v>
      </c>
      <c r="C393" s="51" t="e">
        <v>#REF!</v>
      </c>
      <c r="D393" s="51" t="str">
        <v/>
      </c>
      <c r="E393" s="51" t="str">
        <v/>
      </c>
      <c r="F393" s="52" t="e">
        <v>#REF!</v>
      </c>
      <c r="G393" s="48" t="e">
        <v>#REF!</v>
      </c>
      <c r="H393" s="49">
        <v>0</v>
      </c>
      <c r="I393" s="49" t="e">
        <v>#REF!</v>
      </c>
      <c r="J393" s="50"/>
    </row>
    <row r="394" outlineLevel="1" spans="1:10">
      <c r="A394" s="50" t="str">
        <v/>
      </c>
      <c r="B394" s="51" t="str">
        <v>A.04隔热防水工程</v>
      </c>
      <c r="C394" s="51" t="str">
        <v/>
      </c>
      <c r="D394" s="51" t="str">
        <v/>
      </c>
      <c r="E394" s="51" t="str">
        <v/>
      </c>
      <c r="F394" s="52" t="str">
        <v/>
      </c>
      <c r="G394" s="48" t="str">
        <v/>
      </c>
      <c r="H394" s="49">
        <v>0</v>
      </c>
      <c r="I394" s="49" t="e">
        <v>#REF!</v>
      </c>
      <c r="J394" s="50"/>
    </row>
    <row r="395" outlineLevel="1" spans="1:10">
      <c r="A395" s="50" t="str">
        <v/>
      </c>
      <c r="B395" s="51" t="str">
        <v>A.04.02屋面与防水工程</v>
      </c>
      <c r="C395" s="51" t="str">
        <v/>
      </c>
      <c r="D395" s="51" t="str">
        <v/>
      </c>
      <c r="E395" s="51" t="str">
        <v/>
      </c>
      <c r="F395" s="52" t="str">
        <v/>
      </c>
      <c r="G395" s="48" t="str">
        <v/>
      </c>
      <c r="H395" s="49">
        <v>0</v>
      </c>
      <c r="I395" s="49" t="e">
        <v>#REF!</v>
      </c>
      <c r="J395" s="50"/>
    </row>
    <row r="396" outlineLevel="1" spans="1:10">
      <c r="A396" s="50" t="str">
        <v/>
      </c>
      <c r="B396" s="51" t="str">
        <v>住宅上人屋面</v>
      </c>
      <c r="C396" s="51" t="str">
        <v/>
      </c>
      <c r="D396" s="51" t="str">
        <v/>
      </c>
      <c r="E396" s="51" t="str">
        <v/>
      </c>
      <c r="F396" s="52" t="str">
        <v/>
      </c>
      <c r="G396" s="48" t="str">
        <v/>
      </c>
      <c r="H396" s="49">
        <v>0</v>
      </c>
      <c r="I396" s="49">
        <v>0</v>
      </c>
      <c r="J396" s="50"/>
    </row>
    <row r="397" outlineLevel="1" spans="1:10">
      <c r="A397" s="50">
        <v>327</v>
      </c>
      <c r="B397" s="51" t="str">
        <v>屋面-40厚C20细石砼</v>
      </c>
      <c r="C397" s="51" t="e">
        <v>#REF!</v>
      </c>
      <c r="D397" s="51" t="str">
        <v/>
      </c>
      <c r="E397" s="51" t="str">
        <v/>
      </c>
      <c r="F397" s="52" t="e">
        <v>#REF!</v>
      </c>
      <c r="G397" s="48" t="e">
        <v>#REF!</v>
      </c>
      <c r="H397" s="49">
        <v>551.96</v>
      </c>
      <c r="I397" s="49" t="e">
        <v>#REF!</v>
      </c>
      <c r="J397" s="50"/>
    </row>
    <row r="398" outlineLevel="1" spans="1:10">
      <c r="A398" s="50">
        <v>328</v>
      </c>
      <c r="B398" s="51" t="str">
        <v>屋面-φ4@200钢筋网</v>
      </c>
      <c r="C398" s="51" t="e">
        <v>#REF!</v>
      </c>
      <c r="D398" s="51" t="str">
        <v/>
      </c>
      <c r="E398" s="51" t="str">
        <v/>
      </c>
      <c r="F398" s="52" t="e">
        <v>#REF!</v>
      </c>
      <c r="G398" s="48" t="e">
        <v>#REF!</v>
      </c>
      <c r="H398" s="49">
        <v>551.96</v>
      </c>
      <c r="I398" s="49" t="e">
        <v>#REF!</v>
      </c>
      <c r="J398" s="50"/>
    </row>
    <row r="399" outlineLevel="1" spans="1:10">
      <c r="A399" s="50">
        <v>329</v>
      </c>
      <c r="B399" s="51" t="str">
        <v>屋面-土工布</v>
      </c>
      <c r="C399" s="51" t="e">
        <v>#REF!</v>
      </c>
      <c r="D399" s="51" t="str">
        <v/>
      </c>
      <c r="E399" s="51" t="str">
        <v/>
      </c>
      <c r="F399" s="52" t="e">
        <v>#REF!</v>
      </c>
      <c r="G399" s="48" t="e">
        <v>#REF!</v>
      </c>
      <c r="H399" s="49">
        <v>551.96</v>
      </c>
      <c r="I399" s="49" t="e">
        <v>#REF!</v>
      </c>
      <c r="J399" s="50"/>
    </row>
    <row r="400" outlineLevel="1" spans="1:10">
      <c r="A400" s="50">
        <v>330</v>
      </c>
      <c r="B400" s="51" t="str">
        <v>屋面-3+3SBS</v>
      </c>
      <c r="C400" s="51" t="e">
        <v>#REF!</v>
      </c>
      <c r="D400" s="51" t="str">
        <v/>
      </c>
      <c r="E400" s="51" t="str">
        <v/>
      </c>
      <c r="F400" s="52" t="e">
        <v>#REF!</v>
      </c>
      <c r="G400" s="48" t="e">
        <v>#REF!</v>
      </c>
      <c r="H400" s="49">
        <v>551.96</v>
      </c>
      <c r="I400" s="49" t="e">
        <v>#REF!</v>
      </c>
      <c r="J400" s="50"/>
    </row>
    <row r="401" outlineLevel="1" spans="1:10">
      <c r="A401" s="50">
        <v>331</v>
      </c>
      <c r="B401" s="51" t="str">
        <v>屋面-30厚C20细石砼</v>
      </c>
      <c r="C401" s="51" t="e">
        <v>#REF!</v>
      </c>
      <c r="D401" s="51" t="str">
        <v>屋面</v>
      </c>
      <c r="E401" s="51" t="str">
        <v>屋面</v>
      </c>
      <c r="F401" s="52" t="e">
        <v>#REF!</v>
      </c>
      <c r="G401" s="48" t="e">
        <v>#REF!</v>
      </c>
      <c r="H401" s="49">
        <v>551.96</v>
      </c>
      <c r="I401" s="49" t="e">
        <v>#REF!</v>
      </c>
      <c r="J401" s="50"/>
    </row>
    <row r="402" outlineLevel="1" spans="1:10">
      <c r="A402" s="50">
        <v>332</v>
      </c>
      <c r="B402" s="51" t="str">
        <v>屋面-最薄处30厚焦渣找坡</v>
      </c>
      <c r="C402" s="51" t="e">
        <v>#REF!</v>
      </c>
      <c r="D402" s="51" t="str">
        <v/>
      </c>
      <c r="E402" s="51" t="str">
        <v/>
      </c>
      <c r="F402" s="52" t="e">
        <v>#REF!</v>
      </c>
      <c r="G402" s="48" t="e">
        <v>#REF!</v>
      </c>
      <c r="H402" s="49">
        <v>551.96</v>
      </c>
      <c r="I402" s="49" t="e">
        <v>#REF!</v>
      </c>
      <c r="J402" s="50"/>
    </row>
    <row r="403" outlineLevel="1" spans="1:10">
      <c r="A403" s="50">
        <v>333</v>
      </c>
      <c r="B403" s="51" t="str">
        <v>屋面-110厚XPS</v>
      </c>
      <c r="C403" s="51" t="e">
        <v>#REF!</v>
      </c>
      <c r="D403" s="51" t="str">
        <v/>
      </c>
      <c r="E403" s="51" t="str">
        <v/>
      </c>
      <c r="F403" s="52" t="e">
        <v>#REF!</v>
      </c>
      <c r="G403" s="48" t="e">
        <v>#REF!</v>
      </c>
      <c r="H403" s="49">
        <v>0</v>
      </c>
      <c r="I403" s="49" t="e">
        <v>#REF!</v>
      </c>
      <c r="J403" s="50"/>
    </row>
    <row r="404" outlineLevel="1" spans="1:10">
      <c r="A404" s="50">
        <v>334</v>
      </c>
      <c r="B404" s="51" t="str">
        <v>屋面-190厚EPS</v>
      </c>
      <c r="C404" s="51" t="e">
        <v>#REF!</v>
      </c>
      <c r="D404" s="51" t="str">
        <v/>
      </c>
      <c r="E404" s="51" t="str">
        <v/>
      </c>
      <c r="F404" s="52" t="e">
        <v>#REF!</v>
      </c>
      <c r="G404" s="48" t="e">
        <v>#REF!</v>
      </c>
      <c r="H404" s="49">
        <v>551.96</v>
      </c>
      <c r="I404" s="49" t="e">
        <v>#REF!</v>
      </c>
      <c r="J404" s="50"/>
    </row>
    <row r="405" outlineLevel="1" spans="1:10">
      <c r="A405" s="50" t="str">
        <v/>
      </c>
      <c r="B405" s="51" t="str">
        <v>被动式住宅屋面</v>
      </c>
      <c r="C405" s="51" t="str">
        <v/>
      </c>
      <c r="D405" s="51" t="str">
        <v/>
      </c>
      <c r="E405" s="51" t="str">
        <v/>
      </c>
      <c r="F405" s="52" t="str">
        <v/>
      </c>
      <c r="G405" s="48" t="str">
        <v/>
      </c>
      <c r="H405" s="49">
        <v>0</v>
      </c>
      <c r="I405" s="49">
        <v>0</v>
      </c>
      <c r="J405" s="50"/>
    </row>
    <row r="406" outlineLevel="1" spans="1:10">
      <c r="A406" s="50">
        <v>335</v>
      </c>
      <c r="B406" s="51" t="str">
        <v>屋面-40厚C20细石砼</v>
      </c>
      <c r="C406" s="51" t="e">
        <v>#REF!</v>
      </c>
      <c r="D406" s="51" t="str">
        <v/>
      </c>
      <c r="E406" s="51" t="str">
        <v/>
      </c>
      <c r="F406" s="52" t="e">
        <v>#REF!</v>
      </c>
      <c r="G406" s="48" t="e">
        <v>#REF!</v>
      </c>
      <c r="H406" s="49">
        <v>0</v>
      </c>
      <c r="I406" s="49" t="e">
        <v>#REF!</v>
      </c>
      <c r="J406" s="50"/>
    </row>
    <row r="407" outlineLevel="1" spans="1:10">
      <c r="A407" s="50">
        <v>336</v>
      </c>
      <c r="B407" s="51" t="str">
        <v>屋面-φ4@200钢筋网</v>
      </c>
      <c r="C407" s="51" t="e">
        <v>#REF!</v>
      </c>
      <c r="D407" s="51" t="str">
        <v/>
      </c>
      <c r="E407" s="51" t="str">
        <v/>
      </c>
      <c r="F407" s="52" t="e">
        <v>#REF!</v>
      </c>
      <c r="G407" s="48" t="e">
        <v>#REF!</v>
      </c>
      <c r="H407" s="49">
        <v>0</v>
      </c>
      <c r="I407" s="49" t="e">
        <v>#REF!</v>
      </c>
      <c r="J407" s="50"/>
    </row>
    <row r="408" outlineLevel="1" spans="1:10">
      <c r="A408" s="50">
        <v>337</v>
      </c>
      <c r="B408" s="51" t="str">
        <v>屋面-M7.5水泥砂浆</v>
      </c>
      <c r="C408" s="51" t="e">
        <v>#REF!</v>
      </c>
      <c r="D408" s="51" t="str">
        <v/>
      </c>
      <c r="E408" s="51" t="str">
        <v/>
      </c>
      <c r="F408" s="52" t="e">
        <v>#REF!</v>
      </c>
      <c r="G408" s="48" t="e">
        <v>#REF!</v>
      </c>
      <c r="H408" s="49">
        <v>0</v>
      </c>
      <c r="I408" s="49" t="e">
        <v>#REF!</v>
      </c>
      <c r="J408" s="50"/>
    </row>
    <row r="409" ht="28.8" outlineLevel="1" spans="1:10">
      <c r="A409" s="50">
        <v>338</v>
      </c>
      <c r="B409" s="51" t="str">
        <v>屋面-4厚PE玻纤加强聚酯胎卷材</v>
      </c>
      <c r="C409" s="51" t="e">
        <v>#REF!</v>
      </c>
      <c r="D409" s="51" t="str">
        <v/>
      </c>
      <c r="E409" s="51" t="str">
        <v/>
      </c>
      <c r="F409" s="52" t="e">
        <v>#REF!</v>
      </c>
      <c r="G409" s="48" t="e">
        <v>#REF!</v>
      </c>
      <c r="H409" s="49">
        <v>0</v>
      </c>
      <c r="I409" s="49" t="e">
        <v>#REF!</v>
      </c>
      <c r="J409" s="50"/>
    </row>
    <row r="410" outlineLevel="1" spans="1:10">
      <c r="A410" s="50">
        <v>339</v>
      </c>
      <c r="B410" s="51" t="str">
        <v>屋面-3厚PE玻纤胎卷材</v>
      </c>
      <c r="C410" s="51" t="e">
        <v>#REF!</v>
      </c>
      <c r="D410" s="51" t="str">
        <v/>
      </c>
      <c r="E410" s="51" t="str">
        <v/>
      </c>
      <c r="F410" s="52" t="e">
        <v>#REF!</v>
      </c>
      <c r="G410" s="48" t="e">
        <v>#REF!</v>
      </c>
      <c r="H410" s="49">
        <v>0</v>
      </c>
      <c r="I410" s="49" t="e">
        <v>#REF!</v>
      </c>
      <c r="J410" s="50"/>
    </row>
    <row r="411" outlineLevel="1" spans="1:10">
      <c r="A411" s="50">
        <v>340</v>
      </c>
      <c r="B411" s="51" t="str">
        <v>屋面-250厚石墨聚苯板</v>
      </c>
      <c r="C411" s="51" t="e">
        <v>#REF!</v>
      </c>
      <c r="D411" s="51" t="str">
        <v/>
      </c>
      <c r="E411" s="51" t="str">
        <v/>
      </c>
      <c r="F411" s="52" t="e">
        <v>#REF!</v>
      </c>
      <c r="G411" s="48" t="e">
        <v>#REF!</v>
      </c>
      <c r="H411" s="49">
        <v>0</v>
      </c>
      <c r="I411" s="49" t="e">
        <v>#REF!</v>
      </c>
      <c r="J411" s="50"/>
    </row>
    <row r="412" outlineLevel="1" spans="1:10">
      <c r="A412" s="50">
        <v>341</v>
      </c>
      <c r="B412" s="51" t="str">
        <v>屋面-1.2铝箔面玻纤胎卷材</v>
      </c>
      <c r="C412" s="51" t="e">
        <v>#REF!</v>
      </c>
      <c r="D412" s="51" t="str">
        <v/>
      </c>
      <c r="E412" s="51" t="str">
        <v/>
      </c>
      <c r="F412" s="52" t="e">
        <v>#REF!</v>
      </c>
      <c r="G412" s="48" t="e">
        <v>#REF!</v>
      </c>
      <c r="H412" s="49">
        <v>0</v>
      </c>
      <c r="I412" s="49" t="e">
        <v>#REF!</v>
      </c>
      <c r="J412" s="50"/>
    </row>
    <row r="413" outlineLevel="1" spans="1:10">
      <c r="A413" s="50">
        <v>342</v>
      </c>
      <c r="B413" s="51" t="str">
        <v>屋面-30厚C20细石砼找坡</v>
      </c>
      <c r="C413" s="51" t="e">
        <v>#REF!</v>
      </c>
      <c r="D413" s="51" t="str">
        <v/>
      </c>
      <c r="E413" s="51" t="str">
        <v/>
      </c>
      <c r="F413" s="52" t="e">
        <v>#REF!</v>
      </c>
      <c r="G413" s="48" t="e">
        <v>#REF!</v>
      </c>
      <c r="H413" s="49">
        <v>0</v>
      </c>
      <c r="I413" s="49" t="e">
        <v>#REF!</v>
      </c>
      <c r="J413" s="50"/>
    </row>
    <row r="414" ht="28.8" outlineLevel="1" spans="1:10">
      <c r="A414" s="50" t="str">
        <v/>
      </c>
      <c r="B414" s="51" t="str">
        <v>住宅非上人屋面（楼梯间.门厅.水箱间等）</v>
      </c>
      <c r="C414" s="51" t="str">
        <v/>
      </c>
      <c r="D414" s="51" t="str">
        <v/>
      </c>
      <c r="E414" s="51" t="str">
        <v/>
      </c>
      <c r="F414" s="52" t="str">
        <v/>
      </c>
      <c r="G414" s="48" t="str">
        <v/>
      </c>
      <c r="H414" s="49">
        <v>0</v>
      </c>
      <c r="I414" s="49">
        <v>0</v>
      </c>
      <c r="J414" s="50"/>
    </row>
    <row r="415" ht="28.8" outlineLevel="1" spans="1:10">
      <c r="A415" s="50">
        <v>343</v>
      </c>
      <c r="B415" s="51" t="str">
        <v>屋面-20厚M15水泥砂浆保护层</v>
      </c>
      <c r="C415" s="51" t="e">
        <v>#REF!</v>
      </c>
      <c r="D415" s="51" t="str">
        <v/>
      </c>
      <c r="E415" s="51" t="str">
        <v/>
      </c>
      <c r="F415" s="52" t="e">
        <v>#REF!</v>
      </c>
      <c r="G415" s="48" t="e">
        <v>#REF!</v>
      </c>
      <c r="H415" s="49">
        <v>174.64</v>
      </c>
      <c r="I415" s="49" t="e">
        <v>#REF!</v>
      </c>
      <c r="J415" s="50"/>
    </row>
    <row r="416" outlineLevel="1" spans="1:10">
      <c r="A416" s="50">
        <v>344</v>
      </c>
      <c r="B416" s="51" t="str">
        <v>屋面-土工布</v>
      </c>
      <c r="C416" s="51" t="e">
        <v>#REF!</v>
      </c>
      <c r="D416" s="51" t="str">
        <v/>
      </c>
      <c r="E416" s="51" t="str">
        <v/>
      </c>
      <c r="F416" s="52" t="e">
        <v>#REF!</v>
      </c>
      <c r="G416" s="48" t="e">
        <v>#REF!</v>
      </c>
      <c r="H416" s="49">
        <v>174.64</v>
      </c>
      <c r="I416" s="49" t="e">
        <v>#REF!</v>
      </c>
      <c r="J416" s="50"/>
    </row>
    <row r="417" outlineLevel="1" spans="1:10">
      <c r="A417" s="50">
        <v>345</v>
      </c>
      <c r="B417" s="51" t="str">
        <v>屋面-3+3SBS</v>
      </c>
      <c r="C417" s="51" t="e">
        <v>#REF!</v>
      </c>
      <c r="D417" s="51" t="str">
        <v/>
      </c>
      <c r="E417" s="51" t="str">
        <v/>
      </c>
      <c r="F417" s="52" t="e">
        <v>#REF!</v>
      </c>
      <c r="G417" s="48" t="e">
        <v>#REF!</v>
      </c>
      <c r="H417" s="49">
        <v>174.64</v>
      </c>
      <c r="I417" s="49" t="e">
        <v>#REF!</v>
      </c>
      <c r="J417" s="50"/>
    </row>
    <row r="418" outlineLevel="1" spans="1:10">
      <c r="A418" s="50">
        <v>346</v>
      </c>
      <c r="B418" s="51" t="str">
        <v>屋面-30厚C20细石砼</v>
      </c>
      <c r="C418" s="51" t="e">
        <v>#REF!</v>
      </c>
      <c r="D418" s="51" t="str">
        <v/>
      </c>
      <c r="E418" s="51" t="str">
        <v/>
      </c>
      <c r="F418" s="52" t="e">
        <v>#REF!</v>
      </c>
      <c r="G418" s="48" t="e">
        <v>#REF!</v>
      </c>
      <c r="H418" s="49">
        <v>174.64</v>
      </c>
      <c r="I418" s="49" t="e">
        <v>#REF!</v>
      </c>
      <c r="J418" s="50"/>
    </row>
    <row r="419" outlineLevel="1" spans="1:10">
      <c r="A419" s="50">
        <v>347</v>
      </c>
      <c r="B419" s="51" t="str">
        <v>屋面-最薄处30厚焦渣找坡</v>
      </c>
      <c r="C419" s="51" t="e">
        <v>#REF!</v>
      </c>
      <c r="D419" s="51" t="str">
        <v/>
      </c>
      <c r="E419" s="51" t="str">
        <v/>
      </c>
      <c r="F419" s="52" t="e">
        <v>#REF!</v>
      </c>
      <c r="G419" s="48" t="e">
        <v>#REF!</v>
      </c>
      <c r="H419" s="49">
        <v>174.64</v>
      </c>
      <c r="I419" s="49" t="e">
        <v>#REF!</v>
      </c>
      <c r="J419" s="50"/>
    </row>
    <row r="420" outlineLevel="1" spans="1:10">
      <c r="A420" s="50">
        <v>348</v>
      </c>
      <c r="B420" s="51" t="str">
        <v>屋面-110厚XPS</v>
      </c>
      <c r="C420" s="51" t="e">
        <v>#REF!</v>
      </c>
      <c r="D420" s="51" t="str">
        <v/>
      </c>
      <c r="E420" s="51" t="str">
        <v/>
      </c>
      <c r="F420" s="52" t="e">
        <v>#REF!</v>
      </c>
      <c r="G420" s="48" t="e">
        <v>#REF!</v>
      </c>
      <c r="H420" s="49">
        <v>0</v>
      </c>
      <c r="I420" s="49" t="e">
        <v>#REF!</v>
      </c>
      <c r="J420" s="50"/>
    </row>
    <row r="421" outlineLevel="1" spans="1:10">
      <c r="A421" s="50">
        <v>349</v>
      </c>
      <c r="B421" s="51" t="str">
        <v>屋面-190厚EPS</v>
      </c>
      <c r="C421" s="51" t="e">
        <v>#REF!</v>
      </c>
      <c r="D421" s="51" t="str">
        <v/>
      </c>
      <c r="E421" s="51" t="str">
        <v/>
      </c>
      <c r="F421" s="52" t="e">
        <v>#REF!</v>
      </c>
      <c r="G421" s="48" t="e">
        <v>#REF!</v>
      </c>
      <c r="H421" s="49">
        <v>174.64</v>
      </c>
      <c r="I421" s="49" t="e">
        <v>#REF!</v>
      </c>
      <c r="J421" s="50"/>
    </row>
    <row r="422" ht="28.8" outlineLevel="1" spans="1:10">
      <c r="A422" s="50" t="str">
        <v/>
      </c>
      <c r="B422" s="51" t="str">
        <v>住宅非上人屋面（楼梯间.门厅.水箱间等）与主楼相连</v>
      </c>
      <c r="C422" s="51" t="str">
        <v/>
      </c>
      <c r="D422" s="51" t="str">
        <v/>
      </c>
      <c r="E422" s="51" t="str">
        <v/>
      </c>
      <c r="F422" s="52" t="str">
        <v/>
      </c>
      <c r="G422" s="48" t="str">
        <v/>
      </c>
      <c r="H422" s="49">
        <v>0</v>
      </c>
      <c r="I422" s="49">
        <v>0</v>
      </c>
      <c r="J422" s="50"/>
    </row>
    <row r="423" ht="28.8" outlineLevel="1" spans="1:10">
      <c r="A423" s="50">
        <v>350</v>
      </c>
      <c r="B423" s="51" t="str">
        <v>屋面-20厚M15水泥砂浆保护层</v>
      </c>
      <c r="C423" s="51" t="e">
        <v>#REF!</v>
      </c>
      <c r="D423" s="51" t="str">
        <v/>
      </c>
      <c r="E423" s="51" t="str">
        <v/>
      </c>
      <c r="F423" s="52" t="e">
        <v>#REF!</v>
      </c>
      <c r="G423" s="48" t="e">
        <v>#REF!</v>
      </c>
      <c r="H423" s="49">
        <v>1</v>
      </c>
      <c r="I423" s="49" t="e">
        <v>#REF!</v>
      </c>
      <c r="J423" s="50"/>
    </row>
    <row r="424" outlineLevel="1" spans="1:10">
      <c r="A424" s="50">
        <v>351</v>
      </c>
      <c r="B424" s="51" t="str">
        <v>屋面-土工布</v>
      </c>
      <c r="C424" s="51" t="e">
        <v>#REF!</v>
      </c>
      <c r="D424" s="51" t="str">
        <v/>
      </c>
      <c r="E424" s="51" t="str">
        <v/>
      </c>
      <c r="F424" s="52" t="e">
        <v>#REF!</v>
      </c>
      <c r="G424" s="48" t="e">
        <v>#REF!</v>
      </c>
      <c r="H424" s="49">
        <v>1</v>
      </c>
      <c r="I424" s="49" t="e">
        <v>#REF!</v>
      </c>
      <c r="J424" s="50"/>
    </row>
    <row r="425" outlineLevel="1" spans="1:10">
      <c r="A425" s="50">
        <v>352</v>
      </c>
      <c r="B425" s="51" t="str">
        <v>屋面-4厚SBS</v>
      </c>
      <c r="C425" s="51" t="e">
        <v>#REF!</v>
      </c>
      <c r="D425" s="51" t="str">
        <v/>
      </c>
      <c r="E425" s="51" t="str">
        <v/>
      </c>
      <c r="F425" s="52" t="e">
        <v>#REF!</v>
      </c>
      <c r="G425" s="48" t="e">
        <v>#REF!</v>
      </c>
      <c r="H425" s="49">
        <v>1</v>
      </c>
      <c r="I425" s="49" t="e">
        <v>#REF!</v>
      </c>
      <c r="J425" s="50"/>
    </row>
    <row r="426" outlineLevel="1" spans="1:10">
      <c r="A426" s="50">
        <v>353</v>
      </c>
      <c r="B426" s="51" t="str">
        <v>屋面-30厚C20细石砼</v>
      </c>
      <c r="C426" s="51" t="e">
        <v>#REF!</v>
      </c>
      <c r="D426" s="51" t="str">
        <v/>
      </c>
      <c r="E426" s="51" t="str">
        <v/>
      </c>
      <c r="F426" s="52" t="e">
        <v>#REF!</v>
      </c>
      <c r="G426" s="48" t="e">
        <v>#REF!</v>
      </c>
      <c r="H426" s="49">
        <v>1</v>
      </c>
      <c r="I426" s="49" t="e">
        <v>#REF!</v>
      </c>
      <c r="J426" s="50"/>
    </row>
    <row r="427" outlineLevel="1" spans="1:10">
      <c r="A427" s="50">
        <v>354</v>
      </c>
      <c r="B427" s="51" t="str">
        <v>屋面-最薄处30厚焦渣找坡</v>
      </c>
      <c r="C427" s="51" t="e">
        <v>#REF!</v>
      </c>
      <c r="D427" s="51" t="str">
        <v/>
      </c>
      <c r="E427" s="51" t="str">
        <v/>
      </c>
      <c r="F427" s="52" t="e">
        <v>#REF!</v>
      </c>
      <c r="G427" s="48" t="e">
        <v>#REF!</v>
      </c>
      <c r="H427" s="49">
        <v>1</v>
      </c>
      <c r="I427" s="49" t="e">
        <v>#REF!</v>
      </c>
      <c r="J427" s="50"/>
    </row>
    <row r="428" outlineLevel="1" spans="1:10">
      <c r="A428" s="50">
        <v>355</v>
      </c>
      <c r="B428" s="51" t="str">
        <v>屋面-190厚EPS</v>
      </c>
      <c r="C428" s="51" t="e">
        <v>#REF!</v>
      </c>
      <c r="D428" s="51" t="str">
        <v/>
      </c>
      <c r="E428" s="51" t="str">
        <v/>
      </c>
      <c r="F428" s="52" t="e">
        <v>#REF!</v>
      </c>
      <c r="G428" s="48" t="e">
        <v>#REF!</v>
      </c>
      <c r="H428" s="49">
        <v>1</v>
      </c>
      <c r="I428" s="49" t="e">
        <v>#REF!</v>
      </c>
      <c r="J428" s="50"/>
    </row>
    <row r="429" ht="28.8" outlineLevel="1" spans="1:10">
      <c r="A429" s="50" t="str">
        <v/>
      </c>
      <c r="B429" s="51" t="str">
        <v>住宅非上人屋面（楼梯间.门厅.水箱间等）不与主楼相连</v>
      </c>
      <c r="C429" s="51" t="str">
        <v/>
      </c>
      <c r="D429" s="51" t="str">
        <v/>
      </c>
      <c r="E429" s="51" t="str">
        <v/>
      </c>
      <c r="F429" s="52" t="str">
        <v/>
      </c>
      <c r="G429" s="48" t="str">
        <v/>
      </c>
      <c r="H429" s="49">
        <v>0</v>
      </c>
      <c r="I429" s="49">
        <v>0</v>
      </c>
      <c r="J429" s="50"/>
    </row>
    <row r="430" ht="28.8" outlineLevel="1" spans="1:10">
      <c r="A430" s="50">
        <v>356</v>
      </c>
      <c r="B430" s="51" t="str">
        <v>屋面-20厚M15水泥砂浆保护层</v>
      </c>
      <c r="C430" s="51" t="e">
        <v>#REF!</v>
      </c>
      <c r="D430" s="51" t="str">
        <v/>
      </c>
      <c r="E430" s="51" t="str">
        <v/>
      </c>
      <c r="F430" s="52" t="e">
        <v>#REF!</v>
      </c>
      <c r="G430" s="48" t="e">
        <v>#REF!</v>
      </c>
      <c r="H430" s="49">
        <v>1</v>
      </c>
      <c r="I430" s="49" t="e">
        <v>#REF!</v>
      </c>
      <c r="J430" s="50"/>
    </row>
    <row r="431" outlineLevel="1" spans="1:10">
      <c r="A431" s="50">
        <v>357</v>
      </c>
      <c r="B431" s="51" t="str">
        <v>屋面-土工布</v>
      </c>
      <c r="C431" s="51" t="e">
        <v>#REF!</v>
      </c>
      <c r="D431" s="51" t="str">
        <v/>
      </c>
      <c r="E431" s="51" t="str">
        <v/>
      </c>
      <c r="F431" s="52" t="e">
        <v>#REF!</v>
      </c>
      <c r="G431" s="48" t="e">
        <v>#REF!</v>
      </c>
      <c r="H431" s="49">
        <v>1</v>
      </c>
      <c r="I431" s="49" t="e">
        <v>#REF!</v>
      </c>
      <c r="J431" s="50"/>
    </row>
    <row r="432" outlineLevel="1" spans="1:10">
      <c r="A432" s="50">
        <v>358</v>
      </c>
      <c r="B432" s="51" t="str">
        <v>屋面-4厚SBS</v>
      </c>
      <c r="C432" s="51" t="e">
        <v>#REF!</v>
      </c>
      <c r="D432" s="51" t="str">
        <v/>
      </c>
      <c r="E432" s="51" t="str">
        <v/>
      </c>
      <c r="F432" s="52" t="e">
        <v>#REF!</v>
      </c>
      <c r="G432" s="48" t="e">
        <v>#REF!</v>
      </c>
      <c r="H432" s="49">
        <v>1</v>
      </c>
      <c r="I432" s="49" t="e">
        <v>#REF!</v>
      </c>
      <c r="J432" s="50"/>
    </row>
    <row r="433" outlineLevel="1" spans="1:10">
      <c r="A433" s="50">
        <v>359</v>
      </c>
      <c r="B433" s="51" t="str">
        <v>屋面-30厚C20细石砼</v>
      </c>
      <c r="C433" s="51" t="e">
        <v>#REF!</v>
      </c>
      <c r="D433" s="51" t="str">
        <v/>
      </c>
      <c r="E433" s="51" t="str">
        <v/>
      </c>
      <c r="F433" s="52" t="e">
        <v>#REF!</v>
      </c>
      <c r="G433" s="48" t="e">
        <v>#REF!</v>
      </c>
      <c r="H433" s="49">
        <v>1</v>
      </c>
      <c r="I433" s="49" t="e">
        <v>#REF!</v>
      </c>
      <c r="J433" s="50"/>
    </row>
    <row r="434" outlineLevel="1" spans="1:10">
      <c r="A434" s="50">
        <v>360</v>
      </c>
      <c r="B434" s="51" t="str">
        <v>屋面-最薄处30厚焦渣找坡</v>
      </c>
      <c r="C434" s="51" t="e">
        <v>#REF!</v>
      </c>
      <c r="D434" s="51" t="str">
        <v/>
      </c>
      <c r="E434" s="51" t="str">
        <v/>
      </c>
      <c r="F434" s="52" t="e">
        <v>#REF!</v>
      </c>
      <c r="G434" s="48" t="e">
        <v>#REF!</v>
      </c>
      <c r="H434" s="49">
        <v>1</v>
      </c>
      <c r="I434" s="49" t="e">
        <v>#REF!</v>
      </c>
      <c r="J434" s="50"/>
    </row>
    <row r="435" outlineLevel="1" spans="1:10">
      <c r="A435" s="50" t="str">
        <v/>
      </c>
      <c r="B435" s="51" t="str">
        <v>住宅屋面挑檐</v>
      </c>
      <c r="C435" s="51" t="str">
        <v/>
      </c>
      <c r="D435" s="51" t="str">
        <v/>
      </c>
      <c r="E435" s="51" t="str">
        <v/>
      </c>
      <c r="F435" s="52" t="str">
        <v/>
      </c>
      <c r="G435" s="48" t="str">
        <v/>
      </c>
      <c r="H435" s="49">
        <v>0</v>
      </c>
      <c r="I435" s="49">
        <v>0</v>
      </c>
      <c r="J435" s="50"/>
    </row>
    <row r="436" ht="28.8" outlineLevel="1" spans="1:10">
      <c r="A436" s="50">
        <v>361</v>
      </c>
      <c r="B436" s="51" t="str">
        <v>屋面-20厚M15水泥砂浆保护层</v>
      </c>
      <c r="C436" s="51" t="e">
        <v>#REF!</v>
      </c>
      <c r="D436" s="51" t="str">
        <v/>
      </c>
      <c r="E436" s="51" t="str">
        <v/>
      </c>
      <c r="F436" s="52" t="e">
        <v>#REF!</v>
      </c>
      <c r="G436" s="48" t="e">
        <v>#REF!</v>
      </c>
      <c r="H436" s="49">
        <v>74.72</v>
      </c>
      <c r="I436" s="49" t="e">
        <v>#REF!</v>
      </c>
      <c r="J436" s="50"/>
    </row>
    <row r="437" outlineLevel="1" spans="1:10">
      <c r="A437" s="50">
        <v>362</v>
      </c>
      <c r="B437" s="51" t="str">
        <v>屋面-土工布</v>
      </c>
      <c r="C437" s="51" t="e">
        <v>#REF!</v>
      </c>
      <c r="D437" s="51" t="str">
        <v/>
      </c>
      <c r="E437" s="51" t="str">
        <v/>
      </c>
      <c r="F437" s="52" t="e">
        <v>#REF!</v>
      </c>
      <c r="G437" s="48" t="e">
        <v>#REF!</v>
      </c>
      <c r="H437" s="49">
        <v>74.72</v>
      </c>
      <c r="I437" s="49" t="e">
        <v>#REF!</v>
      </c>
      <c r="J437" s="50"/>
    </row>
    <row r="438" outlineLevel="1" spans="1:10">
      <c r="A438" s="50">
        <v>363</v>
      </c>
      <c r="B438" s="51" t="str">
        <v>屋面-4厚SBS</v>
      </c>
      <c r="C438" s="51" t="e">
        <v>#REF!</v>
      </c>
      <c r="D438" s="51" t="str">
        <v/>
      </c>
      <c r="E438" s="51" t="str">
        <v/>
      </c>
      <c r="F438" s="52" t="e">
        <v>#REF!</v>
      </c>
      <c r="G438" s="48" t="e">
        <v>#REF!</v>
      </c>
      <c r="H438" s="49">
        <v>74.72</v>
      </c>
      <c r="I438" s="49" t="e">
        <v>#REF!</v>
      </c>
      <c r="J438" s="50"/>
    </row>
    <row r="439" outlineLevel="1" spans="1:10">
      <c r="A439" s="50">
        <v>364</v>
      </c>
      <c r="B439" s="51" t="str">
        <v>屋面-20厚M20水泥砂浆找坡</v>
      </c>
      <c r="C439" s="51" t="e">
        <v>#REF!</v>
      </c>
      <c r="D439" s="51" t="str">
        <v/>
      </c>
      <c r="E439" s="51" t="str">
        <v/>
      </c>
      <c r="F439" s="52" t="e">
        <v>#REF!</v>
      </c>
      <c r="G439" s="48" t="e">
        <v>#REF!</v>
      </c>
      <c r="H439" s="49">
        <v>74.72</v>
      </c>
      <c r="I439" s="49" t="e">
        <v>#REF!</v>
      </c>
      <c r="J439" s="50"/>
    </row>
    <row r="440" outlineLevel="1" spans="1:10">
      <c r="A440" s="50" t="str">
        <v/>
      </c>
      <c r="B440" s="51" t="str">
        <v>住宅坡屋面</v>
      </c>
      <c r="C440" s="51" t="str">
        <v/>
      </c>
      <c r="D440" s="51" t="str">
        <v/>
      </c>
      <c r="E440" s="51" t="str">
        <v/>
      </c>
      <c r="F440" s="52" t="str">
        <v/>
      </c>
      <c r="G440" s="48" t="str">
        <v/>
      </c>
      <c r="H440" s="49">
        <v>0</v>
      </c>
      <c r="I440" s="49">
        <v>0</v>
      </c>
      <c r="J440" s="50"/>
    </row>
    <row r="441" outlineLevel="1" spans="1:10">
      <c r="A441" s="50">
        <v>365</v>
      </c>
      <c r="B441" s="51" t="str">
        <v>屋面-45厚C20细石砼</v>
      </c>
      <c r="C441" s="51" t="e">
        <v>#REF!</v>
      </c>
      <c r="D441" s="51" t="str">
        <v/>
      </c>
      <c r="E441" s="51" t="str">
        <v/>
      </c>
      <c r="F441" s="52" t="e">
        <v>#REF!</v>
      </c>
      <c r="G441" s="48" t="e">
        <v>#REF!</v>
      </c>
      <c r="H441" s="49">
        <v>1</v>
      </c>
      <c r="I441" s="49" t="e">
        <v>#REF!</v>
      </c>
      <c r="J441" s="50"/>
    </row>
    <row r="442" outlineLevel="1" spans="1:10">
      <c r="A442" s="50">
        <v>366</v>
      </c>
      <c r="B442" s="51" t="str">
        <v>屋面-φ4@200钢筋网</v>
      </c>
      <c r="C442" s="51" t="e">
        <v>#REF!</v>
      </c>
      <c r="D442" s="51" t="str">
        <v/>
      </c>
      <c r="E442" s="51" t="str">
        <v/>
      </c>
      <c r="F442" s="52" t="e">
        <v>#REF!</v>
      </c>
      <c r="G442" s="48" t="e">
        <v>#REF!</v>
      </c>
      <c r="H442" s="49">
        <v>1</v>
      </c>
      <c r="I442" s="49" t="e">
        <v>#REF!</v>
      </c>
      <c r="J442" s="50"/>
    </row>
    <row r="443" outlineLevel="1" spans="1:10">
      <c r="A443" s="50">
        <v>367</v>
      </c>
      <c r="B443" s="51" t="str">
        <v>屋面-土工布</v>
      </c>
      <c r="C443" s="51" t="e">
        <v>#REF!</v>
      </c>
      <c r="D443" s="51" t="str">
        <v/>
      </c>
      <c r="E443" s="51" t="str">
        <v/>
      </c>
      <c r="F443" s="52" t="e">
        <v>#REF!</v>
      </c>
      <c r="G443" s="48" t="e">
        <v>#REF!</v>
      </c>
      <c r="H443" s="49">
        <v>1</v>
      </c>
      <c r="I443" s="49" t="e">
        <v>#REF!</v>
      </c>
      <c r="J443" s="50"/>
    </row>
    <row r="444" outlineLevel="1" spans="1:10">
      <c r="A444" s="50">
        <v>368</v>
      </c>
      <c r="B444" s="51" t="str">
        <v>屋面-4厚SBS</v>
      </c>
      <c r="C444" s="51" t="e">
        <v>#REF!</v>
      </c>
      <c r="D444" s="51" t="str">
        <v/>
      </c>
      <c r="E444" s="51" t="str">
        <v/>
      </c>
      <c r="F444" s="52" t="e">
        <v>#REF!</v>
      </c>
      <c r="G444" s="48" t="e">
        <v>#REF!</v>
      </c>
      <c r="H444" s="49">
        <v>1</v>
      </c>
      <c r="I444" s="49" t="e">
        <v>#REF!</v>
      </c>
      <c r="J444" s="50"/>
    </row>
    <row r="445" outlineLevel="1" spans="1:10">
      <c r="A445" s="50">
        <v>369</v>
      </c>
      <c r="B445" s="51" t="str">
        <v>屋面-30厚C20细石砼</v>
      </c>
      <c r="C445" s="51" t="e">
        <v>#REF!</v>
      </c>
      <c r="D445" s="51" t="str">
        <v/>
      </c>
      <c r="E445" s="51" t="str">
        <v/>
      </c>
      <c r="F445" s="52" t="e">
        <v>#REF!</v>
      </c>
      <c r="G445" s="48" t="e">
        <v>#REF!</v>
      </c>
      <c r="H445" s="49">
        <v>1</v>
      </c>
      <c r="I445" s="49" t="e">
        <v>#REF!</v>
      </c>
      <c r="J445" s="50"/>
    </row>
    <row r="446" outlineLevel="1" spans="1:10">
      <c r="A446" s="50">
        <v>370</v>
      </c>
      <c r="B446" s="51" t="str">
        <v>屋面-190厚EPS聚苯板</v>
      </c>
      <c r="C446" s="51" t="e">
        <v>#REF!</v>
      </c>
      <c r="D446" s="51" t="str">
        <v/>
      </c>
      <c r="E446" s="51" t="str">
        <v/>
      </c>
      <c r="F446" s="52" t="e">
        <v>#REF!</v>
      </c>
      <c r="G446" s="48" t="e">
        <v>#REF!</v>
      </c>
      <c r="H446" s="49">
        <v>1</v>
      </c>
      <c r="I446" s="49" t="e">
        <v>#REF!</v>
      </c>
      <c r="J446" s="50"/>
    </row>
    <row r="447" outlineLevel="1" spans="1:10">
      <c r="A447" s="50" t="str">
        <v/>
      </c>
      <c r="B447" s="51" t="str">
        <v>住宅坡女儿墙（法式）</v>
      </c>
      <c r="C447" s="51" t="str">
        <v/>
      </c>
      <c r="D447" s="51" t="str">
        <v/>
      </c>
      <c r="E447" s="51" t="str">
        <v/>
      </c>
      <c r="F447" s="52" t="str">
        <v/>
      </c>
      <c r="G447" s="48" t="str">
        <v/>
      </c>
      <c r="H447" s="49">
        <v>0</v>
      </c>
      <c r="I447" s="49">
        <v>0</v>
      </c>
      <c r="J447" s="50"/>
    </row>
    <row r="448" outlineLevel="1" spans="1:10">
      <c r="A448" s="50">
        <v>371</v>
      </c>
      <c r="B448" s="51" t="str">
        <v>屋面-屋面瓦</v>
      </c>
      <c r="C448" s="51" t="e">
        <v>#REF!</v>
      </c>
      <c r="D448" s="51" t="str">
        <v/>
      </c>
      <c r="E448" s="51" t="str">
        <v/>
      </c>
      <c r="F448" s="52" t="e">
        <v>#REF!</v>
      </c>
      <c r="G448" s="48" t="e">
        <v>#REF!</v>
      </c>
      <c r="H448" s="49">
        <v>354</v>
      </c>
      <c r="I448" s="49" t="e">
        <v>#REF!</v>
      </c>
      <c r="J448" s="50"/>
    </row>
    <row r="449" outlineLevel="1" spans="1:10">
      <c r="A449" s="50">
        <v>372</v>
      </c>
      <c r="B449" s="51" t="str">
        <v>屋面-20厚无机保温砂浆I型</v>
      </c>
      <c r="C449" s="51" t="e">
        <v>#REF!</v>
      </c>
      <c r="D449" s="51" t="str">
        <v/>
      </c>
      <c r="E449" s="51" t="str">
        <v/>
      </c>
      <c r="F449" s="52" t="e">
        <v>#REF!</v>
      </c>
      <c r="G449" s="48" t="e">
        <v>#REF!</v>
      </c>
      <c r="H449" s="49">
        <v>354</v>
      </c>
      <c r="I449" s="49" t="e">
        <v>#REF!</v>
      </c>
      <c r="J449" s="50"/>
    </row>
    <row r="450" outlineLevel="1" spans="1:10">
      <c r="A450" s="50">
        <v>373</v>
      </c>
      <c r="B450" s="51" t="str">
        <v>屋面-风井窗井</v>
      </c>
      <c r="C450" s="51" t="e">
        <v>#REF!</v>
      </c>
      <c r="D450" s="51" t="str">
        <v/>
      </c>
      <c r="E450" s="51" t="str">
        <v/>
      </c>
      <c r="F450" s="52" t="e">
        <v>#REF!</v>
      </c>
      <c r="G450" s="48" t="e">
        <v>#REF!</v>
      </c>
      <c r="H450" s="49">
        <v>9.3</v>
      </c>
      <c r="I450" s="49" t="e">
        <v>#REF!</v>
      </c>
      <c r="J450" s="50"/>
    </row>
    <row r="451" outlineLevel="1" spans="1:10">
      <c r="A451" s="50">
        <v>374</v>
      </c>
      <c r="B451" s="51" t="str">
        <v>屋面-雨棚上</v>
      </c>
      <c r="C451" s="51" t="e">
        <v>#REF!</v>
      </c>
      <c r="D451" s="51" t="str">
        <v/>
      </c>
      <c r="E451" s="51" t="str">
        <v/>
      </c>
      <c r="F451" s="52" t="e">
        <v>#REF!</v>
      </c>
      <c r="G451" s="48" t="e">
        <v>#REF!</v>
      </c>
      <c r="H451" s="49">
        <v>10.86</v>
      </c>
      <c r="I451" s="49" t="e">
        <v>#REF!</v>
      </c>
      <c r="J451" s="50"/>
    </row>
    <row r="452" outlineLevel="1" spans="1:10">
      <c r="A452" s="50">
        <v>375</v>
      </c>
      <c r="B452" s="51" t="str">
        <v>墙面防水-墙基防潮层</v>
      </c>
      <c r="C452" s="51" t="e">
        <v>#REF!</v>
      </c>
      <c r="D452" s="51" t="str">
        <v/>
      </c>
      <c r="E452" s="51" t="str">
        <v/>
      </c>
      <c r="F452" s="52" t="e">
        <v>#REF!</v>
      </c>
      <c r="G452" s="48" t="e">
        <v>#REF!</v>
      </c>
      <c r="H452" s="49">
        <v>24.51</v>
      </c>
      <c r="I452" s="49" t="e">
        <v>#REF!</v>
      </c>
      <c r="J452" s="50"/>
    </row>
    <row r="453" outlineLevel="1" spans="1:10">
      <c r="A453" s="50">
        <v>376</v>
      </c>
      <c r="B453" s="51" t="str">
        <v>屋面-出屋面风道保温</v>
      </c>
      <c r="C453" s="51" t="e">
        <v>#REF!</v>
      </c>
      <c r="D453" s="51" t="str">
        <v/>
      </c>
      <c r="E453" s="51" t="str">
        <v/>
      </c>
      <c r="F453" s="52" t="e">
        <v>#REF!</v>
      </c>
      <c r="G453" s="48" t="e">
        <v>#REF!</v>
      </c>
      <c r="H453" s="49">
        <v>0</v>
      </c>
      <c r="I453" s="49" t="e">
        <v>#REF!</v>
      </c>
      <c r="J453" s="50"/>
    </row>
    <row r="454" outlineLevel="1" spans="1:10">
      <c r="A454" s="50" t="str">
        <v/>
      </c>
      <c r="B454" s="51" t="str">
        <v>后贴保温层</v>
      </c>
      <c r="C454" s="51" t="str">
        <v/>
      </c>
      <c r="D454" s="51" t="str">
        <v/>
      </c>
      <c r="E454" s="51" t="str">
        <v/>
      </c>
      <c r="F454" s="52" t="str">
        <v/>
      </c>
      <c r="G454" s="48" t="str">
        <v/>
      </c>
      <c r="H454" s="49">
        <v>0</v>
      </c>
      <c r="I454" s="49">
        <v>0</v>
      </c>
      <c r="J454" s="50"/>
    </row>
    <row r="455" outlineLevel="1" spans="1:10">
      <c r="A455" s="50">
        <v>377</v>
      </c>
      <c r="B455" s="51" t="str">
        <v>外墙面-180厚XPS</v>
      </c>
      <c r="C455" s="51" t="e">
        <v>#REF!</v>
      </c>
      <c r="D455" s="51" t="str">
        <v/>
      </c>
      <c r="E455" s="51" t="str">
        <v/>
      </c>
      <c r="F455" s="52" t="e">
        <v>#REF!</v>
      </c>
      <c r="G455" s="48" t="e">
        <v>#REF!</v>
      </c>
      <c r="H455" s="49">
        <v>0</v>
      </c>
      <c r="I455" s="49" t="e">
        <v>#REF!</v>
      </c>
      <c r="J455" s="50"/>
    </row>
    <row r="456" outlineLevel="1" spans="1:10">
      <c r="A456" s="50">
        <v>378</v>
      </c>
      <c r="B456" s="51" t="str">
        <v>外墙面-3厚抗裂砂浆</v>
      </c>
      <c r="C456" s="51" t="e">
        <v>#REF!</v>
      </c>
      <c r="D456" s="51" t="str">
        <v/>
      </c>
      <c r="E456" s="51" t="str">
        <v/>
      </c>
      <c r="F456" s="52" t="e">
        <v>#REF!</v>
      </c>
      <c r="G456" s="48" t="e">
        <v>#REF!</v>
      </c>
      <c r="H456" s="49">
        <v>0</v>
      </c>
      <c r="I456" s="49" t="e">
        <v>#REF!</v>
      </c>
      <c r="J456" s="50"/>
    </row>
    <row r="457" outlineLevel="1" spans="1:10">
      <c r="A457" s="50">
        <v>379</v>
      </c>
      <c r="B457" s="51" t="str">
        <v>外墙面-网格布</v>
      </c>
      <c r="C457" s="51" t="e">
        <v>#REF!</v>
      </c>
      <c r="D457" s="51" t="str">
        <v/>
      </c>
      <c r="E457" s="51" t="str">
        <v/>
      </c>
      <c r="F457" s="52" t="e">
        <v>#REF!</v>
      </c>
      <c r="G457" s="48" t="e">
        <v>#REF!</v>
      </c>
      <c r="H457" s="49">
        <v>0</v>
      </c>
      <c r="I457" s="49" t="e">
        <v>#REF!</v>
      </c>
      <c r="J457" s="50"/>
    </row>
    <row r="458" outlineLevel="1" spans="1:10">
      <c r="A458" s="50">
        <v>380</v>
      </c>
      <c r="B458" s="51" t="str">
        <v>屋面-Φ110UPVC雨水管</v>
      </c>
      <c r="C458" s="51" t="e">
        <v>#REF!</v>
      </c>
      <c r="D458" s="51" t="str">
        <v/>
      </c>
      <c r="E458" s="51" t="str">
        <v/>
      </c>
      <c r="F458" s="52" t="e">
        <v>#REF!</v>
      </c>
      <c r="G458" s="48" t="e">
        <v>#REF!</v>
      </c>
      <c r="H458" s="49">
        <v>617.236363636364</v>
      </c>
      <c r="I458" s="49" t="e">
        <v>#REF!</v>
      </c>
      <c r="J458" s="50"/>
    </row>
    <row r="459" outlineLevel="1" spans="1:10">
      <c r="A459" s="50">
        <v>381</v>
      </c>
      <c r="B459" s="51" t="str">
        <v>屋面-Φ50泄水口</v>
      </c>
      <c r="C459" s="51" t="e">
        <v>#REF!</v>
      </c>
      <c r="D459" s="51" t="str">
        <v/>
      </c>
      <c r="E459" s="51" t="str">
        <v/>
      </c>
      <c r="F459" s="52" t="e">
        <v>#REF!</v>
      </c>
      <c r="G459" s="48" t="e">
        <v>#REF!</v>
      </c>
      <c r="H459" s="49">
        <v>16</v>
      </c>
      <c r="I459" s="49" t="e">
        <v>#REF!</v>
      </c>
      <c r="J459" s="50"/>
    </row>
    <row r="460" outlineLevel="1" spans="1:10">
      <c r="A460" s="50">
        <v>382</v>
      </c>
      <c r="B460" s="51" t="str">
        <v>外墙（屋面）面-变形缝</v>
      </c>
      <c r="C460" s="51" t="e">
        <v>#REF!</v>
      </c>
      <c r="D460" s="51" t="str">
        <v/>
      </c>
      <c r="E460" s="51" t="str">
        <v/>
      </c>
      <c r="F460" s="52" t="e">
        <v>#REF!</v>
      </c>
      <c r="G460" s="48" t="e">
        <v>#REF!</v>
      </c>
      <c r="H460" s="49">
        <v>112.03</v>
      </c>
      <c r="I460" s="49" t="e">
        <v>#REF!</v>
      </c>
      <c r="J460" s="50"/>
    </row>
    <row r="461" outlineLevel="1" spans="1:10">
      <c r="A461" s="50" t="str">
        <v/>
      </c>
      <c r="B461" s="51" t="str">
        <v>A.04.03保温一体化工程</v>
      </c>
      <c r="C461" s="51" t="str">
        <v/>
      </c>
      <c r="D461" s="51" t="str">
        <v/>
      </c>
      <c r="E461" s="51" t="str">
        <v/>
      </c>
      <c r="F461" s="52" t="str">
        <v/>
      </c>
      <c r="G461" s="48" t="str">
        <v/>
      </c>
      <c r="H461" s="49">
        <v>0</v>
      </c>
      <c r="I461" s="49" t="e">
        <v>#REF!</v>
      </c>
      <c r="J461" s="50"/>
    </row>
    <row r="462" ht="28.8" outlineLevel="1" spans="1:10">
      <c r="A462" s="50">
        <v>383</v>
      </c>
      <c r="B462" s="51" t="str">
        <v>130厚轻质发泡复合保温板-浇筑施工</v>
      </c>
      <c r="C462" s="51" t="e">
        <v>#REF!</v>
      </c>
      <c r="D462" s="51" t="str">
        <v/>
      </c>
      <c r="E462" s="51" t="str">
        <v/>
      </c>
      <c r="F462" s="52" t="e">
        <v>#REF!</v>
      </c>
      <c r="G462" s="48" t="e">
        <v>#REF!</v>
      </c>
      <c r="H462" s="49">
        <v>1</v>
      </c>
      <c r="I462" s="49" t="e">
        <v>#REF!</v>
      </c>
      <c r="J462" s="50"/>
    </row>
    <row r="463" ht="28.8" outlineLevel="1" spans="1:10">
      <c r="A463" s="50">
        <v>384</v>
      </c>
      <c r="B463" s="51" t="str">
        <v>130厚轻质发泡复合保温板-后贴施工</v>
      </c>
      <c r="C463" s="51" t="e">
        <v>#REF!</v>
      </c>
      <c r="D463" s="51" t="str">
        <v/>
      </c>
      <c r="E463" s="51" t="str">
        <v/>
      </c>
      <c r="F463" s="52" t="e">
        <v>#REF!</v>
      </c>
      <c r="G463" s="48" t="e">
        <v>#REF!</v>
      </c>
      <c r="H463" s="49">
        <v>1</v>
      </c>
      <c r="I463" s="49" t="e">
        <v>#REF!</v>
      </c>
      <c r="J463" s="50"/>
    </row>
    <row r="464" ht="28.8" outlineLevel="1" spans="1:10">
      <c r="A464" s="50">
        <v>385</v>
      </c>
      <c r="B464" s="51" t="str">
        <v>120厚轻质发泡复合保温板-浇筑施工</v>
      </c>
      <c r="C464" s="51" t="e">
        <v>#REF!</v>
      </c>
      <c r="D464" s="51" t="str">
        <v/>
      </c>
      <c r="E464" s="51" t="str">
        <v/>
      </c>
      <c r="F464" s="52" t="e">
        <v>#REF!</v>
      </c>
      <c r="G464" s="48" t="e">
        <v>#REF!</v>
      </c>
      <c r="H464" s="49">
        <v>1</v>
      </c>
      <c r="I464" s="49" t="e">
        <v>#REF!</v>
      </c>
      <c r="J464" s="50"/>
    </row>
    <row r="465" ht="28.8" outlineLevel="1" spans="1:10">
      <c r="A465" s="50">
        <v>386</v>
      </c>
      <c r="B465" s="51" t="str">
        <v>120厚轻质发泡复合保温板-后贴施工</v>
      </c>
      <c r="C465" s="51" t="e">
        <v>#REF!</v>
      </c>
      <c r="D465" s="51" t="str">
        <v/>
      </c>
      <c r="E465" s="51" t="str">
        <v/>
      </c>
      <c r="F465" s="52" t="e">
        <v>#REF!</v>
      </c>
      <c r="G465" s="48" t="e">
        <v>#REF!</v>
      </c>
      <c r="H465" s="49">
        <v>1</v>
      </c>
      <c r="I465" s="49" t="e">
        <v>#REF!</v>
      </c>
      <c r="J465" s="50"/>
    </row>
    <row r="466" ht="28.8" outlineLevel="1" spans="1:10">
      <c r="A466" s="50">
        <v>387</v>
      </c>
      <c r="B466" s="51" t="str">
        <v>110厚轻质发泡复合保温板-浇筑施工</v>
      </c>
      <c r="C466" s="51" t="e">
        <v>#REF!</v>
      </c>
      <c r="D466" s="51" t="str">
        <v/>
      </c>
      <c r="E466" s="51" t="str">
        <v/>
      </c>
      <c r="F466" s="52" t="e">
        <v>#REF!</v>
      </c>
      <c r="G466" s="48" t="e">
        <v>#REF!</v>
      </c>
      <c r="H466" s="49">
        <v>1</v>
      </c>
      <c r="I466" s="49" t="e">
        <v>#REF!</v>
      </c>
      <c r="J466" s="50"/>
    </row>
    <row r="467" ht="28.8" outlineLevel="1" spans="1:10">
      <c r="A467" s="50">
        <v>388</v>
      </c>
      <c r="B467" s="51" t="str">
        <v>110厚轻质发泡复合保温板-后贴施工</v>
      </c>
      <c r="C467" s="51" t="e">
        <v>#REF!</v>
      </c>
      <c r="D467" s="51" t="str">
        <v/>
      </c>
      <c r="E467" s="51" t="str">
        <v/>
      </c>
      <c r="F467" s="52" t="e">
        <v>#REF!</v>
      </c>
      <c r="G467" s="48" t="e">
        <v>#REF!</v>
      </c>
      <c r="H467" s="49">
        <v>1</v>
      </c>
      <c r="I467" s="49" t="e">
        <v>#REF!</v>
      </c>
      <c r="J467" s="50"/>
    </row>
    <row r="468" ht="28.8" outlineLevel="1" spans="1:10">
      <c r="A468" s="50">
        <v>389</v>
      </c>
      <c r="B468" s="51" t="str">
        <v>100厚轻质发泡复合保温板-浇筑施工</v>
      </c>
      <c r="C468" s="51" t="e">
        <v>#REF!</v>
      </c>
      <c r="D468" s="51" t="str">
        <v/>
      </c>
      <c r="E468" s="51" t="str">
        <v/>
      </c>
      <c r="F468" s="52" t="e">
        <v>#REF!</v>
      </c>
      <c r="G468" s="48" t="e">
        <v>#REF!</v>
      </c>
      <c r="H468" s="49">
        <v>7319.13</v>
      </c>
      <c r="I468" s="49" t="e">
        <v>#REF!</v>
      </c>
      <c r="J468" s="50"/>
    </row>
    <row r="469" ht="28.8" outlineLevel="1" spans="1:10">
      <c r="A469" s="50">
        <v>390</v>
      </c>
      <c r="B469" s="51" t="str">
        <v>100厚轻质发泡复合保温板-后贴施工</v>
      </c>
      <c r="C469" s="51" t="e">
        <v>#REF!</v>
      </c>
      <c r="D469" s="51" t="str">
        <v/>
      </c>
      <c r="E469" s="51" t="str">
        <v/>
      </c>
      <c r="F469" s="52" t="e">
        <v>#REF!</v>
      </c>
      <c r="G469" s="48" t="e">
        <v>#REF!</v>
      </c>
      <c r="H469" s="49">
        <v>241.99</v>
      </c>
      <c r="I469" s="49" t="e">
        <v>#REF!</v>
      </c>
      <c r="J469" s="50"/>
    </row>
    <row r="470" ht="28.8" outlineLevel="1" spans="1:10">
      <c r="A470" s="50">
        <v>391</v>
      </c>
      <c r="B470" s="51" t="str">
        <v>90厚轻质发泡复合保温板-浇筑施工</v>
      </c>
      <c r="C470" s="51" t="e">
        <v>#REF!</v>
      </c>
      <c r="D470" s="51" t="str">
        <v/>
      </c>
      <c r="E470" s="51" t="str">
        <v/>
      </c>
      <c r="F470" s="52" t="e">
        <v>#REF!</v>
      </c>
      <c r="G470" s="48" t="e">
        <v>#REF!</v>
      </c>
      <c r="H470" s="49">
        <v>105.49</v>
      </c>
      <c r="I470" s="49" t="e">
        <v>#REF!</v>
      </c>
      <c r="J470" s="50"/>
    </row>
    <row r="471" ht="28.8" outlineLevel="1" spans="1:10">
      <c r="A471" s="50">
        <v>392</v>
      </c>
      <c r="B471" s="51" t="str">
        <v>90厚轻质发泡复合保温板后贴施工</v>
      </c>
      <c r="C471" s="51" t="e">
        <v>#REF!</v>
      </c>
      <c r="D471" s="51" t="str">
        <v/>
      </c>
      <c r="E471" s="51" t="str">
        <v/>
      </c>
      <c r="F471" s="52" t="e">
        <v>#REF!</v>
      </c>
      <c r="G471" s="48" t="e">
        <v>#REF!</v>
      </c>
      <c r="H471" s="49">
        <v>99.3</v>
      </c>
      <c r="I471" s="49" t="e">
        <v>#REF!</v>
      </c>
      <c r="J471" s="50"/>
    </row>
    <row r="472" ht="28.8" outlineLevel="1" spans="1:10">
      <c r="A472" s="50">
        <v>393</v>
      </c>
      <c r="B472" s="51" t="str">
        <v>80厚轻质发泡复合保温板-浇筑施工</v>
      </c>
      <c r="C472" s="51" t="e">
        <v>#REF!</v>
      </c>
      <c r="D472" s="51" t="str">
        <v/>
      </c>
      <c r="E472" s="51" t="str">
        <v/>
      </c>
      <c r="F472" s="52" t="e">
        <v>#REF!</v>
      </c>
      <c r="G472" s="48" t="e">
        <v>#REF!</v>
      </c>
      <c r="H472" s="49">
        <v>1</v>
      </c>
      <c r="I472" s="49" t="e">
        <v>#REF!</v>
      </c>
      <c r="J472" s="50"/>
    </row>
    <row r="473" ht="28.8" outlineLevel="1" spans="1:10">
      <c r="A473" s="50">
        <v>394</v>
      </c>
      <c r="B473" s="51" t="str">
        <v>80厚轻质发泡复合保温板-后贴施工</v>
      </c>
      <c r="C473" s="51" t="e">
        <v>#REF!</v>
      </c>
      <c r="D473" s="51" t="str">
        <v/>
      </c>
      <c r="E473" s="51" t="str">
        <v/>
      </c>
      <c r="F473" s="52" t="e">
        <v>#REF!</v>
      </c>
      <c r="G473" s="48" t="e">
        <v>#REF!</v>
      </c>
      <c r="H473" s="49">
        <v>1</v>
      </c>
      <c r="I473" s="49" t="e">
        <v>#REF!</v>
      </c>
      <c r="J473" s="50"/>
    </row>
    <row r="474" ht="28.8" outlineLevel="1" spans="1:10">
      <c r="A474" s="50">
        <v>395</v>
      </c>
      <c r="B474" s="51" t="str">
        <v>70厚轻质发泡复合保温板-浇筑施工</v>
      </c>
      <c r="C474" s="51" t="e">
        <v>#REF!</v>
      </c>
      <c r="D474" s="51" t="str">
        <v/>
      </c>
      <c r="E474" s="51" t="str">
        <v/>
      </c>
      <c r="F474" s="52" t="e">
        <v>#REF!</v>
      </c>
      <c r="G474" s="48" t="e">
        <v>#REF!</v>
      </c>
      <c r="H474" s="49">
        <v>1</v>
      </c>
      <c r="I474" s="49" t="e">
        <v>#REF!</v>
      </c>
      <c r="J474" s="50"/>
    </row>
    <row r="475" ht="28.8" outlineLevel="1" spans="1:10">
      <c r="A475" s="50">
        <v>396</v>
      </c>
      <c r="B475" s="51" t="str">
        <v>70厚轻质发泡复合保温板-后贴施工</v>
      </c>
      <c r="C475" s="51" t="e">
        <v>#REF!</v>
      </c>
      <c r="D475" s="51" t="str">
        <v/>
      </c>
      <c r="E475" s="51" t="str">
        <v/>
      </c>
      <c r="F475" s="52" t="e">
        <v>#REF!</v>
      </c>
      <c r="G475" s="48" t="e">
        <v>#REF!</v>
      </c>
      <c r="H475" s="49">
        <v>1</v>
      </c>
      <c r="I475" s="49" t="e">
        <v>#REF!</v>
      </c>
      <c r="J475" s="50"/>
    </row>
    <row r="476" outlineLevel="1" spans="1:10">
      <c r="A476" s="50" t="str">
        <v/>
      </c>
      <c r="B476" s="51" t="str">
        <v>保温隔热墙面（被动式）</v>
      </c>
      <c r="C476" s="51" t="str">
        <v/>
      </c>
      <c r="D476" s="51" t="str">
        <v/>
      </c>
      <c r="E476" s="51" t="str">
        <v/>
      </c>
      <c r="F476" s="52" t="str">
        <v/>
      </c>
      <c r="G476" s="48" t="str">
        <v/>
      </c>
      <c r="H476" s="49">
        <v>0</v>
      </c>
      <c r="I476" s="49">
        <v>0</v>
      </c>
      <c r="J476" s="50"/>
    </row>
    <row r="477" outlineLevel="1" spans="1:10">
      <c r="A477" s="50">
        <v>397</v>
      </c>
      <c r="B477" s="51" t="str">
        <v>外墙保温-260厚石墨聚苯板</v>
      </c>
      <c r="C477" s="51" t="e">
        <v>#REF!</v>
      </c>
      <c r="D477" s="51" t="str">
        <v/>
      </c>
      <c r="E477" s="51" t="str">
        <v/>
      </c>
      <c r="F477" s="52" t="e">
        <v>#REF!</v>
      </c>
      <c r="G477" s="48" t="e">
        <v>#REF!</v>
      </c>
      <c r="H477" s="49">
        <v>0</v>
      </c>
      <c r="I477" s="49" t="e">
        <v>#REF!</v>
      </c>
      <c r="J477" s="50"/>
    </row>
    <row r="478" outlineLevel="1" spans="1:10">
      <c r="A478" s="50">
        <v>398</v>
      </c>
      <c r="B478" s="51" t="str">
        <v>外墙保温-界面修补</v>
      </c>
      <c r="C478" s="51" t="e">
        <v>#REF!</v>
      </c>
      <c r="D478" s="51" t="str">
        <v/>
      </c>
      <c r="E478" s="51" t="str">
        <v/>
      </c>
      <c r="F478" s="52" t="e">
        <v>#REF!</v>
      </c>
      <c r="G478" s="48" t="e">
        <v>#REF!</v>
      </c>
      <c r="H478" s="49">
        <v>0</v>
      </c>
      <c r="I478" s="49" t="e">
        <v>#REF!</v>
      </c>
      <c r="J478" s="50"/>
    </row>
    <row r="479" ht="28.8" outlineLevel="1" spans="1:10">
      <c r="A479" s="50">
        <v>399</v>
      </c>
      <c r="B479" s="51" t="str">
        <v>外墙保温-5厚干粉聚合物砂浆</v>
      </c>
      <c r="C479" s="51" t="e">
        <v>#REF!</v>
      </c>
      <c r="D479" s="51" t="str">
        <v/>
      </c>
      <c r="E479" s="51" t="str">
        <v/>
      </c>
      <c r="F479" s="52" t="e">
        <v>#REF!</v>
      </c>
      <c r="G479" s="48" t="e">
        <v>#REF!</v>
      </c>
      <c r="H479" s="49">
        <v>0</v>
      </c>
      <c r="I479" s="49" t="e">
        <v>#REF!</v>
      </c>
      <c r="J479" s="50"/>
    </row>
    <row r="480" outlineLevel="1" spans="1:10">
      <c r="A480" s="50">
        <v>400</v>
      </c>
      <c r="B480" s="51" t="str">
        <v>外墙面-网格布</v>
      </c>
      <c r="C480" s="51" t="e">
        <v>#REF!</v>
      </c>
      <c r="D480" s="51" t="str">
        <v/>
      </c>
      <c r="E480" s="51" t="str">
        <v/>
      </c>
      <c r="F480" s="52" t="e">
        <v>#REF!</v>
      </c>
      <c r="G480" s="48" t="e">
        <v>#REF!</v>
      </c>
      <c r="H480" s="49">
        <v>0</v>
      </c>
      <c r="I480" s="49" t="e">
        <v>#REF!</v>
      </c>
      <c r="J480" s="50"/>
    </row>
    <row r="481" outlineLevel="1" spans="1:10">
      <c r="A481" s="50" t="str">
        <v/>
      </c>
      <c r="B481" s="51" t="str">
        <v>自密实混凝土墙保温</v>
      </c>
      <c r="C481" s="51" t="str">
        <v/>
      </c>
      <c r="D481" s="51" t="str">
        <v/>
      </c>
      <c r="E481" s="51" t="str">
        <v/>
      </c>
      <c r="F481" s="52" t="str">
        <v/>
      </c>
      <c r="G481" s="48" t="str">
        <v/>
      </c>
      <c r="H481" s="49">
        <v>0</v>
      </c>
      <c r="I481" s="49">
        <v>0</v>
      </c>
      <c r="J481" s="50"/>
    </row>
    <row r="482" ht="28.8" outlineLevel="1" spans="1:10">
      <c r="A482" s="50">
        <v>401</v>
      </c>
      <c r="B482" s="51" t="str">
        <v>外墙保温-320厚石墨聚苯板（单层网）</v>
      </c>
      <c r="C482" s="51" t="e">
        <v>#REF!</v>
      </c>
      <c r="D482" s="51" t="str">
        <v/>
      </c>
      <c r="E482" s="51" t="str">
        <v/>
      </c>
      <c r="F482" s="52" t="e">
        <v>#REF!</v>
      </c>
      <c r="G482" s="48" t="e">
        <v>#REF!</v>
      </c>
      <c r="H482" s="49">
        <v>0</v>
      </c>
      <c r="I482" s="49" t="e">
        <v>#REF!</v>
      </c>
      <c r="J482" s="50"/>
    </row>
    <row r="483" outlineLevel="1" spans="1:10">
      <c r="A483" s="50">
        <v>402</v>
      </c>
      <c r="B483" s="51" t="str">
        <v>外墙保温-界面修补</v>
      </c>
      <c r="C483" s="51" t="e">
        <v>#REF!</v>
      </c>
      <c r="D483" s="51" t="str">
        <v/>
      </c>
      <c r="E483" s="51" t="str">
        <v/>
      </c>
      <c r="F483" s="52" t="e">
        <v>#REF!</v>
      </c>
      <c r="G483" s="48" t="e">
        <v>#REF!</v>
      </c>
      <c r="H483" s="49">
        <v>0</v>
      </c>
      <c r="I483" s="49" t="e">
        <v>#REF!</v>
      </c>
      <c r="J483" s="50"/>
    </row>
    <row r="484" ht="28.8" outlineLevel="1" spans="1:10">
      <c r="A484" s="50">
        <v>403</v>
      </c>
      <c r="B484" s="51" t="str">
        <v>外墙保温-5厚干粉聚合物砂浆</v>
      </c>
      <c r="C484" s="51" t="e">
        <v>#REF!</v>
      </c>
      <c r="D484" s="51" t="str">
        <v/>
      </c>
      <c r="E484" s="51" t="str">
        <v/>
      </c>
      <c r="F484" s="52" t="e">
        <v>#REF!</v>
      </c>
      <c r="G484" s="48" t="e">
        <v>#REF!</v>
      </c>
      <c r="H484" s="49">
        <v>0</v>
      </c>
      <c r="I484" s="49" t="e">
        <v>#REF!</v>
      </c>
      <c r="J484" s="50"/>
    </row>
    <row r="485" outlineLevel="1" spans="1:10">
      <c r="A485" s="50">
        <v>404</v>
      </c>
      <c r="B485" s="51" t="str">
        <v>外墙面-网格布</v>
      </c>
      <c r="C485" s="51" t="e">
        <v>#REF!</v>
      </c>
      <c r="D485" s="51" t="str">
        <v/>
      </c>
      <c r="E485" s="51" t="str">
        <v/>
      </c>
      <c r="F485" s="52" t="e">
        <v>#REF!</v>
      </c>
      <c r="G485" s="48" t="e">
        <v>#REF!</v>
      </c>
      <c r="H485" s="49">
        <v>0</v>
      </c>
      <c r="I485" s="49" t="e">
        <v>#REF!</v>
      </c>
      <c r="J485" s="50"/>
    </row>
    <row r="486" outlineLevel="1" spans="1:10">
      <c r="A486" s="50" t="str">
        <v/>
      </c>
      <c r="B486" s="51" t="str">
        <v>自密实混凝土墙保温</v>
      </c>
      <c r="C486" s="51" t="str">
        <v/>
      </c>
      <c r="D486" s="51" t="str">
        <v/>
      </c>
      <c r="E486" s="51" t="str">
        <v/>
      </c>
      <c r="F486" s="52" t="str">
        <v/>
      </c>
      <c r="G486" s="48" t="str">
        <v/>
      </c>
      <c r="H486" s="49">
        <v>0</v>
      </c>
      <c r="I486" s="49">
        <v>0</v>
      </c>
      <c r="J486" s="50"/>
    </row>
    <row r="487" ht="28.8" outlineLevel="1" spans="1:10">
      <c r="A487" s="50">
        <v>405</v>
      </c>
      <c r="B487" s="51" t="str">
        <v>外墙保温-320厚石墨聚苯板（双层网）</v>
      </c>
      <c r="C487" s="51" t="e">
        <v>#REF!</v>
      </c>
      <c r="D487" s="51" t="str">
        <v/>
      </c>
      <c r="E487" s="51" t="str">
        <v/>
      </c>
      <c r="F487" s="52" t="e">
        <v>#REF!</v>
      </c>
      <c r="G487" s="48" t="e">
        <v>#REF!</v>
      </c>
      <c r="H487" s="49">
        <v>0</v>
      </c>
      <c r="I487" s="49" t="e">
        <v>#REF!</v>
      </c>
      <c r="J487" s="50"/>
    </row>
    <row r="488" outlineLevel="1" spans="1:10">
      <c r="A488" s="50">
        <v>406</v>
      </c>
      <c r="B488" s="51" t="str">
        <v>外墙保温-界面修补</v>
      </c>
      <c r="C488" s="51" t="e">
        <v>#REF!</v>
      </c>
      <c r="D488" s="51" t="str">
        <v/>
      </c>
      <c r="E488" s="51" t="str">
        <v/>
      </c>
      <c r="F488" s="52" t="e">
        <v>#REF!</v>
      </c>
      <c r="G488" s="48" t="e">
        <v>#REF!</v>
      </c>
      <c r="H488" s="49">
        <v>0</v>
      </c>
      <c r="I488" s="49" t="e">
        <v>#REF!</v>
      </c>
      <c r="J488" s="50"/>
    </row>
    <row r="489" ht="28.8" outlineLevel="1" spans="1:10">
      <c r="A489" s="50">
        <v>407</v>
      </c>
      <c r="B489" s="51" t="str">
        <v>外墙保温-5厚干粉聚合物砂浆</v>
      </c>
      <c r="C489" s="51" t="e">
        <v>#REF!</v>
      </c>
      <c r="D489" s="51" t="str">
        <v/>
      </c>
      <c r="E489" s="51" t="str">
        <v/>
      </c>
      <c r="F489" s="52" t="e">
        <v>#REF!</v>
      </c>
      <c r="G489" s="48" t="e">
        <v>#REF!</v>
      </c>
      <c r="H489" s="49">
        <v>0</v>
      </c>
      <c r="I489" s="49" t="e">
        <v>#REF!</v>
      </c>
      <c r="J489" s="50"/>
    </row>
    <row r="490" outlineLevel="1" spans="1:10">
      <c r="A490" s="50">
        <v>408</v>
      </c>
      <c r="B490" s="51" t="str">
        <v>外墙面-网格布</v>
      </c>
      <c r="C490" s="51" t="e">
        <v>#REF!</v>
      </c>
      <c r="D490" s="51" t="str">
        <v/>
      </c>
      <c r="E490" s="51" t="str">
        <v/>
      </c>
      <c r="F490" s="52" t="e">
        <v>#REF!</v>
      </c>
      <c r="G490" s="48" t="e">
        <v>#REF!</v>
      </c>
      <c r="H490" s="49">
        <v>0</v>
      </c>
      <c r="I490" s="49" t="e">
        <v>#REF!</v>
      </c>
      <c r="J490" s="50"/>
    </row>
    <row r="491" outlineLevel="1" spans="1:10">
      <c r="A491" s="50" t="str">
        <v/>
      </c>
      <c r="B491" s="51" t="str">
        <v>A.05简易装修工程</v>
      </c>
      <c r="C491" s="51" t="str">
        <v/>
      </c>
      <c r="D491" s="51" t="str">
        <v/>
      </c>
      <c r="E491" s="51" t="str">
        <v/>
      </c>
      <c r="F491" s="52" t="str">
        <v/>
      </c>
      <c r="G491" s="48" t="str">
        <v/>
      </c>
      <c r="H491" s="49">
        <v>0</v>
      </c>
      <c r="I491" s="49" t="e">
        <v>#REF!</v>
      </c>
      <c r="J491" s="50"/>
    </row>
    <row r="492" outlineLevel="1" spans="1:10">
      <c r="A492" s="50" t="str">
        <v/>
      </c>
      <c r="B492" s="51" t="str">
        <v>A.05.01地面装饰工程</v>
      </c>
      <c r="C492" s="51" t="str">
        <v/>
      </c>
      <c r="D492" s="51" t="str">
        <v/>
      </c>
      <c r="E492" s="51" t="str">
        <v/>
      </c>
      <c r="F492" s="52" t="str">
        <v/>
      </c>
      <c r="G492" s="48" t="str">
        <v/>
      </c>
      <c r="H492" s="49">
        <v>0</v>
      </c>
      <c r="I492" s="49" t="e">
        <v>#REF!</v>
      </c>
      <c r="J492" s="50"/>
    </row>
    <row r="493" outlineLevel="1" spans="1:10">
      <c r="A493" s="50">
        <v>409</v>
      </c>
      <c r="B493" s="51" t="str">
        <v>楼地面-楼梯间（30厚）</v>
      </c>
      <c r="C493" s="51" t="e">
        <v>#REF!</v>
      </c>
      <c r="D493" s="51" t="str">
        <v/>
      </c>
      <c r="E493" s="51" t="str">
        <v/>
      </c>
      <c r="F493" s="52" t="e">
        <v>#REF!</v>
      </c>
      <c r="G493" s="48" t="e">
        <v>#REF!</v>
      </c>
      <c r="H493" s="49">
        <v>619.72</v>
      </c>
      <c r="I493" s="49" t="e">
        <v>#REF!</v>
      </c>
      <c r="J493" s="50"/>
    </row>
    <row r="494" outlineLevel="1" spans="1:10">
      <c r="A494" s="50">
        <v>410</v>
      </c>
      <c r="B494" s="51" t="str">
        <v>楼地面-楼梯间（20厚）</v>
      </c>
      <c r="C494" s="51" t="e">
        <v>#REF!</v>
      </c>
      <c r="D494" s="51" t="str">
        <v/>
      </c>
      <c r="E494" s="51" t="str">
        <v/>
      </c>
      <c r="F494" s="52" t="e">
        <v>#REF!</v>
      </c>
      <c r="G494" s="48" t="e">
        <v>#REF!</v>
      </c>
      <c r="H494" s="49">
        <v>0</v>
      </c>
      <c r="I494" s="49" t="e">
        <v>#REF!</v>
      </c>
      <c r="J494" s="50"/>
    </row>
    <row r="495" outlineLevel="1" spans="1:10">
      <c r="A495" s="50" t="str">
        <v/>
      </c>
      <c r="B495" s="51" t="str">
        <v>装配式干法地暖楼地面</v>
      </c>
      <c r="C495" s="51" t="str">
        <v/>
      </c>
      <c r="D495" s="51" t="str">
        <v/>
      </c>
      <c r="E495" s="51" t="str">
        <v/>
      </c>
      <c r="F495" s="52" t="str">
        <v/>
      </c>
      <c r="G495" s="48" t="str">
        <v/>
      </c>
      <c r="H495" s="49">
        <v>0</v>
      </c>
      <c r="I495" s="49">
        <v>0</v>
      </c>
      <c r="J495" s="50"/>
    </row>
    <row r="496" outlineLevel="1" spans="1:10">
      <c r="A496" s="50">
        <v>411</v>
      </c>
      <c r="B496" s="51" t="str">
        <v>楼地面-7厚抗裂砂浆</v>
      </c>
      <c r="C496" s="51" t="e">
        <v>#REF!</v>
      </c>
      <c r="D496" s="51" t="str">
        <v/>
      </c>
      <c r="E496" s="51" t="str">
        <v/>
      </c>
      <c r="F496" s="52" t="e">
        <v>#REF!</v>
      </c>
      <c r="G496" s="48" t="e">
        <v>#REF!</v>
      </c>
      <c r="H496" s="49">
        <v>1</v>
      </c>
      <c r="I496" s="49" t="e">
        <v>#REF!</v>
      </c>
      <c r="J496" s="50"/>
    </row>
    <row r="497" outlineLevel="1" spans="1:10">
      <c r="A497" s="50">
        <v>412</v>
      </c>
      <c r="B497" s="51" t="str">
        <v>楼地面-玻纤网</v>
      </c>
      <c r="C497" s="51" t="e">
        <v>#REF!</v>
      </c>
      <c r="D497" s="51" t="str">
        <v/>
      </c>
      <c r="E497" s="51" t="str">
        <v/>
      </c>
      <c r="F497" s="52" t="e">
        <v>#REF!</v>
      </c>
      <c r="G497" s="48" t="e">
        <v>#REF!</v>
      </c>
      <c r="H497" s="49">
        <v>0</v>
      </c>
      <c r="I497" s="49" t="e">
        <v>#REF!</v>
      </c>
      <c r="J497" s="50"/>
    </row>
    <row r="498" outlineLevel="1" spans="1:10">
      <c r="A498" s="50">
        <v>413</v>
      </c>
      <c r="B498" s="51" t="str">
        <v>楼地面-干法地暖薄粘结剂</v>
      </c>
      <c r="C498" s="51" t="e">
        <v>#REF!</v>
      </c>
      <c r="D498" s="51" t="str">
        <v/>
      </c>
      <c r="E498" s="51" t="str">
        <v/>
      </c>
      <c r="F498" s="52" t="e">
        <v>#REF!</v>
      </c>
      <c r="G498" s="48" t="e">
        <v>#REF!</v>
      </c>
      <c r="H498" s="49">
        <v>0</v>
      </c>
      <c r="I498" s="49" t="e">
        <v>#REF!</v>
      </c>
      <c r="J498" s="50"/>
    </row>
    <row r="499" outlineLevel="1" spans="1:10">
      <c r="A499" s="50">
        <v>414</v>
      </c>
      <c r="B499" s="51" t="str">
        <v>楼地面-干法地暖厚粘结剂</v>
      </c>
      <c r="C499" s="51" t="e">
        <v>#REF!</v>
      </c>
      <c r="D499" s="51" t="str">
        <v/>
      </c>
      <c r="E499" s="51" t="str">
        <v/>
      </c>
      <c r="F499" s="52" t="e">
        <v>#REF!</v>
      </c>
      <c r="G499" s="48" t="e">
        <v>#REF!</v>
      </c>
      <c r="H499" s="49">
        <v>0</v>
      </c>
      <c r="I499" s="49" t="e">
        <v>#REF!</v>
      </c>
      <c r="J499" s="50"/>
    </row>
    <row r="500" outlineLevel="1" spans="1:10">
      <c r="A500" s="50">
        <v>415</v>
      </c>
      <c r="B500" s="51" t="str">
        <v>楼地面-砂浆粘结层</v>
      </c>
      <c r="C500" s="51" t="e">
        <v>#REF!</v>
      </c>
      <c r="D500" s="51" t="str">
        <v/>
      </c>
      <c r="E500" s="51" t="str">
        <v/>
      </c>
      <c r="F500" s="52" t="e">
        <v>#REF!</v>
      </c>
      <c r="G500" s="48" t="e">
        <v>#REF!</v>
      </c>
      <c r="H500" s="49">
        <v>0</v>
      </c>
      <c r="I500" s="49" t="e">
        <v>#REF!</v>
      </c>
      <c r="J500" s="50"/>
    </row>
    <row r="501" ht="28.8" outlineLevel="1" spans="1:10">
      <c r="A501" s="50" t="str">
        <v/>
      </c>
      <c r="B501" s="51" t="str">
        <v>湿法地暖楼地面（通用做法）</v>
      </c>
      <c r="C501" s="51" t="str">
        <v/>
      </c>
      <c r="D501" s="51" t="str">
        <v/>
      </c>
      <c r="E501" s="51" t="str">
        <v/>
      </c>
      <c r="F501" s="52" t="str">
        <v/>
      </c>
      <c r="G501" s="48" t="str">
        <v/>
      </c>
      <c r="H501" s="49">
        <v>0</v>
      </c>
      <c r="I501" s="49">
        <v>0</v>
      </c>
      <c r="J501" s="50"/>
    </row>
    <row r="502" outlineLevel="1" spans="1:10">
      <c r="A502" s="50">
        <v>416</v>
      </c>
      <c r="B502" s="51" t="str">
        <v>楼地面-单层Φ3@50钢筋网</v>
      </c>
      <c r="C502" s="51" t="e">
        <v>#REF!</v>
      </c>
      <c r="D502" s="51" t="str">
        <v/>
      </c>
      <c r="E502" s="51" t="str">
        <v/>
      </c>
      <c r="F502" s="52" t="e">
        <v>#REF!</v>
      </c>
      <c r="G502" s="48" t="e">
        <v>#REF!</v>
      </c>
      <c r="H502" s="49">
        <v>0</v>
      </c>
      <c r="I502" s="49" t="e">
        <v>#REF!</v>
      </c>
      <c r="J502" s="50"/>
    </row>
    <row r="503" outlineLevel="1" spans="1:10">
      <c r="A503" s="50">
        <v>417</v>
      </c>
      <c r="B503" s="51" t="str">
        <v>楼地面-铝箔纸</v>
      </c>
      <c r="C503" s="51" t="e">
        <v>#REF!</v>
      </c>
      <c r="D503" s="51" t="str">
        <v/>
      </c>
      <c r="E503" s="51" t="str">
        <v/>
      </c>
      <c r="F503" s="52" t="e">
        <v>#REF!</v>
      </c>
      <c r="G503" s="48" t="e">
        <v>#REF!</v>
      </c>
      <c r="H503" s="49">
        <v>0</v>
      </c>
      <c r="I503" s="49" t="e">
        <v>#REF!</v>
      </c>
      <c r="J503" s="50"/>
    </row>
    <row r="504" outlineLevel="1" spans="1:10">
      <c r="A504" s="50">
        <v>418</v>
      </c>
      <c r="B504" s="51" t="str">
        <v>楼地面-20厚XPS</v>
      </c>
      <c r="C504" s="51" t="e">
        <v>#REF!</v>
      </c>
      <c r="D504" s="51" t="str">
        <v/>
      </c>
      <c r="E504" s="51" t="str">
        <v/>
      </c>
      <c r="F504" s="52" t="e">
        <v>#REF!</v>
      </c>
      <c r="G504" s="48" t="e">
        <v>#REF!</v>
      </c>
      <c r="H504" s="49">
        <v>0</v>
      </c>
      <c r="I504" s="49" t="e">
        <v>#REF!</v>
      </c>
      <c r="J504" s="50"/>
    </row>
    <row r="505" outlineLevel="1" spans="1:10">
      <c r="A505" s="50" t="str">
        <v/>
      </c>
      <c r="B505" s="51" t="str">
        <v>卫生间地面（有覆土）</v>
      </c>
      <c r="C505" s="51" t="str">
        <v/>
      </c>
      <c r="D505" s="51" t="str">
        <v/>
      </c>
      <c r="E505" s="51" t="str">
        <v/>
      </c>
      <c r="F505" s="52" t="str">
        <v/>
      </c>
      <c r="G505" s="48" t="str">
        <v/>
      </c>
      <c r="H505" s="49">
        <v>0</v>
      </c>
      <c r="I505" s="49">
        <v>0</v>
      </c>
      <c r="J505" s="50"/>
    </row>
    <row r="506" outlineLevel="1" spans="1:10">
      <c r="A506" s="50">
        <v>419</v>
      </c>
      <c r="B506" s="51" t="str">
        <v>楼地面-60厚C15豆石砼找坡</v>
      </c>
      <c r="C506" s="51" t="e">
        <v>#REF!</v>
      </c>
      <c r="D506" s="51" t="str">
        <v/>
      </c>
      <c r="E506" s="51" t="str">
        <v/>
      </c>
      <c r="F506" s="52" t="e">
        <v>#REF!</v>
      </c>
      <c r="G506" s="48" t="e">
        <v>#REF!</v>
      </c>
      <c r="H506" s="49">
        <v>0</v>
      </c>
      <c r="I506" s="49" t="e">
        <v>#REF!</v>
      </c>
      <c r="J506" s="50"/>
    </row>
    <row r="507" outlineLevel="1" spans="1:10">
      <c r="A507" s="50">
        <v>420</v>
      </c>
      <c r="B507" s="51" t="str">
        <v>楼地面-玻纤网</v>
      </c>
      <c r="C507" s="51" t="e">
        <v>#REF!</v>
      </c>
      <c r="D507" s="51" t="str">
        <v/>
      </c>
      <c r="E507" s="51" t="str">
        <v/>
      </c>
      <c r="F507" s="52" t="e">
        <v>#REF!</v>
      </c>
      <c r="G507" s="48" t="e">
        <v>#REF!</v>
      </c>
      <c r="H507" s="49">
        <v>0</v>
      </c>
      <c r="I507" s="49" t="e">
        <v>#REF!</v>
      </c>
      <c r="J507" s="50"/>
    </row>
    <row r="508" outlineLevel="1" spans="1:10">
      <c r="A508" s="50">
        <v>421</v>
      </c>
      <c r="B508" s="51" t="str">
        <v>楼地面-15厚M20水泥砂浆</v>
      </c>
      <c r="C508" s="51" t="e">
        <v>#REF!</v>
      </c>
      <c r="D508" s="51" t="str">
        <v/>
      </c>
      <c r="E508" s="51" t="str">
        <v/>
      </c>
      <c r="F508" s="52" t="e">
        <v>#REF!</v>
      </c>
      <c r="G508" s="48" t="e">
        <v>#REF!</v>
      </c>
      <c r="H508" s="49">
        <v>0</v>
      </c>
      <c r="I508" s="49" t="e">
        <v>#REF!</v>
      </c>
      <c r="J508" s="50"/>
    </row>
    <row r="509" outlineLevel="1" spans="1:10">
      <c r="A509" s="50">
        <v>422</v>
      </c>
      <c r="B509" s="51" t="str">
        <v>楼地面-60厚C15细石砼</v>
      </c>
      <c r="C509" s="51" t="e">
        <v>#REF!</v>
      </c>
      <c r="D509" s="51" t="str">
        <v/>
      </c>
      <c r="E509" s="51" t="str">
        <v/>
      </c>
      <c r="F509" s="52" t="e">
        <v>#REF!</v>
      </c>
      <c r="G509" s="48" t="e">
        <v>#REF!</v>
      </c>
      <c r="H509" s="49">
        <v>0</v>
      </c>
      <c r="I509" s="49" t="e">
        <v>#REF!</v>
      </c>
      <c r="J509" s="50"/>
    </row>
    <row r="510" outlineLevel="1" spans="1:10">
      <c r="A510" s="50">
        <v>423</v>
      </c>
      <c r="B510" s="51" t="str">
        <v>楼地面-塑料膜</v>
      </c>
      <c r="C510" s="51" t="e">
        <v>#REF!</v>
      </c>
      <c r="D510" s="51" t="str">
        <v/>
      </c>
      <c r="E510" s="51" t="str">
        <v/>
      </c>
      <c r="F510" s="52" t="e">
        <v>#REF!</v>
      </c>
      <c r="G510" s="48" t="e">
        <v>#REF!</v>
      </c>
      <c r="H510" s="49">
        <v>0</v>
      </c>
      <c r="I510" s="49" t="e">
        <v>#REF!</v>
      </c>
      <c r="J510" s="50"/>
    </row>
    <row r="511" outlineLevel="1" spans="1:10">
      <c r="A511" s="50">
        <v>424</v>
      </c>
      <c r="B511" s="51" t="str">
        <v>楼地面-150厚3:7灰土夯实</v>
      </c>
      <c r="C511" s="51" t="e">
        <v>#REF!</v>
      </c>
      <c r="D511" s="51" t="str">
        <v/>
      </c>
      <c r="E511" s="51" t="str">
        <v/>
      </c>
      <c r="F511" s="52" t="e">
        <v>#REF!</v>
      </c>
      <c r="G511" s="48" t="e">
        <v>#REF!</v>
      </c>
      <c r="H511" s="49">
        <v>0</v>
      </c>
      <c r="I511" s="49" t="e">
        <v>#REF!</v>
      </c>
      <c r="J511" s="50"/>
    </row>
    <row r="512" outlineLevel="1" spans="1:10">
      <c r="A512" s="50">
        <v>425</v>
      </c>
      <c r="B512" s="51" t="str">
        <v>楼地面-素土夯实</v>
      </c>
      <c r="C512" s="51" t="e">
        <v>#REF!</v>
      </c>
      <c r="D512" s="51" t="str">
        <v/>
      </c>
      <c r="E512" s="51" t="str">
        <v/>
      </c>
      <c r="F512" s="52" t="e">
        <v>#REF!</v>
      </c>
      <c r="G512" s="48" t="e">
        <v>#REF!</v>
      </c>
      <c r="H512" s="49">
        <v>0</v>
      </c>
      <c r="I512" s="49" t="e">
        <v>#REF!</v>
      </c>
      <c r="J512" s="50"/>
    </row>
    <row r="513" outlineLevel="1" spans="1:10">
      <c r="A513" s="50" t="str">
        <v/>
      </c>
      <c r="B513" s="51" t="str">
        <v>卫生间地面（有覆土）</v>
      </c>
      <c r="C513" s="51" t="str">
        <v/>
      </c>
      <c r="D513" s="51" t="str">
        <v/>
      </c>
      <c r="E513" s="51" t="str">
        <v/>
      </c>
      <c r="F513" s="52" t="str">
        <v/>
      </c>
      <c r="G513" s="48" t="str">
        <v/>
      </c>
      <c r="H513" s="49">
        <v>0</v>
      </c>
      <c r="I513" s="49">
        <v>0</v>
      </c>
      <c r="J513" s="50"/>
    </row>
    <row r="514" outlineLevel="1" spans="1:10">
      <c r="A514" s="50">
        <v>426</v>
      </c>
      <c r="B514" s="51" t="str">
        <v>楼地面-60厚C15细石砼</v>
      </c>
      <c r="C514" s="51" t="e">
        <v>#REF!</v>
      </c>
      <c r="D514" s="51" t="str">
        <v/>
      </c>
      <c r="E514" s="51" t="str">
        <v/>
      </c>
      <c r="F514" s="52" t="e">
        <v>#REF!</v>
      </c>
      <c r="G514" s="48" t="e">
        <v>#REF!</v>
      </c>
      <c r="H514" s="49">
        <v>1</v>
      </c>
      <c r="I514" s="49" t="e">
        <v>#REF!</v>
      </c>
      <c r="J514" s="50"/>
    </row>
    <row r="515" outlineLevel="1" spans="1:10">
      <c r="A515" s="50">
        <v>427</v>
      </c>
      <c r="B515" s="51" t="str">
        <v>楼地面-60厚C15砼</v>
      </c>
      <c r="C515" s="51" t="e">
        <v>#REF!</v>
      </c>
      <c r="D515" s="51" t="str">
        <v/>
      </c>
      <c r="E515" s="51" t="str">
        <v/>
      </c>
      <c r="F515" s="52" t="e">
        <v>#REF!</v>
      </c>
      <c r="G515" s="48" t="e">
        <v>#REF!</v>
      </c>
      <c r="H515" s="49">
        <v>1</v>
      </c>
      <c r="I515" s="49" t="e">
        <v>#REF!</v>
      </c>
      <c r="J515" s="50"/>
    </row>
    <row r="516" outlineLevel="1" spans="1:10">
      <c r="A516" s="50">
        <v>428</v>
      </c>
      <c r="B516" s="51" t="str">
        <v>楼地面-双层Φ3@50钢筋网</v>
      </c>
      <c r="C516" s="51" t="e">
        <v>#REF!</v>
      </c>
      <c r="D516" s="51" t="str">
        <v/>
      </c>
      <c r="E516" s="51" t="str">
        <v/>
      </c>
      <c r="F516" s="52" t="e">
        <v>#REF!</v>
      </c>
      <c r="G516" s="48" t="e">
        <v>#REF!</v>
      </c>
      <c r="H516" s="49">
        <v>1</v>
      </c>
      <c r="I516" s="49" t="e">
        <v>#REF!</v>
      </c>
      <c r="J516" s="50"/>
    </row>
    <row r="517" outlineLevel="1" spans="1:10">
      <c r="A517" s="50">
        <v>429</v>
      </c>
      <c r="B517" s="51" t="str">
        <v>楼地面-塑料膜</v>
      </c>
      <c r="C517" s="51" t="e">
        <v>#REF!</v>
      </c>
      <c r="D517" s="51" t="str">
        <v/>
      </c>
      <c r="E517" s="51" t="str">
        <v/>
      </c>
      <c r="F517" s="52" t="e">
        <v>#REF!</v>
      </c>
      <c r="G517" s="48" t="e">
        <v>#REF!</v>
      </c>
      <c r="H517" s="49">
        <v>1</v>
      </c>
      <c r="I517" s="49" t="e">
        <v>#REF!</v>
      </c>
      <c r="J517" s="50"/>
    </row>
    <row r="518" outlineLevel="1" spans="1:10">
      <c r="A518" s="50">
        <v>430</v>
      </c>
      <c r="B518" s="51" t="str">
        <v>楼地面-150厚3:7灰土夯实</v>
      </c>
      <c r="C518" s="51" t="e">
        <v>#REF!</v>
      </c>
      <c r="D518" s="51" t="str">
        <v/>
      </c>
      <c r="E518" s="51" t="str">
        <v/>
      </c>
      <c r="F518" s="52" t="e">
        <v>#REF!</v>
      </c>
      <c r="G518" s="48" t="e">
        <v>#REF!</v>
      </c>
      <c r="H518" s="49">
        <v>1</v>
      </c>
      <c r="I518" s="49" t="e">
        <v>#REF!</v>
      </c>
      <c r="J518" s="50"/>
    </row>
    <row r="519" outlineLevel="1" spans="1:10">
      <c r="A519" s="50">
        <v>431</v>
      </c>
      <c r="B519" s="51" t="str">
        <v>楼地面-素土夯实</v>
      </c>
      <c r="C519" s="51" t="e">
        <v>#REF!</v>
      </c>
      <c r="D519" s="51" t="str">
        <v/>
      </c>
      <c r="E519" s="51" t="str">
        <v/>
      </c>
      <c r="F519" s="52" t="e">
        <v>#REF!</v>
      </c>
      <c r="G519" s="48" t="e">
        <v>#REF!</v>
      </c>
      <c r="H519" s="49">
        <v>1</v>
      </c>
      <c r="I519" s="49" t="e">
        <v>#REF!</v>
      </c>
      <c r="J519" s="50"/>
    </row>
    <row r="520" outlineLevel="1" spans="1:10">
      <c r="A520" s="50" t="str">
        <v/>
      </c>
      <c r="B520" s="51" t="str">
        <v>卫生间地面（有覆土）</v>
      </c>
      <c r="C520" s="51" t="str">
        <v/>
      </c>
      <c r="D520" s="51" t="str">
        <v/>
      </c>
      <c r="E520" s="51" t="str">
        <v/>
      </c>
      <c r="F520" s="52" t="str">
        <v/>
      </c>
      <c r="G520" s="48" t="str">
        <v/>
      </c>
      <c r="H520" s="49">
        <v>0</v>
      </c>
      <c r="I520" s="49">
        <v>0</v>
      </c>
      <c r="J520" s="50"/>
    </row>
    <row r="521" outlineLevel="1" spans="1:10">
      <c r="A521" s="50">
        <v>432</v>
      </c>
      <c r="B521" s="51" t="str">
        <v>楼地面-60厚C15豆石砼找坡</v>
      </c>
      <c r="C521" s="51" t="e">
        <v>#REF!</v>
      </c>
      <c r="D521" s="51" t="str">
        <v/>
      </c>
      <c r="E521" s="51" t="str">
        <v/>
      </c>
      <c r="F521" s="52" t="e">
        <v>#REF!</v>
      </c>
      <c r="G521" s="48" t="e">
        <v>#REF!</v>
      </c>
      <c r="H521" s="49">
        <v>1</v>
      </c>
      <c r="I521" s="49" t="e">
        <v>#REF!</v>
      </c>
      <c r="J521" s="50"/>
    </row>
    <row r="522" outlineLevel="1" spans="1:10">
      <c r="A522" s="50">
        <v>433</v>
      </c>
      <c r="B522" s="51" t="str">
        <v>楼地面-60厚C15细石砼</v>
      </c>
      <c r="C522" s="51" t="e">
        <v>#REF!</v>
      </c>
      <c r="D522" s="51" t="str">
        <v/>
      </c>
      <c r="E522" s="51" t="str">
        <v/>
      </c>
      <c r="F522" s="52" t="e">
        <v>#REF!</v>
      </c>
      <c r="G522" s="48" t="e">
        <v>#REF!</v>
      </c>
      <c r="H522" s="49">
        <v>1</v>
      </c>
      <c r="I522" s="49" t="e">
        <v>#REF!</v>
      </c>
      <c r="J522" s="50"/>
    </row>
    <row r="523" outlineLevel="1" spans="1:10">
      <c r="A523" s="50">
        <v>434</v>
      </c>
      <c r="B523" s="51" t="str">
        <v>楼地面-塑料膜</v>
      </c>
      <c r="C523" s="51" t="e">
        <v>#REF!</v>
      </c>
      <c r="D523" s="51" t="str">
        <v/>
      </c>
      <c r="E523" s="51" t="str">
        <v/>
      </c>
      <c r="F523" s="52" t="e">
        <v>#REF!</v>
      </c>
      <c r="G523" s="48" t="e">
        <v>#REF!</v>
      </c>
      <c r="H523" s="49">
        <v>1</v>
      </c>
      <c r="I523" s="49" t="e">
        <v>#REF!</v>
      </c>
      <c r="J523" s="50"/>
    </row>
    <row r="524" outlineLevel="1" spans="1:10">
      <c r="A524" s="50">
        <v>435</v>
      </c>
      <c r="B524" s="51" t="str">
        <v>楼地面-150厚3:7灰土夯实</v>
      </c>
      <c r="C524" s="51" t="e">
        <v>#REF!</v>
      </c>
      <c r="D524" s="51" t="str">
        <v/>
      </c>
      <c r="E524" s="51" t="str">
        <v/>
      </c>
      <c r="F524" s="52" t="e">
        <v>#REF!</v>
      </c>
      <c r="G524" s="48" t="e">
        <v>#REF!</v>
      </c>
      <c r="H524" s="49">
        <v>1</v>
      </c>
      <c r="I524" s="49" t="e">
        <v>#REF!</v>
      </c>
      <c r="J524" s="50"/>
    </row>
    <row r="525" outlineLevel="1" spans="1:10">
      <c r="A525" s="50">
        <v>436</v>
      </c>
      <c r="B525" s="51" t="str">
        <v>楼地面-素土夯实</v>
      </c>
      <c r="C525" s="51" t="e">
        <v>#REF!</v>
      </c>
      <c r="D525" s="51" t="str">
        <v/>
      </c>
      <c r="E525" s="51" t="str">
        <v/>
      </c>
      <c r="F525" s="52" t="e">
        <v>#REF!</v>
      </c>
      <c r="G525" s="48" t="e">
        <v>#REF!</v>
      </c>
      <c r="H525" s="49">
        <v>1</v>
      </c>
      <c r="I525" s="49" t="e">
        <v>#REF!</v>
      </c>
      <c r="J525" s="50"/>
    </row>
    <row r="526" outlineLevel="1" spans="1:10">
      <c r="A526" s="50" t="str">
        <v/>
      </c>
      <c r="B526" s="51" t="str">
        <v>卫生间地面（无覆土）</v>
      </c>
      <c r="C526" s="51" t="str">
        <v/>
      </c>
      <c r="D526" s="51" t="str">
        <v/>
      </c>
      <c r="E526" s="51" t="str">
        <v/>
      </c>
      <c r="F526" s="52" t="str">
        <v/>
      </c>
      <c r="G526" s="48" t="str">
        <v/>
      </c>
      <c r="H526" s="49">
        <v>0</v>
      </c>
      <c r="I526" s="49">
        <v>0</v>
      </c>
      <c r="J526" s="50"/>
    </row>
    <row r="527" outlineLevel="1" spans="1:10">
      <c r="A527" s="50">
        <v>437</v>
      </c>
      <c r="B527" s="51" t="str">
        <v>楼地面-60厚C15细石砼</v>
      </c>
      <c r="C527" s="51" t="e">
        <v>#REF!</v>
      </c>
      <c r="D527" s="51" t="str">
        <v/>
      </c>
      <c r="E527" s="51" t="str">
        <v/>
      </c>
      <c r="F527" s="52" t="e">
        <v>#REF!</v>
      </c>
      <c r="G527" s="48" t="e">
        <v>#REF!</v>
      </c>
      <c r="H527" s="49">
        <v>805.71</v>
      </c>
      <c r="I527" s="49" t="e">
        <v>#REF!</v>
      </c>
      <c r="J527" s="50"/>
    </row>
    <row r="528" outlineLevel="1" spans="1:10">
      <c r="A528" s="50" t="str">
        <v/>
      </c>
      <c r="B528" s="51" t="str">
        <v>卫生间地面（无覆土）</v>
      </c>
      <c r="C528" s="51" t="str">
        <v/>
      </c>
      <c r="D528" s="51" t="str">
        <v/>
      </c>
      <c r="E528" s="51" t="str">
        <v/>
      </c>
      <c r="F528" s="52" t="str">
        <v/>
      </c>
      <c r="G528" s="48" t="str">
        <v/>
      </c>
      <c r="H528" s="49">
        <v>0</v>
      </c>
      <c r="I528" s="49">
        <v>0</v>
      </c>
      <c r="J528" s="50"/>
    </row>
    <row r="529" outlineLevel="1" spans="1:10">
      <c r="A529" s="50">
        <v>438</v>
      </c>
      <c r="B529" s="51" t="str">
        <v>楼地面-65厚C15豆石砼找坡</v>
      </c>
      <c r="C529" s="51" t="e">
        <v>#REF!</v>
      </c>
      <c r="D529" s="51" t="str">
        <v/>
      </c>
      <c r="E529" s="51" t="str">
        <v/>
      </c>
      <c r="F529" s="52" t="e">
        <v>#REF!</v>
      </c>
      <c r="G529" s="48" t="e">
        <v>#REF!</v>
      </c>
      <c r="H529" s="49">
        <v>1</v>
      </c>
      <c r="I529" s="49" t="e">
        <v>#REF!</v>
      </c>
      <c r="J529" s="50"/>
    </row>
    <row r="530" outlineLevel="1" spans="1:10">
      <c r="A530" s="50">
        <v>439</v>
      </c>
      <c r="B530" s="51" t="str">
        <v>楼地面-玻纤网</v>
      </c>
      <c r="C530" s="51" t="e">
        <v>#REF!</v>
      </c>
      <c r="D530" s="51" t="str">
        <v/>
      </c>
      <c r="E530" s="51" t="str">
        <v/>
      </c>
      <c r="F530" s="52" t="e">
        <v>#REF!</v>
      </c>
      <c r="G530" s="48" t="e">
        <v>#REF!</v>
      </c>
      <c r="H530" s="49">
        <v>1</v>
      </c>
      <c r="I530" s="49" t="e">
        <v>#REF!</v>
      </c>
      <c r="J530" s="50"/>
    </row>
    <row r="531" outlineLevel="1" spans="1:10">
      <c r="A531" s="50">
        <v>440</v>
      </c>
      <c r="B531" s="51" t="str">
        <v>楼地面-15厚M20水泥砂浆</v>
      </c>
      <c r="C531" s="51" t="e">
        <v>#REF!</v>
      </c>
      <c r="D531" s="51" t="str">
        <v/>
      </c>
      <c r="E531" s="51" t="str">
        <v/>
      </c>
      <c r="F531" s="52" t="e">
        <v>#REF!</v>
      </c>
      <c r="G531" s="48" t="e">
        <v>#REF!</v>
      </c>
      <c r="H531" s="49">
        <v>1</v>
      </c>
      <c r="I531" s="49" t="e">
        <v>#REF!</v>
      </c>
      <c r="J531" s="50"/>
    </row>
    <row r="532" ht="28.8" outlineLevel="1" spans="1:10">
      <c r="A532" s="50" t="str">
        <v/>
      </c>
      <c r="B532" s="51" t="str">
        <v>户内除卫生间楼面（有覆土）</v>
      </c>
      <c r="C532" s="51" t="str">
        <v/>
      </c>
      <c r="D532" s="51" t="str">
        <v/>
      </c>
      <c r="E532" s="51" t="str">
        <v/>
      </c>
      <c r="F532" s="52" t="str">
        <v/>
      </c>
      <c r="G532" s="48" t="str">
        <v/>
      </c>
      <c r="H532" s="49">
        <v>0</v>
      </c>
      <c r="I532" s="49">
        <v>0</v>
      </c>
      <c r="J532" s="50"/>
    </row>
    <row r="533" ht="28.8" outlineLevel="1" spans="1:10">
      <c r="A533" s="50">
        <v>441</v>
      </c>
      <c r="B533" s="51" t="str">
        <v>楼地面-50厚C15细石砼（毛坯）</v>
      </c>
      <c r="C533" s="51" t="e">
        <v>#REF!</v>
      </c>
      <c r="D533" s="51" t="str">
        <v/>
      </c>
      <c r="E533" s="51" t="str">
        <v/>
      </c>
      <c r="F533" s="52" t="e">
        <v>#REF!</v>
      </c>
      <c r="G533" s="48" t="e">
        <v>#REF!</v>
      </c>
      <c r="H533" s="49">
        <v>1</v>
      </c>
      <c r="I533" s="49" t="e">
        <v>#REF!</v>
      </c>
      <c r="J533" s="50"/>
    </row>
    <row r="534" outlineLevel="1" spans="1:10">
      <c r="A534" s="50">
        <v>442</v>
      </c>
      <c r="B534" s="51" t="str">
        <v>楼地面-60厚C15砼</v>
      </c>
      <c r="C534" s="51" t="e">
        <v>#REF!</v>
      </c>
      <c r="D534" s="51" t="str">
        <v/>
      </c>
      <c r="E534" s="51" t="str">
        <v/>
      </c>
      <c r="F534" s="52" t="e">
        <v>#REF!</v>
      </c>
      <c r="G534" s="48" t="e">
        <v>#REF!</v>
      </c>
      <c r="H534" s="49">
        <v>1</v>
      </c>
      <c r="I534" s="49" t="e">
        <v>#REF!</v>
      </c>
      <c r="J534" s="50"/>
    </row>
    <row r="535" outlineLevel="1" spans="1:10">
      <c r="A535" s="50">
        <v>443</v>
      </c>
      <c r="B535" s="51" t="str">
        <v>楼地面-双层Φ3@50钢筋网</v>
      </c>
      <c r="C535" s="51" t="e">
        <v>#REF!</v>
      </c>
      <c r="D535" s="51" t="str">
        <v/>
      </c>
      <c r="E535" s="51" t="str">
        <v/>
      </c>
      <c r="F535" s="52" t="e">
        <v>#REF!</v>
      </c>
      <c r="G535" s="48" t="e">
        <v>#REF!</v>
      </c>
      <c r="H535" s="49">
        <v>1</v>
      </c>
      <c r="I535" s="49" t="e">
        <v>#REF!</v>
      </c>
      <c r="J535" s="50"/>
    </row>
    <row r="536" outlineLevel="1" spans="1:10">
      <c r="A536" s="50">
        <v>444</v>
      </c>
      <c r="B536" s="51" t="str">
        <v>楼地面-塑料膜</v>
      </c>
      <c r="C536" s="51" t="e">
        <v>#REF!</v>
      </c>
      <c r="D536" s="51" t="str">
        <v/>
      </c>
      <c r="E536" s="51" t="str">
        <v/>
      </c>
      <c r="F536" s="52" t="e">
        <v>#REF!</v>
      </c>
      <c r="G536" s="48" t="e">
        <v>#REF!</v>
      </c>
      <c r="H536" s="49">
        <v>1</v>
      </c>
      <c r="I536" s="49" t="e">
        <v>#REF!</v>
      </c>
      <c r="J536" s="50"/>
    </row>
    <row r="537" outlineLevel="1" spans="1:10">
      <c r="A537" s="50">
        <v>445</v>
      </c>
      <c r="B537" s="51" t="str">
        <v>楼地面-150厚3:7灰土夯实</v>
      </c>
      <c r="C537" s="51" t="e">
        <v>#REF!</v>
      </c>
      <c r="D537" s="51" t="str">
        <v/>
      </c>
      <c r="E537" s="51" t="str">
        <v/>
      </c>
      <c r="F537" s="52" t="e">
        <v>#REF!</v>
      </c>
      <c r="G537" s="48" t="e">
        <v>#REF!</v>
      </c>
      <c r="H537" s="49">
        <v>1</v>
      </c>
      <c r="I537" s="49" t="e">
        <v>#REF!</v>
      </c>
      <c r="J537" s="50"/>
    </row>
    <row r="538" outlineLevel="1" spans="1:10">
      <c r="A538" s="50">
        <v>446</v>
      </c>
      <c r="B538" s="51" t="str">
        <v>楼地面-素土夯实</v>
      </c>
      <c r="C538" s="51" t="e">
        <v>#REF!</v>
      </c>
      <c r="D538" s="51" t="str">
        <v/>
      </c>
      <c r="E538" s="51" t="str">
        <v/>
      </c>
      <c r="F538" s="52" t="e">
        <v>#REF!</v>
      </c>
      <c r="G538" s="48" t="e">
        <v>#REF!</v>
      </c>
      <c r="H538" s="49">
        <v>1</v>
      </c>
      <c r="I538" s="49" t="e">
        <v>#REF!</v>
      </c>
      <c r="J538" s="50"/>
    </row>
    <row r="539" ht="28.8" outlineLevel="1" spans="1:10">
      <c r="A539" s="50" t="str">
        <v/>
      </c>
      <c r="B539" s="51" t="str">
        <v>户内除卫生间楼面（有覆土）</v>
      </c>
      <c r="C539" s="51" t="str">
        <v/>
      </c>
      <c r="D539" s="51" t="str">
        <v/>
      </c>
      <c r="E539" s="51" t="str">
        <v/>
      </c>
      <c r="F539" s="52" t="str">
        <v/>
      </c>
      <c r="G539" s="48" t="str">
        <v/>
      </c>
      <c r="H539" s="49">
        <v>0</v>
      </c>
      <c r="I539" s="49">
        <v>0</v>
      </c>
      <c r="J539" s="50"/>
    </row>
    <row r="540" outlineLevel="1" spans="1:10">
      <c r="A540" s="50">
        <v>447</v>
      </c>
      <c r="B540" s="51" t="str">
        <v>楼地面-60厚C15细石砼</v>
      </c>
      <c r="C540" s="51" t="e">
        <v>#REF!</v>
      </c>
      <c r="D540" s="51" t="str">
        <v/>
      </c>
      <c r="E540" s="51" t="str">
        <v/>
      </c>
      <c r="F540" s="52" t="e">
        <v>#REF!</v>
      </c>
      <c r="G540" s="48" t="e">
        <v>#REF!</v>
      </c>
      <c r="H540" s="49">
        <v>1</v>
      </c>
      <c r="I540" s="49" t="e">
        <v>#REF!</v>
      </c>
      <c r="J540" s="50"/>
    </row>
    <row r="541" outlineLevel="1" spans="1:10">
      <c r="A541" s="50">
        <v>448</v>
      </c>
      <c r="B541" s="51" t="str">
        <v>楼地面-塑料膜</v>
      </c>
      <c r="C541" s="51" t="e">
        <v>#REF!</v>
      </c>
      <c r="D541" s="51" t="str">
        <v/>
      </c>
      <c r="E541" s="51" t="str">
        <v/>
      </c>
      <c r="F541" s="52" t="e">
        <v>#REF!</v>
      </c>
      <c r="G541" s="48" t="e">
        <v>#REF!</v>
      </c>
      <c r="H541" s="49">
        <v>1</v>
      </c>
      <c r="I541" s="49" t="e">
        <v>#REF!</v>
      </c>
      <c r="J541" s="50"/>
    </row>
    <row r="542" outlineLevel="1" spans="1:10">
      <c r="A542" s="50">
        <v>449</v>
      </c>
      <c r="B542" s="51" t="str">
        <v>楼地面-150厚3:7灰土夯实</v>
      </c>
      <c r="C542" s="51" t="e">
        <v>#REF!</v>
      </c>
      <c r="D542" s="51" t="str">
        <v/>
      </c>
      <c r="E542" s="51" t="str">
        <v/>
      </c>
      <c r="F542" s="52" t="e">
        <v>#REF!</v>
      </c>
      <c r="G542" s="48" t="e">
        <v>#REF!</v>
      </c>
      <c r="H542" s="49">
        <v>1</v>
      </c>
      <c r="I542" s="49" t="e">
        <v>#REF!</v>
      </c>
      <c r="J542" s="50"/>
    </row>
    <row r="543" outlineLevel="1" spans="1:10">
      <c r="A543" s="50">
        <v>450</v>
      </c>
      <c r="B543" s="51" t="str">
        <v>楼地面-素土夯实</v>
      </c>
      <c r="C543" s="51" t="e">
        <v>#REF!</v>
      </c>
      <c r="D543" s="51" t="str">
        <v/>
      </c>
      <c r="E543" s="51" t="str">
        <v/>
      </c>
      <c r="F543" s="52" t="e">
        <v>#REF!</v>
      </c>
      <c r="G543" s="48" t="e">
        <v>#REF!</v>
      </c>
      <c r="H543" s="49">
        <v>1</v>
      </c>
      <c r="I543" s="49" t="e">
        <v>#REF!</v>
      </c>
      <c r="J543" s="50"/>
    </row>
    <row r="544" ht="28.8" outlineLevel="1" spans="1:10">
      <c r="A544" s="50" t="str">
        <v/>
      </c>
      <c r="B544" s="51" t="str">
        <v>卫生间楼面（有覆土）用于售楼部</v>
      </c>
      <c r="C544" s="51" t="str">
        <v/>
      </c>
      <c r="D544" s="51" t="str">
        <v/>
      </c>
      <c r="E544" s="51" t="str">
        <v/>
      </c>
      <c r="F544" s="52" t="str">
        <v/>
      </c>
      <c r="G544" s="48" t="str">
        <v/>
      </c>
      <c r="H544" s="49">
        <v>0</v>
      </c>
      <c r="I544" s="49">
        <v>0</v>
      </c>
      <c r="J544" s="50"/>
    </row>
    <row r="545" outlineLevel="1" spans="1:10">
      <c r="A545" s="50">
        <v>451</v>
      </c>
      <c r="B545" s="51" t="str">
        <v>楼地面-65厚C15豆石砼找坡</v>
      </c>
      <c r="C545" s="51" t="e">
        <v>#REF!</v>
      </c>
      <c r="D545" s="51" t="str">
        <v/>
      </c>
      <c r="E545" s="51" t="str">
        <v/>
      </c>
      <c r="F545" s="52" t="e">
        <v>#REF!</v>
      </c>
      <c r="G545" s="48" t="e">
        <v>#REF!</v>
      </c>
      <c r="H545" s="49">
        <v>0</v>
      </c>
      <c r="I545" s="49" t="e">
        <v>#REF!</v>
      </c>
      <c r="J545" s="50"/>
    </row>
    <row r="546" outlineLevel="1" spans="1:10">
      <c r="A546" s="50">
        <v>452</v>
      </c>
      <c r="B546" s="51" t="str">
        <v>楼地面-玻纤网</v>
      </c>
      <c r="C546" s="51" t="e">
        <v>#REF!</v>
      </c>
      <c r="D546" s="51" t="str">
        <v/>
      </c>
      <c r="E546" s="51" t="str">
        <v/>
      </c>
      <c r="F546" s="52" t="e">
        <v>#REF!</v>
      </c>
      <c r="G546" s="48" t="e">
        <v>#REF!</v>
      </c>
      <c r="H546" s="49">
        <v>0</v>
      </c>
      <c r="I546" s="49" t="e">
        <v>#REF!</v>
      </c>
      <c r="J546" s="50"/>
    </row>
    <row r="547" outlineLevel="1" spans="1:10">
      <c r="A547" s="50">
        <v>453</v>
      </c>
      <c r="B547" s="51" t="str">
        <v>楼地面-100厚C20砼</v>
      </c>
      <c r="C547" s="51" t="e">
        <v>#REF!</v>
      </c>
      <c r="D547" s="51" t="str">
        <v/>
      </c>
      <c r="E547" s="51" t="str">
        <v/>
      </c>
      <c r="F547" s="52" t="e">
        <v>#REF!</v>
      </c>
      <c r="G547" s="48" t="e">
        <v>#REF!</v>
      </c>
      <c r="H547" s="49">
        <v>0</v>
      </c>
      <c r="I547" s="49" t="e">
        <v>#REF!</v>
      </c>
      <c r="J547" s="50"/>
    </row>
    <row r="548" outlineLevel="1" spans="1:10">
      <c r="A548" s="50">
        <v>454</v>
      </c>
      <c r="B548" s="51" t="str">
        <v>楼地面-塑料膜</v>
      </c>
      <c r="C548" s="51" t="e">
        <v>#REF!</v>
      </c>
      <c r="D548" s="51" t="str">
        <v/>
      </c>
      <c r="E548" s="51" t="str">
        <v/>
      </c>
      <c r="F548" s="52" t="e">
        <v>#REF!</v>
      </c>
      <c r="G548" s="48" t="e">
        <v>#REF!</v>
      </c>
      <c r="H548" s="49">
        <v>0</v>
      </c>
      <c r="I548" s="49" t="e">
        <v>#REF!</v>
      </c>
      <c r="J548" s="50"/>
    </row>
    <row r="549" outlineLevel="1" spans="1:10">
      <c r="A549" s="50">
        <v>455</v>
      </c>
      <c r="B549" s="51" t="str">
        <v>楼地面-150厚3:7灰土夯实</v>
      </c>
      <c r="C549" s="51" t="e">
        <v>#REF!</v>
      </c>
      <c r="D549" s="51" t="str">
        <v/>
      </c>
      <c r="E549" s="51" t="str">
        <v/>
      </c>
      <c r="F549" s="52" t="e">
        <v>#REF!</v>
      </c>
      <c r="G549" s="48" t="e">
        <v>#REF!</v>
      </c>
      <c r="H549" s="49">
        <v>0</v>
      </c>
      <c r="I549" s="49" t="e">
        <v>#REF!</v>
      </c>
      <c r="J549" s="50"/>
    </row>
    <row r="550" outlineLevel="1" spans="1:10">
      <c r="A550" s="50">
        <v>456</v>
      </c>
      <c r="B550" s="51" t="str">
        <v>楼地面-素土夯实</v>
      </c>
      <c r="C550" s="51" t="e">
        <v>#REF!</v>
      </c>
      <c r="D550" s="51" t="str">
        <v/>
      </c>
      <c r="E550" s="51" t="str">
        <v/>
      </c>
      <c r="F550" s="52" t="e">
        <v>#REF!</v>
      </c>
      <c r="G550" s="48" t="e">
        <v>#REF!</v>
      </c>
      <c r="H550" s="49">
        <v>0</v>
      </c>
      <c r="I550" s="49" t="e">
        <v>#REF!</v>
      </c>
      <c r="J550" s="50"/>
    </row>
    <row r="551" ht="28.8" outlineLevel="1" spans="1:10">
      <c r="A551" s="50" t="str">
        <v/>
      </c>
      <c r="B551" s="51" t="str">
        <v>户内除卫生间楼面（有覆土）</v>
      </c>
      <c r="C551" s="51" t="str">
        <v/>
      </c>
      <c r="D551" s="51" t="str">
        <v/>
      </c>
      <c r="E551" s="51" t="str">
        <v/>
      </c>
      <c r="F551" s="52" t="str">
        <v/>
      </c>
      <c r="G551" s="48" t="str">
        <v/>
      </c>
      <c r="H551" s="49">
        <v>0</v>
      </c>
      <c r="I551" s="49">
        <v>0</v>
      </c>
      <c r="J551" s="50"/>
    </row>
    <row r="552" outlineLevel="1" spans="1:10">
      <c r="A552" s="50">
        <v>457</v>
      </c>
      <c r="B552" s="51" t="str">
        <v>楼地面-50厚C15豆石砼</v>
      </c>
      <c r="C552" s="51" t="e">
        <v>#REF!</v>
      </c>
      <c r="D552" s="51" t="str">
        <v/>
      </c>
      <c r="E552" s="51" t="str">
        <v/>
      </c>
      <c r="F552" s="52" t="e">
        <v>#REF!</v>
      </c>
      <c r="G552" s="48" t="e">
        <v>#REF!</v>
      </c>
      <c r="H552" s="49">
        <v>0</v>
      </c>
      <c r="I552" s="49" t="e">
        <v>#REF!</v>
      </c>
      <c r="J552" s="50"/>
    </row>
    <row r="553" outlineLevel="1" spans="1:10">
      <c r="A553" s="50">
        <v>458</v>
      </c>
      <c r="B553" s="51" t="str">
        <v>楼地面-玻纤网</v>
      </c>
      <c r="C553" s="51" t="e">
        <v>#REF!</v>
      </c>
      <c r="D553" s="51" t="str">
        <v/>
      </c>
      <c r="E553" s="51" t="str">
        <v/>
      </c>
      <c r="F553" s="52" t="e">
        <v>#REF!</v>
      </c>
      <c r="G553" s="48" t="e">
        <v>#REF!</v>
      </c>
      <c r="H553" s="49">
        <v>0</v>
      </c>
      <c r="I553" s="49" t="e">
        <v>#REF!</v>
      </c>
      <c r="J553" s="50"/>
    </row>
    <row r="554" outlineLevel="1" spans="1:10">
      <c r="A554" s="50">
        <v>459</v>
      </c>
      <c r="B554" s="51" t="str">
        <v>楼地面-15厚M20水泥砂浆</v>
      </c>
      <c r="C554" s="51" t="e">
        <v>#REF!</v>
      </c>
      <c r="D554" s="51" t="str">
        <v/>
      </c>
      <c r="E554" s="51" t="str">
        <v/>
      </c>
      <c r="F554" s="52" t="e">
        <v>#REF!</v>
      </c>
      <c r="G554" s="48" t="e">
        <v>#REF!</v>
      </c>
      <c r="H554" s="49">
        <v>0</v>
      </c>
      <c r="I554" s="49" t="e">
        <v>#REF!</v>
      </c>
      <c r="J554" s="50"/>
    </row>
    <row r="555" outlineLevel="1" spans="1:10">
      <c r="A555" s="50">
        <v>460</v>
      </c>
      <c r="B555" s="51" t="str">
        <v>楼地面-60厚C15细石砼</v>
      </c>
      <c r="C555" s="51" t="e">
        <v>#REF!</v>
      </c>
      <c r="D555" s="51" t="str">
        <v/>
      </c>
      <c r="E555" s="51" t="str">
        <v/>
      </c>
      <c r="F555" s="52" t="e">
        <v>#REF!</v>
      </c>
      <c r="G555" s="48" t="e">
        <v>#REF!</v>
      </c>
      <c r="H555" s="49">
        <v>0</v>
      </c>
      <c r="I555" s="49" t="e">
        <v>#REF!</v>
      </c>
      <c r="J555" s="50"/>
    </row>
    <row r="556" outlineLevel="1" spans="1:10">
      <c r="A556" s="50">
        <v>461</v>
      </c>
      <c r="B556" s="51" t="str">
        <v>楼地面-塑料膜</v>
      </c>
      <c r="C556" s="51" t="e">
        <v>#REF!</v>
      </c>
      <c r="D556" s="51" t="str">
        <v/>
      </c>
      <c r="E556" s="51" t="str">
        <v/>
      </c>
      <c r="F556" s="52" t="e">
        <v>#REF!</v>
      </c>
      <c r="G556" s="48" t="e">
        <v>#REF!</v>
      </c>
      <c r="H556" s="49">
        <v>0</v>
      </c>
      <c r="I556" s="49" t="e">
        <v>#REF!</v>
      </c>
      <c r="J556" s="50"/>
    </row>
    <row r="557" outlineLevel="1" spans="1:10">
      <c r="A557" s="50">
        <v>462</v>
      </c>
      <c r="B557" s="51" t="str">
        <v>楼地面-150厚3:7灰土夯实</v>
      </c>
      <c r="C557" s="51" t="e">
        <v>#REF!</v>
      </c>
      <c r="D557" s="51" t="str">
        <v/>
      </c>
      <c r="E557" s="51" t="str">
        <v/>
      </c>
      <c r="F557" s="52" t="e">
        <v>#REF!</v>
      </c>
      <c r="G557" s="48" t="e">
        <v>#REF!</v>
      </c>
      <c r="H557" s="49">
        <v>0</v>
      </c>
      <c r="I557" s="49" t="e">
        <v>#REF!</v>
      </c>
      <c r="J557" s="50"/>
    </row>
    <row r="558" outlineLevel="1" spans="1:10">
      <c r="A558" s="50">
        <v>463</v>
      </c>
      <c r="B558" s="51" t="str">
        <v>楼地面-素土夯实</v>
      </c>
      <c r="C558" s="51" t="e">
        <v>#REF!</v>
      </c>
      <c r="D558" s="51" t="str">
        <v/>
      </c>
      <c r="E558" s="51" t="str">
        <v/>
      </c>
      <c r="F558" s="52" t="e">
        <v>#REF!</v>
      </c>
      <c r="G558" s="48" t="e">
        <v>#REF!</v>
      </c>
      <c r="H558" s="49">
        <v>0</v>
      </c>
      <c r="I558" s="49" t="e">
        <v>#REF!</v>
      </c>
      <c r="J558" s="50"/>
    </row>
    <row r="559" ht="28.8" outlineLevel="1" spans="1:10">
      <c r="A559" s="50" t="str">
        <v/>
      </c>
      <c r="B559" s="51" t="str">
        <v>有覆土房间，地库以上，地面素土以下做法</v>
      </c>
      <c r="C559" s="51" t="str">
        <v/>
      </c>
      <c r="D559" s="51" t="str">
        <v/>
      </c>
      <c r="E559" s="51" t="str">
        <v/>
      </c>
      <c r="F559" s="52" t="str">
        <v/>
      </c>
      <c r="G559" s="48" t="str">
        <v/>
      </c>
      <c r="H559" s="49">
        <v>0</v>
      </c>
      <c r="I559" s="49">
        <v>0</v>
      </c>
      <c r="J559" s="50"/>
    </row>
    <row r="560" outlineLevel="1" spans="1:10">
      <c r="A560" s="50">
        <v>464</v>
      </c>
      <c r="B560" s="51" t="str">
        <v>楼地面-20厚M20水泥砂浆</v>
      </c>
      <c r="C560" s="51" t="e">
        <v>#REF!</v>
      </c>
      <c r="D560" s="51" t="str">
        <v/>
      </c>
      <c r="E560" s="51" t="str">
        <v/>
      </c>
      <c r="F560" s="52" t="e">
        <v>#REF!</v>
      </c>
      <c r="G560" s="48" t="e">
        <v>#REF!</v>
      </c>
      <c r="H560" s="49">
        <v>1</v>
      </c>
      <c r="I560" s="49" t="e">
        <v>#REF!</v>
      </c>
      <c r="J560" s="50"/>
    </row>
    <row r="561" outlineLevel="1" spans="1:10">
      <c r="A561" s="50">
        <v>465</v>
      </c>
      <c r="B561" s="51" t="str">
        <v>楼地面-聚氨酯防水涂料</v>
      </c>
      <c r="C561" s="51" t="e">
        <v>#REF!</v>
      </c>
      <c r="D561" s="51" t="str">
        <v/>
      </c>
      <c r="E561" s="51" t="str">
        <v/>
      </c>
      <c r="F561" s="52" t="e">
        <v>#REF!</v>
      </c>
      <c r="G561" s="48" t="e">
        <v>#REF!</v>
      </c>
      <c r="H561" s="49">
        <v>1</v>
      </c>
      <c r="I561" s="49" t="e">
        <v>#REF!</v>
      </c>
      <c r="J561" s="50"/>
    </row>
    <row r="562" outlineLevel="1" spans="1:10">
      <c r="A562" s="50">
        <v>466</v>
      </c>
      <c r="B562" s="51" t="str">
        <v>楼地面-20厚M20水泥砂浆</v>
      </c>
      <c r="C562" s="51" t="e">
        <v>#REF!</v>
      </c>
      <c r="D562" s="51" t="str">
        <v/>
      </c>
      <c r="E562" s="51" t="str">
        <v/>
      </c>
      <c r="F562" s="52" t="e">
        <v>#REF!</v>
      </c>
      <c r="G562" s="48" t="e">
        <v>#REF!</v>
      </c>
      <c r="H562" s="49">
        <v>1</v>
      </c>
      <c r="I562" s="49" t="e">
        <v>#REF!</v>
      </c>
      <c r="J562" s="50"/>
    </row>
    <row r="563" outlineLevel="1" spans="1:10">
      <c r="A563" s="50">
        <v>467</v>
      </c>
      <c r="B563" s="51" t="str">
        <v>楼地面-15厚水泥基自流平</v>
      </c>
      <c r="C563" s="51" t="e">
        <v>#REF!</v>
      </c>
      <c r="D563" s="51" t="str">
        <v/>
      </c>
      <c r="E563" s="51" t="str">
        <v/>
      </c>
      <c r="F563" s="52" t="e">
        <v>#REF!</v>
      </c>
      <c r="G563" s="48" t="e">
        <v>#REF!</v>
      </c>
      <c r="H563" s="49">
        <v>7558.01</v>
      </c>
      <c r="I563" s="49" t="e">
        <v>#REF!</v>
      </c>
      <c r="J563" s="50"/>
    </row>
    <row r="564" outlineLevel="1" spans="1:10">
      <c r="A564" s="50">
        <v>468</v>
      </c>
      <c r="B564" s="51" t="str">
        <v>楼地面-20厚水泥基自流平</v>
      </c>
      <c r="C564" s="51" t="e">
        <v>#REF!</v>
      </c>
      <c r="D564" s="51" t="str">
        <v/>
      </c>
      <c r="E564" s="51" t="str">
        <v/>
      </c>
      <c r="F564" s="52" t="e">
        <v>#REF!</v>
      </c>
      <c r="G564" s="48" t="e">
        <v>#REF!</v>
      </c>
      <c r="H564" s="49">
        <v>1</v>
      </c>
      <c r="I564" s="49" t="e">
        <v>#REF!</v>
      </c>
      <c r="J564" s="50"/>
    </row>
    <row r="565" outlineLevel="1" spans="1:10">
      <c r="A565" s="50">
        <v>469</v>
      </c>
      <c r="B565" s="51" t="str">
        <v>楼地面-15厚石膏基自流平</v>
      </c>
      <c r="C565" s="51" t="e">
        <v>#REF!</v>
      </c>
      <c r="D565" s="51" t="str">
        <v/>
      </c>
      <c r="E565" s="51" t="str">
        <v/>
      </c>
      <c r="F565" s="52" t="e">
        <v>#REF!</v>
      </c>
      <c r="G565" s="48" t="e">
        <v>#REF!</v>
      </c>
      <c r="H565" s="49">
        <v>1</v>
      </c>
      <c r="I565" s="49" t="e">
        <v>#REF!</v>
      </c>
      <c r="J565" s="50"/>
    </row>
    <row r="566" outlineLevel="1" spans="1:10">
      <c r="A566" s="50">
        <v>470</v>
      </c>
      <c r="B566" s="51" t="str">
        <v>楼地面-20厚石膏基自流平</v>
      </c>
      <c r="C566" s="51" t="e">
        <v>#REF!</v>
      </c>
      <c r="D566" s="51" t="str">
        <v/>
      </c>
      <c r="E566" s="51" t="str">
        <v/>
      </c>
      <c r="F566" s="52" t="e">
        <v>#REF!</v>
      </c>
      <c r="G566" s="48" t="e">
        <v>#REF!</v>
      </c>
      <c r="H566" s="49">
        <v>1</v>
      </c>
      <c r="I566" s="49" t="e">
        <v>#REF!</v>
      </c>
      <c r="J566" s="50"/>
    </row>
    <row r="567" outlineLevel="1" spans="1:10">
      <c r="A567" s="50" t="str">
        <v/>
      </c>
      <c r="B567" s="51" t="str">
        <v>其他房间</v>
      </c>
      <c r="C567" s="51" t="str">
        <v/>
      </c>
      <c r="D567" s="51" t="str">
        <v/>
      </c>
      <c r="E567" s="51" t="str">
        <v/>
      </c>
      <c r="F567" s="52" t="str">
        <v/>
      </c>
      <c r="G567" s="48" t="str">
        <v/>
      </c>
      <c r="H567" s="49">
        <v>0</v>
      </c>
      <c r="I567" s="49">
        <v>0</v>
      </c>
      <c r="J567" s="50"/>
    </row>
    <row r="568" outlineLevel="1" spans="1:10">
      <c r="A568" s="50">
        <v>471</v>
      </c>
      <c r="B568" s="51" t="str">
        <v>楼地面-50厚C20细石砼</v>
      </c>
      <c r="C568" s="51" t="e">
        <v>#REF!</v>
      </c>
      <c r="D568" s="51" t="str">
        <v/>
      </c>
      <c r="E568" s="51" t="str">
        <v/>
      </c>
      <c r="F568" s="52" t="e">
        <v>#REF!</v>
      </c>
      <c r="G568" s="48" t="e">
        <v>#REF!</v>
      </c>
      <c r="H568" s="49">
        <v>0</v>
      </c>
      <c r="I568" s="49" t="e">
        <v>#REF!</v>
      </c>
      <c r="J568" s="50"/>
    </row>
    <row r="569" outlineLevel="1" spans="1:10">
      <c r="A569" s="50">
        <v>472</v>
      </c>
      <c r="B569" s="51" t="str">
        <v>楼地面-聚氨酯防水涂料</v>
      </c>
      <c r="C569" s="51" t="e">
        <v>#REF!</v>
      </c>
      <c r="D569" s="51" t="str">
        <v/>
      </c>
      <c r="E569" s="51" t="str">
        <v/>
      </c>
      <c r="F569" s="52" t="e">
        <v>#REF!</v>
      </c>
      <c r="G569" s="48" t="e">
        <v>#REF!</v>
      </c>
      <c r="H569" s="49">
        <v>0</v>
      </c>
      <c r="I569" s="49" t="e">
        <v>#REF!</v>
      </c>
      <c r="J569" s="50"/>
    </row>
    <row r="570" outlineLevel="1" spans="1:10">
      <c r="A570" s="50">
        <v>473</v>
      </c>
      <c r="B570" s="51" t="str">
        <v>楼地面-15厚M20水泥砂浆</v>
      </c>
      <c r="C570" s="51" t="e">
        <v>#REF!</v>
      </c>
      <c r="D570" s="51" t="str">
        <v/>
      </c>
      <c r="E570" s="51" t="str">
        <v/>
      </c>
      <c r="F570" s="52" t="e">
        <v>#REF!</v>
      </c>
      <c r="G570" s="48" t="e">
        <v>#REF!</v>
      </c>
      <c r="H570" s="49">
        <v>0</v>
      </c>
      <c r="I570" s="49" t="e">
        <v>#REF!</v>
      </c>
      <c r="J570" s="50"/>
    </row>
    <row r="571" outlineLevel="1" spans="1:10">
      <c r="A571" s="50">
        <v>474</v>
      </c>
      <c r="B571" s="51" t="str">
        <v>楼地面-玻纤网</v>
      </c>
      <c r="C571" s="51" t="e">
        <v>#REF!</v>
      </c>
      <c r="D571" s="51" t="str">
        <v/>
      </c>
      <c r="E571" s="51" t="str">
        <v/>
      </c>
      <c r="F571" s="52" t="e">
        <v>#REF!</v>
      </c>
      <c r="G571" s="48" t="e">
        <v>#REF!</v>
      </c>
      <c r="H571" s="49">
        <v>0</v>
      </c>
      <c r="I571" s="49" t="e">
        <v>#REF!</v>
      </c>
      <c r="J571" s="50"/>
    </row>
    <row r="572" outlineLevel="1" spans="1:10">
      <c r="A572" s="50">
        <v>475</v>
      </c>
      <c r="B572" s="51" t="str">
        <v>楼地面-塑料膜</v>
      </c>
      <c r="C572" s="51" t="e">
        <v>#REF!</v>
      </c>
      <c r="D572" s="51" t="str">
        <v/>
      </c>
      <c r="E572" s="51" t="str">
        <v/>
      </c>
      <c r="F572" s="52" t="e">
        <v>#REF!</v>
      </c>
      <c r="G572" s="48" t="e">
        <v>#REF!</v>
      </c>
      <c r="H572" s="49">
        <v>0</v>
      </c>
      <c r="I572" s="49" t="e">
        <v>#REF!</v>
      </c>
      <c r="J572" s="50"/>
    </row>
    <row r="573" outlineLevel="1" spans="1:10">
      <c r="A573" s="50">
        <v>476</v>
      </c>
      <c r="B573" s="51" t="str">
        <v>楼地面-180厚XPS</v>
      </c>
      <c r="C573" s="51" t="e">
        <v>#REF!</v>
      </c>
      <c r="D573" s="51" t="str">
        <v/>
      </c>
      <c r="E573" s="51" t="str">
        <v/>
      </c>
      <c r="F573" s="52" t="e">
        <v>#REF!</v>
      </c>
      <c r="G573" s="48" t="e">
        <v>#REF!</v>
      </c>
      <c r="H573" s="49">
        <v>0</v>
      </c>
      <c r="I573" s="49" t="e">
        <v>#REF!</v>
      </c>
      <c r="J573" s="50"/>
    </row>
    <row r="574" outlineLevel="1" spans="1:10">
      <c r="A574" s="50">
        <v>477</v>
      </c>
      <c r="B574" s="51" t="str">
        <v>楼地面-15厚M20水泥砂浆</v>
      </c>
      <c r="C574" s="51" t="e">
        <v>#REF!</v>
      </c>
      <c r="D574" s="51" t="str">
        <v/>
      </c>
      <c r="E574" s="51" t="str">
        <v/>
      </c>
      <c r="F574" s="52" t="e">
        <v>#REF!</v>
      </c>
      <c r="G574" s="48" t="e">
        <v>#REF!</v>
      </c>
      <c r="H574" s="49">
        <v>0</v>
      </c>
      <c r="I574" s="49" t="e">
        <v>#REF!</v>
      </c>
      <c r="J574" s="50"/>
    </row>
    <row r="575" outlineLevel="1" spans="1:10">
      <c r="A575" s="50">
        <v>478</v>
      </c>
      <c r="B575" s="51" t="str">
        <v>楼地面-60厚C15细石砼</v>
      </c>
      <c r="C575" s="51" t="e">
        <v>#REF!</v>
      </c>
      <c r="D575" s="51" t="str">
        <v/>
      </c>
      <c r="E575" s="51" t="str">
        <v/>
      </c>
      <c r="F575" s="52" t="e">
        <v>#REF!</v>
      </c>
      <c r="G575" s="48" t="e">
        <v>#REF!</v>
      </c>
      <c r="H575" s="49">
        <v>0</v>
      </c>
      <c r="I575" s="49" t="e">
        <v>#REF!</v>
      </c>
      <c r="J575" s="50"/>
    </row>
    <row r="576" outlineLevel="1" spans="1:10">
      <c r="A576" s="50">
        <v>479</v>
      </c>
      <c r="B576" s="51" t="str">
        <v>楼地面-双层Φ3@50钢筋网</v>
      </c>
      <c r="C576" s="51" t="e">
        <v>#REF!</v>
      </c>
      <c r="D576" s="51" t="str">
        <v/>
      </c>
      <c r="E576" s="51" t="str">
        <v/>
      </c>
      <c r="F576" s="52" t="e">
        <v>#REF!</v>
      </c>
      <c r="G576" s="48" t="e">
        <v>#REF!</v>
      </c>
      <c r="H576" s="49">
        <v>0</v>
      </c>
      <c r="I576" s="49" t="e">
        <v>#REF!</v>
      </c>
      <c r="J576" s="50"/>
    </row>
    <row r="577" outlineLevel="1" spans="1:10">
      <c r="A577" s="50">
        <v>480</v>
      </c>
      <c r="B577" s="51" t="str">
        <v>楼地面-塑料膜</v>
      </c>
      <c r="C577" s="51" t="e">
        <v>#REF!</v>
      </c>
      <c r="D577" s="51" t="str">
        <v/>
      </c>
      <c r="E577" s="51" t="str">
        <v/>
      </c>
      <c r="F577" s="52" t="e">
        <v>#REF!</v>
      </c>
      <c r="G577" s="48" t="e">
        <v>#REF!</v>
      </c>
      <c r="H577" s="49">
        <v>0</v>
      </c>
      <c r="I577" s="49" t="e">
        <v>#REF!</v>
      </c>
      <c r="J577" s="50"/>
    </row>
    <row r="578" outlineLevel="1" spans="1:10">
      <c r="A578" s="50">
        <v>481</v>
      </c>
      <c r="B578" s="51" t="str">
        <v>楼地面-150厚3:7灰土夯实</v>
      </c>
      <c r="C578" s="51" t="e">
        <v>#REF!</v>
      </c>
      <c r="D578" s="51" t="str">
        <v/>
      </c>
      <c r="E578" s="51" t="str">
        <v/>
      </c>
      <c r="F578" s="52" t="e">
        <v>#REF!</v>
      </c>
      <c r="G578" s="48" t="e">
        <v>#REF!</v>
      </c>
      <c r="H578" s="49">
        <v>0</v>
      </c>
      <c r="I578" s="49" t="e">
        <v>#REF!</v>
      </c>
      <c r="J578" s="50"/>
    </row>
    <row r="579" outlineLevel="1" spans="1:10">
      <c r="A579" s="50">
        <v>482</v>
      </c>
      <c r="B579" s="51" t="str">
        <v>楼地面-素土夯实</v>
      </c>
      <c r="C579" s="51" t="e">
        <v>#REF!</v>
      </c>
      <c r="D579" s="51" t="str">
        <v/>
      </c>
      <c r="E579" s="51" t="str">
        <v/>
      </c>
      <c r="F579" s="52" t="e">
        <v>#REF!</v>
      </c>
      <c r="G579" s="48" t="e">
        <v>#REF!</v>
      </c>
      <c r="H579" s="49">
        <v>0</v>
      </c>
      <c r="I579" s="49" t="e">
        <v>#REF!</v>
      </c>
      <c r="J579" s="50"/>
    </row>
    <row r="580" ht="28.8" outlineLevel="1" spans="1:10">
      <c r="A580" s="50">
        <v>483</v>
      </c>
      <c r="B580" s="51" t="str">
        <v>楼地面-50厚C15细石砼（毛坯）</v>
      </c>
      <c r="C580" s="51" t="e">
        <v>#REF!</v>
      </c>
      <c r="D580" s="51" t="str">
        <v/>
      </c>
      <c r="E580" s="51" t="str">
        <v/>
      </c>
      <c r="F580" s="52" t="e">
        <v>#REF!</v>
      </c>
      <c r="G580" s="48" t="e">
        <v>#REF!</v>
      </c>
      <c r="H580" s="49">
        <v>0</v>
      </c>
      <c r="I580" s="49" t="e">
        <v>#REF!</v>
      </c>
      <c r="J580" s="50"/>
    </row>
    <row r="581" ht="28.8" outlineLevel="1" spans="1:10">
      <c r="A581" s="50">
        <v>484</v>
      </c>
      <c r="B581" s="51" t="str">
        <v>楼地面-50厚C15细石砼（毛坯）</v>
      </c>
      <c r="C581" s="51" t="e">
        <v>#REF!</v>
      </c>
      <c r="D581" s="51" t="str">
        <v/>
      </c>
      <c r="E581" s="51" t="str">
        <v/>
      </c>
      <c r="F581" s="52" t="e">
        <v>#REF!</v>
      </c>
      <c r="G581" s="48" t="e">
        <v>#REF!</v>
      </c>
      <c r="H581" s="49">
        <v>612.59</v>
      </c>
      <c r="I581" s="49" t="e">
        <v>#REF!</v>
      </c>
      <c r="J581" s="50"/>
    </row>
    <row r="582" outlineLevel="1" spans="1:10">
      <c r="A582" s="50" t="str">
        <v/>
      </c>
      <c r="B582" s="51" t="str">
        <v>阳台楼面（无覆土）</v>
      </c>
      <c r="C582" s="51" t="str">
        <v/>
      </c>
      <c r="D582" s="51" t="str">
        <v/>
      </c>
      <c r="E582" s="51" t="str">
        <v/>
      </c>
      <c r="F582" s="52" t="str">
        <v/>
      </c>
      <c r="G582" s="48" t="str">
        <v/>
      </c>
      <c r="H582" s="49">
        <v>0</v>
      </c>
      <c r="I582" s="49">
        <v>0</v>
      </c>
      <c r="J582" s="50"/>
    </row>
    <row r="583" outlineLevel="1" spans="1:10">
      <c r="A583" s="50">
        <v>485</v>
      </c>
      <c r="B583" s="51" t="str">
        <v>楼地面-50厚C15豆石砼找坡</v>
      </c>
      <c r="C583" s="51" t="e">
        <v>#REF!</v>
      </c>
      <c r="D583" s="51" t="str">
        <v/>
      </c>
      <c r="E583" s="51" t="str">
        <v/>
      </c>
      <c r="F583" s="52" t="e">
        <v>#REF!</v>
      </c>
      <c r="G583" s="48" t="e">
        <v>#REF!</v>
      </c>
      <c r="H583" s="49">
        <v>0</v>
      </c>
      <c r="I583" s="49" t="e">
        <v>#REF!</v>
      </c>
      <c r="J583" s="50"/>
    </row>
    <row r="584" outlineLevel="1" spans="1:10">
      <c r="A584" s="50">
        <v>486</v>
      </c>
      <c r="B584" s="51" t="str">
        <v>楼地面-玻纤网</v>
      </c>
      <c r="C584" s="51" t="e">
        <v>#REF!</v>
      </c>
      <c r="D584" s="51" t="str">
        <v/>
      </c>
      <c r="E584" s="51" t="str">
        <v/>
      </c>
      <c r="F584" s="52" t="e">
        <v>#REF!</v>
      </c>
      <c r="G584" s="48" t="e">
        <v>#REF!</v>
      </c>
      <c r="H584" s="49">
        <v>0</v>
      </c>
      <c r="I584" s="49" t="e">
        <v>#REF!</v>
      </c>
      <c r="J584" s="50"/>
    </row>
    <row r="585" outlineLevel="1" spans="1:10">
      <c r="A585" s="50">
        <v>487</v>
      </c>
      <c r="B585" s="51" t="str">
        <v>阳台地面-聚氨酯防水涂料</v>
      </c>
      <c r="C585" s="51" t="e">
        <v>#REF!</v>
      </c>
      <c r="D585" s="51" t="str">
        <v/>
      </c>
      <c r="E585" s="51" t="str">
        <v/>
      </c>
      <c r="F585" s="52" t="e">
        <v>#REF!</v>
      </c>
      <c r="G585" s="48" t="e">
        <v>#REF!</v>
      </c>
      <c r="H585" s="49">
        <v>0</v>
      </c>
      <c r="I585" s="49" t="e">
        <v>#REF!</v>
      </c>
      <c r="J585" s="50"/>
    </row>
    <row r="586" outlineLevel="1" spans="1:10">
      <c r="A586" s="50">
        <v>488</v>
      </c>
      <c r="B586" s="51" t="str">
        <v>楼地面-30厚C15豆石砼找坡</v>
      </c>
      <c r="C586" s="51" t="e">
        <v>#REF!</v>
      </c>
      <c r="D586" s="51" t="str">
        <v/>
      </c>
      <c r="E586" s="51" t="str">
        <v/>
      </c>
      <c r="F586" s="52" t="e">
        <v>#REF!</v>
      </c>
      <c r="G586" s="48" t="e">
        <v>#REF!</v>
      </c>
      <c r="H586" s="49">
        <v>804.19</v>
      </c>
      <c r="I586" s="49" t="e">
        <v>#REF!</v>
      </c>
      <c r="J586" s="50"/>
    </row>
    <row r="587" ht="28.8" outlineLevel="1" spans="1:10">
      <c r="A587" s="50" t="str">
        <v/>
      </c>
      <c r="B587" s="51" t="str">
        <v>一层有覆土的阳台地漏一米范围内</v>
      </c>
      <c r="C587" s="51" t="str">
        <v/>
      </c>
      <c r="D587" s="51" t="str">
        <v/>
      </c>
      <c r="E587" s="51" t="str">
        <v/>
      </c>
      <c r="F587" s="52" t="str">
        <v/>
      </c>
      <c r="G587" s="48" t="str">
        <v/>
      </c>
      <c r="H587" s="49">
        <v>0</v>
      </c>
      <c r="I587" s="49">
        <v>0</v>
      </c>
      <c r="J587" s="50"/>
    </row>
    <row r="588" outlineLevel="1" spans="1:10">
      <c r="A588" s="50">
        <v>489</v>
      </c>
      <c r="B588" s="51" t="str">
        <v>楼地面-30厚C15豆石砼找坡</v>
      </c>
      <c r="C588" s="51" t="e">
        <v>#REF!</v>
      </c>
      <c r="D588" s="51" t="str">
        <v/>
      </c>
      <c r="E588" s="51" t="str">
        <v/>
      </c>
      <c r="F588" s="52" t="e">
        <v>#REF!</v>
      </c>
      <c r="G588" s="48" t="e">
        <v>#REF!</v>
      </c>
      <c r="H588" s="49">
        <v>1</v>
      </c>
      <c r="I588" s="49" t="e">
        <v>#REF!</v>
      </c>
      <c r="J588" s="50"/>
    </row>
    <row r="589" outlineLevel="1" spans="1:10">
      <c r="A589" s="50">
        <v>490</v>
      </c>
      <c r="B589" s="51" t="str">
        <v>阳台地面-聚氨酯防水涂料</v>
      </c>
      <c r="C589" s="51" t="e">
        <v>#REF!</v>
      </c>
      <c r="D589" s="51" t="str">
        <v/>
      </c>
      <c r="E589" s="51" t="str">
        <v/>
      </c>
      <c r="F589" s="52" t="e">
        <v>#REF!</v>
      </c>
      <c r="G589" s="48" t="e">
        <v>#REF!</v>
      </c>
      <c r="H589" s="49">
        <v>0</v>
      </c>
      <c r="I589" s="49" t="e">
        <v>#REF!</v>
      </c>
      <c r="J589" s="50"/>
    </row>
    <row r="590" outlineLevel="1" spans="1:10">
      <c r="A590" s="50">
        <v>491</v>
      </c>
      <c r="B590" s="51" t="str">
        <v>楼地面-60厚C15细石砼</v>
      </c>
      <c r="C590" s="51" t="e">
        <v>#REF!</v>
      </c>
      <c r="D590" s="51" t="str">
        <v/>
      </c>
      <c r="E590" s="51" t="str">
        <v/>
      </c>
      <c r="F590" s="52" t="e">
        <v>#REF!</v>
      </c>
      <c r="G590" s="48" t="e">
        <v>#REF!</v>
      </c>
      <c r="H590" s="49">
        <v>1</v>
      </c>
      <c r="I590" s="49" t="e">
        <v>#REF!</v>
      </c>
      <c r="J590" s="50"/>
    </row>
    <row r="591" outlineLevel="1" spans="1:10">
      <c r="A591" s="50">
        <v>492</v>
      </c>
      <c r="B591" s="51" t="str">
        <v>楼地面-塑料膜</v>
      </c>
      <c r="C591" s="51" t="e">
        <v>#REF!</v>
      </c>
      <c r="D591" s="51" t="str">
        <v/>
      </c>
      <c r="E591" s="51" t="str">
        <v/>
      </c>
      <c r="F591" s="52" t="e">
        <v>#REF!</v>
      </c>
      <c r="G591" s="48" t="e">
        <v>#REF!</v>
      </c>
      <c r="H591" s="49">
        <v>1</v>
      </c>
      <c r="I591" s="49" t="e">
        <v>#REF!</v>
      </c>
      <c r="J591" s="50"/>
    </row>
    <row r="592" outlineLevel="1" spans="1:10">
      <c r="A592" s="50">
        <v>493</v>
      </c>
      <c r="B592" s="51" t="str">
        <v>楼地面-150厚3:7灰土夯实</v>
      </c>
      <c r="C592" s="51" t="e">
        <v>#REF!</v>
      </c>
      <c r="D592" s="51" t="str">
        <v/>
      </c>
      <c r="E592" s="51" t="str">
        <v/>
      </c>
      <c r="F592" s="52" t="e">
        <v>#REF!</v>
      </c>
      <c r="G592" s="48" t="e">
        <v>#REF!</v>
      </c>
      <c r="H592" s="49">
        <v>1</v>
      </c>
      <c r="I592" s="49" t="e">
        <v>#REF!</v>
      </c>
      <c r="J592" s="50"/>
    </row>
    <row r="593" outlineLevel="1" spans="1:10">
      <c r="A593" s="50">
        <v>494</v>
      </c>
      <c r="B593" s="51" t="str">
        <v>楼地面-水暖电井</v>
      </c>
      <c r="C593" s="51" t="e">
        <v>#REF!</v>
      </c>
      <c r="D593" s="51" t="str">
        <v/>
      </c>
      <c r="E593" s="51" t="str">
        <v/>
      </c>
      <c r="F593" s="52" t="e">
        <v>#REF!</v>
      </c>
      <c r="G593" s="48" t="e">
        <v>#REF!</v>
      </c>
      <c r="H593" s="49">
        <v>102.96</v>
      </c>
      <c r="I593" s="49" t="e">
        <v>#REF!</v>
      </c>
      <c r="J593" s="50"/>
    </row>
    <row r="594" outlineLevel="1" spans="1:10">
      <c r="A594" s="50" t="str">
        <v/>
      </c>
      <c r="B594" s="51" t="str">
        <v>厨房楼面（有覆土）</v>
      </c>
      <c r="C594" s="51" t="str">
        <v/>
      </c>
      <c r="D594" s="51" t="str">
        <v/>
      </c>
      <c r="E594" s="51" t="str">
        <v/>
      </c>
      <c r="F594" s="52" t="str">
        <v/>
      </c>
      <c r="G594" s="48" t="str">
        <v/>
      </c>
      <c r="H594" s="49">
        <v>0</v>
      </c>
      <c r="I594" s="49">
        <v>0</v>
      </c>
      <c r="J594" s="50"/>
    </row>
    <row r="595" outlineLevel="1" spans="1:10">
      <c r="A595" s="50">
        <v>495</v>
      </c>
      <c r="B595" s="51" t="str">
        <v>楼地面-60厚C15细石砼</v>
      </c>
      <c r="C595" s="51" t="e">
        <v>#REF!</v>
      </c>
      <c r="D595" s="51" t="str">
        <v/>
      </c>
      <c r="E595" s="51" t="str">
        <v/>
      </c>
      <c r="F595" s="52" t="e">
        <v>#REF!</v>
      </c>
      <c r="G595" s="48" t="e">
        <v>#REF!</v>
      </c>
      <c r="H595" s="49">
        <v>1</v>
      </c>
      <c r="I595" s="49" t="e">
        <v>#REF!</v>
      </c>
      <c r="J595" s="50"/>
    </row>
    <row r="596" outlineLevel="1" spans="1:10">
      <c r="A596" s="50">
        <v>496</v>
      </c>
      <c r="B596" s="51" t="str">
        <v>楼地面-玻纤网</v>
      </c>
      <c r="C596" s="51" t="e">
        <v>#REF!</v>
      </c>
      <c r="D596" s="51" t="str">
        <v/>
      </c>
      <c r="E596" s="51" t="str">
        <v/>
      </c>
      <c r="F596" s="52" t="e">
        <v>#REF!</v>
      </c>
      <c r="G596" s="48" t="e">
        <v>#REF!</v>
      </c>
      <c r="H596" s="49">
        <v>1</v>
      </c>
      <c r="I596" s="49" t="e">
        <v>#REF!</v>
      </c>
      <c r="J596" s="50"/>
    </row>
    <row r="597" outlineLevel="1" spans="1:10">
      <c r="A597" s="50">
        <v>497</v>
      </c>
      <c r="B597" s="51" t="str">
        <v>楼地面-塑料膜</v>
      </c>
      <c r="C597" s="51" t="e">
        <v>#REF!</v>
      </c>
      <c r="D597" s="51" t="str">
        <v/>
      </c>
      <c r="E597" s="51" t="str">
        <v/>
      </c>
      <c r="F597" s="52" t="e">
        <v>#REF!</v>
      </c>
      <c r="G597" s="48" t="e">
        <v>#REF!</v>
      </c>
      <c r="H597" s="49">
        <v>1</v>
      </c>
      <c r="I597" s="49" t="e">
        <v>#REF!</v>
      </c>
      <c r="J597" s="50"/>
    </row>
    <row r="598" outlineLevel="1" spans="1:10">
      <c r="A598" s="50">
        <v>498</v>
      </c>
      <c r="B598" s="51" t="str">
        <v>楼地面-150厚3:7灰土夯实</v>
      </c>
      <c r="C598" s="51" t="e">
        <v>#REF!</v>
      </c>
      <c r="D598" s="51" t="str">
        <v/>
      </c>
      <c r="E598" s="51" t="str">
        <v/>
      </c>
      <c r="F598" s="52" t="e">
        <v>#REF!</v>
      </c>
      <c r="G598" s="48" t="e">
        <v>#REF!</v>
      </c>
      <c r="H598" s="49">
        <v>1</v>
      </c>
      <c r="I598" s="49" t="e">
        <v>#REF!</v>
      </c>
      <c r="J598" s="50"/>
    </row>
    <row r="599" outlineLevel="1" spans="1:10">
      <c r="A599" s="50">
        <v>499</v>
      </c>
      <c r="B599" s="51" t="str">
        <v>楼地面-素土夯实</v>
      </c>
      <c r="C599" s="51" t="e">
        <v>#REF!</v>
      </c>
      <c r="D599" s="51" t="str">
        <v/>
      </c>
      <c r="E599" s="51" t="str">
        <v/>
      </c>
      <c r="F599" s="52" t="e">
        <v>#REF!</v>
      </c>
      <c r="G599" s="48" t="e">
        <v>#REF!</v>
      </c>
      <c r="H599" s="49">
        <v>1</v>
      </c>
      <c r="I599" s="49" t="e">
        <v>#REF!</v>
      </c>
      <c r="J599" s="50"/>
    </row>
    <row r="600" outlineLevel="1" spans="1:10">
      <c r="A600" s="50" t="str">
        <v/>
      </c>
      <c r="B600" s="51" t="str">
        <v>厨房、阳台楼面（有覆土）</v>
      </c>
      <c r="C600" s="51" t="str">
        <v/>
      </c>
      <c r="D600" s="51" t="str">
        <v/>
      </c>
      <c r="E600" s="51" t="str">
        <v/>
      </c>
      <c r="F600" s="52" t="str">
        <v/>
      </c>
      <c r="G600" s="48" t="str">
        <v/>
      </c>
      <c r="H600" s="49">
        <v>0</v>
      </c>
      <c r="I600" s="49">
        <v>0</v>
      </c>
      <c r="J600" s="50"/>
    </row>
    <row r="601" outlineLevel="1" spans="1:10">
      <c r="A601" s="50">
        <v>500</v>
      </c>
      <c r="B601" s="51" t="str">
        <v>楼地面-50厚C15豆石砼</v>
      </c>
      <c r="C601" s="51" t="e">
        <v>#REF!</v>
      </c>
      <c r="D601" s="51" t="str">
        <v/>
      </c>
      <c r="E601" s="51" t="str">
        <v/>
      </c>
      <c r="F601" s="52" t="e">
        <v>#REF!</v>
      </c>
      <c r="G601" s="48" t="e">
        <v>#REF!</v>
      </c>
      <c r="H601" s="49">
        <v>0</v>
      </c>
      <c r="I601" s="49" t="e">
        <v>#REF!</v>
      </c>
      <c r="J601" s="50"/>
    </row>
    <row r="602" outlineLevel="1" spans="1:10">
      <c r="A602" s="50">
        <v>501</v>
      </c>
      <c r="B602" s="51" t="str">
        <v>楼地面-60厚C15细石砼</v>
      </c>
      <c r="C602" s="51" t="e">
        <v>#REF!</v>
      </c>
      <c r="D602" s="51" t="str">
        <v/>
      </c>
      <c r="E602" s="51" t="str">
        <v/>
      </c>
      <c r="F602" s="52" t="e">
        <v>#REF!</v>
      </c>
      <c r="G602" s="48" t="e">
        <v>#REF!</v>
      </c>
      <c r="H602" s="49">
        <v>0</v>
      </c>
      <c r="I602" s="49" t="e">
        <v>#REF!</v>
      </c>
      <c r="J602" s="50"/>
    </row>
    <row r="603" outlineLevel="1" spans="1:10">
      <c r="A603" s="50">
        <v>502</v>
      </c>
      <c r="B603" s="51" t="str">
        <v>楼地面-玻纤网</v>
      </c>
      <c r="C603" s="51" t="e">
        <v>#REF!</v>
      </c>
      <c r="D603" s="51" t="str">
        <v/>
      </c>
      <c r="E603" s="51" t="str">
        <v/>
      </c>
      <c r="F603" s="52" t="e">
        <v>#REF!</v>
      </c>
      <c r="G603" s="48" t="e">
        <v>#REF!</v>
      </c>
      <c r="H603" s="49">
        <v>0</v>
      </c>
      <c r="I603" s="49" t="e">
        <v>#REF!</v>
      </c>
      <c r="J603" s="50"/>
    </row>
    <row r="604" outlineLevel="1" spans="1:10">
      <c r="A604" s="50">
        <v>503</v>
      </c>
      <c r="B604" s="51" t="str">
        <v>楼地面-塑料膜</v>
      </c>
      <c r="C604" s="51" t="e">
        <v>#REF!</v>
      </c>
      <c r="D604" s="51" t="str">
        <v/>
      </c>
      <c r="E604" s="51" t="str">
        <v/>
      </c>
      <c r="F604" s="52" t="e">
        <v>#REF!</v>
      </c>
      <c r="G604" s="48" t="e">
        <v>#REF!</v>
      </c>
      <c r="H604" s="49">
        <v>0</v>
      </c>
      <c r="I604" s="49" t="e">
        <v>#REF!</v>
      </c>
      <c r="J604" s="50"/>
    </row>
    <row r="605" outlineLevel="1" spans="1:10">
      <c r="A605" s="50">
        <v>504</v>
      </c>
      <c r="B605" s="51" t="str">
        <v>楼地面-150厚3:7灰土夯实</v>
      </c>
      <c r="C605" s="51" t="e">
        <v>#REF!</v>
      </c>
      <c r="D605" s="51" t="str">
        <v/>
      </c>
      <c r="E605" s="51" t="str">
        <v/>
      </c>
      <c r="F605" s="52" t="e">
        <v>#REF!</v>
      </c>
      <c r="G605" s="48" t="e">
        <v>#REF!</v>
      </c>
      <c r="H605" s="49">
        <v>0</v>
      </c>
      <c r="I605" s="49" t="e">
        <v>#REF!</v>
      </c>
      <c r="J605" s="50"/>
    </row>
    <row r="606" outlineLevel="1" spans="1:10">
      <c r="A606" s="50">
        <v>505</v>
      </c>
      <c r="B606" s="51" t="str">
        <v>楼地面-素土夯实</v>
      </c>
      <c r="C606" s="51" t="e">
        <v>#REF!</v>
      </c>
      <c r="D606" s="51" t="str">
        <v/>
      </c>
      <c r="E606" s="51" t="str">
        <v/>
      </c>
      <c r="F606" s="52" t="e">
        <v>#REF!</v>
      </c>
      <c r="G606" s="48" t="e">
        <v>#REF!</v>
      </c>
      <c r="H606" s="49">
        <v>0</v>
      </c>
      <c r="I606" s="49" t="e">
        <v>#REF!</v>
      </c>
      <c r="J606" s="50"/>
    </row>
    <row r="607" ht="28.8" outlineLevel="1" spans="1:10">
      <c r="A607" s="50">
        <v>506</v>
      </c>
      <c r="B607" s="51" t="str">
        <v>楼地面-50厚C15细石砼（毛坯）</v>
      </c>
      <c r="C607" s="51" t="e">
        <v>#REF!</v>
      </c>
      <c r="D607" s="51" t="str">
        <v/>
      </c>
      <c r="E607" s="51" t="str">
        <v/>
      </c>
      <c r="F607" s="52" t="e">
        <v>#REF!</v>
      </c>
      <c r="G607" s="48" t="e">
        <v>#REF!</v>
      </c>
      <c r="H607" s="49">
        <v>1</v>
      </c>
      <c r="I607" s="49" t="e">
        <v>#REF!</v>
      </c>
      <c r="J607" s="50"/>
    </row>
    <row r="608" outlineLevel="1" spans="1:10">
      <c r="A608" s="50" t="str">
        <v/>
      </c>
      <c r="B608" s="51" t="str">
        <v>厨房楼面（无覆土）</v>
      </c>
      <c r="C608" s="51" t="str">
        <v/>
      </c>
      <c r="D608" s="51" t="str">
        <v/>
      </c>
      <c r="E608" s="51" t="str">
        <v/>
      </c>
      <c r="F608" s="52" t="str">
        <v/>
      </c>
      <c r="G608" s="48" t="str">
        <v/>
      </c>
      <c r="H608" s="49">
        <v>0</v>
      </c>
      <c r="I608" s="49">
        <v>0</v>
      </c>
      <c r="J608" s="50"/>
    </row>
    <row r="609" outlineLevel="1" spans="1:10">
      <c r="A609" s="50">
        <v>507</v>
      </c>
      <c r="B609" s="51" t="str">
        <v>楼地面-50厚C15豆石砼</v>
      </c>
      <c r="C609" s="51" t="e">
        <v>#REF!</v>
      </c>
      <c r="D609" s="51" t="str">
        <v/>
      </c>
      <c r="E609" s="51" t="str">
        <v/>
      </c>
      <c r="F609" s="52" t="e">
        <v>#REF!</v>
      </c>
      <c r="G609" s="48" t="e">
        <v>#REF!</v>
      </c>
      <c r="H609" s="49">
        <v>0</v>
      </c>
      <c r="I609" s="49" t="e">
        <v>#REF!</v>
      </c>
      <c r="J609" s="50"/>
    </row>
    <row r="610" outlineLevel="1" spans="1:10">
      <c r="A610" s="50">
        <v>508</v>
      </c>
      <c r="B610" s="51" t="str">
        <v>楼地面-玻纤网</v>
      </c>
      <c r="C610" s="51" t="e">
        <v>#REF!</v>
      </c>
      <c r="D610" s="51" t="str">
        <v/>
      </c>
      <c r="E610" s="51" t="str">
        <v/>
      </c>
      <c r="F610" s="52" t="e">
        <v>#REF!</v>
      </c>
      <c r="G610" s="48" t="e">
        <v>#REF!</v>
      </c>
      <c r="H610" s="49">
        <v>0</v>
      </c>
      <c r="I610" s="49" t="e">
        <v>#REF!</v>
      </c>
      <c r="J610" s="50"/>
    </row>
    <row r="611" outlineLevel="1" spans="1:10">
      <c r="A611" s="50" t="str">
        <v/>
      </c>
      <c r="B611" s="51" t="str">
        <v>其他房间-用于其他配套</v>
      </c>
      <c r="C611" s="51" t="str">
        <v/>
      </c>
      <c r="D611" s="51" t="str">
        <v/>
      </c>
      <c r="E611" s="51" t="str">
        <v/>
      </c>
      <c r="F611" s="52" t="str">
        <v/>
      </c>
      <c r="G611" s="48" t="str">
        <v/>
      </c>
      <c r="H611" s="49">
        <v>0</v>
      </c>
      <c r="I611" s="49">
        <v>0</v>
      </c>
      <c r="J611" s="50"/>
    </row>
    <row r="612" outlineLevel="1" spans="1:10">
      <c r="A612" s="50">
        <v>509</v>
      </c>
      <c r="B612" s="51" t="str">
        <v>楼地面-50厚C15豆石砼</v>
      </c>
      <c r="C612" s="51" t="e">
        <v>#REF!</v>
      </c>
      <c r="D612" s="51" t="str">
        <v/>
      </c>
      <c r="E612" s="51" t="str">
        <v/>
      </c>
      <c r="F612" s="52" t="e">
        <v>#REF!</v>
      </c>
      <c r="G612" s="48" t="e">
        <v>#REF!</v>
      </c>
      <c r="H612" s="49">
        <v>0</v>
      </c>
      <c r="I612" s="49" t="e">
        <v>#REF!</v>
      </c>
      <c r="J612" s="50"/>
    </row>
    <row r="613" outlineLevel="1" spans="1:10">
      <c r="A613" s="50">
        <v>510</v>
      </c>
      <c r="B613" s="51" t="str">
        <v>楼地面-玻纤网</v>
      </c>
      <c r="C613" s="51" t="e">
        <v>#REF!</v>
      </c>
      <c r="D613" s="51" t="str">
        <v/>
      </c>
      <c r="E613" s="51" t="str">
        <v/>
      </c>
      <c r="F613" s="52" t="e">
        <v>#REF!</v>
      </c>
      <c r="G613" s="48" t="e">
        <v>#REF!</v>
      </c>
      <c r="H613" s="49">
        <v>0</v>
      </c>
      <c r="I613" s="49" t="e">
        <v>#REF!</v>
      </c>
      <c r="J613" s="50"/>
    </row>
    <row r="614" outlineLevel="1" spans="1:10">
      <c r="A614" s="50">
        <v>511</v>
      </c>
      <c r="B614" s="51" t="str">
        <v>楼地面-60厚C15细石砼</v>
      </c>
      <c r="C614" s="51" t="e">
        <v>#REF!</v>
      </c>
      <c r="D614" s="51" t="str">
        <v/>
      </c>
      <c r="E614" s="51" t="str">
        <v/>
      </c>
      <c r="F614" s="52" t="e">
        <v>#REF!</v>
      </c>
      <c r="G614" s="48" t="e">
        <v>#REF!</v>
      </c>
      <c r="H614" s="49">
        <v>0</v>
      </c>
      <c r="I614" s="49" t="e">
        <v>#REF!</v>
      </c>
      <c r="J614" s="50"/>
    </row>
    <row r="615" outlineLevel="1" spans="1:10">
      <c r="A615" s="50">
        <v>512</v>
      </c>
      <c r="B615" s="51" t="str">
        <v>楼地面-塑料膜</v>
      </c>
      <c r="C615" s="51" t="e">
        <v>#REF!</v>
      </c>
      <c r="D615" s="51" t="str">
        <v/>
      </c>
      <c r="E615" s="51" t="str">
        <v/>
      </c>
      <c r="F615" s="52" t="e">
        <v>#REF!</v>
      </c>
      <c r="G615" s="48" t="e">
        <v>#REF!</v>
      </c>
      <c r="H615" s="49">
        <v>0</v>
      </c>
      <c r="I615" s="49" t="e">
        <v>#REF!</v>
      </c>
      <c r="J615" s="50"/>
    </row>
    <row r="616" outlineLevel="1" spans="1:10">
      <c r="A616" s="50">
        <v>513</v>
      </c>
      <c r="B616" s="51" t="str">
        <v>楼地面-150厚3:7灰土夯实</v>
      </c>
      <c r="C616" s="51" t="e">
        <v>#REF!</v>
      </c>
      <c r="D616" s="51" t="str">
        <v/>
      </c>
      <c r="E616" s="51" t="str">
        <v/>
      </c>
      <c r="F616" s="52" t="e">
        <v>#REF!</v>
      </c>
      <c r="G616" s="48" t="e">
        <v>#REF!</v>
      </c>
      <c r="H616" s="49">
        <v>0</v>
      </c>
      <c r="I616" s="49" t="e">
        <v>#REF!</v>
      </c>
      <c r="J616" s="50"/>
    </row>
    <row r="617" outlineLevel="1" spans="1:10">
      <c r="A617" s="50">
        <v>514</v>
      </c>
      <c r="B617" s="51" t="str">
        <v>楼地面-素土夯实</v>
      </c>
      <c r="C617" s="51" t="e">
        <v>#REF!</v>
      </c>
      <c r="D617" s="51" t="str">
        <v/>
      </c>
      <c r="E617" s="51" t="str">
        <v/>
      </c>
      <c r="F617" s="52" t="e">
        <v>#REF!</v>
      </c>
      <c r="G617" s="48" t="e">
        <v>#REF!</v>
      </c>
      <c r="H617" s="49">
        <v>0</v>
      </c>
      <c r="I617" s="49" t="e">
        <v>#REF!</v>
      </c>
      <c r="J617" s="50"/>
    </row>
    <row r="618" outlineLevel="1" spans="1:10">
      <c r="A618" s="50" t="str">
        <v/>
      </c>
      <c r="B618" s="51" t="str">
        <v>其他房间-用于售楼处</v>
      </c>
      <c r="C618" s="51" t="str">
        <v/>
      </c>
      <c r="D618" s="51" t="str">
        <v/>
      </c>
      <c r="E618" s="51" t="str">
        <v/>
      </c>
      <c r="F618" s="52" t="str">
        <v/>
      </c>
      <c r="G618" s="48" t="str">
        <v/>
      </c>
      <c r="H618" s="49">
        <v>0</v>
      </c>
      <c r="I618" s="49">
        <v>0</v>
      </c>
      <c r="J618" s="50"/>
    </row>
    <row r="619" outlineLevel="1" spans="1:10">
      <c r="A619" s="50">
        <v>515</v>
      </c>
      <c r="B619" s="51" t="str">
        <v>楼地面-50厚C15豆石砼</v>
      </c>
      <c r="C619" s="51" t="e">
        <v>#REF!</v>
      </c>
      <c r="D619" s="51" t="str">
        <v/>
      </c>
      <c r="E619" s="51" t="str">
        <v/>
      </c>
      <c r="F619" s="52" t="e">
        <v>#REF!</v>
      </c>
      <c r="G619" s="48" t="e">
        <v>#REF!</v>
      </c>
      <c r="H619" s="49">
        <v>0</v>
      </c>
      <c r="I619" s="49" t="e">
        <v>#REF!</v>
      </c>
      <c r="J619" s="50"/>
    </row>
    <row r="620" outlineLevel="1" spans="1:10">
      <c r="A620" s="50">
        <v>516</v>
      </c>
      <c r="B620" s="51" t="str">
        <v>楼地面-70厚C15豆石砼</v>
      </c>
      <c r="C620" s="51" t="e">
        <v>#REF!</v>
      </c>
      <c r="D620" s="51" t="str">
        <v/>
      </c>
      <c r="E620" s="51" t="str">
        <v/>
      </c>
      <c r="F620" s="52" t="e">
        <v>#REF!</v>
      </c>
      <c r="G620" s="48" t="e">
        <v>#REF!</v>
      </c>
      <c r="H620" s="49">
        <v>0</v>
      </c>
      <c r="I620" s="49" t="e">
        <v>#REF!</v>
      </c>
      <c r="J620" s="50"/>
    </row>
    <row r="621" outlineLevel="1" spans="1:10">
      <c r="A621" s="50">
        <v>517</v>
      </c>
      <c r="B621" s="51" t="str">
        <v>楼地面-玻纤网</v>
      </c>
      <c r="C621" s="51" t="e">
        <v>#REF!</v>
      </c>
      <c r="D621" s="51" t="str">
        <v/>
      </c>
      <c r="E621" s="51" t="str">
        <v/>
      </c>
      <c r="F621" s="52" t="e">
        <v>#REF!</v>
      </c>
      <c r="G621" s="48" t="e">
        <v>#REF!</v>
      </c>
      <c r="H621" s="49">
        <v>0</v>
      </c>
      <c r="I621" s="49" t="e">
        <v>#REF!</v>
      </c>
      <c r="J621" s="50"/>
    </row>
    <row r="622" outlineLevel="1" spans="1:10">
      <c r="A622" s="50">
        <v>518</v>
      </c>
      <c r="B622" s="51" t="str">
        <v>楼地面-100厚C20砼</v>
      </c>
      <c r="C622" s="51" t="e">
        <v>#REF!</v>
      </c>
      <c r="D622" s="51" t="str">
        <v/>
      </c>
      <c r="E622" s="51" t="str">
        <v/>
      </c>
      <c r="F622" s="52" t="e">
        <v>#REF!</v>
      </c>
      <c r="G622" s="48" t="e">
        <v>#REF!</v>
      </c>
      <c r="H622" s="49">
        <v>0</v>
      </c>
      <c r="I622" s="49" t="e">
        <v>#REF!</v>
      </c>
      <c r="J622" s="50"/>
    </row>
    <row r="623" outlineLevel="1" spans="1:10">
      <c r="A623" s="50">
        <v>519</v>
      </c>
      <c r="B623" s="51" t="str">
        <v>楼地面-塑料膜</v>
      </c>
      <c r="C623" s="51" t="e">
        <v>#REF!</v>
      </c>
      <c r="D623" s="51" t="str">
        <v/>
      </c>
      <c r="E623" s="51" t="str">
        <v/>
      </c>
      <c r="F623" s="52" t="e">
        <v>#REF!</v>
      </c>
      <c r="G623" s="48" t="e">
        <v>#REF!</v>
      </c>
      <c r="H623" s="49">
        <v>0</v>
      </c>
      <c r="I623" s="49" t="e">
        <v>#REF!</v>
      </c>
      <c r="J623" s="50"/>
    </row>
    <row r="624" outlineLevel="1" spans="1:10">
      <c r="A624" s="50">
        <v>520</v>
      </c>
      <c r="B624" s="51" t="str">
        <v>楼地面-150厚3:7灰土夯实</v>
      </c>
      <c r="C624" s="51" t="e">
        <v>#REF!</v>
      </c>
      <c r="D624" s="51" t="str">
        <v/>
      </c>
      <c r="E624" s="51" t="str">
        <v/>
      </c>
      <c r="F624" s="52" t="e">
        <v>#REF!</v>
      </c>
      <c r="G624" s="48" t="e">
        <v>#REF!</v>
      </c>
      <c r="H624" s="49">
        <v>0</v>
      </c>
      <c r="I624" s="49" t="e">
        <v>#REF!</v>
      </c>
      <c r="J624" s="50"/>
    </row>
    <row r="625" outlineLevel="1" spans="1:10">
      <c r="A625" s="50">
        <v>521</v>
      </c>
      <c r="B625" s="51" t="str">
        <v>楼地面-素土夯实</v>
      </c>
      <c r="C625" s="51" t="e">
        <v>#REF!</v>
      </c>
      <c r="D625" s="51" t="str">
        <v/>
      </c>
      <c r="E625" s="51" t="str">
        <v/>
      </c>
      <c r="F625" s="52" t="e">
        <v>#REF!</v>
      </c>
      <c r="G625" s="48" t="e">
        <v>#REF!</v>
      </c>
      <c r="H625" s="49">
        <v>0</v>
      </c>
      <c r="I625" s="49" t="e">
        <v>#REF!</v>
      </c>
      <c r="J625" s="50"/>
    </row>
    <row r="626" outlineLevel="1" spans="1:10">
      <c r="A626" s="50" t="str">
        <v/>
      </c>
      <c r="B626" s="51" t="str">
        <v>电井、进线间、热计量间</v>
      </c>
      <c r="C626" s="51" t="str">
        <v/>
      </c>
      <c r="D626" s="51" t="str">
        <v/>
      </c>
      <c r="E626" s="51" t="str">
        <v/>
      </c>
      <c r="F626" s="52" t="str">
        <v/>
      </c>
      <c r="G626" s="48" t="str">
        <v/>
      </c>
      <c r="H626" s="49">
        <v>0</v>
      </c>
      <c r="I626" s="49">
        <v>0</v>
      </c>
      <c r="J626" s="50"/>
    </row>
    <row r="627" outlineLevel="1" spans="1:10">
      <c r="A627" s="50">
        <v>522</v>
      </c>
      <c r="B627" s="51" t="str">
        <v>楼地面-60厚C15细石砼</v>
      </c>
      <c r="C627" s="51" t="e">
        <v>#REF!</v>
      </c>
      <c r="D627" s="51" t="str">
        <v/>
      </c>
      <c r="E627" s="51" t="str">
        <v/>
      </c>
      <c r="F627" s="52" t="e">
        <v>#REF!</v>
      </c>
      <c r="G627" s="48" t="e">
        <v>#REF!</v>
      </c>
      <c r="H627" s="49">
        <v>0</v>
      </c>
      <c r="I627" s="49" t="e">
        <v>#REF!</v>
      </c>
      <c r="J627" s="50"/>
    </row>
    <row r="628" outlineLevel="1" spans="1:10">
      <c r="A628" s="50">
        <v>523</v>
      </c>
      <c r="B628" s="51" t="str">
        <v>楼地面</v>
      </c>
      <c r="C628" s="51" t="e">
        <v>#REF!</v>
      </c>
      <c r="D628" s="51" t="str">
        <v/>
      </c>
      <c r="E628" s="51" t="str">
        <v/>
      </c>
      <c r="F628" s="52" t="e">
        <v>#REF!</v>
      </c>
      <c r="G628" s="48" t="e">
        <v>#REF!</v>
      </c>
      <c r="H628" s="49">
        <v>0</v>
      </c>
      <c r="I628" s="49" t="e">
        <v>#REF!</v>
      </c>
      <c r="J628" s="50"/>
    </row>
    <row r="629" outlineLevel="1" spans="1:10">
      <c r="A629" s="50">
        <v>524</v>
      </c>
      <c r="B629" s="51" t="str">
        <v>楼地面-塑料膜</v>
      </c>
      <c r="C629" s="51" t="e">
        <v>#REF!</v>
      </c>
      <c r="D629" s="51" t="str">
        <v/>
      </c>
      <c r="E629" s="51" t="str">
        <v/>
      </c>
      <c r="F629" s="52" t="e">
        <v>#REF!</v>
      </c>
      <c r="G629" s="48" t="e">
        <v>#REF!</v>
      </c>
      <c r="H629" s="49">
        <v>0</v>
      </c>
      <c r="I629" s="49" t="e">
        <v>#REF!</v>
      </c>
      <c r="J629" s="50"/>
    </row>
    <row r="630" outlineLevel="1" spans="1:10">
      <c r="A630" s="50">
        <v>525</v>
      </c>
      <c r="B630" s="51" t="str">
        <v>楼地面-150厚3:7灰土夯实</v>
      </c>
      <c r="C630" s="51" t="e">
        <v>#REF!</v>
      </c>
      <c r="D630" s="51" t="str">
        <v/>
      </c>
      <c r="E630" s="51" t="str">
        <v/>
      </c>
      <c r="F630" s="52" t="e">
        <v>#REF!</v>
      </c>
      <c r="G630" s="48" t="e">
        <v>#REF!</v>
      </c>
      <c r="H630" s="49">
        <v>0</v>
      </c>
      <c r="I630" s="49" t="e">
        <v>#REF!</v>
      </c>
      <c r="J630" s="50"/>
    </row>
    <row r="631" outlineLevel="1" spans="1:10">
      <c r="A631" s="50">
        <v>526</v>
      </c>
      <c r="B631" s="51" t="str">
        <v>楼地面-素土夯实</v>
      </c>
      <c r="C631" s="51" t="e">
        <v>#REF!</v>
      </c>
      <c r="D631" s="51" t="str">
        <v/>
      </c>
      <c r="E631" s="51" t="str">
        <v/>
      </c>
      <c r="F631" s="52" t="e">
        <v>#REF!</v>
      </c>
      <c r="G631" s="48" t="e">
        <v>#REF!</v>
      </c>
      <c r="H631" s="49">
        <v>0</v>
      </c>
      <c r="I631" s="49" t="e">
        <v>#REF!</v>
      </c>
      <c r="J631" s="50"/>
    </row>
    <row r="632" outlineLevel="1" spans="1:10">
      <c r="A632" s="50" t="str">
        <v/>
      </c>
      <c r="B632" s="51" t="str">
        <v>住宅室外连廊楼面</v>
      </c>
      <c r="C632" s="51" t="str">
        <v/>
      </c>
      <c r="D632" s="51" t="str">
        <v/>
      </c>
      <c r="E632" s="51" t="str">
        <v/>
      </c>
      <c r="F632" s="52" t="str">
        <v/>
      </c>
      <c r="G632" s="48" t="str">
        <v/>
      </c>
      <c r="H632" s="49">
        <v>0</v>
      </c>
      <c r="I632" s="49">
        <v>0</v>
      </c>
      <c r="J632" s="50"/>
    </row>
    <row r="633" outlineLevel="1" spans="1:10">
      <c r="A633" s="50">
        <v>527</v>
      </c>
      <c r="B633" s="51" t="str">
        <v>楼地面-30厚水泥砂浆找坡</v>
      </c>
      <c r="C633" s="51" t="e">
        <v>#REF!</v>
      </c>
      <c r="D633" s="51" t="str">
        <v/>
      </c>
      <c r="E633" s="51" t="str">
        <v/>
      </c>
      <c r="F633" s="52" t="e">
        <v>#REF!</v>
      </c>
      <c r="G633" s="48" t="e">
        <v>#REF!</v>
      </c>
      <c r="H633" s="49">
        <v>76.81</v>
      </c>
      <c r="I633" s="49" t="e">
        <v>#REF!</v>
      </c>
      <c r="J633" s="50"/>
    </row>
    <row r="634" outlineLevel="1" spans="1:10">
      <c r="A634" s="50">
        <v>528</v>
      </c>
      <c r="B634" s="51" t="str">
        <v>楼地面-电梯机房地面</v>
      </c>
      <c r="C634" s="51" t="e">
        <v>#REF!</v>
      </c>
      <c r="D634" s="51" t="str">
        <v/>
      </c>
      <c r="E634" s="51" t="str">
        <v/>
      </c>
      <c r="F634" s="52" t="e">
        <v>#REF!</v>
      </c>
      <c r="G634" s="48" t="e">
        <v>#REF!</v>
      </c>
      <c r="H634" s="49">
        <v>23.36</v>
      </c>
      <c r="I634" s="49" t="e">
        <v>#REF!</v>
      </c>
      <c r="J634" s="50"/>
    </row>
    <row r="635" outlineLevel="1" spans="1:10">
      <c r="A635" s="50" t="str">
        <v/>
      </c>
      <c r="B635" s="51" t="str">
        <v>屋顶加压送风机房地面</v>
      </c>
      <c r="C635" s="51" t="str">
        <v/>
      </c>
      <c r="D635" s="51" t="str">
        <v/>
      </c>
      <c r="E635" s="51" t="str">
        <v/>
      </c>
      <c r="F635" s="52" t="str">
        <v/>
      </c>
      <c r="G635" s="48" t="str">
        <v/>
      </c>
      <c r="H635" s="49">
        <v>0</v>
      </c>
      <c r="I635" s="49">
        <v>0</v>
      </c>
      <c r="J635" s="50"/>
    </row>
    <row r="636" outlineLevel="1" spans="1:10">
      <c r="A636" s="50">
        <v>529</v>
      </c>
      <c r="B636" s="51" t="str">
        <v>楼地面-50厚C20砼</v>
      </c>
      <c r="C636" s="51" t="e">
        <v>#REF!</v>
      </c>
      <c r="D636" s="51" t="str">
        <v/>
      </c>
      <c r="E636" s="51" t="str">
        <v/>
      </c>
      <c r="F636" s="52" t="e">
        <v>#REF!</v>
      </c>
      <c r="G636" s="48" t="e">
        <v>#REF!</v>
      </c>
      <c r="H636" s="49">
        <v>55.79</v>
      </c>
      <c r="I636" s="49" t="e">
        <v>#REF!</v>
      </c>
      <c r="J636" s="50"/>
    </row>
    <row r="637" outlineLevel="1" spans="1:10">
      <c r="A637" s="50">
        <v>530</v>
      </c>
      <c r="B637" s="51" t="str">
        <v>楼地面-玻纤网</v>
      </c>
      <c r="C637" s="51" t="e">
        <v>#REF!</v>
      </c>
      <c r="D637" s="51" t="str">
        <v/>
      </c>
      <c r="E637" s="51" t="str">
        <v/>
      </c>
      <c r="F637" s="52" t="e">
        <v>#REF!</v>
      </c>
      <c r="G637" s="48" t="e">
        <v>#REF!</v>
      </c>
      <c r="H637" s="49">
        <v>55.79</v>
      </c>
      <c r="I637" s="49" t="e">
        <v>#REF!</v>
      </c>
      <c r="J637" s="50"/>
    </row>
    <row r="638" outlineLevel="1" spans="1:10">
      <c r="A638" s="50">
        <v>531</v>
      </c>
      <c r="B638" s="51" t="str">
        <v>楼地面-190厚EPS</v>
      </c>
      <c r="C638" s="51" t="e">
        <v>#REF!</v>
      </c>
      <c r="D638" s="51" t="str">
        <v/>
      </c>
      <c r="E638" s="51" t="str">
        <v/>
      </c>
      <c r="F638" s="52" t="e">
        <v>#REF!</v>
      </c>
      <c r="G638" s="48" t="e">
        <v>#REF!</v>
      </c>
      <c r="H638" s="49">
        <v>55.79</v>
      </c>
      <c r="I638" s="49" t="e">
        <v>#REF!</v>
      </c>
      <c r="J638" s="50"/>
    </row>
    <row r="639" outlineLevel="1" spans="1:10">
      <c r="A639" s="50" t="str">
        <v/>
      </c>
      <c r="B639" s="51" t="str">
        <v>水箱间地面</v>
      </c>
      <c r="C639" s="51" t="str">
        <v/>
      </c>
      <c r="D639" s="51" t="str">
        <v/>
      </c>
      <c r="E639" s="51" t="str">
        <v/>
      </c>
      <c r="F639" s="52" t="str">
        <v/>
      </c>
      <c r="G639" s="48" t="str">
        <v/>
      </c>
      <c r="H639" s="49">
        <v>0</v>
      </c>
      <c r="I639" s="49">
        <v>0</v>
      </c>
      <c r="J639" s="50"/>
    </row>
    <row r="640" outlineLevel="1" spans="1:10">
      <c r="A640" s="50">
        <v>532</v>
      </c>
      <c r="B640" s="51" t="str">
        <v>楼地面-40厚C20细石砼</v>
      </c>
      <c r="C640" s="51" t="e">
        <v>#REF!</v>
      </c>
      <c r="D640" s="51" t="str">
        <v/>
      </c>
      <c r="E640" s="51" t="str">
        <v/>
      </c>
      <c r="F640" s="52" t="e">
        <v>#REF!</v>
      </c>
      <c r="G640" s="48" t="e">
        <v>#REF!</v>
      </c>
      <c r="H640" s="49">
        <v>1</v>
      </c>
      <c r="I640" s="49" t="e">
        <v>#REF!</v>
      </c>
      <c r="J640" s="50"/>
    </row>
    <row r="641" outlineLevel="1" spans="1:10">
      <c r="A641" s="50">
        <v>533</v>
      </c>
      <c r="B641" s="51" t="str">
        <v>楼地面-土工布</v>
      </c>
      <c r="C641" s="51" t="e">
        <v>#REF!</v>
      </c>
      <c r="D641" s="51" t="str">
        <v/>
      </c>
      <c r="E641" s="51" t="str">
        <v/>
      </c>
      <c r="F641" s="52" t="e">
        <v>#REF!</v>
      </c>
      <c r="G641" s="48" t="e">
        <v>#REF!</v>
      </c>
      <c r="H641" s="49">
        <v>1</v>
      </c>
      <c r="I641" s="49" t="e">
        <v>#REF!</v>
      </c>
      <c r="J641" s="50"/>
    </row>
    <row r="642" outlineLevel="1" spans="1:10">
      <c r="A642" s="50">
        <v>534</v>
      </c>
      <c r="B642" s="51" t="str">
        <v>楼地面-3+3厚SBS</v>
      </c>
      <c r="C642" s="51" t="e">
        <v>#REF!</v>
      </c>
      <c r="D642" s="51" t="str">
        <v/>
      </c>
      <c r="E642" s="51" t="str">
        <v/>
      </c>
      <c r="F642" s="52" t="e">
        <v>#REF!</v>
      </c>
      <c r="G642" s="48" t="e">
        <v>#REF!</v>
      </c>
      <c r="H642" s="49">
        <v>1</v>
      </c>
      <c r="I642" s="49" t="e">
        <v>#REF!</v>
      </c>
      <c r="J642" s="50"/>
    </row>
    <row r="643" outlineLevel="1" spans="1:10">
      <c r="A643" s="50">
        <v>535</v>
      </c>
      <c r="B643" s="51" t="str">
        <v>楼地面-20厚M15水泥砂浆</v>
      </c>
      <c r="C643" s="51" t="e">
        <v>#REF!</v>
      </c>
      <c r="D643" s="51" t="str">
        <v/>
      </c>
      <c r="E643" s="51" t="str">
        <v/>
      </c>
      <c r="F643" s="52" t="e">
        <v>#REF!</v>
      </c>
      <c r="G643" s="48" t="e">
        <v>#REF!</v>
      </c>
      <c r="H643" s="49">
        <v>1</v>
      </c>
      <c r="I643" s="49" t="e">
        <v>#REF!</v>
      </c>
      <c r="J643" s="50"/>
    </row>
    <row r="644" outlineLevel="1" spans="1:10">
      <c r="A644" s="50" t="str">
        <v/>
      </c>
      <c r="B644" s="51" t="str">
        <v>消防控制室</v>
      </c>
      <c r="C644" s="51" t="str">
        <v/>
      </c>
      <c r="D644" s="51" t="str">
        <v/>
      </c>
      <c r="E644" s="51" t="str">
        <v/>
      </c>
      <c r="F644" s="52" t="str">
        <v/>
      </c>
      <c r="G644" s="48" t="str">
        <v/>
      </c>
      <c r="H644" s="49">
        <v>0</v>
      </c>
      <c r="I644" s="49">
        <v>0</v>
      </c>
      <c r="J644" s="50"/>
    </row>
    <row r="645" outlineLevel="1" spans="1:10">
      <c r="A645" s="50">
        <v>536</v>
      </c>
      <c r="B645" s="51" t="str">
        <v>楼地面-60厚C15砼</v>
      </c>
      <c r="C645" s="51" t="e">
        <v>#REF!</v>
      </c>
      <c r="D645" s="51" t="str">
        <v/>
      </c>
      <c r="E645" s="51" t="str">
        <v/>
      </c>
      <c r="F645" s="52" t="e">
        <v>#REF!</v>
      </c>
      <c r="G645" s="48" t="e">
        <v>#REF!</v>
      </c>
      <c r="H645" s="49">
        <v>0</v>
      </c>
      <c r="I645" s="49" t="e">
        <v>#REF!</v>
      </c>
      <c r="J645" s="50"/>
    </row>
    <row r="646" outlineLevel="1" spans="1:10">
      <c r="A646" s="50">
        <v>537</v>
      </c>
      <c r="B646" s="51" t="str">
        <v>楼地面-塑料膜</v>
      </c>
      <c r="C646" s="51" t="e">
        <v>#REF!</v>
      </c>
      <c r="D646" s="51" t="str">
        <v/>
      </c>
      <c r="E646" s="51" t="str">
        <v/>
      </c>
      <c r="F646" s="52" t="e">
        <v>#REF!</v>
      </c>
      <c r="G646" s="48" t="e">
        <v>#REF!</v>
      </c>
      <c r="H646" s="49">
        <v>0</v>
      </c>
      <c r="I646" s="49" t="e">
        <v>#REF!</v>
      </c>
      <c r="J646" s="50"/>
    </row>
    <row r="647" outlineLevel="1" spans="1:10">
      <c r="A647" s="50">
        <v>538</v>
      </c>
      <c r="B647" s="51" t="str">
        <v>楼地面-150厚3:7灰土夯实</v>
      </c>
      <c r="C647" s="51" t="e">
        <v>#REF!</v>
      </c>
      <c r="D647" s="51" t="str">
        <v/>
      </c>
      <c r="E647" s="51" t="str">
        <v/>
      </c>
      <c r="F647" s="52" t="e">
        <v>#REF!</v>
      </c>
      <c r="G647" s="48" t="e">
        <v>#REF!</v>
      </c>
      <c r="H647" s="49">
        <v>0</v>
      </c>
      <c r="I647" s="49" t="e">
        <v>#REF!</v>
      </c>
      <c r="J647" s="50"/>
    </row>
    <row r="648" outlineLevel="1" spans="1:10">
      <c r="A648" s="50">
        <v>539</v>
      </c>
      <c r="B648" s="51" t="str">
        <v>楼地面-素土夯实</v>
      </c>
      <c r="C648" s="51" t="e">
        <v>#REF!</v>
      </c>
      <c r="D648" s="51" t="str">
        <v/>
      </c>
      <c r="E648" s="51" t="str">
        <v/>
      </c>
      <c r="F648" s="52" t="e">
        <v>#REF!</v>
      </c>
      <c r="G648" s="48" t="e">
        <v>#REF!</v>
      </c>
      <c r="H648" s="49">
        <v>0</v>
      </c>
      <c r="I648" s="49" t="e">
        <v>#REF!</v>
      </c>
      <c r="J648" s="50"/>
    </row>
    <row r="649" outlineLevel="1" spans="1:10">
      <c r="A649" s="50">
        <v>540</v>
      </c>
      <c r="B649" s="51" t="str">
        <v>踢脚线-100mm灰色涂料</v>
      </c>
      <c r="C649" s="51" t="e">
        <v>#REF!</v>
      </c>
      <c r="D649" s="51" t="str">
        <v/>
      </c>
      <c r="E649" s="51" t="str">
        <v/>
      </c>
      <c r="F649" s="52" t="e">
        <v>#REF!</v>
      </c>
      <c r="G649" s="48" t="e">
        <v>#REF!</v>
      </c>
      <c r="H649" s="49">
        <v>1</v>
      </c>
      <c r="I649" s="49" t="e">
        <v>#REF!</v>
      </c>
      <c r="J649" s="50"/>
    </row>
    <row r="650" outlineLevel="1" spans="1:10">
      <c r="A650" s="50">
        <v>541</v>
      </c>
      <c r="B650" s="51" t="str">
        <v>楼地面-聚氨酯防水涂料</v>
      </c>
      <c r="C650" s="51" t="e">
        <v>#REF!</v>
      </c>
      <c r="D650" s="51" t="str">
        <v/>
      </c>
      <c r="E650" s="51" t="str">
        <v/>
      </c>
      <c r="F650" s="52" t="e">
        <v>#REF!</v>
      </c>
      <c r="G650" s="48" t="e">
        <v>#REF!</v>
      </c>
      <c r="H650" s="49">
        <v>1444.11</v>
      </c>
      <c r="I650" s="49" t="e">
        <v>#REF!</v>
      </c>
      <c r="J650" s="50"/>
    </row>
    <row r="651" outlineLevel="1" spans="1:10">
      <c r="A651" s="50" t="str">
        <v/>
      </c>
      <c r="B651" s="51" t="str">
        <v>A.05.02墙柱装饰工程</v>
      </c>
      <c r="C651" s="51" t="str">
        <v/>
      </c>
      <c r="D651" s="51" t="str">
        <v/>
      </c>
      <c r="E651" s="51" t="str">
        <v/>
      </c>
      <c r="F651" s="52" t="str">
        <v/>
      </c>
      <c r="G651" s="48" t="str">
        <v/>
      </c>
      <c r="H651" s="49">
        <v>0</v>
      </c>
      <c r="I651" s="49" t="e">
        <v>#REF!</v>
      </c>
      <c r="J651" s="50"/>
    </row>
    <row r="652" outlineLevel="1" spans="1:10">
      <c r="A652" s="50" t="str">
        <v/>
      </c>
      <c r="B652" s="51" t="str">
        <v>分户墙(其他）</v>
      </c>
      <c r="C652" s="51" t="str">
        <v/>
      </c>
      <c r="D652" s="51" t="str">
        <v/>
      </c>
      <c r="E652" s="51" t="str">
        <v/>
      </c>
      <c r="F652" s="52" t="str">
        <v/>
      </c>
      <c r="G652" s="48" t="str">
        <v/>
      </c>
      <c r="H652" s="49">
        <v>0</v>
      </c>
      <c r="I652" s="49">
        <v>0</v>
      </c>
      <c r="J652" s="50"/>
    </row>
    <row r="653" outlineLevel="1" spans="1:10">
      <c r="A653" s="50">
        <v>542</v>
      </c>
      <c r="B653" s="51" t="str">
        <v>内墙面-界面剂</v>
      </c>
      <c r="C653" s="51" t="e">
        <v>#REF!</v>
      </c>
      <c r="D653" s="51" t="str">
        <v/>
      </c>
      <c r="E653" s="51" t="str">
        <v/>
      </c>
      <c r="F653" s="52" t="e">
        <v>#REF!</v>
      </c>
      <c r="G653" s="48" t="e">
        <v>#REF!</v>
      </c>
      <c r="H653" s="49">
        <v>1294.147</v>
      </c>
      <c r="I653" s="49" t="e">
        <v>#REF!</v>
      </c>
      <c r="J653" s="50"/>
    </row>
    <row r="654" outlineLevel="1" spans="1:10">
      <c r="A654" s="50">
        <v>543</v>
      </c>
      <c r="B654" s="51" t="str">
        <v>内墙面-15厚无机保温砂浆</v>
      </c>
      <c r="C654" s="51" t="e">
        <v>#REF!</v>
      </c>
      <c r="D654" s="51" t="str">
        <v/>
      </c>
      <c r="E654" s="51" t="str">
        <v/>
      </c>
      <c r="F654" s="52" t="e">
        <v>#REF!</v>
      </c>
      <c r="G654" s="48" t="e">
        <v>#REF!</v>
      </c>
      <c r="H654" s="49">
        <v>1294.147</v>
      </c>
      <c r="I654" s="49" t="e">
        <v>#REF!</v>
      </c>
      <c r="J654" s="50"/>
    </row>
    <row r="655" outlineLevel="1" spans="1:10">
      <c r="A655" s="50">
        <v>544</v>
      </c>
      <c r="B655" s="51" t="str">
        <v>内墙面-10厚无机保温砂浆</v>
      </c>
      <c r="C655" s="51" t="e">
        <v>#REF!</v>
      </c>
      <c r="D655" s="51" t="str">
        <v/>
      </c>
      <c r="E655" s="51" t="str">
        <v/>
      </c>
      <c r="F655" s="52" t="e">
        <v>#REF!</v>
      </c>
      <c r="G655" s="48" t="e">
        <v>#REF!</v>
      </c>
      <c r="H655" s="49">
        <v>0</v>
      </c>
      <c r="I655" s="49" t="e">
        <v>#REF!</v>
      </c>
      <c r="J655" s="50"/>
    </row>
    <row r="656" outlineLevel="1" spans="1:10">
      <c r="A656" s="50">
        <v>545</v>
      </c>
      <c r="B656" s="51" t="str">
        <v>内墙面-3厚抗裂砂浆</v>
      </c>
      <c r="C656" s="51" t="e">
        <v>#REF!</v>
      </c>
      <c r="D656" s="51" t="str">
        <v/>
      </c>
      <c r="E656" s="51" t="str">
        <v/>
      </c>
      <c r="F656" s="52" t="e">
        <v>#REF!</v>
      </c>
      <c r="G656" s="48" t="e">
        <v>#REF!</v>
      </c>
      <c r="H656" s="49">
        <v>1294.147</v>
      </c>
      <c r="I656" s="49" t="e">
        <v>#REF!</v>
      </c>
      <c r="J656" s="50"/>
    </row>
    <row r="657" outlineLevel="1" spans="1:10">
      <c r="A657" s="50">
        <v>546</v>
      </c>
      <c r="B657" s="51" t="str">
        <v>内墙面-玻纤网</v>
      </c>
      <c r="C657" s="51" t="e">
        <v>#REF!</v>
      </c>
      <c r="D657" s="51" t="str">
        <v/>
      </c>
      <c r="E657" s="51" t="str">
        <v/>
      </c>
      <c r="F657" s="52" t="e">
        <v>#REF!</v>
      </c>
      <c r="G657" s="48" t="e">
        <v>#REF!</v>
      </c>
      <c r="H657" s="49">
        <v>1294.147</v>
      </c>
      <c r="I657" s="49" t="e">
        <v>#REF!</v>
      </c>
      <c r="J657" s="50"/>
    </row>
    <row r="658" outlineLevel="1" spans="1:10">
      <c r="A658" s="50">
        <v>547</v>
      </c>
      <c r="B658" s="51" t="str">
        <v>内墙面-交接处玻纤网</v>
      </c>
      <c r="C658" s="51" t="e">
        <v>#REF!</v>
      </c>
      <c r="D658" s="51" t="str">
        <v/>
      </c>
      <c r="E658" s="51" t="str">
        <v/>
      </c>
      <c r="F658" s="52" t="e">
        <v>#REF!</v>
      </c>
      <c r="G658" s="48" t="e">
        <v>#REF!</v>
      </c>
      <c r="H658" s="49">
        <v>1</v>
      </c>
      <c r="I658" s="49" t="e">
        <v>#REF!</v>
      </c>
      <c r="J658" s="50"/>
    </row>
    <row r="659" outlineLevel="1" spans="1:10">
      <c r="A659" s="50" t="str">
        <v/>
      </c>
      <c r="B659" s="51" t="str">
        <v>采暖与不采暖房间的隔墙</v>
      </c>
      <c r="C659" s="51" t="str">
        <v/>
      </c>
      <c r="D659" s="51" t="str">
        <v/>
      </c>
      <c r="E659" s="51" t="str">
        <v/>
      </c>
      <c r="F659" s="52" t="str">
        <v/>
      </c>
      <c r="G659" s="48" t="str">
        <v/>
      </c>
      <c r="H659" s="49">
        <v>0</v>
      </c>
      <c r="I659" s="49">
        <v>0</v>
      </c>
      <c r="J659" s="50"/>
    </row>
    <row r="660" outlineLevel="1" spans="1:10">
      <c r="A660" s="50">
        <v>548</v>
      </c>
      <c r="B660" s="51" t="str">
        <v>内墙面-界面剂</v>
      </c>
      <c r="C660" s="51" t="e">
        <v>#REF!</v>
      </c>
      <c r="D660" s="51" t="str">
        <v/>
      </c>
      <c r="E660" s="51" t="str">
        <v/>
      </c>
      <c r="F660" s="52" t="e">
        <v>#REF!</v>
      </c>
      <c r="G660" s="48" t="e">
        <v>#REF!</v>
      </c>
      <c r="H660" s="49">
        <v>0</v>
      </c>
      <c r="I660" s="49" t="e">
        <v>#REF!</v>
      </c>
      <c r="J660" s="50"/>
    </row>
    <row r="661" outlineLevel="1" spans="1:10">
      <c r="A661" s="50">
        <v>549</v>
      </c>
      <c r="B661" s="51" t="str">
        <v>内墙面-20厚无机保温砂浆</v>
      </c>
      <c r="C661" s="51" t="e">
        <v>#REF!</v>
      </c>
      <c r="D661" s="51" t="str">
        <v/>
      </c>
      <c r="E661" s="51" t="str">
        <v/>
      </c>
      <c r="F661" s="52" t="e">
        <v>#REF!</v>
      </c>
      <c r="G661" s="48" t="e">
        <v>#REF!</v>
      </c>
      <c r="H661" s="49">
        <v>0</v>
      </c>
      <c r="I661" s="49" t="e">
        <v>#REF!</v>
      </c>
      <c r="J661" s="50"/>
    </row>
    <row r="662" outlineLevel="1" spans="1:10">
      <c r="A662" s="50">
        <v>550</v>
      </c>
      <c r="B662" s="51" t="str">
        <v>内墙面-3厚抗裂砂浆</v>
      </c>
      <c r="C662" s="51" t="e">
        <v>#REF!</v>
      </c>
      <c r="D662" s="51" t="str">
        <v/>
      </c>
      <c r="E662" s="51" t="str">
        <v/>
      </c>
      <c r="F662" s="52" t="e">
        <v>#REF!</v>
      </c>
      <c r="G662" s="48" t="e">
        <v>#REF!</v>
      </c>
      <c r="H662" s="49">
        <v>0</v>
      </c>
      <c r="I662" s="49" t="e">
        <v>#REF!</v>
      </c>
      <c r="J662" s="50"/>
    </row>
    <row r="663" outlineLevel="1" spans="1:10">
      <c r="A663" s="50">
        <v>551</v>
      </c>
      <c r="B663" s="51" t="str">
        <v>内墙面-玻纤网</v>
      </c>
      <c r="C663" s="51" t="e">
        <v>#REF!</v>
      </c>
      <c r="D663" s="51" t="str">
        <v/>
      </c>
      <c r="E663" s="51" t="str">
        <v/>
      </c>
      <c r="F663" s="52" t="e">
        <v>#REF!</v>
      </c>
      <c r="G663" s="48" t="e">
        <v>#REF!</v>
      </c>
      <c r="H663" s="49">
        <v>0</v>
      </c>
      <c r="I663" s="49" t="e">
        <v>#REF!</v>
      </c>
      <c r="J663" s="50"/>
    </row>
    <row r="664" outlineLevel="1" spans="1:10">
      <c r="A664" s="50" t="str">
        <v/>
      </c>
      <c r="B664" s="51" t="str">
        <v>分户墙处卫生间内墙</v>
      </c>
      <c r="C664" s="51" t="str">
        <v/>
      </c>
      <c r="D664" s="51" t="str">
        <v/>
      </c>
      <c r="E664" s="51" t="str">
        <v/>
      </c>
      <c r="F664" s="52" t="str">
        <v/>
      </c>
      <c r="G664" s="48" t="str">
        <v/>
      </c>
      <c r="H664" s="49">
        <v>0</v>
      </c>
      <c r="I664" s="49">
        <v>0</v>
      </c>
      <c r="J664" s="50"/>
    </row>
    <row r="665" outlineLevel="1" spans="1:10">
      <c r="A665" s="50">
        <v>552</v>
      </c>
      <c r="B665" s="51" t="str">
        <v>内墙面-界面剂</v>
      </c>
      <c r="C665" s="51" t="e">
        <v>#REF!</v>
      </c>
      <c r="D665" s="51" t="str">
        <v/>
      </c>
      <c r="E665" s="51" t="str">
        <v/>
      </c>
      <c r="F665" s="52" t="e">
        <v>#REF!</v>
      </c>
      <c r="G665" s="48" t="e">
        <v>#REF!</v>
      </c>
      <c r="H665" s="49">
        <v>156.6</v>
      </c>
      <c r="I665" s="49" t="e">
        <v>#REF!</v>
      </c>
      <c r="J665" s="50"/>
    </row>
    <row r="666" outlineLevel="1" spans="1:10">
      <c r="A666" s="50">
        <v>553</v>
      </c>
      <c r="B666" s="51" t="str">
        <v>内墙面-15厚无机保温砂浆</v>
      </c>
      <c r="C666" s="51" t="e">
        <v>#REF!</v>
      </c>
      <c r="D666" s="51" t="str">
        <v/>
      </c>
      <c r="E666" s="51" t="str">
        <v/>
      </c>
      <c r="F666" s="52" t="e">
        <v>#REF!</v>
      </c>
      <c r="G666" s="48" t="e">
        <v>#REF!</v>
      </c>
      <c r="H666" s="49">
        <v>156.6</v>
      </c>
      <c r="I666" s="49" t="e">
        <v>#REF!</v>
      </c>
      <c r="J666" s="50"/>
    </row>
    <row r="667" outlineLevel="1" spans="1:10">
      <c r="A667" s="50">
        <v>554</v>
      </c>
      <c r="B667" s="51" t="str">
        <v>内墙面-10厚无机保温砂浆</v>
      </c>
      <c r="C667" s="51" t="e">
        <v>#REF!</v>
      </c>
      <c r="D667" s="51" t="str">
        <v/>
      </c>
      <c r="E667" s="51" t="str">
        <v/>
      </c>
      <c r="F667" s="52" t="e">
        <v>#REF!</v>
      </c>
      <c r="G667" s="48" t="e">
        <v>#REF!</v>
      </c>
      <c r="H667" s="49">
        <v>0</v>
      </c>
      <c r="I667" s="49" t="e">
        <v>#REF!</v>
      </c>
      <c r="J667" s="50"/>
    </row>
    <row r="668" outlineLevel="1" spans="1:10">
      <c r="A668" s="50">
        <v>555</v>
      </c>
      <c r="B668" s="51" t="str">
        <v>内墙面-3厚抗裂砂浆</v>
      </c>
      <c r="C668" s="51" t="e">
        <v>#REF!</v>
      </c>
      <c r="D668" s="51" t="str">
        <v/>
      </c>
      <c r="E668" s="51" t="str">
        <v/>
      </c>
      <c r="F668" s="52" t="e">
        <v>#REF!</v>
      </c>
      <c r="G668" s="48" t="e">
        <v>#REF!</v>
      </c>
      <c r="H668" s="49">
        <v>156.6</v>
      </c>
      <c r="I668" s="49" t="e">
        <v>#REF!</v>
      </c>
      <c r="J668" s="50"/>
    </row>
    <row r="669" outlineLevel="1" spans="1:10">
      <c r="A669" s="50">
        <v>556</v>
      </c>
      <c r="B669" s="51" t="str">
        <v>内墙面-镀锌钢丝网</v>
      </c>
      <c r="C669" s="51" t="e">
        <v>#REF!</v>
      </c>
      <c r="D669" s="51" t="str">
        <v/>
      </c>
      <c r="E669" s="51" t="str">
        <v/>
      </c>
      <c r="F669" s="52" t="e">
        <v>#REF!</v>
      </c>
      <c r="G669" s="48" t="e">
        <v>#REF!</v>
      </c>
      <c r="H669" s="49">
        <v>156.6</v>
      </c>
      <c r="I669" s="49" t="e">
        <v>#REF!</v>
      </c>
      <c r="J669" s="50"/>
    </row>
    <row r="670" ht="28.8" outlineLevel="1" spans="1:10">
      <c r="A670" s="50" t="str">
        <v/>
      </c>
      <c r="B670" s="51" t="str">
        <v>交通核非精装区域与住宅相邻内墙（交通核侧）</v>
      </c>
      <c r="C670" s="51" t="str">
        <v/>
      </c>
      <c r="D670" s="51" t="str">
        <v/>
      </c>
      <c r="E670" s="51" t="str">
        <v/>
      </c>
      <c r="F670" s="52" t="str">
        <v/>
      </c>
      <c r="G670" s="48" t="str">
        <v/>
      </c>
      <c r="H670" s="49">
        <v>0</v>
      </c>
      <c r="I670" s="49">
        <v>0</v>
      </c>
      <c r="J670" s="50"/>
    </row>
    <row r="671" outlineLevel="1" spans="1:10">
      <c r="A671" s="50">
        <v>557</v>
      </c>
      <c r="B671" s="51" t="str">
        <v>内墙面-30厚MPC</v>
      </c>
      <c r="C671" s="51" t="e">
        <v>#REF!</v>
      </c>
      <c r="D671" s="51" t="str">
        <v/>
      </c>
      <c r="E671" s="51" t="str">
        <v/>
      </c>
      <c r="F671" s="52" t="e">
        <v>#REF!</v>
      </c>
      <c r="G671" s="48" t="e">
        <v>#REF!</v>
      </c>
      <c r="H671" s="49">
        <v>1626.81</v>
      </c>
      <c r="I671" s="49" t="e">
        <v>#REF!</v>
      </c>
      <c r="J671" s="50"/>
    </row>
    <row r="672" outlineLevel="1" spans="1:10">
      <c r="A672" s="50">
        <v>558</v>
      </c>
      <c r="B672" s="51" t="str">
        <v>内墙面-玻纤网</v>
      </c>
      <c r="C672" s="51" t="e">
        <v>#REF!</v>
      </c>
      <c r="D672" s="51" t="str">
        <v/>
      </c>
      <c r="E672" s="51" t="str">
        <v/>
      </c>
      <c r="F672" s="52" t="e">
        <v>#REF!</v>
      </c>
      <c r="G672" s="48" t="e">
        <v>#REF!</v>
      </c>
      <c r="H672" s="49">
        <v>1626.81</v>
      </c>
      <c r="I672" s="49" t="e">
        <v>#REF!</v>
      </c>
      <c r="J672" s="50"/>
    </row>
    <row r="673" ht="28.8" outlineLevel="1" spans="1:10">
      <c r="A673" s="50" t="str">
        <v/>
      </c>
      <c r="B673" s="51" t="str">
        <v>交通核非精装区域不与住宅相邻内墙（交通核侧）</v>
      </c>
      <c r="C673" s="51" t="str">
        <v/>
      </c>
      <c r="D673" s="51" t="str">
        <v/>
      </c>
      <c r="E673" s="51" t="str">
        <v/>
      </c>
      <c r="F673" s="52" t="str">
        <v/>
      </c>
      <c r="G673" s="48" t="str">
        <v/>
      </c>
      <c r="H673" s="49">
        <v>0</v>
      </c>
      <c r="I673" s="49">
        <v>0</v>
      </c>
      <c r="J673" s="50"/>
    </row>
    <row r="674" outlineLevel="1" spans="1:10">
      <c r="A674" s="50">
        <v>559</v>
      </c>
      <c r="B674" s="51" t="str">
        <v>内墙面-15厚M20水泥砂浆</v>
      </c>
      <c r="C674" s="51" t="e">
        <v>#REF!</v>
      </c>
      <c r="D674" s="51" t="str">
        <v/>
      </c>
      <c r="E674" s="51" t="str">
        <v/>
      </c>
      <c r="F674" s="52" t="e">
        <v>#REF!</v>
      </c>
      <c r="G674" s="48" t="e">
        <v>#REF!</v>
      </c>
      <c r="H674" s="49">
        <v>1880.68</v>
      </c>
      <c r="I674" s="49" t="e">
        <v>#REF!</v>
      </c>
      <c r="J674" s="50"/>
    </row>
    <row r="675" outlineLevel="1" spans="1:10">
      <c r="A675" s="50">
        <v>560</v>
      </c>
      <c r="B675" s="51" t="str">
        <v>内墙面-玻纤网</v>
      </c>
      <c r="C675" s="51" t="e">
        <v>#REF!</v>
      </c>
      <c r="D675" s="51" t="str">
        <v/>
      </c>
      <c r="E675" s="51" t="str">
        <v/>
      </c>
      <c r="F675" s="52" t="e">
        <v>#REF!</v>
      </c>
      <c r="G675" s="48" t="e">
        <v>#REF!</v>
      </c>
      <c r="H675" s="49">
        <v>1880.68</v>
      </c>
      <c r="I675" s="49" t="e">
        <v>#REF!</v>
      </c>
      <c r="J675" s="50"/>
    </row>
    <row r="676" ht="43.2" outlineLevel="1" spans="1:10">
      <c r="A676" s="50" t="str">
        <v/>
      </c>
      <c r="B676" s="51" t="str">
        <v>一层与户内相邻的门厅.合用前室的隔墙的一侧,及一层楼梯间</v>
      </c>
      <c r="C676" s="51" t="str">
        <v/>
      </c>
      <c r="D676" s="51" t="str">
        <v/>
      </c>
      <c r="E676" s="51" t="str">
        <v/>
      </c>
      <c r="F676" s="52" t="str">
        <v/>
      </c>
      <c r="G676" s="48" t="str">
        <v/>
      </c>
      <c r="H676" s="49">
        <v>0</v>
      </c>
      <c r="I676" s="49">
        <v>0</v>
      </c>
      <c r="J676" s="50"/>
    </row>
    <row r="677" outlineLevel="1" spans="1:10">
      <c r="A677" s="50">
        <v>561</v>
      </c>
      <c r="B677" s="51" t="str">
        <v>内墙面-界面剂</v>
      </c>
      <c r="C677" s="51" t="e">
        <v>#REF!</v>
      </c>
      <c r="D677" s="51" t="str">
        <v/>
      </c>
      <c r="E677" s="51" t="str">
        <v/>
      </c>
      <c r="F677" s="52" t="e">
        <v>#REF!</v>
      </c>
      <c r="G677" s="48" t="e">
        <v>#REF!</v>
      </c>
      <c r="H677" s="49">
        <v>1</v>
      </c>
      <c r="I677" s="49" t="e">
        <v>#REF!</v>
      </c>
      <c r="J677" s="50"/>
    </row>
    <row r="678" outlineLevel="1" spans="1:10">
      <c r="A678" s="50">
        <v>562</v>
      </c>
      <c r="B678" s="51" t="str">
        <v>内墙面-20厚无机保温砂浆</v>
      </c>
      <c r="C678" s="51" t="e">
        <v>#REF!</v>
      </c>
      <c r="D678" s="51" t="str">
        <v/>
      </c>
      <c r="E678" s="51" t="str">
        <v/>
      </c>
      <c r="F678" s="52" t="e">
        <v>#REF!</v>
      </c>
      <c r="G678" s="48" t="e">
        <v>#REF!</v>
      </c>
      <c r="H678" s="49">
        <v>1</v>
      </c>
      <c r="I678" s="49" t="e">
        <v>#REF!</v>
      </c>
      <c r="J678" s="50"/>
    </row>
    <row r="679" ht="28.8" outlineLevel="1" spans="1:10">
      <c r="A679" s="50" t="str">
        <v/>
      </c>
      <c r="B679" s="51" t="str">
        <v>不与户内相邻的门厅.合用前室的隔墙的一侧</v>
      </c>
      <c r="C679" s="51" t="str">
        <v/>
      </c>
      <c r="D679" s="51" t="str">
        <v/>
      </c>
      <c r="E679" s="51" t="str">
        <v/>
      </c>
      <c r="F679" s="52" t="str">
        <v/>
      </c>
      <c r="G679" s="48" t="str">
        <v/>
      </c>
      <c r="H679" s="49">
        <v>0</v>
      </c>
      <c r="I679" s="49">
        <v>0</v>
      </c>
      <c r="J679" s="50"/>
    </row>
    <row r="680" outlineLevel="1" spans="1:10">
      <c r="A680" s="50">
        <v>563</v>
      </c>
      <c r="B680" s="51" t="str">
        <v>内墙面-界面剂</v>
      </c>
      <c r="C680" s="51" t="e">
        <v>#REF!</v>
      </c>
      <c r="D680" s="51" t="str">
        <v/>
      </c>
      <c r="E680" s="51" t="str">
        <v/>
      </c>
      <c r="F680" s="52" t="e">
        <v>#REF!</v>
      </c>
      <c r="G680" s="48" t="e">
        <v>#REF!</v>
      </c>
      <c r="H680" s="49">
        <v>1</v>
      </c>
      <c r="I680" s="49" t="e">
        <v>#REF!</v>
      </c>
      <c r="J680" s="50"/>
    </row>
    <row r="681" outlineLevel="1" spans="1:10">
      <c r="A681" s="50">
        <v>564</v>
      </c>
      <c r="B681" s="51" t="str">
        <v>内墙面-9厚M7.5水泥砂浆</v>
      </c>
      <c r="C681" s="51" t="e">
        <v>#REF!</v>
      </c>
      <c r="D681" s="51" t="str">
        <v/>
      </c>
      <c r="E681" s="51" t="str">
        <v/>
      </c>
      <c r="F681" s="52" t="e">
        <v>#REF!</v>
      </c>
      <c r="G681" s="48" t="e">
        <v>#REF!</v>
      </c>
      <c r="H681" s="49">
        <v>1</v>
      </c>
      <c r="I681" s="49" t="e">
        <v>#REF!</v>
      </c>
      <c r="J681" s="50"/>
    </row>
    <row r="682" ht="43.2" outlineLevel="1" spans="1:10">
      <c r="A682" s="50" t="str">
        <v/>
      </c>
      <c r="B682" s="51" t="str">
        <v>不与户内相邻的门厅.合用前室的隔墙的一侧/配套电井、进线间、热计量间或其他</v>
      </c>
      <c r="C682" s="51" t="str">
        <v/>
      </c>
      <c r="D682" s="51" t="str">
        <v/>
      </c>
      <c r="E682" s="51" t="str">
        <v/>
      </c>
      <c r="F682" s="52" t="str">
        <v/>
      </c>
      <c r="G682" s="48" t="str">
        <v/>
      </c>
      <c r="H682" s="49">
        <v>0</v>
      </c>
      <c r="I682" s="49">
        <v>0</v>
      </c>
      <c r="J682" s="50"/>
    </row>
    <row r="683" outlineLevel="1" spans="1:10">
      <c r="A683" s="50">
        <v>565</v>
      </c>
      <c r="B683" s="51" t="str">
        <v>内墙面-界面剂</v>
      </c>
      <c r="C683" s="51" t="e">
        <v>#REF!</v>
      </c>
      <c r="D683" s="51" t="str">
        <v/>
      </c>
      <c r="E683" s="51" t="str">
        <v/>
      </c>
      <c r="F683" s="52" t="e">
        <v>#REF!</v>
      </c>
      <c r="G683" s="48" t="e">
        <v>#REF!</v>
      </c>
      <c r="H683" s="49">
        <v>1</v>
      </c>
      <c r="I683" s="49" t="e">
        <v>#REF!</v>
      </c>
      <c r="J683" s="50"/>
    </row>
    <row r="684" outlineLevel="1" spans="1:10">
      <c r="A684" s="50">
        <v>566</v>
      </c>
      <c r="B684" s="51" t="str">
        <v>内墙面-7厚M5石灰砂浆</v>
      </c>
      <c r="C684" s="51" t="e">
        <v>#REF!</v>
      </c>
      <c r="D684" s="51" t="str">
        <v/>
      </c>
      <c r="E684" s="51" t="str">
        <v/>
      </c>
      <c r="F684" s="52" t="e">
        <v>#REF!</v>
      </c>
      <c r="G684" s="48" t="e">
        <v>#REF!</v>
      </c>
      <c r="H684" s="49">
        <v>1</v>
      </c>
      <c r="I684" s="49" t="e">
        <v>#REF!</v>
      </c>
      <c r="J684" s="50"/>
    </row>
    <row r="685" outlineLevel="1" spans="1:10">
      <c r="A685" s="50">
        <v>567</v>
      </c>
      <c r="B685" s="51" t="str">
        <v>内墙面-6厚M7.5石灰砂浆</v>
      </c>
      <c r="C685" s="51" t="e">
        <v>#REF!</v>
      </c>
      <c r="D685" s="51" t="str">
        <v/>
      </c>
      <c r="E685" s="51" t="str">
        <v/>
      </c>
      <c r="F685" s="52" t="e">
        <v>#REF!</v>
      </c>
      <c r="G685" s="48" t="e">
        <v>#REF!</v>
      </c>
      <c r="H685" s="49">
        <v>1</v>
      </c>
      <c r="I685" s="49" t="e">
        <v>#REF!</v>
      </c>
      <c r="J685" s="50"/>
    </row>
    <row r="686" ht="28.8" outlineLevel="1" spans="1:10">
      <c r="A686" s="50" t="str">
        <v/>
      </c>
      <c r="B686" s="51" t="str">
        <v>不与户内相邻的门厅.合用前室的隔墙的一侧</v>
      </c>
      <c r="C686" s="51" t="str">
        <v/>
      </c>
      <c r="D686" s="51" t="str">
        <v/>
      </c>
      <c r="E686" s="51" t="str">
        <v/>
      </c>
      <c r="F686" s="52" t="str">
        <v/>
      </c>
      <c r="G686" s="48" t="str">
        <v/>
      </c>
      <c r="H686" s="49">
        <v>0</v>
      </c>
      <c r="I686" s="49">
        <v>0</v>
      </c>
      <c r="J686" s="50"/>
    </row>
    <row r="687" outlineLevel="1" spans="1:10">
      <c r="A687" s="50">
        <v>568</v>
      </c>
      <c r="B687" s="51" t="str">
        <v>内墙面-玻纤网</v>
      </c>
      <c r="C687" s="51" t="e">
        <v>#REF!</v>
      </c>
      <c r="D687" s="51" t="str">
        <v/>
      </c>
      <c r="E687" s="51" t="str">
        <v/>
      </c>
      <c r="F687" s="52" t="e">
        <v>#REF!</v>
      </c>
      <c r="G687" s="48" t="e">
        <v>#REF!</v>
      </c>
      <c r="H687" s="49">
        <v>1</v>
      </c>
      <c r="I687" s="49" t="e">
        <v>#REF!</v>
      </c>
      <c r="J687" s="50"/>
    </row>
    <row r="688" outlineLevel="1" spans="1:10">
      <c r="A688" s="50">
        <v>569</v>
      </c>
      <c r="B688" s="51" t="str">
        <v>内墙面-界面剂</v>
      </c>
      <c r="C688" s="51" t="e">
        <v>#REF!</v>
      </c>
      <c r="D688" s="51" t="str">
        <v/>
      </c>
      <c r="E688" s="51" t="str">
        <v/>
      </c>
      <c r="F688" s="52" t="e">
        <v>#REF!</v>
      </c>
      <c r="G688" s="48" t="e">
        <v>#REF!</v>
      </c>
      <c r="H688" s="49">
        <v>1</v>
      </c>
      <c r="I688" s="49" t="e">
        <v>#REF!</v>
      </c>
      <c r="J688" s="50"/>
    </row>
    <row r="689" outlineLevel="1" spans="1:10">
      <c r="A689" s="50">
        <v>570</v>
      </c>
      <c r="B689" s="51" t="str">
        <v>内墙面-3-5厚砂浆打底</v>
      </c>
      <c r="C689" s="51" t="e">
        <v>#REF!</v>
      </c>
      <c r="D689" s="51" t="str">
        <v/>
      </c>
      <c r="E689" s="51" t="str">
        <v/>
      </c>
      <c r="F689" s="52" t="e">
        <v>#REF!</v>
      </c>
      <c r="G689" s="48" t="e">
        <v>#REF!</v>
      </c>
      <c r="H689" s="49">
        <v>1</v>
      </c>
      <c r="I689" s="49" t="e">
        <v>#REF!</v>
      </c>
      <c r="J689" s="50"/>
    </row>
    <row r="690" ht="28.8" outlineLevel="1" spans="1:10">
      <c r="A690" s="50" t="str">
        <v/>
      </c>
      <c r="B690" s="51" t="str">
        <v>二层及以上合用前室不与住宅户内相邻的隔墙</v>
      </c>
      <c r="C690" s="51" t="str">
        <v/>
      </c>
      <c r="D690" s="51" t="str">
        <v/>
      </c>
      <c r="E690" s="51" t="str">
        <v/>
      </c>
      <c r="F690" s="52" t="str">
        <v/>
      </c>
      <c r="G690" s="48" t="str">
        <v/>
      </c>
      <c r="H690" s="49">
        <v>0</v>
      </c>
      <c r="I690" s="49">
        <v>0</v>
      </c>
      <c r="J690" s="50"/>
    </row>
    <row r="691" outlineLevel="1" spans="1:10">
      <c r="A691" s="50">
        <v>571</v>
      </c>
      <c r="B691" s="51" t="str">
        <v>内墙面-玻纤网</v>
      </c>
      <c r="C691" s="51" t="e">
        <v>#REF!</v>
      </c>
      <c r="D691" s="51" t="str">
        <v/>
      </c>
      <c r="E691" s="51" t="str">
        <v/>
      </c>
      <c r="F691" s="52" t="e">
        <v>#REF!</v>
      </c>
      <c r="G691" s="48" t="e">
        <v>#REF!</v>
      </c>
      <c r="H691" s="49">
        <v>1</v>
      </c>
      <c r="I691" s="49" t="e">
        <v>#REF!</v>
      </c>
      <c r="J691" s="50"/>
    </row>
    <row r="692" outlineLevel="1" spans="1:10">
      <c r="A692" s="50">
        <v>572</v>
      </c>
      <c r="B692" s="51" t="str">
        <v>内墙面-界面剂</v>
      </c>
      <c r="C692" s="51" t="e">
        <v>#REF!</v>
      </c>
      <c r="D692" s="51" t="str">
        <v/>
      </c>
      <c r="E692" s="51" t="str">
        <v/>
      </c>
      <c r="F692" s="52" t="e">
        <v>#REF!</v>
      </c>
      <c r="G692" s="48" t="e">
        <v>#REF!</v>
      </c>
      <c r="H692" s="49">
        <v>1</v>
      </c>
      <c r="I692" s="49" t="e">
        <v>#REF!</v>
      </c>
      <c r="J692" s="50"/>
    </row>
    <row r="693" outlineLevel="1" spans="1:10">
      <c r="A693" s="50">
        <v>573</v>
      </c>
      <c r="B693" s="51" t="str">
        <v>内墙面-3-5厚砂浆打底</v>
      </c>
      <c r="C693" s="51" t="e">
        <v>#REF!</v>
      </c>
      <c r="D693" s="51" t="str">
        <v/>
      </c>
      <c r="E693" s="51" t="str">
        <v/>
      </c>
      <c r="F693" s="52" t="e">
        <v>#REF!</v>
      </c>
      <c r="G693" s="48" t="e">
        <v>#REF!</v>
      </c>
      <c r="H693" s="49">
        <v>1</v>
      </c>
      <c r="I693" s="49" t="e">
        <v>#REF!</v>
      </c>
      <c r="J693" s="50"/>
    </row>
    <row r="694" outlineLevel="1" spans="1:10">
      <c r="A694" s="50">
        <v>574</v>
      </c>
      <c r="B694" s="51" t="str">
        <v>内墙面-6厚M7.5石灰砂浆</v>
      </c>
      <c r="C694" s="51" t="e">
        <v>#REF!</v>
      </c>
      <c r="D694" s="51" t="str">
        <v/>
      </c>
      <c r="E694" s="51" t="str">
        <v/>
      </c>
      <c r="F694" s="52" t="e">
        <v>#REF!</v>
      </c>
      <c r="G694" s="48" t="e">
        <v>#REF!</v>
      </c>
      <c r="H694" s="49">
        <v>1</v>
      </c>
      <c r="I694" s="49" t="e">
        <v>#REF!</v>
      </c>
      <c r="J694" s="50"/>
    </row>
    <row r="695" ht="43.2" outlineLevel="1" spans="1:10">
      <c r="A695" s="50" t="str">
        <v/>
      </c>
      <c r="B695" s="51" t="str">
        <v>二层及以上楼梯间与住宅户内相邻的隔墙的楼梯间一侧 及一层楼梯间</v>
      </c>
      <c r="C695" s="51" t="str">
        <v/>
      </c>
      <c r="D695" s="51" t="str">
        <v/>
      </c>
      <c r="E695" s="51" t="str">
        <v/>
      </c>
      <c r="F695" s="52" t="str">
        <v/>
      </c>
      <c r="G695" s="48" t="str">
        <v/>
      </c>
      <c r="H695" s="49">
        <v>0</v>
      </c>
      <c r="I695" s="49">
        <v>0</v>
      </c>
      <c r="J695" s="50"/>
    </row>
    <row r="696" outlineLevel="1" spans="1:10">
      <c r="A696" s="50">
        <v>575</v>
      </c>
      <c r="B696" s="51" t="str">
        <v>内墙面-界面剂</v>
      </c>
      <c r="C696" s="51" t="e">
        <v>#REF!</v>
      </c>
      <c r="D696" s="51" t="str">
        <v/>
      </c>
      <c r="E696" s="51" t="str">
        <v/>
      </c>
      <c r="F696" s="52" t="e">
        <v>#REF!</v>
      </c>
      <c r="G696" s="48" t="e">
        <v>#REF!</v>
      </c>
      <c r="H696" s="49">
        <v>1</v>
      </c>
      <c r="I696" s="49" t="e">
        <v>#REF!</v>
      </c>
      <c r="J696" s="50"/>
    </row>
    <row r="697" outlineLevel="1" spans="1:10">
      <c r="A697" s="50">
        <v>576</v>
      </c>
      <c r="B697" s="51" t="str">
        <v>内墙面-20厚无机保温砂浆</v>
      </c>
      <c r="C697" s="51" t="e">
        <v>#REF!</v>
      </c>
      <c r="D697" s="51" t="str">
        <v/>
      </c>
      <c r="E697" s="51" t="str">
        <v/>
      </c>
      <c r="F697" s="52" t="e">
        <v>#REF!</v>
      </c>
      <c r="G697" s="48" t="e">
        <v>#REF!</v>
      </c>
      <c r="H697" s="49">
        <v>1</v>
      </c>
      <c r="I697" s="49" t="e">
        <v>#REF!</v>
      </c>
      <c r="J697" s="50"/>
    </row>
    <row r="698" outlineLevel="1" spans="1:10">
      <c r="A698" s="50">
        <v>577</v>
      </c>
      <c r="B698" s="51" t="str">
        <v>内墙面-3厚抗裂砂浆</v>
      </c>
      <c r="C698" s="51" t="e">
        <v>#REF!</v>
      </c>
      <c r="D698" s="51" t="str">
        <v/>
      </c>
      <c r="E698" s="51" t="str">
        <v/>
      </c>
      <c r="F698" s="52" t="e">
        <v>#REF!</v>
      </c>
      <c r="G698" s="48" t="e">
        <v>#REF!</v>
      </c>
      <c r="H698" s="49">
        <v>1</v>
      </c>
      <c r="I698" s="49" t="e">
        <v>#REF!</v>
      </c>
      <c r="J698" s="50"/>
    </row>
    <row r="699" outlineLevel="1" spans="1:10">
      <c r="A699" s="50">
        <v>578</v>
      </c>
      <c r="B699" s="51" t="str">
        <v>内墙面-玻纤网</v>
      </c>
      <c r="C699" s="51" t="e">
        <v>#REF!</v>
      </c>
      <c r="D699" s="51" t="str">
        <v/>
      </c>
      <c r="E699" s="51" t="str">
        <v/>
      </c>
      <c r="F699" s="52" t="e">
        <v>#REF!</v>
      </c>
      <c r="G699" s="48" t="e">
        <v>#REF!</v>
      </c>
      <c r="H699" s="49">
        <v>1</v>
      </c>
      <c r="I699" s="49" t="e">
        <v>#REF!</v>
      </c>
      <c r="J699" s="50"/>
    </row>
    <row r="700" ht="43.2" outlineLevel="1" spans="1:10">
      <c r="A700" s="50" t="str">
        <v/>
      </c>
      <c r="B700" s="51" t="str">
        <v>二层及以上合用前室、电梯厅不与住宅户内相邻隔墙的
合用前室、电梯厅一侧</v>
      </c>
      <c r="C700" s="51" t="str">
        <v/>
      </c>
      <c r="D700" s="51" t="str">
        <v/>
      </c>
      <c r="E700" s="51" t="str">
        <v/>
      </c>
      <c r="F700" s="52" t="str">
        <v/>
      </c>
      <c r="G700" s="48" t="str">
        <v/>
      </c>
      <c r="H700" s="49">
        <v>0</v>
      </c>
      <c r="I700" s="49">
        <v>0</v>
      </c>
      <c r="J700" s="50"/>
    </row>
    <row r="701" outlineLevel="1" spans="1:10">
      <c r="A701" s="50">
        <v>579</v>
      </c>
      <c r="B701" s="51" t="str">
        <v>内墙面-界面剂</v>
      </c>
      <c r="C701" s="51" t="e">
        <v>#REF!</v>
      </c>
      <c r="D701" s="51" t="str">
        <v/>
      </c>
      <c r="E701" s="51" t="str">
        <v/>
      </c>
      <c r="F701" s="52" t="e">
        <v>#REF!</v>
      </c>
      <c r="G701" s="48" t="e">
        <v>#REF!</v>
      </c>
      <c r="H701" s="49">
        <v>0</v>
      </c>
      <c r="I701" s="49" t="e">
        <v>#REF!</v>
      </c>
      <c r="J701" s="50"/>
    </row>
    <row r="702" outlineLevel="1" spans="1:10">
      <c r="A702" s="50">
        <v>580</v>
      </c>
      <c r="B702" s="51" t="str">
        <v>内墙面-7厚M5石灰砂浆</v>
      </c>
      <c r="C702" s="51" t="e">
        <v>#REF!</v>
      </c>
      <c r="D702" s="51" t="str">
        <v/>
      </c>
      <c r="E702" s="51" t="str">
        <v/>
      </c>
      <c r="F702" s="52" t="e">
        <v>#REF!</v>
      </c>
      <c r="G702" s="48" t="e">
        <v>#REF!</v>
      </c>
      <c r="H702" s="49">
        <v>0</v>
      </c>
      <c r="I702" s="49" t="e">
        <v>#REF!</v>
      </c>
      <c r="J702" s="50"/>
    </row>
    <row r="703" outlineLevel="1" spans="1:10">
      <c r="A703" s="50">
        <v>581</v>
      </c>
      <c r="B703" s="51" t="str">
        <v>内墙面-6厚M7.5石灰砂浆</v>
      </c>
      <c r="C703" s="51" t="e">
        <v>#REF!</v>
      </c>
      <c r="D703" s="51" t="str">
        <v/>
      </c>
      <c r="E703" s="51" t="str">
        <v/>
      </c>
      <c r="F703" s="52" t="e">
        <v>#REF!</v>
      </c>
      <c r="G703" s="48" t="e">
        <v>#REF!</v>
      </c>
      <c r="H703" s="49">
        <v>0</v>
      </c>
      <c r="I703" s="49" t="e">
        <v>#REF!</v>
      </c>
      <c r="J703" s="50"/>
    </row>
    <row r="704" outlineLevel="1" spans="1:10">
      <c r="A704" s="50" t="str">
        <v/>
      </c>
      <c r="B704" s="51" t="str">
        <v>卫生间.厨房内墙</v>
      </c>
      <c r="C704" s="51" t="str">
        <v/>
      </c>
      <c r="D704" s="51" t="str">
        <v/>
      </c>
      <c r="E704" s="51" t="str">
        <v/>
      </c>
      <c r="F704" s="52" t="str">
        <v/>
      </c>
      <c r="G704" s="48" t="str">
        <v/>
      </c>
      <c r="H704" s="49">
        <v>0</v>
      </c>
      <c r="I704" s="49">
        <v>0</v>
      </c>
      <c r="J704" s="50"/>
    </row>
    <row r="705" outlineLevel="1" spans="1:10">
      <c r="A705" s="50">
        <v>582</v>
      </c>
      <c r="B705" s="51" t="str">
        <v>内墙面-10厚M20水泥砂浆</v>
      </c>
      <c r="C705" s="51" t="e">
        <v>#REF!</v>
      </c>
      <c r="D705" s="51" t="str">
        <v/>
      </c>
      <c r="E705" s="51" t="str">
        <v/>
      </c>
      <c r="F705" s="52" t="e">
        <v>#REF!</v>
      </c>
      <c r="G705" s="48" t="e">
        <v>#REF!</v>
      </c>
      <c r="H705" s="49">
        <v>6085.96</v>
      </c>
      <c r="I705" s="49" t="e">
        <v>#REF!</v>
      </c>
      <c r="J705" s="50"/>
    </row>
    <row r="706" outlineLevel="1" spans="1:10">
      <c r="A706" s="50">
        <v>583</v>
      </c>
      <c r="B706" s="51" t="str">
        <v>内墙面-玻纤网</v>
      </c>
      <c r="C706" s="51" t="e">
        <v>#REF!</v>
      </c>
      <c r="D706" s="51" t="str">
        <v/>
      </c>
      <c r="E706" s="51" t="str">
        <v/>
      </c>
      <c r="F706" s="52" t="e">
        <v>#REF!</v>
      </c>
      <c r="G706" s="48" t="e">
        <v>#REF!</v>
      </c>
      <c r="H706" s="49">
        <v>6085.96</v>
      </c>
      <c r="I706" s="49" t="e">
        <v>#REF!</v>
      </c>
      <c r="J706" s="50"/>
    </row>
    <row r="707" outlineLevel="1" spans="1:10">
      <c r="A707" s="50" t="str">
        <v/>
      </c>
      <c r="B707" s="51" t="str">
        <v>卫生间、厨房内墙</v>
      </c>
      <c r="C707" s="51" t="str">
        <v/>
      </c>
      <c r="D707" s="51" t="str">
        <v/>
      </c>
      <c r="E707" s="51" t="str">
        <v/>
      </c>
      <c r="F707" s="52" t="str">
        <v/>
      </c>
      <c r="G707" s="48" t="str">
        <v/>
      </c>
      <c r="H707" s="49">
        <v>0</v>
      </c>
      <c r="I707" s="49">
        <v>0</v>
      </c>
      <c r="J707" s="50"/>
    </row>
    <row r="708" outlineLevel="1" spans="1:10">
      <c r="A708" s="50">
        <v>584</v>
      </c>
      <c r="B708" s="51" t="str">
        <v>内墙面-界面剂</v>
      </c>
      <c r="C708" s="51" t="e">
        <v>#REF!</v>
      </c>
      <c r="D708" s="51" t="str">
        <v/>
      </c>
      <c r="E708" s="51" t="str">
        <v/>
      </c>
      <c r="F708" s="52" t="e">
        <v>#REF!</v>
      </c>
      <c r="G708" s="48" t="e">
        <v>#REF!</v>
      </c>
      <c r="H708" s="49">
        <v>0</v>
      </c>
      <c r="I708" s="49" t="e">
        <v>#REF!</v>
      </c>
      <c r="J708" s="50"/>
    </row>
    <row r="709" outlineLevel="1" spans="1:10">
      <c r="A709" s="50">
        <v>585</v>
      </c>
      <c r="B709" s="51" t="str">
        <v>内墙面-15厚M7.5水泥砂浆</v>
      </c>
      <c r="C709" s="51" t="e">
        <v>#REF!</v>
      </c>
      <c r="D709" s="51" t="str">
        <v/>
      </c>
      <c r="E709" s="51" t="str">
        <v/>
      </c>
      <c r="F709" s="52" t="e">
        <v>#REF!</v>
      </c>
      <c r="G709" s="48" t="e">
        <v>#REF!</v>
      </c>
      <c r="H709" s="49">
        <v>0</v>
      </c>
      <c r="I709" s="49" t="e">
        <v>#REF!</v>
      </c>
      <c r="J709" s="50"/>
    </row>
    <row r="710" outlineLevel="1" spans="1:10">
      <c r="A710" s="50" t="str">
        <v/>
      </c>
      <c r="B710" s="51" t="str">
        <v>卫生间.厨房内墙</v>
      </c>
      <c r="C710" s="51" t="str">
        <v/>
      </c>
      <c r="D710" s="51" t="str">
        <v/>
      </c>
      <c r="E710" s="51" t="str">
        <v/>
      </c>
      <c r="F710" s="52" t="str">
        <v/>
      </c>
      <c r="G710" s="48" t="str">
        <v/>
      </c>
      <c r="H710" s="49">
        <v>0</v>
      </c>
      <c r="I710" s="49">
        <v>0</v>
      </c>
      <c r="J710" s="50"/>
    </row>
    <row r="711" outlineLevel="1" spans="1:10">
      <c r="A711" s="50">
        <v>586</v>
      </c>
      <c r="B711" s="51" t="str">
        <v>内墙面-玻纤网</v>
      </c>
      <c r="C711" s="51" t="e">
        <v>#REF!</v>
      </c>
      <c r="D711" s="51" t="str">
        <v/>
      </c>
      <c r="E711" s="51" t="str">
        <v/>
      </c>
      <c r="F711" s="52" t="e">
        <v>#REF!</v>
      </c>
      <c r="G711" s="48" t="e">
        <v>#REF!</v>
      </c>
      <c r="H711" s="49">
        <v>1</v>
      </c>
      <c r="I711" s="49" t="e">
        <v>#REF!</v>
      </c>
      <c r="J711" s="50"/>
    </row>
    <row r="712" outlineLevel="1" spans="1:10">
      <c r="A712" s="50">
        <v>587</v>
      </c>
      <c r="B712" s="51" t="str">
        <v>内墙面-界面剂</v>
      </c>
      <c r="C712" s="51" t="e">
        <v>#REF!</v>
      </c>
      <c r="D712" s="51" t="str">
        <v/>
      </c>
      <c r="E712" s="51" t="str">
        <v/>
      </c>
      <c r="F712" s="52" t="e">
        <v>#REF!</v>
      </c>
      <c r="G712" s="48" t="e">
        <v>#REF!</v>
      </c>
      <c r="H712" s="49">
        <v>1</v>
      </c>
      <c r="I712" s="49" t="e">
        <v>#REF!</v>
      </c>
      <c r="J712" s="50"/>
    </row>
    <row r="713" outlineLevel="1" spans="1:10">
      <c r="A713" s="50">
        <v>588</v>
      </c>
      <c r="B713" s="51" t="str">
        <v>内墙面-3-5厚砂浆打底</v>
      </c>
      <c r="C713" s="51" t="e">
        <v>#REF!</v>
      </c>
      <c r="D713" s="51" t="str">
        <v/>
      </c>
      <c r="E713" s="51" t="str">
        <v/>
      </c>
      <c r="F713" s="52" t="e">
        <v>#REF!</v>
      </c>
      <c r="G713" s="48" t="e">
        <v>#REF!</v>
      </c>
      <c r="H713" s="49">
        <v>1</v>
      </c>
      <c r="I713" s="49" t="e">
        <v>#REF!</v>
      </c>
      <c r="J713" s="50"/>
    </row>
    <row r="714" outlineLevel="1" spans="1:10">
      <c r="A714" s="50" t="str">
        <v/>
      </c>
      <c r="B714" s="51" t="str">
        <v>卫生间.厨房内墙</v>
      </c>
      <c r="C714" s="51" t="str">
        <v/>
      </c>
      <c r="D714" s="51" t="str">
        <v/>
      </c>
      <c r="E714" s="51" t="str">
        <v/>
      </c>
      <c r="F714" s="52" t="str">
        <v/>
      </c>
      <c r="G714" s="48" t="str">
        <v/>
      </c>
      <c r="H714" s="49">
        <v>0</v>
      </c>
      <c r="I714" s="49">
        <v>0</v>
      </c>
      <c r="J714" s="50"/>
    </row>
    <row r="715" outlineLevel="1" spans="1:10">
      <c r="A715" s="50">
        <v>589</v>
      </c>
      <c r="B715" s="51" t="str">
        <v>内墙面-界面剂</v>
      </c>
      <c r="C715" s="51" t="e">
        <v>#REF!</v>
      </c>
      <c r="D715" s="51" t="str">
        <v/>
      </c>
      <c r="E715" s="51" t="str">
        <v/>
      </c>
      <c r="F715" s="52" t="e">
        <v>#REF!</v>
      </c>
      <c r="G715" s="48" t="e">
        <v>#REF!</v>
      </c>
      <c r="H715" s="49">
        <v>1</v>
      </c>
      <c r="I715" s="49" t="e">
        <v>#REF!</v>
      </c>
      <c r="J715" s="50"/>
    </row>
    <row r="716" outlineLevel="1" spans="1:10">
      <c r="A716" s="50">
        <v>590</v>
      </c>
      <c r="B716" s="51" t="str">
        <v>内墙面-7厚M5石灰砂浆</v>
      </c>
      <c r="C716" s="51" t="e">
        <v>#REF!</v>
      </c>
      <c r="D716" s="51" t="str">
        <v/>
      </c>
      <c r="E716" s="51" t="str">
        <v/>
      </c>
      <c r="F716" s="52" t="e">
        <v>#REF!</v>
      </c>
      <c r="G716" s="48" t="e">
        <v>#REF!</v>
      </c>
      <c r="H716" s="49">
        <v>1</v>
      </c>
      <c r="I716" s="49" t="e">
        <v>#REF!</v>
      </c>
      <c r="J716" s="50"/>
    </row>
    <row r="717" outlineLevel="1" spans="1:10">
      <c r="A717" s="50">
        <v>591</v>
      </c>
      <c r="B717" s="51" t="str">
        <v>内墙面-6厚M7.5石灰砂浆</v>
      </c>
      <c r="C717" s="51" t="e">
        <v>#REF!</v>
      </c>
      <c r="D717" s="51" t="str">
        <v/>
      </c>
      <c r="E717" s="51" t="str">
        <v/>
      </c>
      <c r="F717" s="52" t="e">
        <v>#REF!</v>
      </c>
      <c r="G717" s="48" t="e">
        <v>#REF!</v>
      </c>
      <c r="H717" s="49">
        <v>1</v>
      </c>
      <c r="I717" s="49" t="e">
        <v>#REF!</v>
      </c>
      <c r="J717" s="50"/>
    </row>
    <row r="718" ht="28.8" outlineLevel="1" spans="1:10">
      <c r="A718" s="50" t="str">
        <v/>
      </c>
      <c r="B718" s="51" t="str">
        <v>用于客厅.餐厅.卧室.书房内墙</v>
      </c>
      <c r="C718" s="51" t="str">
        <v/>
      </c>
      <c r="D718" s="51" t="str">
        <v/>
      </c>
      <c r="E718" s="51" t="str">
        <v/>
      </c>
      <c r="F718" s="52" t="str">
        <v/>
      </c>
      <c r="G718" s="48" t="str">
        <v/>
      </c>
      <c r="H718" s="49">
        <v>0</v>
      </c>
      <c r="I718" s="49">
        <v>0</v>
      </c>
      <c r="J718" s="50"/>
    </row>
    <row r="719" outlineLevel="1" spans="1:10">
      <c r="A719" s="50">
        <v>592</v>
      </c>
      <c r="B719" s="51" t="str">
        <v>内墙面-界面剂</v>
      </c>
      <c r="C719" s="51" t="e">
        <v>#REF!</v>
      </c>
      <c r="D719" s="51" t="str">
        <v/>
      </c>
      <c r="E719" s="51" t="str">
        <v/>
      </c>
      <c r="F719" s="52" t="e">
        <v>#REF!</v>
      </c>
      <c r="G719" s="48" t="e">
        <v>#REF!</v>
      </c>
      <c r="H719" s="49">
        <v>18304.51</v>
      </c>
      <c r="I719" s="49" t="e">
        <v>#REF!</v>
      </c>
      <c r="J719" s="50"/>
    </row>
    <row r="720" outlineLevel="1" spans="1:10">
      <c r="A720" s="50">
        <v>593</v>
      </c>
      <c r="B720" s="51" t="str">
        <v>内墙面-9厚M5石灰砂浆</v>
      </c>
      <c r="C720" s="51" t="e">
        <v>#REF!</v>
      </c>
      <c r="D720" s="51" t="str">
        <v/>
      </c>
      <c r="E720" s="51" t="str">
        <v/>
      </c>
      <c r="F720" s="52" t="e">
        <v>#REF!</v>
      </c>
      <c r="G720" s="48" t="e">
        <v>#REF!</v>
      </c>
      <c r="H720" s="49">
        <v>18304.51</v>
      </c>
      <c r="I720" s="49" t="e">
        <v>#REF!</v>
      </c>
      <c r="J720" s="50"/>
    </row>
    <row r="721" outlineLevel="1" spans="1:10">
      <c r="A721" s="50">
        <v>594</v>
      </c>
      <c r="B721" s="51" t="str">
        <v>内墙面-6厚M7.5石灰砂浆</v>
      </c>
      <c r="C721" s="51" t="e">
        <v>#REF!</v>
      </c>
      <c r="D721" s="51" t="str">
        <v/>
      </c>
      <c r="E721" s="51" t="str">
        <v/>
      </c>
      <c r="F721" s="52" t="e">
        <v>#REF!</v>
      </c>
      <c r="G721" s="48" t="e">
        <v>#REF!</v>
      </c>
      <c r="H721" s="49">
        <v>18304.51</v>
      </c>
      <c r="I721" s="49" t="e">
        <v>#REF!</v>
      </c>
      <c r="J721" s="50"/>
    </row>
    <row r="722" outlineLevel="1" spans="1:10">
      <c r="A722" s="50">
        <v>595</v>
      </c>
      <c r="B722" s="51" t="str">
        <v>内墙面-玻纤网</v>
      </c>
      <c r="C722" s="51" t="e">
        <v>#REF!</v>
      </c>
      <c r="D722" s="51" t="str">
        <v/>
      </c>
      <c r="E722" s="51" t="str">
        <v/>
      </c>
      <c r="F722" s="52" t="e">
        <v>#REF!</v>
      </c>
      <c r="G722" s="48" t="e">
        <v>#REF!</v>
      </c>
      <c r="H722" s="49">
        <v>18304.51</v>
      </c>
      <c r="I722" s="49" t="e">
        <v>#REF!</v>
      </c>
      <c r="J722" s="50"/>
    </row>
    <row r="723" outlineLevel="1" spans="1:10">
      <c r="A723" s="50" t="str">
        <v/>
      </c>
      <c r="B723" s="51" t="str">
        <v>户内除厨房.卫生间外的房间</v>
      </c>
      <c r="C723" s="51" t="str">
        <v/>
      </c>
      <c r="D723" s="51" t="str">
        <v/>
      </c>
      <c r="E723" s="51" t="str">
        <v/>
      </c>
      <c r="F723" s="52" t="str">
        <v/>
      </c>
      <c r="G723" s="48" t="str">
        <v/>
      </c>
      <c r="H723" s="49">
        <v>0</v>
      </c>
      <c r="I723" s="49">
        <v>0</v>
      </c>
      <c r="J723" s="50"/>
    </row>
    <row r="724" outlineLevel="1" spans="1:10">
      <c r="A724" s="50">
        <v>596</v>
      </c>
      <c r="B724" s="51" t="str">
        <v>内墙面-界面剂</v>
      </c>
      <c r="C724" s="51" t="e">
        <v>#REF!</v>
      </c>
      <c r="D724" s="51" t="str">
        <v/>
      </c>
      <c r="E724" s="51" t="str">
        <v/>
      </c>
      <c r="F724" s="52" t="e">
        <v>#REF!</v>
      </c>
      <c r="G724" s="48" t="e">
        <v>#REF!</v>
      </c>
      <c r="H724" s="49">
        <v>1</v>
      </c>
      <c r="I724" s="49" t="e">
        <v>#REF!</v>
      </c>
      <c r="J724" s="50"/>
    </row>
    <row r="725" outlineLevel="1" spans="1:10">
      <c r="A725" s="50">
        <v>597</v>
      </c>
      <c r="B725" s="51" t="str">
        <v>内墙面-7厚M5石灰砂浆</v>
      </c>
      <c r="C725" s="51" t="e">
        <v>#REF!</v>
      </c>
      <c r="D725" s="51" t="str">
        <v/>
      </c>
      <c r="E725" s="51" t="str">
        <v/>
      </c>
      <c r="F725" s="52" t="e">
        <v>#REF!</v>
      </c>
      <c r="G725" s="48" t="e">
        <v>#REF!</v>
      </c>
      <c r="H725" s="49">
        <v>1</v>
      </c>
      <c r="I725" s="49" t="e">
        <v>#REF!</v>
      </c>
      <c r="J725" s="50"/>
    </row>
    <row r="726" outlineLevel="1" spans="1:10">
      <c r="A726" s="50">
        <v>598</v>
      </c>
      <c r="B726" s="51" t="str">
        <v>内墙面-6厚M7.5石灰砂浆</v>
      </c>
      <c r="C726" s="51" t="e">
        <v>#REF!</v>
      </c>
      <c r="D726" s="51" t="str">
        <v/>
      </c>
      <c r="E726" s="51" t="str">
        <v/>
      </c>
      <c r="F726" s="52" t="e">
        <v>#REF!</v>
      </c>
      <c r="G726" s="48" t="e">
        <v>#REF!</v>
      </c>
      <c r="H726" s="49">
        <v>1</v>
      </c>
      <c r="I726" s="49" t="e">
        <v>#REF!</v>
      </c>
      <c r="J726" s="50"/>
    </row>
    <row r="727" outlineLevel="1" spans="1:10">
      <c r="A727" s="50">
        <v>599</v>
      </c>
      <c r="B727" s="51" t="str">
        <v>内墙面-15厚粉刷石膏</v>
      </c>
      <c r="C727" s="51" t="e">
        <v>#REF!</v>
      </c>
      <c r="D727" s="51" t="str">
        <v/>
      </c>
      <c r="E727" s="51" t="str">
        <v/>
      </c>
      <c r="F727" s="52" t="e">
        <v>#REF!</v>
      </c>
      <c r="G727" s="48" t="e">
        <v>#REF!</v>
      </c>
      <c r="H727" s="49">
        <v>0</v>
      </c>
      <c r="I727" s="49" t="e">
        <v>#REF!</v>
      </c>
      <c r="J727" s="50"/>
    </row>
    <row r="728" outlineLevel="1" spans="1:10">
      <c r="A728" s="50">
        <v>600</v>
      </c>
      <c r="B728" s="51" t="str">
        <v>内墙面-玻纤网</v>
      </c>
      <c r="C728" s="51" t="e">
        <v>#REF!</v>
      </c>
      <c r="D728" s="51" t="str">
        <v/>
      </c>
      <c r="E728" s="51" t="str">
        <v/>
      </c>
      <c r="F728" s="52" t="e">
        <v>#REF!</v>
      </c>
      <c r="G728" s="48" t="e">
        <v>#REF!</v>
      </c>
      <c r="H728" s="49">
        <v>1</v>
      </c>
      <c r="I728" s="49" t="e">
        <v>#REF!</v>
      </c>
      <c r="J728" s="50"/>
    </row>
    <row r="729" outlineLevel="1" spans="1:10">
      <c r="A729" s="50" t="str">
        <v/>
      </c>
      <c r="B729" s="51" t="str">
        <v>户内除厨房.卫生间外的房间</v>
      </c>
      <c r="C729" s="51" t="str">
        <v/>
      </c>
      <c r="D729" s="51" t="str">
        <v/>
      </c>
      <c r="E729" s="51" t="str">
        <v/>
      </c>
      <c r="F729" s="52" t="str">
        <v/>
      </c>
      <c r="G729" s="48" t="str">
        <v/>
      </c>
      <c r="H729" s="49">
        <v>0</v>
      </c>
      <c r="I729" s="49">
        <v>0</v>
      </c>
      <c r="J729" s="50"/>
    </row>
    <row r="730" outlineLevel="1" spans="1:10">
      <c r="A730" s="50">
        <v>601</v>
      </c>
      <c r="B730" s="51" t="str">
        <v>内墙面-6厚M7.5石灰砂浆</v>
      </c>
      <c r="C730" s="51" t="e">
        <v>#REF!</v>
      </c>
      <c r="D730" s="51" t="str">
        <v/>
      </c>
      <c r="E730" s="51" t="str">
        <v/>
      </c>
      <c r="F730" s="52" t="e">
        <v>#REF!</v>
      </c>
      <c r="G730" s="48" t="e">
        <v>#REF!</v>
      </c>
      <c r="H730" s="49">
        <v>1</v>
      </c>
      <c r="I730" s="49" t="e">
        <v>#REF!</v>
      </c>
      <c r="J730" s="50"/>
    </row>
    <row r="731" outlineLevel="1" spans="1:10">
      <c r="A731" s="50">
        <v>602</v>
      </c>
      <c r="B731" s="51" t="str">
        <v>内墙面-玻纤网</v>
      </c>
      <c r="C731" s="51" t="e">
        <v>#REF!</v>
      </c>
      <c r="D731" s="51" t="str">
        <v/>
      </c>
      <c r="E731" s="51" t="str">
        <v/>
      </c>
      <c r="F731" s="52" t="e">
        <v>#REF!</v>
      </c>
      <c r="G731" s="48" t="e">
        <v>#REF!</v>
      </c>
      <c r="H731" s="49">
        <v>1</v>
      </c>
      <c r="I731" s="49" t="e">
        <v>#REF!</v>
      </c>
      <c r="J731" s="50"/>
    </row>
    <row r="732" outlineLevel="1" spans="1:10">
      <c r="A732" s="50">
        <v>603</v>
      </c>
      <c r="B732" s="51" t="str">
        <v>内墙面-界面剂</v>
      </c>
      <c r="C732" s="51" t="e">
        <v>#REF!</v>
      </c>
      <c r="D732" s="51" t="str">
        <v/>
      </c>
      <c r="E732" s="51" t="str">
        <v/>
      </c>
      <c r="F732" s="52" t="e">
        <v>#REF!</v>
      </c>
      <c r="G732" s="48" t="e">
        <v>#REF!</v>
      </c>
      <c r="H732" s="49">
        <v>1</v>
      </c>
      <c r="I732" s="49" t="e">
        <v>#REF!</v>
      </c>
      <c r="J732" s="50"/>
    </row>
    <row r="733" outlineLevel="1" spans="1:10">
      <c r="A733" s="50">
        <v>604</v>
      </c>
      <c r="B733" s="51" t="str">
        <v>内墙面-3-5厚砂浆打底</v>
      </c>
      <c r="C733" s="51" t="e">
        <v>#REF!</v>
      </c>
      <c r="D733" s="51" t="str">
        <v/>
      </c>
      <c r="E733" s="51" t="str">
        <v/>
      </c>
      <c r="F733" s="52" t="e">
        <v>#REF!</v>
      </c>
      <c r="G733" s="48" t="e">
        <v>#REF!</v>
      </c>
      <c r="H733" s="49">
        <v>1</v>
      </c>
      <c r="I733" s="49" t="e">
        <v>#REF!</v>
      </c>
      <c r="J733" s="50"/>
    </row>
    <row r="734" outlineLevel="1" spans="1:10">
      <c r="A734" s="50">
        <v>605</v>
      </c>
      <c r="B734" s="51" t="str">
        <v>内墙面-6厚M7.5石灰砂浆</v>
      </c>
      <c r="C734" s="51" t="e">
        <v>#REF!</v>
      </c>
      <c r="D734" s="51" t="str">
        <v/>
      </c>
      <c r="E734" s="51" t="str">
        <v/>
      </c>
      <c r="F734" s="52" t="e">
        <v>#REF!</v>
      </c>
      <c r="G734" s="48" t="e">
        <v>#REF!</v>
      </c>
      <c r="H734" s="49">
        <v>1</v>
      </c>
      <c r="I734" s="49" t="e">
        <v>#REF!</v>
      </c>
      <c r="J734" s="50"/>
    </row>
    <row r="735" outlineLevel="1" spans="1:10">
      <c r="A735" s="50">
        <v>606</v>
      </c>
      <c r="B735" s="51" t="str">
        <v>通风道真空绝热板</v>
      </c>
      <c r="C735" s="51" t="e">
        <v>#REF!</v>
      </c>
      <c r="D735" s="51" t="str">
        <v/>
      </c>
      <c r="E735" s="51" t="str">
        <v/>
      </c>
      <c r="F735" s="52" t="e">
        <v>#REF!</v>
      </c>
      <c r="G735" s="48" t="e">
        <v>#REF!</v>
      </c>
      <c r="H735" s="49">
        <v>0</v>
      </c>
      <c r="I735" s="49" t="e">
        <v>#REF!</v>
      </c>
      <c r="J735" s="50"/>
    </row>
    <row r="736" outlineLevel="1" spans="1:10">
      <c r="A736" s="50">
        <v>607</v>
      </c>
      <c r="B736" s="51" t="str">
        <v>砌块墙钢丝网满挂</v>
      </c>
      <c r="C736" s="51" t="e">
        <v>#REF!</v>
      </c>
      <c r="D736" s="51" t="str">
        <v/>
      </c>
      <c r="E736" s="51" t="str">
        <v/>
      </c>
      <c r="F736" s="52" t="e">
        <v>#REF!</v>
      </c>
      <c r="G736" s="48" t="e">
        <v>#REF!</v>
      </c>
      <c r="H736" s="49">
        <v>1</v>
      </c>
      <c r="I736" s="49" t="e">
        <v>#REF!</v>
      </c>
      <c r="J736" s="50"/>
    </row>
    <row r="737" outlineLevel="1" spans="1:10">
      <c r="A737" s="50">
        <v>608</v>
      </c>
      <c r="B737" s="51" t="str">
        <v>内墙面-界面剂</v>
      </c>
      <c r="C737" s="51" t="e">
        <v>#REF!</v>
      </c>
      <c r="D737" s="51" t="str">
        <v/>
      </c>
      <c r="E737" s="51" t="str">
        <v/>
      </c>
      <c r="F737" s="52" t="e">
        <v>#REF!</v>
      </c>
      <c r="G737" s="48" t="e">
        <v>#REF!</v>
      </c>
      <c r="H737" s="49">
        <v>1</v>
      </c>
      <c r="I737" s="49" t="e">
        <v>#REF!</v>
      </c>
      <c r="J737" s="50"/>
    </row>
    <row r="738" outlineLevel="1" spans="1:10">
      <c r="A738" s="50">
        <v>609</v>
      </c>
      <c r="B738" s="51" t="str">
        <v>内墙面-15厚M7.5水泥砂浆</v>
      </c>
      <c r="C738" s="51" t="e">
        <v>#REF!</v>
      </c>
      <c r="D738" s="51" t="str">
        <v/>
      </c>
      <c r="E738" s="51" t="str">
        <v/>
      </c>
      <c r="F738" s="52" t="e">
        <v>#REF!</v>
      </c>
      <c r="G738" s="48" t="e">
        <v>#REF!</v>
      </c>
      <c r="H738" s="49">
        <v>1</v>
      </c>
      <c r="I738" s="49" t="e">
        <v>#REF!</v>
      </c>
      <c r="J738" s="50"/>
    </row>
    <row r="739" outlineLevel="1" spans="1:10">
      <c r="A739" s="50">
        <v>610</v>
      </c>
      <c r="B739" s="51" t="str">
        <v>内墙面-15厚M7.5石灰砂浆</v>
      </c>
      <c r="C739" s="51" t="e">
        <v>#REF!</v>
      </c>
      <c r="D739" s="51" t="str">
        <v/>
      </c>
      <c r="E739" s="51" t="str">
        <v/>
      </c>
      <c r="F739" s="52" t="e">
        <v>#REF!</v>
      </c>
      <c r="G739" s="48" t="e">
        <v>#REF!</v>
      </c>
      <c r="H739" s="49">
        <v>1</v>
      </c>
      <c r="I739" s="49" t="e">
        <v>#REF!</v>
      </c>
      <c r="J739" s="50"/>
    </row>
    <row r="740" outlineLevel="1" spans="1:10">
      <c r="A740" s="50">
        <v>611</v>
      </c>
      <c r="B740" s="51" t="str">
        <v>内墙面-13厚M7.5石灰砂浆</v>
      </c>
      <c r="C740" s="51" t="e">
        <v>#REF!</v>
      </c>
      <c r="D740" s="51" t="str">
        <v/>
      </c>
      <c r="E740" s="51" t="str">
        <v/>
      </c>
      <c r="F740" s="52" t="e">
        <v>#REF!</v>
      </c>
      <c r="G740" s="48" t="e">
        <v>#REF!</v>
      </c>
      <c r="H740" s="49">
        <v>1</v>
      </c>
      <c r="I740" s="49" t="e">
        <v>#REF!</v>
      </c>
      <c r="J740" s="50"/>
    </row>
    <row r="741" outlineLevel="1" spans="1:10">
      <c r="A741" s="50">
        <v>612</v>
      </c>
      <c r="B741" s="51" t="str">
        <v>内墙面-13厚M7.5水泥砂浆</v>
      </c>
      <c r="C741" s="51" t="e">
        <v>#REF!</v>
      </c>
      <c r="D741" s="51" t="str">
        <v/>
      </c>
      <c r="E741" s="51" t="str">
        <v/>
      </c>
      <c r="F741" s="52" t="e">
        <v>#REF!</v>
      </c>
      <c r="G741" s="48" t="e">
        <v>#REF!</v>
      </c>
      <c r="H741" s="49">
        <v>1</v>
      </c>
      <c r="I741" s="49" t="e">
        <v>#REF!</v>
      </c>
      <c r="J741" s="50"/>
    </row>
    <row r="742" outlineLevel="1" spans="1:10">
      <c r="A742" s="50">
        <v>613</v>
      </c>
      <c r="B742" s="51" t="str">
        <v>内墙面-15厚M5水泥砂浆</v>
      </c>
      <c r="C742" s="51" t="e">
        <v>#REF!</v>
      </c>
      <c r="D742" s="51" t="str">
        <v/>
      </c>
      <c r="E742" s="51" t="str">
        <v/>
      </c>
      <c r="F742" s="52" t="e">
        <v>#REF!</v>
      </c>
      <c r="G742" s="48" t="e">
        <v>#REF!</v>
      </c>
      <c r="H742" s="49">
        <v>1</v>
      </c>
      <c r="I742" s="49" t="e">
        <v>#REF!</v>
      </c>
      <c r="J742" s="50"/>
    </row>
    <row r="743" outlineLevel="1" spans="1:10">
      <c r="A743" s="50">
        <v>614</v>
      </c>
      <c r="B743" s="51" t="str">
        <v>内墙面-15厚M5石灰砂浆</v>
      </c>
      <c r="C743" s="51" t="e">
        <v>#REF!</v>
      </c>
      <c r="D743" s="51" t="str">
        <v/>
      </c>
      <c r="E743" s="51" t="str">
        <v/>
      </c>
      <c r="F743" s="52" t="e">
        <v>#REF!</v>
      </c>
      <c r="G743" s="48" t="e">
        <v>#REF!</v>
      </c>
      <c r="H743" s="49">
        <v>1</v>
      </c>
      <c r="I743" s="49" t="e">
        <v>#REF!</v>
      </c>
      <c r="J743" s="50"/>
    </row>
    <row r="744" outlineLevel="1" spans="1:10">
      <c r="A744" s="50">
        <v>615</v>
      </c>
      <c r="B744" s="51" t="str">
        <v>内墙面-13厚M5水泥砂浆</v>
      </c>
      <c r="C744" s="51" t="e">
        <v>#REF!</v>
      </c>
      <c r="D744" s="51" t="str">
        <v/>
      </c>
      <c r="E744" s="51" t="str">
        <v/>
      </c>
      <c r="F744" s="52" t="e">
        <v>#REF!</v>
      </c>
      <c r="G744" s="48" t="e">
        <v>#REF!</v>
      </c>
      <c r="H744" s="49">
        <v>1</v>
      </c>
      <c r="I744" s="49" t="e">
        <v>#REF!</v>
      </c>
      <c r="J744" s="50"/>
    </row>
    <row r="745" outlineLevel="1" spans="1:10">
      <c r="A745" s="50">
        <v>616</v>
      </c>
      <c r="B745" s="51" t="str">
        <v>内墙面-13厚M5石灰砂浆</v>
      </c>
      <c r="C745" s="51" t="e">
        <v>#REF!</v>
      </c>
      <c r="D745" s="51" t="str">
        <v/>
      </c>
      <c r="E745" s="51" t="str">
        <v/>
      </c>
      <c r="F745" s="52" t="e">
        <v>#REF!</v>
      </c>
      <c r="G745" s="48" t="e">
        <v>#REF!</v>
      </c>
      <c r="H745" s="49">
        <v>1</v>
      </c>
      <c r="I745" s="49" t="e">
        <v>#REF!</v>
      </c>
      <c r="J745" s="50"/>
    </row>
    <row r="746" outlineLevel="1" spans="1:10">
      <c r="A746" s="50">
        <v>617</v>
      </c>
      <c r="B746" s="51" t="str">
        <v>内墙面-12厚M5水泥砂浆</v>
      </c>
      <c r="C746" s="51" t="e">
        <v>#REF!</v>
      </c>
      <c r="D746" s="51" t="str">
        <v/>
      </c>
      <c r="E746" s="51" t="str">
        <v/>
      </c>
      <c r="F746" s="52" t="e">
        <v>#REF!</v>
      </c>
      <c r="G746" s="48" t="e">
        <v>#REF!</v>
      </c>
      <c r="H746" s="49">
        <v>1</v>
      </c>
      <c r="I746" s="49" t="e">
        <v>#REF!</v>
      </c>
      <c r="J746" s="50"/>
    </row>
    <row r="747" outlineLevel="1" spans="1:10">
      <c r="A747" s="50">
        <v>618</v>
      </c>
      <c r="B747" s="51" t="str">
        <v>内墙面-12厚M5石灰砂浆</v>
      </c>
      <c r="C747" s="51" t="e">
        <v>#REF!</v>
      </c>
      <c r="D747" s="51" t="str">
        <v/>
      </c>
      <c r="E747" s="51" t="str">
        <v/>
      </c>
      <c r="F747" s="52" t="e">
        <v>#REF!</v>
      </c>
      <c r="G747" s="48" t="e">
        <v>#REF!</v>
      </c>
      <c r="H747" s="49">
        <v>1</v>
      </c>
      <c r="I747" s="49" t="e">
        <v>#REF!</v>
      </c>
      <c r="J747" s="50"/>
    </row>
    <row r="748" outlineLevel="1" spans="1:10">
      <c r="A748" s="50">
        <v>619</v>
      </c>
      <c r="B748" s="51" t="str">
        <v>内墙面-镀锌钢丝网</v>
      </c>
      <c r="C748" s="51" t="e">
        <v>#REF!</v>
      </c>
      <c r="D748" s="51" t="str">
        <v/>
      </c>
      <c r="E748" s="51" t="str">
        <v/>
      </c>
      <c r="F748" s="52" t="e">
        <v>#REF!</v>
      </c>
      <c r="G748" s="48" t="e">
        <v>#REF!</v>
      </c>
      <c r="H748" s="49">
        <v>1</v>
      </c>
      <c r="I748" s="49" t="e">
        <v>#REF!</v>
      </c>
      <c r="J748" s="50"/>
    </row>
    <row r="749" ht="28.8" outlineLevel="1" spans="1:10">
      <c r="A749" s="50" t="str">
        <v/>
      </c>
      <c r="B749" s="51" t="str">
        <v>水暖电井内墙（二次结构墙体）</v>
      </c>
      <c r="C749" s="51" t="str">
        <v/>
      </c>
      <c r="D749" s="51" t="str">
        <v/>
      </c>
      <c r="E749" s="51" t="str">
        <v/>
      </c>
      <c r="F749" s="52" t="str">
        <v/>
      </c>
      <c r="G749" s="48" t="str">
        <v/>
      </c>
      <c r="H749" s="49">
        <v>0</v>
      </c>
      <c r="I749" s="49">
        <v>0</v>
      </c>
      <c r="J749" s="50"/>
    </row>
    <row r="750" outlineLevel="1" spans="1:10">
      <c r="A750" s="50">
        <v>620</v>
      </c>
      <c r="B750" s="51" t="str">
        <v>内墙面-界面剂</v>
      </c>
      <c r="C750" s="51" t="e">
        <v>#REF!</v>
      </c>
      <c r="D750" s="51" t="str">
        <v/>
      </c>
      <c r="E750" s="51" t="str">
        <v/>
      </c>
      <c r="F750" s="52" t="e">
        <v>#REF!</v>
      </c>
      <c r="G750" s="48" t="e">
        <v>#REF!</v>
      </c>
      <c r="H750" s="49">
        <v>491.59</v>
      </c>
      <c r="I750" s="49" t="e">
        <v>#REF!</v>
      </c>
      <c r="J750" s="50"/>
    </row>
    <row r="751" outlineLevel="1" spans="1:10">
      <c r="A751" s="50">
        <v>621</v>
      </c>
      <c r="B751" s="51" t="str">
        <v>内墙面-7厚M5石灰砂浆</v>
      </c>
      <c r="C751" s="51" t="e">
        <v>#REF!</v>
      </c>
      <c r="D751" s="51" t="str">
        <v/>
      </c>
      <c r="E751" s="51" t="str">
        <v/>
      </c>
      <c r="F751" s="52" t="e">
        <v>#REF!</v>
      </c>
      <c r="G751" s="48" t="e">
        <v>#REF!</v>
      </c>
      <c r="H751" s="49">
        <v>491.59</v>
      </c>
      <c r="I751" s="49" t="e">
        <v>#REF!</v>
      </c>
      <c r="J751" s="50"/>
    </row>
    <row r="752" outlineLevel="1" spans="1:10">
      <c r="A752" s="50">
        <v>622</v>
      </c>
      <c r="B752" s="51" t="str">
        <v>内墙面-6厚M7.5石灰砂浆</v>
      </c>
      <c r="C752" s="51" t="e">
        <v>#REF!</v>
      </c>
      <c r="D752" s="51" t="str">
        <v/>
      </c>
      <c r="E752" s="51" t="str">
        <v/>
      </c>
      <c r="F752" s="52" t="e">
        <v>#REF!</v>
      </c>
      <c r="G752" s="48" t="e">
        <v>#REF!</v>
      </c>
      <c r="H752" s="49">
        <v>491.59</v>
      </c>
      <c r="I752" s="49" t="e">
        <v>#REF!</v>
      </c>
      <c r="J752" s="50"/>
    </row>
    <row r="753" ht="28.8" outlineLevel="1" spans="1:10">
      <c r="A753" s="50" t="str">
        <v/>
      </c>
      <c r="B753" s="51" t="str">
        <v>水箱间.电梯机房内墙（二次结构墙）</v>
      </c>
      <c r="C753" s="51" t="str">
        <v/>
      </c>
      <c r="D753" s="51" t="str">
        <v/>
      </c>
      <c r="E753" s="51" t="str">
        <v/>
      </c>
      <c r="F753" s="52" t="str">
        <v/>
      </c>
      <c r="G753" s="48" t="str">
        <v/>
      </c>
      <c r="H753" s="49">
        <v>0</v>
      </c>
      <c r="I753" s="49">
        <v>0</v>
      </c>
      <c r="J753" s="50"/>
    </row>
    <row r="754" outlineLevel="1" spans="1:10">
      <c r="A754" s="50">
        <v>623</v>
      </c>
      <c r="B754" s="51" t="str">
        <v>内墙面-界面剂</v>
      </c>
      <c r="C754" s="51" t="e">
        <v>#REF!</v>
      </c>
      <c r="D754" s="51" t="str">
        <v/>
      </c>
      <c r="E754" s="51" t="str">
        <v/>
      </c>
      <c r="F754" s="52" t="e">
        <v>#REF!</v>
      </c>
      <c r="G754" s="48" t="e">
        <v>#REF!</v>
      </c>
      <c r="H754" s="49">
        <v>208.26</v>
      </c>
      <c r="I754" s="49" t="e">
        <v>#REF!</v>
      </c>
      <c r="J754" s="50"/>
    </row>
    <row r="755" outlineLevel="1" spans="1:10">
      <c r="A755" s="50">
        <v>624</v>
      </c>
      <c r="B755" s="51" t="str">
        <v>内墙面-7厚M5石灰砂浆</v>
      </c>
      <c r="C755" s="51" t="e">
        <v>#REF!</v>
      </c>
      <c r="D755" s="51" t="str">
        <v/>
      </c>
      <c r="E755" s="51" t="str">
        <v/>
      </c>
      <c r="F755" s="52" t="e">
        <v>#REF!</v>
      </c>
      <c r="G755" s="48" t="e">
        <v>#REF!</v>
      </c>
      <c r="H755" s="49">
        <v>208.26</v>
      </c>
      <c r="I755" s="49" t="e">
        <v>#REF!</v>
      </c>
      <c r="J755" s="50"/>
    </row>
    <row r="756" outlineLevel="1" spans="1:10">
      <c r="A756" s="50">
        <v>625</v>
      </c>
      <c r="B756" s="51" t="str">
        <v>内墙面-6厚M7.5石灰砂浆</v>
      </c>
      <c r="C756" s="51" t="e">
        <v>#REF!</v>
      </c>
      <c r="D756" s="51" t="str">
        <v/>
      </c>
      <c r="E756" s="51" t="str">
        <v/>
      </c>
      <c r="F756" s="52" t="e">
        <v>#REF!</v>
      </c>
      <c r="G756" s="48" t="e">
        <v>#REF!</v>
      </c>
      <c r="H756" s="49">
        <v>208.26</v>
      </c>
      <c r="I756" s="49" t="e">
        <v>#REF!</v>
      </c>
      <c r="J756" s="50"/>
    </row>
    <row r="757" outlineLevel="1" spans="1:10">
      <c r="A757" s="50">
        <v>626</v>
      </c>
      <c r="B757" s="51" t="str">
        <v>内墙面-7厚M5水泥砂浆</v>
      </c>
      <c r="C757" s="51" t="e">
        <v>#REF!</v>
      </c>
      <c r="D757" s="51" t="str">
        <v/>
      </c>
      <c r="E757" s="51" t="str">
        <v/>
      </c>
      <c r="F757" s="52" t="e">
        <v>#REF!</v>
      </c>
      <c r="G757" s="48" t="e">
        <v>#REF!</v>
      </c>
      <c r="H757" s="49">
        <v>1</v>
      </c>
      <c r="I757" s="49" t="e">
        <v>#REF!</v>
      </c>
      <c r="J757" s="50"/>
    </row>
    <row r="758" outlineLevel="1" spans="1:10">
      <c r="A758" s="50">
        <v>627</v>
      </c>
      <c r="B758" s="51" t="str">
        <v>内墙面-6厚M7.5水泥砂浆</v>
      </c>
      <c r="C758" s="51" t="e">
        <v>#REF!</v>
      </c>
      <c r="D758" s="51" t="str">
        <v/>
      </c>
      <c r="E758" s="51" t="str">
        <v/>
      </c>
      <c r="F758" s="52" t="e">
        <v>#REF!</v>
      </c>
      <c r="G758" s="48" t="e">
        <v>#REF!</v>
      </c>
      <c r="H758" s="49">
        <v>1</v>
      </c>
      <c r="I758" s="49" t="e">
        <v>#REF!</v>
      </c>
      <c r="J758" s="50"/>
    </row>
    <row r="759" outlineLevel="1" spans="1:10">
      <c r="A759" s="50">
        <v>628</v>
      </c>
      <c r="B759" s="51" t="str">
        <v>内墙面-窗井风井</v>
      </c>
      <c r="C759" s="51" t="e">
        <v>#REF!</v>
      </c>
      <c r="D759" s="51" t="str">
        <v/>
      </c>
      <c r="E759" s="51" t="str">
        <v/>
      </c>
      <c r="F759" s="52" t="e">
        <v>#REF!</v>
      </c>
      <c r="G759" s="48" t="e">
        <v>#REF!</v>
      </c>
      <c r="H759" s="49">
        <v>119.323636363636</v>
      </c>
      <c r="I759" s="49" t="e">
        <v>#REF!</v>
      </c>
      <c r="J759" s="50"/>
    </row>
    <row r="760" outlineLevel="1" spans="1:10">
      <c r="A760" s="50" t="str">
        <v/>
      </c>
      <c r="B760" s="51" t="str">
        <v>A.05.03天棚装饰工程</v>
      </c>
      <c r="C760" s="51" t="str">
        <v/>
      </c>
      <c r="D760" s="51" t="str">
        <v/>
      </c>
      <c r="E760" s="51" t="str">
        <v/>
      </c>
      <c r="F760" s="52" t="str">
        <v/>
      </c>
      <c r="G760" s="48" t="str">
        <v/>
      </c>
      <c r="H760" s="49">
        <v>0</v>
      </c>
      <c r="I760" s="49" t="e">
        <v>#REF!</v>
      </c>
      <c r="J760" s="50"/>
    </row>
    <row r="761" outlineLevel="1" spans="1:10">
      <c r="A761" s="50">
        <v>629</v>
      </c>
      <c r="B761" s="51" t="str">
        <v>天棚-腻子两遍</v>
      </c>
      <c r="C761" s="51" t="e">
        <v>#REF!</v>
      </c>
      <c r="D761" s="51" t="str">
        <v/>
      </c>
      <c r="E761" s="51" t="str">
        <v/>
      </c>
      <c r="F761" s="52" t="e">
        <v>#REF!</v>
      </c>
      <c r="G761" s="48" t="e">
        <v>#REF!</v>
      </c>
      <c r="H761" s="49">
        <v>9427.32</v>
      </c>
      <c r="I761" s="49" t="e">
        <v>#REF!</v>
      </c>
      <c r="J761" s="50"/>
    </row>
    <row r="762" outlineLevel="1" spans="1:10">
      <c r="A762" s="50" t="str">
        <v/>
      </c>
      <c r="B762" s="51" t="str">
        <v>A.05.04白水泥工程</v>
      </c>
      <c r="C762" s="51" t="str">
        <v/>
      </c>
      <c r="D762" s="51" t="str">
        <v/>
      </c>
      <c r="E762" s="51" t="str">
        <v/>
      </c>
      <c r="F762" s="52" t="str">
        <v/>
      </c>
      <c r="G762" s="48" t="str">
        <v/>
      </c>
      <c r="H762" s="49">
        <v>0</v>
      </c>
      <c r="I762" s="49" t="e">
        <v>#REF!</v>
      </c>
      <c r="J762" s="50"/>
    </row>
    <row r="763" outlineLevel="1" spans="1:10">
      <c r="A763" s="50">
        <v>630</v>
      </c>
      <c r="B763" s="51" t="str">
        <v>内墙面-地上白水泥</v>
      </c>
      <c r="C763" s="51" t="e">
        <v>#REF!</v>
      </c>
      <c r="D763" s="51" t="str">
        <v/>
      </c>
      <c r="E763" s="51" t="str">
        <v/>
      </c>
      <c r="F763" s="52" t="e">
        <v>#REF!</v>
      </c>
      <c r="G763" s="48" t="e">
        <v>#REF!</v>
      </c>
      <c r="H763" s="49">
        <v>2161.44</v>
      </c>
      <c r="I763" s="49" t="e">
        <v>#REF!</v>
      </c>
      <c r="J763" s="50"/>
    </row>
    <row r="764" outlineLevel="1" spans="1:10">
      <c r="A764" s="50">
        <v>631</v>
      </c>
      <c r="B764" s="51" t="str">
        <v>天棚-地上白水泥</v>
      </c>
      <c r="C764" s="51" t="e">
        <v>#REF!</v>
      </c>
      <c r="D764" s="51" t="str">
        <v/>
      </c>
      <c r="E764" s="51" t="str">
        <v/>
      </c>
      <c r="F764" s="52" t="e">
        <v>#REF!</v>
      </c>
      <c r="G764" s="48" t="e">
        <v>#REF!</v>
      </c>
      <c r="H764" s="49">
        <v>951.93</v>
      </c>
      <c r="I764" s="49" t="e">
        <v>#REF!</v>
      </c>
      <c r="J764" s="50"/>
    </row>
    <row r="765" outlineLevel="1" spans="1:10">
      <c r="A765" s="50" t="str">
        <v/>
      </c>
      <c r="B765" s="51" t="str">
        <v>A.06外墙装饰工程</v>
      </c>
      <c r="C765" s="51" t="str">
        <v/>
      </c>
      <c r="D765" s="51" t="str">
        <v/>
      </c>
      <c r="E765" s="51" t="str">
        <v/>
      </c>
      <c r="F765" s="52" t="str">
        <v/>
      </c>
      <c r="G765" s="48" t="str">
        <v/>
      </c>
      <c r="H765" s="49">
        <v>0</v>
      </c>
      <c r="I765" s="49" t="e">
        <v>#REF!</v>
      </c>
      <c r="J765" s="50"/>
    </row>
    <row r="766" outlineLevel="1" spans="1:10">
      <c r="A766" s="50" t="str">
        <v/>
      </c>
      <c r="B766" s="51" t="str">
        <v>A.06.01保温隔热工程</v>
      </c>
      <c r="C766" s="51" t="str">
        <v/>
      </c>
      <c r="D766" s="51" t="str">
        <v/>
      </c>
      <c r="E766" s="51" t="str">
        <v/>
      </c>
      <c r="F766" s="52" t="str">
        <v/>
      </c>
      <c r="G766" s="48" t="str">
        <v/>
      </c>
      <c r="H766" s="49" t="e">
        <v>#REF!</v>
      </c>
      <c r="I766" s="49" t="e">
        <v>#REF!</v>
      </c>
      <c r="J766" s="50"/>
    </row>
    <row r="767" outlineLevel="1" spans="1:10">
      <c r="A767" s="50">
        <v>632</v>
      </c>
      <c r="B767" s="51" t="str">
        <v>外墙面-3厚抗裂砂浆</v>
      </c>
      <c r="C767" s="51" t="e">
        <v>#REF!</v>
      </c>
      <c r="D767" s="51" t="str">
        <v/>
      </c>
      <c r="E767" s="51" t="str">
        <v/>
      </c>
      <c r="F767" s="52" t="e">
        <v>#REF!</v>
      </c>
      <c r="G767" s="48" t="e">
        <v>#REF!</v>
      </c>
      <c r="H767" s="49" t="e">
        <v>#REF!</v>
      </c>
      <c r="I767" s="49" t="e">
        <v>#REF!</v>
      </c>
      <c r="J767" s="50"/>
    </row>
    <row r="768" outlineLevel="1" spans="1:10">
      <c r="A768" s="50">
        <v>633</v>
      </c>
      <c r="B768" s="51" t="str">
        <v>外墙面-5厚防水抗裂砂浆</v>
      </c>
      <c r="C768" s="51" t="e">
        <v>#REF!</v>
      </c>
      <c r="D768" s="51" t="str">
        <v/>
      </c>
      <c r="E768" s="51" t="str">
        <v/>
      </c>
      <c r="F768" s="52" t="e">
        <v>#REF!</v>
      </c>
      <c r="G768" s="48" t="e">
        <v>#REF!</v>
      </c>
      <c r="H768" s="49" t="e">
        <v>#REF!</v>
      </c>
      <c r="I768" s="49" t="e">
        <v>#REF!</v>
      </c>
      <c r="J768" s="50"/>
    </row>
    <row r="769" outlineLevel="1" spans="1:10">
      <c r="A769" s="50">
        <v>634</v>
      </c>
      <c r="B769" s="51" t="str">
        <v>外墙面-网格布</v>
      </c>
      <c r="C769" s="51" t="e">
        <v>#REF!</v>
      </c>
      <c r="D769" s="51" t="str">
        <v/>
      </c>
      <c r="E769" s="51" t="str">
        <v/>
      </c>
      <c r="F769" s="52" t="e">
        <v>#REF!</v>
      </c>
      <c r="G769" s="48" t="e">
        <v>#REF!</v>
      </c>
      <c r="H769" s="49" t="e">
        <v>#REF!</v>
      </c>
      <c r="I769" s="49" t="e">
        <v>#REF!</v>
      </c>
      <c r="J769" s="50"/>
    </row>
    <row r="770" outlineLevel="1" spans="1:10">
      <c r="A770" s="50">
        <v>635</v>
      </c>
      <c r="B770" s="51" t="str">
        <v>外墙保温-200厚AEPS</v>
      </c>
      <c r="C770" s="51" t="e">
        <v>#REF!</v>
      </c>
      <c r="D770" s="51" t="str">
        <v/>
      </c>
      <c r="E770" s="51" t="str">
        <v/>
      </c>
      <c r="F770" s="52" t="e">
        <v>#REF!</v>
      </c>
      <c r="G770" s="48" t="e">
        <v>#REF!</v>
      </c>
      <c r="H770" s="49" t="e">
        <v>#REF!</v>
      </c>
      <c r="I770" s="49" t="e">
        <v>#REF!</v>
      </c>
      <c r="J770" s="50"/>
    </row>
    <row r="771" outlineLevel="1" spans="1:10">
      <c r="A771" s="50">
        <v>636</v>
      </c>
      <c r="B771" s="51" t="str">
        <v>外墙保温-100厚AEPS</v>
      </c>
      <c r="C771" s="51" t="e">
        <v>#REF!</v>
      </c>
      <c r="D771" s="51" t="str">
        <v/>
      </c>
      <c r="E771" s="51" t="str">
        <v/>
      </c>
      <c r="F771" s="52" t="e">
        <v>#REF!</v>
      </c>
      <c r="G771" s="48" t="e">
        <v>#REF!</v>
      </c>
      <c r="H771" s="49" t="e">
        <v>#REF!</v>
      </c>
      <c r="I771" s="49" t="e">
        <v>#REF!</v>
      </c>
      <c r="J771" s="50"/>
    </row>
    <row r="772" outlineLevel="1" spans="1:10">
      <c r="A772" s="50">
        <v>637</v>
      </c>
      <c r="B772" s="51" t="str">
        <v>外墙保温-20厚无机保温砂浆</v>
      </c>
      <c r="C772" s="51" t="e">
        <v>#REF!</v>
      </c>
      <c r="D772" s="51" t="str">
        <v/>
      </c>
      <c r="E772" s="51" t="str">
        <v/>
      </c>
      <c r="F772" s="52" t="e">
        <v>#REF!</v>
      </c>
      <c r="G772" s="48" t="e">
        <v>#REF!</v>
      </c>
      <c r="H772" s="49" t="e">
        <v>#REF!</v>
      </c>
      <c r="I772" s="49" t="e">
        <v>#REF!</v>
      </c>
      <c r="J772" s="50"/>
    </row>
    <row r="773" outlineLevel="1" spans="1:10">
      <c r="A773" s="50">
        <v>638</v>
      </c>
      <c r="B773" s="51" t="str">
        <v>外墙保温-20厚胶粉聚苯颗粒</v>
      </c>
      <c r="C773" s="51" t="e">
        <v>#REF!</v>
      </c>
      <c r="D773" s="51" t="str">
        <v/>
      </c>
      <c r="E773" s="51" t="str">
        <v/>
      </c>
      <c r="F773" s="52" t="e">
        <v>#REF!</v>
      </c>
      <c r="G773" s="48" t="e">
        <v>#REF!</v>
      </c>
      <c r="H773" s="49">
        <v>0</v>
      </c>
      <c r="I773" s="49" t="e">
        <v>#REF!</v>
      </c>
      <c r="J773" s="50"/>
    </row>
    <row r="774" outlineLevel="1" spans="1:10">
      <c r="A774" s="50">
        <v>639</v>
      </c>
      <c r="B774" s="51" t="str">
        <v>外墙保温-30厚无机保温砂浆</v>
      </c>
      <c r="C774" s="51" t="e">
        <v>#REF!</v>
      </c>
      <c r="D774" s="51" t="str">
        <v/>
      </c>
      <c r="E774" s="51" t="str">
        <v/>
      </c>
      <c r="F774" s="52" t="e">
        <v>#REF!</v>
      </c>
      <c r="G774" s="48" t="e">
        <v>#REF!</v>
      </c>
      <c r="H774" s="49">
        <v>0</v>
      </c>
      <c r="I774" s="49" t="e">
        <v>#REF!</v>
      </c>
      <c r="J774" s="50"/>
    </row>
    <row r="775" outlineLevel="1" spans="1:10">
      <c r="A775" s="50" t="str">
        <v/>
      </c>
      <c r="B775" s="51" t="str">
        <v>被动式墙保温</v>
      </c>
      <c r="C775" s="51" t="str">
        <v/>
      </c>
      <c r="D775" s="51" t="str">
        <v/>
      </c>
      <c r="E775" s="51" t="str">
        <v/>
      </c>
      <c r="F775" s="52" t="str">
        <v/>
      </c>
      <c r="G775" s="48" t="str">
        <v/>
      </c>
      <c r="H775" s="49">
        <v>0</v>
      </c>
      <c r="I775" s="49">
        <v>0</v>
      </c>
      <c r="J775" s="50"/>
    </row>
    <row r="776" ht="28.8" outlineLevel="1" spans="1:10">
      <c r="A776" s="50">
        <v>640</v>
      </c>
      <c r="B776" s="51" t="str">
        <v>外墙保温-320厚石墨聚苯板（双层网）</v>
      </c>
      <c r="C776" s="51" t="e">
        <v>#REF!</v>
      </c>
      <c r="D776" s="51" t="str">
        <v/>
      </c>
      <c r="E776" s="51" t="str">
        <v/>
      </c>
      <c r="F776" s="52" t="e">
        <v>#REF!</v>
      </c>
      <c r="G776" s="48" t="e">
        <v>#REF!</v>
      </c>
      <c r="H776" s="49">
        <v>0</v>
      </c>
      <c r="I776" s="49" t="e">
        <v>#REF!</v>
      </c>
      <c r="J776" s="50"/>
    </row>
    <row r="777" outlineLevel="1" spans="1:10">
      <c r="A777" s="50">
        <v>641</v>
      </c>
      <c r="B777" s="51" t="str">
        <v>自密实混凝土-50厚C30</v>
      </c>
      <c r="C777" s="51" t="e">
        <v>#REF!</v>
      </c>
      <c r="D777" s="51" t="str">
        <v/>
      </c>
      <c r="E777" s="51" t="str">
        <v/>
      </c>
      <c r="F777" s="52" t="e">
        <v>#REF!</v>
      </c>
      <c r="G777" s="48" t="e">
        <v>#REF!</v>
      </c>
      <c r="H777" s="49">
        <v>0</v>
      </c>
      <c r="I777" s="49" t="e">
        <v>#REF!</v>
      </c>
      <c r="J777" s="50"/>
    </row>
    <row r="778" outlineLevel="1" spans="1:10">
      <c r="A778" s="50">
        <v>642</v>
      </c>
      <c r="B778" s="51" t="str">
        <v>外墙保温-界面修补</v>
      </c>
      <c r="C778" s="51" t="e">
        <v>#REF!</v>
      </c>
      <c r="D778" s="51" t="str">
        <v/>
      </c>
      <c r="E778" s="51" t="str">
        <v/>
      </c>
      <c r="F778" s="52" t="e">
        <v>#REF!</v>
      </c>
      <c r="G778" s="48" t="e">
        <v>#REF!</v>
      </c>
      <c r="H778" s="49">
        <v>0</v>
      </c>
      <c r="I778" s="49" t="e">
        <v>#REF!</v>
      </c>
      <c r="J778" s="50"/>
    </row>
    <row r="779" ht="28.8" outlineLevel="1" spans="1:10">
      <c r="A779" s="50">
        <v>643</v>
      </c>
      <c r="B779" s="51" t="str">
        <v>外墙保温-5厚干粉聚合物砂浆</v>
      </c>
      <c r="C779" s="51" t="e">
        <v>#REF!</v>
      </c>
      <c r="D779" s="51" t="str">
        <v/>
      </c>
      <c r="E779" s="51" t="str">
        <v/>
      </c>
      <c r="F779" s="52" t="e">
        <v>#REF!</v>
      </c>
      <c r="G779" s="48" t="e">
        <v>#REF!</v>
      </c>
      <c r="H779" s="49">
        <v>0</v>
      </c>
      <c r="I779" s="49" t="e">
        <v>#REF!</v>
      </c>
      <c r="J779" s="50"/>
    </row>
    <row r="780" outlineLevel="1" spans="1:10">
      <c r="A780" s="50" t="str">
        <v/>
      </c>
      <c r="B780" s="51" t="str">
        <v>被动式墙保温</v>
      </c>
      <c r="C780" s="51" t="str">
        <v/>
      </c>
      <c r="D780" s="51" t="str">
        <v/>
      </c>
      <c r="E780" s="51" t="str">
        <v/>
      </c>
      <c r="F780" s="52" t="str">
        <v/>
      </c>
      <c r="G780" s="48" t="str">
        <v/>
      </c>
      <c r="H780" s="49">
        <v>0</v>
      </c>
      <c r="I780" s="49">
        <v>0</v>
      </c>
      <c r="J780" s="50"/>
    </row>
    <row r="781" ht="28.8" outlineLevel="1" spans="1:10">
      <c r="A781" s="50">
        <v>644</v>
      </c>
      <c r="B781" s="51" t="str">
        <v>外墙保温-260厚石墨聚苯板（双层网）</v>
      </c>
      <c r="C781" s="51" t="e">
        <v>#REF!</v>
      </c>
      <c r="D781" s="51" t="str">
        <v/>
      </c>
      <c r="E781" s="51" t="str">
        <v/>
      </c>
      <c r="F781" s="52" t="e">
        <v>#REF!</v>
      </c>
      <c r="G781" s="48" t="e">
        <v>#REF!</v>
      </c>
      <c r="H781" s="49">
        <v>0</v>
      </c>
      <c r="I781" s="49" t="e">
        <v>#REF!</v>
      </c>
      <c r="J781" s="50"/>
    </row>
    <row r="782" outlineLevel="1" spans="1:10">
      <c r="A782" s="50">
        <v>645</v>
      </c>
      <c r="B782" s="51" t="str">
        <v>自密实混凝土-50厚C35</v>
      </c>
      <c r="C782" s="51" t="e">
        <v>#REF!</v>
      </c>
      <c r="D782" s="51" t="str">
        <v/>
      </c>
      <c r="E782" s="51" t="str">
        <v/>
      </c>
      <c r="F782" s="52" t="e">
        <v>#REF!</v>
      </c>
      <c r="G782" s="48" t="e">
        <v>#REF!</v>
      </c>
      <c r="H782" s="49">
        <v>0</v>
      </c>
      <c r="I782" s="49" t="e">
        <v>#REF!</v>
      </c>
      <c r="J782" s="50"/>
    </row>
    <row r="783" outlineLevel="1" spans="1:10">
      <c r="A783" s="50">
        <v>646</v>
      </c>
      <c r="B783" s="51" t="str">
        <v>自密实混凝土-50厚C30</v>
      </c>
      <c r="C783" s="51" t="e">
        <v>#REF!</v>
      </c>
      <c r="D783" s="51" t="str">
        <v/>
      </c>
      <c r="E783" s="51" t="str">
        <v/>
      </c>
      <c r="F783" s="52" t="e">
        <v>#REF!</v>
      </c>
      <c r="G783" s="48" t="e">
        <v>#REF!</v>
      </c>
      <c r="H783" s="49">
        <v>0</v>
      </c>
      <c r="I783" s="49" t="e">
        <v>#REF!</v>
      </c>
      <c r="J783" s="50"/>
    </row>
    <row r="784" outlineLevel="1" spans="1:10">
      <c r="A784" s="50">
        <v>647</v>
      </c>
      <c r="B784" s="51" t="str">
        <v>外墙保温-50厚C35细石砼</v>
      </c>
      <c r="C784" s="51" t="e">
        <v>#REF!</v>
      </c>
      <c r="D784" s="51" t="str">
        <v/>
      </c>
      <c r="E784" s="51" t="str">
        <v/>
      </c>
      <c r="F784" s="52" t="e">
        <v>#REF!</v>
      </c>
      <c r="G784" s="48" t="e">
        <v>#REF!</v>
      </c>
      <c r="H784" s="49">
        <v>0</v>
      </c>
      <c r="I784" s="49" t="e">
        <v>#REF!</v>
      </c>
      <c r="J784" s="50"/>
    </row>
    <row r="785" outlineLevel="1" spans="1:10">
      <c r="A785" s="50">
        <v>648</v>
      </c>
      <c r="B785" s="51" t="str">
        <v>外墙保温-50厚C30细石砼</v>
      </c>
      <c r="C785" s="51" t="e">
        <v>#REF!</v>
      </c>
      <c r="D785" s="51" t="str">
        <v/>
      </c>
      <c r="E785" s="51" t="str">
        <v/>
      </c>
      <c r="F785" s="52" t="e">
        <v>#REF!</v>
      </c>
      <c r="G785" s="48" t="e">
        <v>#REF!</v>
      </c>
      <c r="H785" s="49">
        <v>0</v>
      </c>
      <c r="I785" s="49" t="e">
        <v>#REF!</v>
      </c>
      <c r="J785" s="50"/>
    </row>
    <row r="786" outlineLevel="1" spans="1:10">
      <c r="A786" s="50">
        <v>649</v>
      </c>
      <c r="B786" s="51" t="str">
        <v>外墙保温-50厚C25细石砼</v>
      </c>
      <c r="C786" s="51" t="e">
        <v>#REF!</v>
      </c>
      <c r="D786" s="51" t="str">
        <v/>
      </c>
      <c r="E786" s="51" t="str">
        <v/>
      </c>
      <c r="F786" s="52" t="e">
        <v>#REF!</v>
      </c>
      <c r="G786" s="48" t="e">
        <v>#REF!</v>
      </c>
      <c r="H786" s="49">
        <v>0</v>
      </c>
      <c r="I786" s="49" t="e">
        <v>#REF!</v>
      </c>
      <c r="J786" s="50"/>
    </row>
    <row r="787" outlineLevel="1" spans="1:10">
      <c r="A787" s="50">
        <v>650</v>
      </c>
      <c r="B787" s="51" t="str">
        <v>外墙保温-50厚C20细石砼</v>
      </c>
      <c r="C787" s="51" t="e">
        <v>#REF!</v>
      </c>
      <c r="D787" s="51" t="str">
        <v/>
      </c>
      <c r="E787" s="51" t="str">
        <v/>
      </c>
      <c r="F787" s="52" t="e">
        <v>#REF!</v>
      </c>
      <c r="G787" s="48" t="e">
        <v>#REF!</v>
      </c>
      <c r="H787" s="49">
        <v>0</v>
      </c>
      <c r="I787" s="49" t="e">
        <v>#REF!</v>
      </c>
      <c r="J787" s="50"/>
    </row>
    <row r="788" outlineLevel="1" spans="1:10">
      <c r="A788" s="50">
        <v>651</v>
      </c>
      <c r="B788" s="51" t="str">
        <v>外墙保温-界面修补</v>
      </c>
      <c r="C788" s="51" t="e">
        <v>#REF!</v>
      </c>
      <c r="D788" s="51" t="str">
        <v/>
      </c>
      <c r="E788" s="51" t="str">
        <v/>
      </c>
      <c r="F788" s="52" t="e">
        <v>#REF!</v>
      </c>
      <c r="G788" s="48" t="e">
        <v>#REF!</v>
      </c>
      <c r="H788" s="49">
        <v>0</v>
      </c>
      <c r="I788" s="49" t="e">
        <v>#REF!</v>
      </c>
      <c r="J788" s="50"/>
    </row>
    <row r="789" ht="28.8" outlineLevel="1" spans="1:10">
      <c r="A789" s="50">
        <v>652</v>
      </c>
      <c r="B789" s="51" t="str">
        <v>外墙保温-5厚干粉聚合物砂浆</v>
      </c>
      <c r="C789" s="51" t="e">
        <v>#REF!</v>
      </c>
      <c r="D789" s="51" t="str">
        <v/>
      </c>
      <c r="E789" s="51" t="str">
        <v/>
      </c>
      <c r="F789" s="52" t="e">
        <v>#REF!</v>
      </c>
      <c r="G789" s="48" t="e">
        <v>#REF!</v>
      </c>
      <c r="H789" s="49">
        <v>0</v>
      </c>
      <c r="I789" s="49" t="e">
        <v>#REF!</v>
      </c>
      <c r="J789" s="50"/>
    </row>
    <row r="790" outlineLevel="1" spans="1:10">
      <c r="A790" s="50">
        <v>653</v>
      </c>
      <c r="B790" s="51" t="str">
        <v>外墙保温-20厚真空绝热板</v>
      </c>
      <c r="C790" s="51" t="e">
        <v>#REF!</v>
      </c>
      <c r="D790" s="51" t="str">
        <v/>
      </c>
      <c r="E790" s="51" t="str">
        <v/>
      </c>
      <c r="F790" s="52" t="e">
        <v>#REF!</v>
      </c>
      <c r="G790" s="48" t="e">
        <v>#REF!</v>
      </c>
      <c r="H790" s="49">
        <v>0</v>
      </c>
      <c r="I790" s="49" t="e">
        <v>#REF!</v>
      </c>
      <c r="J790" s="50"/>
    </row>
    <row r="791" outlineLevel="1" spans="1:10">
      <c r="A791" s="50">
        <v>654</v>
      </c>
      <c r="B791" s="51" t="str">
        <v>外墙保温-10厚真空绝热板</v>
      </c>
      <c r="C791" s="51" t="e">
        <v>#REF!</v>
      </c>
      <c r="D791" s="51" t="str">
        <v/>
      </c>
      <c r="E791" s="51" t="str">
        <v/>
      </c>
      <c r="F791" s="52" t="e">
        <v>#REF!</v>
      </c>
      <c r="G791" s="48" t="e">
        <v>#REF!</v>
      </c>
      <c r="H791" s="49">
        <v>0</v>
      </c>
      <c r="I791" s="49" t="e">
        <v>#REF!</v>
      </c>
      <c r="J791" s="50"/>
    </row>
    <row r="792" ht="28.8" outlineLevel="1" spans="1:10">
      <c r="A792" s="50">
        <v>655</v>
      </c>
      <c r="B792" s="51" t="str">
        <v>外保温-连廊设备平台100厚岩棉保温</v>
      </c>
      <c r="C792" s="51" t="e">
        <v>#REF!</v>
      </c>
      <c r="D792" s="51" t="str">
        <v/>
      </c>
      <c r="E792" s="51" t="str">
        <v/>
      </c>
      <c r="F792" s="52" t="e">
        <v>#REF!</v>
      </c>
      <c r="G792" s="48" t="e">
        <v>#REF!</v>
      </c>
      <c r="H792" s="49">
        <v>0</v>
      </c>
      <c r="I792" s="49" t="e">
        <v>#REF!</v>
      </c>
      <c r="J792" s="50"/>
    </row>
    <row r="793" ht="28.8" outlineLevel="1" spans="1:10">
      <c r="A793" s="50">
        <v>656</v>
      </c>
      <c r="B793" s="51" t="str">
        <v>外保温-连廊设备平台100厚石墨聚苯板保温</v>
      </c>
      <c r="C793" s="51" t="e">
        <v>#REF!</v>
      </c>
      <c r="D793" s="51" t="str">
        <v/>
      </c>
      <c r="E793" s="51" t="str">
        <v/>
      </c>
      <c r="F793" s="52" t="e">
        <v>#REF!</v>
      </c>
      <c r="G793" s="48" t="e">
        <v>#REF!</v>
      </c>
      <c r="H793" s="49">
        <v>0</v>
      </c>
      <c r="I793" s="49" t="e">
        <v>#REF!</v>
      </c>
      <c r="J793" s="50"/>
    </row>
    <row r="794" outlineLevel="1" spans="1:10">
      <c r="A794" s="50" t="str">
        <v/>
      </c>
      <c r="B794" s="51" t="str">
        <v>复合岩棉板外墙保温</v>
      </c>
      <c r="C794" s="51" t="str">
        <v/>
      </c>
      <c r="D794" s="51" t="str">
        <v/>
      </c>
      <c r="E794" s="51" t="str">
        <v/>
      </c>
      <c r="F794" s="52" t="str">
        <v/>
      </c>
      <c r="G794" s="48" t="str">
        <v/>
      </c>
      <c r="H794" s="49">
        <v>0</v>
      </c>
      <c r="I794" s="49">
        <v>0</v>
      </c>
      <c r="J794" s="50"/>
    </row>
    <row r="795" outlineLevel="1" spans="1:10">
      <c r="A795" s="50">
        <v>657</v>
      </c>
      <c r="B795" s="51" t="str">
        <v>外墙面-5厚防水砂浆</v>
      </c>
      <c r="C795" s="51" t="e">
        <v>#REF!</v>
      </c>
      <c r="D795" s="51" t="str">
        <v/>
      </c>
      <c r="E795" s="51" t="str">
        <v/>
      </c>
      <c r="F795" s="52" t="e">
        <v>#REF!</v>
      </c>
      <c r="G795" s="48" t="e">
        <v>#REF!</v>
      </c>
      <c r="H795" s="49">
        <v>0</v>
      </c>
      <c r="I795" s="49" t="e">
        <v>#REF!</v>
      </c>
      <c r="J795" s="50"/>
    </row>
    <row r="796" outlineLevel="1" spans="1:10">
      <c r="A796" s="50">
        <v>658</v>
      </c>
      <c r="B796" s="51" t="str">
        <v>外墙面-网格布</v>
      </c>
      <c r="C796" s="51" t="e">
        <v>#REF!</v>
      </c>
      <c r="D796" s="51" t="str">
        <v/>
      </c>
      <c r="E796" s="51" t="str">
        <v/>
      </c>
      <c r="F796" s="52" t="e">
        <v>#REF!</v>
      </c>
      <c r="G796" s="48" t="e">
        <v>#REF!</v>
      </c>
      <c r="H796" s="49">
        <v>0</v>
      </c>
      <c r="I796" s="49" t="e">
        <v>#REF!</v>
      </c>
      <c r="J796" s="50"/>
    </row>
    <row r="797" outlineLevel="1" spans="1:10">
      <c r="A797" s="50">
        <v>659</v>
      </c>
      <c r="B797" s="51" t="str">
        <v>外墙面-5厚防水砂浆</v>
      </c>
      <c r="C797" s="51" t="e">
        <v>#REF!</v>
      </c>
      <c r="D797" s="51" t="str">
        <v/>
      </c>
      <c r="E797" s="51" t="str">
        <v/>
      </c>
      <c r="F797" s="52" t="e">
        <v>#REF!</v>
      </c>
      <c r="G797" s="48" t="e">
        <v>#REF!</v>
      </c>
      <c r="H797" s="49">
        <v>0</v>
      </c>
      <c r="I797" s="49" t="e">
        <v>#REF!</v>
      </c>
      <c r="J797" s="50"/>
    </row>
    <row r="798" outlineLevel="1" spans="1:10">
      <c r="A798" s="50">
        <v>660</v>
      </c>
      <c r="B798" s="51" t="str">
        <v>外墙保温-250厚复合岩棉板</v>
      </c>
      <c r="C798" s="51" t="e">
        <v>#REF!</v>
      </c>
      <c r="D798" s="51" t="str">
        <v/>
      </c>
      <c r="E798" s="51" t="str">
        <v/>
      </c>
      <c r="F798" s="52" t="e">
        <v>#REF!</v>
      </c>
      <c r="G798" s="48" t="e">
        <v>#REF!</v>
      </c>
      <c r="H798" s="49">
        <v>0</v>
      </c>
      <c r="I798" s="49" t="e">
        <v>#REF!</v>
      </c>
      <c r="J798" s="50"/>
    </row>
    <row r="799" outlineLevel="1" spans="1:10">
      <c r="A799" s="50">
        <v>661</v>
      </c>
      <c r="B799" s="51" t="str">
        <v>外墙保温-150厚复合岩棉板</v>
      </c>
      <c r="C799" s="51" t="e">
        <v>#REF!</v>
      </c>
      <c r="D799" s="51" t="str">
        <v/>
      </c>
      <c r="E799" s="51" t="str">
        <v/>
      </c>
      <c r="F799" s="52" t="e">
        <v>#REF!</v>
      </c>
      <c r="G799" s="48" t="e">
        <v>#REF!</v>
      </c>
      <c r="H799" s="49">
        <v>0</v>
      </c>
      <c r="I799" s="49" t="e">
        <v>#REF!</v>
      </c>
      <c r="J799" s="50"/>
    </row>
    <row r="800" outlineLevel="1" spans="1:10">
      <c r="A800" s="50">
        <v>662</v>
      </c>
      <c r="B800" s="51" t="str">
        <v>外墙保温-100厚复合岩棉板</v>
      </c>
      <c r="C800" s="51" t="e">
        <v>#REF!</v>
      </c>
      <c r="D800" s="51" t="str">
        <v/>
      </c>
      <c r="E800" s="51" t="str">
        <v/>
      </c>
      <c r="F800" s="52" t="e">
        <v>#REF!</v>
      </c>
      <c r="G800" s="48" t="e">
        <v>#REF!</v>
      </c>
      <c r="H800" s="49">
        <v>0</v>
      </c>
      <c r="I800" s="49" t="e">
        <v>#REF!</v>
      </c>
      <c r="J800" s="50"/>
    </row>
    <row r="801" outlineLevel="1" spans="1:10">
      <c r="A801" s="50" t="str">
        <v/>
      </c>
      <c r="B801" s="51" t="str">
        <v>复合保温砂浆墙面</v>
      </c>
      <c r="C801" s="51" t="str">
        <v/>
      </c>
      <c r="D801" s="51" t="str">
        <v/>
      </c>
      <c r="E801" s="51" t="str">
        <v/>
      </c>
      <c r="F801" s="52" t="str">
        <v/>
      </c>
      <c r="G801" s="48" t="str">
        <v/>
      </c>
      <c r="H801" s="49">
        <v>0</v>
      </c>
      <c r="I801" s="49">
        <v>0</v>
      </c>
      <c r="J801" s="50"/>
    </row>
    <row r="802" outlineLevel="1" spans="1:10">
      <c r="A802" s="50">
        <v>663</v>
      </c>
      <c r="B802" s="51" t="str">
        <v>外墙面-界面剂</v>
      </c>
      <c r="C802" s="51" t="e">
        <v>#REF!</v>
      </c>
      <c r="D802" s="51" t="str">
        <v/>
      </c>
      <c r="E802" s="51" t="str">
        <v/>
      </c>
      <c r="F802" s="52" t="e">
        <v>#REF!</v>
      </c>
      <c r="G802" s="48" t="e">
        <v>#REF!</v>
      </c>
      <c r="H802" s="49">
        <v>0</v>
      </c>
      <c r="I802" s="49" t="e">
        <v>#REF!</v>
      </c>
      <c r="J802" s="50"/>
    </row>
    <row r="803" outlineLevel="1" spans="1:10">
      <c r="A803" s="50">
        <v>664</v>
      </c>
      <c r="B803" s="51" t="str">
        <v>外墙保温-20厚MPC</v>
      </c>
      <c r="C803" s="51" t="e">
        <v>#REF!</v>
      </c>
      <c r="D803" s="51" t="str">
        <v/>
      </c>
      <c r="E803" s="51" t="str">
        <v/>
      </c>
      <c r="F803" s="52" t="e">
        <v>#REF!</v>
      </c>
      <c r="G803" s="48" t="e">
        <v>#REF!</v>
      </c>
      <c r="H803" s="49">
        <v>0</v>
      </c>
      <c r="I803" s="49" t="e">
        <v>#REF!</v>
      </c>
      <c r="J803" s="50"/>
    </row>
    <row r="804" outlineLevel="1" spans="1:10">
      <c r="A804" s="50">
        <v>665</v>
      </c>
      <c r="B804" s="51" t="str">
        <v>外墙保温-15厚MPC</v>
      </c>
      <c r="C804" s="51" t="e">
        <v>#REF!</v>
      </c>
      <c r="D804" s="51" t="str">
        <v/>
      </c>
      <c r="E804" s="51" t="str">
        <v/>
      </c>
      <c r="F804" s="52" t="e">
        <v>#REF!</v>
      </c>
      <c r="G804" s="48" t="e">
        <v>#REF!</v>
      </c>
      <c r="H804" s="49">
        <v>0</v>
      </c>
      <c r="I804" s="49" t="e">
        <v>#REF!</v>
      </c>
      <c r="J804" s="50"/>
    </row>
    <row r="805" outlineLevel="1" spans="1:10">
      <c r="A805" s="50">
        <v>666</v>
      </c>
      <c r="B805" s="51" t="str">
        <v>外墙保温-30厚MPC</v>
      </c>
      <c r="C805" s="51" t="e">
        <v>#REF!</v>
      </c>
      <c r="D805" s="51" t="str">
        <v/>
      </c>
      <c r="E805" s="51" t="str">
        <v/>
      </c>
      <c r="F805" s="52" t="e">
        <v>#REF!</v>
      </c>
      <c r="G805" s="48" t="e">
        <v>#REF!</v>
      </c>
      <c r="H805" s="49">
        <v>0</v>
      </c>
      <c r="I805" s="49" t="e">
        <v>#REF!</v>
      </c>
      <c r="J805" s="50"/>
    </row>
    <row r="806" outlineLevel="1" spans="1:10">
      <c r="A806" s="50" t="str">
        <v/>
      </c>
      <c r="B806" s="51" t="str">
        <v>A.06.02线条装饰工程</v>
      </c>
      <c r="C806" s="51" t="str">
        <v/>
      </c>
      <c r="D806" s="51" t="str">
        <v/>
      </c>
      <c r="E806" s="51" t="str">
        <v/>
      </c>
      <c r="F806" s="52" t="str">
        <v/>
      </c>
      <c r="G806" s="48" t="str">
        <v/>
      </c>
      <c r="H806" s="49">
        <v>0</v>
      </c>
      <c r="I806" s="49" t="e">
        <v>#REF!</v>
      </c>
      <c r="J806" s="50"/>
    </row>
    <row r="807" outlineLevel="1" spans="1:10">
      <c r="A807" s="50">
        <v>667</v>
      </c>
      <c r="B807" s="51" t="str">
        <v>AAC保温条</v>
      </c>
      <c r="C807" s="51" t="e">
        <v>#REF!</v>
      </c>
      <c r="D807" s="51" t="str">
        <v/>
      </c>
      <c r="E807" s="51" t="str">
        <v/>
      </c>
      <c r="F807" s="52" t="e">
        <v>#REF!</v>
      </c>
      <c r="G807" s="48" t="e">
        <v>#REF!</v>
      </c>
      <c r="H807" s="49">
        <v>0</v>
      </c>
      <c r="I807" s="49" t="e">
        <v>#REF!</v>
      </c>
      <c r="J807" s="50"/>
    </row>
    <row r="808" outlineLevel="1" spans="1:10">
      <c r="A808" s="50" t="str">
        <v/>
      </c>
      <c r="B808" s="51" t="str">
        <v>岩棉线条</v>
      </c>
      <c r="C808" s="51" t="str">
        <v/>
      </c>
      <c r="D808" s="51" t="str">
        <v/>
      </c>
      <c r="E808" s="51" t="str">
        <v/>
      </c>
      <c r="F808" s="52" t="str">
        <v/>
      </c>
      <c r="G808" s="48" t="str">
        <v/>
      </c>
      <c r="H808" s="49">
        <v>0</v>
      </c>
      <c r="I808" s="49">
        <v>0</v>
      </c>
      <c r="J808" s="50"/>
    </row>
    <row r="809" outlineLevel="1" spans="1:10">
      <c r="A809" s="50">
        <v>668</v>
      </c>
      <c r="B809" s="51" t="str">
        <v>外墙面-岩棉线条150*150</v>
      </c>
      <c r="C809" s="51" t="e">
        <v>#REF!</v>
      </c>
      <c r="D809" s="51" t="str">
        <v/>
      </c>
      <c r="E809" s="51" t="str">
        <v/>
      </c>
      <c r="F809" s="52" t="e">
        <v>#REF!</v>
      </c>
      <c r="G809" s="48" t="e">
        <v>#REF!</v>
      </c>
      <c r="H809" s="49">
        <v>0</v>
      </c>
      <c r="I809" s="49" t="e">
        <v>#REF!</v>
      </c>
      <c r="J809" s="50"/>
    </row>
    <row r="810" ht="28.8" outlineLevel="1" spans="1:10">
      <c r="A810" s="50">
        <v>669</v>
      </c>
      <c r="B810" s="51" t="str">
        <v>外墙保温-5厚干粉聚合物砂浆</v>
      </c>
      <c r="C810" s="51" t="e">
        <v>#REF!</v>
      </c>
      <c r="D810" s="51" t="str">
        <v/>
      </c>
      <c r="E810" s="51" t="str">
        <v/>
      </c>
      <c r="F810" s="52" t="e">
        <v>#REF!</v>
      </c>
      <c r="G810" s="48" t="e">
        <v>#REF!</v>
      </c>
      <c r="H810" s="49">
        <v>0</v>
      </c>
      <c r="I810" s="49" t="e">
        <v>#REF!</v>
      </c>
      <c r="J810" s="50"/>
    </row>
    <row r="811" outlineLevel="1" spans="1:10">
      <c r="A811" s="50">
        <v>670</v>
      </c>
      <c r="B811" s="51" t="str">
        <v>外墙面-网格布</v>
      </c>
      <c r="C811" s="51" t="e">
        <v>#REF!</v>
      </c>
      <c r="D811" s="51" t="str">
        <v/>
      </c>
      <c r="E811" s="51" t="str">
        <v/>
      </c>
      <c r="F811" s="52" t="e">
        <v>#REF!</v>
      </c>
      <c r="G811" s="48" t="e">
        <v>#REF!</v>
      </c>
      <c r="H811" s="49">
        <v>0</v>
      </c>
      <c r="I811" s="49" t="e">
        <v>#REF!</v>
      </c>
      <c r="J811" s="50"/>
    </row>
    <row r="812" outlineLevel="1" spans="1:10">
      <c r="A812" s="50" t="str">
        <v/>
      </c>
      <c r="B812" s="51" t="str">
        <v>EPS线条</v>
      </c>
      <c r="C812" s="51" t="str">
        <v/>
      </c>
      <c r="D812" s="51" t="str">
        <v/>
      </c>
      <c r="E812" s="51" t="str">
        <v/>
      </c>
      <c r="F812" s="52" t="str">
        <v/>
      </c>
      <c r="G812" s="48" t="str">
        <v/>
      </c>
      <c r="H812" s="49">
        <v>0</v>
      </c>
      <c r="I812" s="49">
        <v>0</v>
      </c>
      <c r="J812" s="50"/>
    </row>
    <row r="813" outlineLevel="1" spans="1:10">
      <c r="A813" s="50">
        <v>671</v>
      </c>
      <c r="B813" s="51" t="str">
        <v>外墙EPS线条-线条100*50</v>
      </c>
      <c r="C813" s="51" t="e">
        <v>#REF!</v>
      </c>
      <c r="D813" s="51" t="str">
        <v/>
      </c>
      <c r="E813" s="51" t="str">
        <v/>
      </c>
      <c r="F813" s="52" t="e">
        <v>#REF!</v>
      </c>
      <c r="G813" s="48" t="e">
        <v>#REF!</v>
      </c>
      <c r="H813" s="49" t="e">
        <v>#REF!</v>
      </c>
      <c r="I813" s="49" t="e">
        <v>#REF!</v>
      </c>
      <c r="J813" s="50"/>
    </row>
    <row r="814" outlineLevel="1" spans="1:10">
      <c r="A814" s="50">
        <v>672</v>
      </c>
      <c r="B814" s="51" t="str">
        <v>外墙EPS线条-线条120*100</v>
      </c>
      <c r="C814" s="51" t="e">
        <v>#REF!</v>
      </c>
      <c r="D814" s="51" t="str">
        <v/>
      </c>
      <c r="E814" s="51" t="str">
        <v/>
      </c>
      <c r="F814" s="52" t="e">
        <v>#REF!</v>
      </c>
      <c r="G814" s="48" t="e">
        <v>#REF!</v>
      </c>
      <c r="H814" s="49" t="e">
        <v>#REF!</v>
      </c>
      <c r="I814" s="49" t="e">
        <v>#REF!</v>
      </c>
      <c r="J814" s="50"/>
    </row>
    <row r="815" outlineLevel="1" spans="1:10">
      <c r="A815" s="50">
        <v>673</v>
      </c>
      <c r="B815" s="51" t="str">
        <v>外墙EPS线条-线条70*30</v>
      </c>
      <c r="C815" s="51" t="e">
        <v>#REF!</v>
      </c>
      <c r="D815" s="51" t="str">
        <v/>
      </c>
      <c r="E815" s="51" t="str">
        <v/>
      </c>
      <c r="F815" s="52" t="e">
        <v>#REF!</v>
      </c>
      <c r="G815" s="48" t="e">
        <v>#REF!</v>
      </c>
      <c r="H815" s="49" t="e">
        <v>#REF!</v>
      </c>
      <c r="I815" s="49" t="e">
        <v>#REF!</v>
      </c>
      <c r="J815" s="50"/>
    </row>
    <row r="816" outlineLevel="1" spans="1:10">
      <c r="A816" s="50">
        <v>674</v>
      </c>
      <c r="B816" s="51" t="str">
        <v>外墙EPS线条-线条120*240</v>
      </c>
      <c r="C816" s="51" t="e">
        <v>#REF!</v>
      </c>
      <c r="D816" s="51" t="str">
        <v/>
      </c>
      <c r="E816" s="51" t="str">
        <v/>
      </c>
      <c r="F816" s="52" t="e">
        <v>#REF!</v>
      </c>
      <c r="G816" s="48" t="e">
        <v>#REF!</v>
      </c>
      <c r="H816" s="49" t="e">
        <v>#REF!</v>
      </c>
      <c r="I816" s="49" t="e">
        <v>#REF!</v>
      </c>
      <c r="J816" s="50"/>
    </row>
    <row r="817" outlineLevel="1" spans="1:10">
      <c r="A817" s="50">
        <v>675</v>
      </c>
      <c r="B817" s="51" t="str">
        <v>外墙EPS线条-线条120*70</v>
      </c>
      <c r="C817" s="51" t="e">
        <v>#REF!</v>
      </c>
      <c r="D817" s="51" t="str">
        <v/>
      </c>
      <c r="E817" s="51" t="str">
        <v/>
      </c>
      <c r="F817" s="52" t="e">
        <v>#REF!</v>
      </c>
      <c r="G817" s="48" t="e">
        <v>#REF!</v>
      </c>
      <c r="H817" s="49" t="e">
        <v>#REF!</v>
      </c>
      <c r="I817" s="49" t="e">
        <v>#REF!</v>
      </c>
      <c r="J817" s="50"/>
    </row>
    <row r="818" outlineLevel="1" spans="1:10">
      <c r="A818" s="50">
        <v>676</v>
      </c>
      <c r="B818" s="51" t="str">
        <v>外墙EPS线条-线条50*50</v>
      </c>
      <c r="C818" s="51" t="e">
        <v>#REF!</v>
      </c>
      <c r="D818" s="51" t="str">
        <v/>
      </c>
      <c r="E818" s="51" t="str">
        <v/>
      </c>
      <c r="F818" s="52" t="e">
        <v>#REF!</v>
      </c>
      <c r="G818" s="48" t="e">
        <v>#REF!</v>
      </c>
      <c r="H818" s="49" t="e">
        <v>#REF!</v>
      </c>
      <c r="I818" s="49" t="e">
        <v>#REF!</v>
      </c>
      <c r="J818" s="50"/>
    </row>
    <row r="819" ht="28.8" outlineLevel="1" spans="1:10">
      <c r="A819" s="50">
        <v>677</v>
      </c>
      <c r="B819" s="51" t="str">
        <v>外墙EPS线条-线条L型800*220</v>
      </c>
      <c r="C819" s="51" t="e">
        <v>#REF!</v>
      </c>
      <c r="D819" s="51" t="str">
        <v/>
      </c>
      <c r="E819" s="51" t="str">
        <v/>
      </c>
      <c r="F819" s="52" t="e">
        <v>#REF!</v>
      </c>
      <c r="G819" s="48" t="e">
        <v>#REF!</v>
      </c>
      <c r="H819" s="49" t="e">
        <v>#REF!</v>
      </c>
      <c r="I819" s="49" t="e">
        <v>#REF!</v>
      </c>
      <c r="J819" s="50"/>
    </row>
    <row r="820" outlineLevel="1" spans="1:10">
      <c r="A820" s="50">
        <v>678</v>
      </c>
      <c r="B820" s="51" t="str">
        <v>外墙EPS线条-线条100*70</v>
      </c>
      <c r="C820" s="51" t="e">
        <v>#REF!</v>
      </c>
      <c r="D820" s="51" t="str">
        <v/>
      </c>
      <c r="E820" s="51" t="str">
        <v/>
      </c>
      <c r="F820" s="52" t="e">
        <v>#REF!</v>
      </c>
      <c r="G820" s="48" t="e">
        <v>#REF!</v>
      </c>
      <c r="H820" s="49" t="e">
        <v>#REF!</v>
      </c>
      <c r="I820" s="49" t="e">
        <v>#REF!</v>
      </c>
      <c r="J820" s="50"/>
    </row>
    <row r="821" ht="28.8" outlineLevel="1" spans="1:10">
      <c r="A821" s="50">
        <v>679</v>
      </c>
      <c r="B821" s="51" t="str">
        <v>外墙EPS线条-线条L型240*120</v>
      </c>
      <c r="C821" s="51" t="e">
        <v>#REF!</v>
      </c>
      <c r="D821" s="51" t="str">
        <v/>
      </c>
      <c r="E821" s="51" t="str">
        <v/>
      </c>
      <c r="F821" s="52" t="e">
        <v>#REF!</v>
      </c>
      <c r="G821" s="48" t="e">
        <v>#REF!</v>
      </c>
      <c r="H821" s="49" t="e">
        <v>#REF!</v>
      </c>
      <c r="I821" s="49" t="e">
        <v>#REF!</v>
      </c>
      <c r="J821" s="50"/>
    </row>
    <row r="822" outlineLevel="1" spans="1:10">
      <c r="A822" s="50">
        <v>680</v>
      </c>
      <c r="B822" s="51" t="str">
        <v>外墙EPS线条-线条120*50</v>
      </c>
      <c r="C822" s="51" t="e">
        <v>#REF!</v>
      </c>
      <c r="D822" s="51" t="str">
        <v/>
      </c>
      <c r="E822" s="51" t="str">
        <v/>
      </c>
      <c r="F822" s="52" t="e">
        <v>#REF!</v>
      </c>
      <c r="G822" s="48" t="e">
        <v>#REF!</v>
      </c>
      <c r="H822" s="49" t="e">
        <v>#REF!</v>
      </c>
      <c r="I822" s="49" t="e">
        <v>#REF!</v>
      </c>
      <c r="J822" s="50"/>
    </row>
    <row r="823" outlineLevel="1" spans="1:10">
      <c r="A823" s="50">
        <v>681</v>
      </c>
      <c r="B823" s="51" t="str">
        <v>外墙EPS线条-线条70*100</v>
      </c>
      <c r="C823" s="51" t="e">
        <v>#REF!</v>
      </c>
      <c r="D823" s="51" t="str">
        <v/>
      </c>
      <c r="E823" s="51" t="str">
        <v/>
      </c>
      <c r="F823" s="52" t="e">
        <v>#REF!</v>
      </c>
      <c r="G823" s="48" t="e">
        <v>#REF!</v>
      </c>
      <c r="H823" s="49" t="e">
        <v>#REF!</v>
      </c>
      <c r="I823" s="49" t="e">
        <v>#REF!</v>
      </c>
      <c r="J823" s="50"/>
    </row>
    <row r="824" outlineLevel="1" spans="1:10">
      <c r="A824" s="50">
        <v>682</v>
      </c>
      <c r="B824" s="51" t="str">
        <v>外墙EPS线条-线条30*50</v>
      </c>
      <c r="C824" s="51" t="e">
        <v>#REF!</v>
      </c>
      <c r="D824" s="51" t="str">
        <v/>
      </c>
      <c r="E824" s="51" t="str">
        <v/>
      </c>
      <c r="F824" s="52" t="e">
        <v>#REF!</v>
      </c>
      <c r="G824" s="48" t="e">
        <v>#REF!</v>
      </c>
      <c r="H824" s="49" t="e">
        <v>#REF!</v>
      </c>
      <c r="I824" s="49" t="e">
        <v>#REF!</v>
      </c>
      <c r="J824" s="50"/>
    </row>
    <row r="825" ht="28.8" outlineLevel="1" spans="1:10">
      <c r="A825" s="50">
        <v>683</v>
      </c>
      <c r="B825" s="51" t="str">
        <v>外墙EPS线条-线条L型220*100</v>
      </c>
      <c r="C825" s="51" t="e">
        <v>#REF!</v>
      </c>
      <c r="D825" s="51" t="str">
        <v/>
      </c>
      <c r="E825" s="51" t="str">
        <v/>
      </c>
      <c r="F825" s="52" t="e">
        <v>#REF!</v>
      </c>
      <c r="G825" s="48" t="e">
        <v>#REF!</v>
      </c>
      <c r="H825" s="49" t="e">
        <v>#REF!</v>
      </c>
      <c r="I825" s="49" t="e">
        <v>#REF!</v>
      </c>
      <c r="J825" s="50"/>
    </row>
    <row r="826" outlineLevel="1" spans="1:10">
      <c r="A826" s="50">
        <v>684</v>
      </c>
      <c r="B826" s="51" t="str">
        <v>外墙EPS线条-线条30*70</v>
      </c>
      <c r="C826" s="51" t="e">
        <v>#REF!</v>
      </c>
      <c r="D826" s="51" t="str">
        <v/>
      </c>
      <c r="E826" s="51" t="str">
        <v/>
      </c>
      <c r="F826" s="52" t="e">
        <v>#REF!</v>
      </c>
      <c r="G826" s="48" t="e">
        <v>#REF!</v>
      </c>
      <c r="H826" s="49" t="e">
        <v>#REF!</v>
      </c>
      <c r="I826" s="49" t="e">
        <v>#REF!</v>
      </c>
      <c r="J826" s="50"/>
    </row>
    <row r="827" outlineLevel="1" spans="1:10">
      <c r="A827" s="50">
        <v>685</v>
      </c>
      <c r="B827" s="51" t="str">
        <v>外墙EPS线条-线条70*70</v>
      </c>
      <c r="C827" s="51" t="e">
        <v>#REF!</v>
      </c>
      <c r="D827" s="51" t="str">
        <v/>
      </c>
      <c r="E827" s="51" t="str">
        <v/>
      </c>
      <c r="F827" s="52" t="e">
        <v>#REF!</v>
      </c>
      <c r="G827" s="48" t="e">
        <v>#REF!</v>
      </c>
      <c r="H827" s="49" t="e">
        <v>#REF!</v>
      </c>
      <c r="I827" s="49" t="e">
        <v>#REF!</v>
      </c>
      <c r="J827" s="50"/>
    </row>
    <row r="828" outlineLevel="1" spans="1:10">
      <c r="A828" s="50">
        <v>686</v>
      </c>
      <c r="B828" s="51" t="str">
        <v>外墙EPS线条-线条70*210</v>
      </c>
      <c r="C828" s="51" t="e">
        <v>#REF!</v>
      </c>
      <c r="D828" s="51" t="str">
        <v/>
      </c>
      <c r="E828" s="51" t="str">
        <v/>
      </c>
      <c r="F828" s="52" t="e">
        <v>#REF!</v>
      </c>
      <c r="G828" s="48" t="e">
        <v>#REF!</v>
      </c>
      <c r="H828" s="49" t="e">
        <v>#REF!</v>
      </c>
      <c r="I828" s="49" t="e">
        <v>#REF!</v>
      </c>
      <c r="J828" s="50"/>
    </row>
    <row r="829" outlineLevel="1" spans="1:10">
      <c r="A829" s="50">
        <v>687</v>
      </c>
      <c r="B829" s="51" t="str">
        <v>外墙EPS线条-线条70*390</v>
      </c>
      <c r="C829" s="51" t="e">
        <v>#REF!</v>
      </c>
      <c r="D829" s="51" t="str">
        <v/>
      </c>
      <c r="E829" s="51" t="str">
        <v/>
      </c>
      <c r="F829" s="52" t="e">
        <v>#REF!</v>
      </c>
      <c r="G829" s="48" t="e">
        <v>#REF!</v>
      </c>
      <c r="H829" s="49" t="e">
        <v>#REF!</v>
      </c>
      <c r="I829" s="49" t="e">
        <v>#REF!</v>
      </c>
      <c r="J829" s="50"/>
    </row>
    <row r="830" outlineLevel="1" spans="1:10">
      <c r="A830" s="50">
        <v>688</v>
      </c>
      <c r="B830" s="51" t="str">
        <v>外墙EPS线条-线条50*100</v>
      </c>
      <c r="C830" s="51" t="e">
        <v>#REF!</v>
      </c>
      <c r="D830" s="51" t="str">
        <v/>
      </c>
      <c r="E830" s="51" t="str">
        <v/>
      </c>
      <c r="F830" s="52" t="e">
        <v>#REF!</v>
      </c>
      <c r="G830" s="48" t="e">
        <v>#REF!</v>
      </c>
      <c r="H830" s="49" t="e">
        <v>#REF!</v>
      </c>
      <c r="I830" s="49" t="e">
        <v>#REF!</v>
      </c>
      <c r="J830" s="50"/>
    </row>
    <row r="831" outlineLevel="1" spans="1:10">
      <c r="A831" s="50">
        <v>689</v>
      </c>
      <c r="B831" s="51" t="str">
        <v>外墙EPS线条-线条160*100</v>
      </c>
      <c r="C831" s="51" t="e">
        <v>#REF!</v>
      </c>
      <c r="D831" s="51" t="str">
        <v/>
      </c>
      <c r="E831" s="51" t="str">
        <v/>
      </c>
      <c r="F831" s="52" t="e">
        <v>#REF!</v>
      </c>
      <c r="G831" s="48" t="e">
        <v>#REF!</v>
      </c>
      <c r="H831" s="49" t="e">
        <v>#REF!</v>
      </c>
      <c r="I831" s="49" t="e">
        <v>#REF!</v>
      </c>
      <c r="J831" s="50"/>
    </row>
    <row r="832" outlineLevel="1" spans="1:10">
      <c r="A832" s="50">
        <v>690</v>
      </c>
      <c r="B832" s="51" t="str">
        <v>外墙EPS线条-线条120*40</v>
      </c>
      <c r="C832" s="51" t="e">
        <v>#REF!</v>
      </c>
      <c r="D832" s="51" t="str">
        <v/>
      </c>
      <c r="E832" s="51" t="str">
        <v/>
      </c>
      <c r="F832" s="52" t="e">
        <v>#REF!</v>
      </c>
      <c r="G832" s="48" t="e">
        <v>#REF!</v>
      </c>
      <c r="H832" s="49" t="e">
        <v>#REF!</v>
      </c>
      <c r="I832" s="49" t="e">
        <v>#REF!</v>
      </c>
      <c r="J832" s="50"/>
    </row>
    <row r="833" outlineLevel="1" spans="1:10">
      <c r="A833" s="50">
        <v>691</v>
      </c>
      <c r="B833" s="51" t="str">
        <v>外墙EPS线条-线条100*280</v>
      </c>
      <c r="C833" s="51" t="e">
        <v>#REF!</v>
      </c>
      <c r="D833" s="51" t="str">
        <v/>
      </c>
      <c r="E833" s="51" t="str">
        <v/>
      </c>
      <c r="F833" s="52" t="e">
        <v>#REF!</v>
      </c>
      <c r="G833" s="48" t="e">
        <v>#REF!</v>
      </c>
      <c r="H833" s="49" t="e">
        <v>#REF!</v>
      </c>
      <c r="I833" s="49" t="e">
        <v>#REF!</v>
      </c>
      <c r="J833" s="50"/>
    </row>
    <row r="834" outlineLevel="1" spans="1:10">
      <c r="A834" s="50">
        <v>692</v>
      </c>
      <c r="B834" s="51" t="str">
        <v>外墙EPS线条-线条100*140</v>
      </c>
      <c r="C834" s="51" t="e">
        <v>#REF!</v>
      </c>
      <c r="D834" s="51" t="str">
        <v/>
      </c>
      <c r="E834" s="51" t="str">
        <v/>
      </c>
      <c r="F834" s="52" t="e">
        <v>#REF!</v>
      </c>
      <c r="G834" s="48" t="e">
        <v>#REF!</v>
      </c>
      <c r="H834" s="49" t="e">
        <v>#REF!</v>
      </c>
      <c r="I834" s="49" t="e">
        <v>#REF!</v>
      </c>
      <c r="J834" s="50"/>
    </row>
    <row r="835" outlineLevel="1" spans="1:10">
      <c r="A835" s="50">
        <v>693</v>
      </c>
      <c r="B835" s="51" t="str">
        <v>外墙EPS线条-线条130*100</v>
      </c>
      <c r="C835" s="51" t="e">
        <v>#REF!</v>
      </c>
      <c r="D835" s="51" t="str">
        <v/>
      </c>
      <c r="E835" s="51" t="str">
        <v/>
      </c>
      <c r="F835" s="52" t="e">
        <v>#REF!</v>
      </c>
      <c r="G835" s="48" t="e">
        <v>#REF!</v>
      </c>
      <c r="H835" s="49" t="e">
        <v>#REF!</v>
      </c>
      <c r="I835" s="49" t="e">
        <v>#REF!</v>
      </c>
      <c r="J835" s="50"/>
    </row>
    <row r="836" outlineLevel="1" spans="1:10">
      <c r="A836" s="50">
        <v>694</v>
      </c>
      <c r="B836" s="51" t="str">
        <v>外墙EPS线条-线条130*240</v>
      </c>
      <c r="C836" s="51" t="e">
        <v>#REF!</v>
      </c>
      <c r="D836" s="51" t="str">
        <v/>
      </c>
      <c r="E836" s="51" t="str">
        <v/>
      </c>
      <c r="F836" s="52" t="e">
        <v>#REF!</v>
      </c>
      <c r="G836" s="48" t="e">
        <v>#REF!</v>
      </c>
      <c r="H836" s="49" t="e">
        <v>#REF!</v>
      </c>
      <c r="I836" s="49" t="e">
        <v>#REF!</v>
      </c>
      <c r="J836" s="50"/>
    </row>
    <row r="837" outlineLevel="1" spans="1:10">
      <c r="A837" s="50">
        <v>695</v>
      </c>
      <c r="B837" s="51" t="str">
        <v>外墙EPS线条-线条80*50</v>
      </c>
      <c r="C837" s="51" t="e">
        <v>#REF!</v>
      </c>
      <c r="D837" s="51" t="str">
        <v/>
      </c>
      <c r="E837" s="51" t="str">
        <v/>
      </c>
      <c r="F837" s="52" t="e">
        <v>#REF!</v>
      </c>
      <c r="G837" s="48" t="e">
        <v>#REF!</v>
      </c>
      <c r="H837" s="49" t="e">
        <v>#REF!</v>
      </c>
      <c r="I837" s="49" t="e">
        <v>#REF!</v>
      </c>
      <c r="J837" s="50"/>
    </row>
    <row r="838" outlineLevel="1" spans="1:10">
      <c r="A838" s="50">
        <v>696</v>
      </c>
      <c r="B838" s="51" t="str">
        <v>外墙EPS线条-线条60*50</v>
      </c>
      <c r="C838" s="51" t="e">
        <v>#REF!</v>
      </c>
      <c r="D838" s="51" t="str">
        <v/>
      </c>
      <c r="E838" s="51" t="str">
        <v/>
      </c>
      <c r="F838" s="52" t="e">
        <v>#REF!</v>
      </c>
      <c r="G838" s="48" t="e">
        <v>#REF!</v>
      </c>
      <c r="H838" s="49" t="e">
        <v>#REF!</v>
      </c>
      <c r="I838" s="49" t="e">
        <v>#REF!</v>
      </c>
      <c r="J838" s="50"/>
    </row>
    <row r="839" outlineLevel="1" spans="1:10">
      <c r="A839" s="50">
        <v>697</v>
      </c>
      <c r="B839" s="51" t="str">
        <v>外墙EPS线条-线条35*50</v>
      </c>
      <c r="C839" s="51" t="e">
        <v>#REF!</v>
      </c>
      <c r="D839" s="51" t="str">
        <v/>
      </c>
      <c r="E839" s="51" t="str">
        <v/>
      </c>
      <c r="F839" s="52" t="e">
        <v>#REF!</v>
      </c>
      <c r="G839" s="48" t="e">
        <v>#REF!</v>
      </c>
      <c r="H839" s="49" t="e">
        <v>#REF!</v>
      </c>
      <c r="I839" s="49" t="e">
        <v>#REF!</v>
      </c>
      <c r="J839" s="50"/>
    </row>
    <row r="840" outlineLevel="1" spans="1:10">
      <c r="A840" s="50">
        <v>698</v>
      </c>
      <c r="B840" s="51" t="str">
        <v>外墙EPS线条-线条120*500</v>
      </c>
      <c r="C840" s="51" t="e">
        <v>#REF!</v>
      </c>
      <c r="D840" s="51" t="str">
        <v/>
      </c>
      <c r="E840" s="51" t="str">
        <v/>
      </c>
      <c r="F840" s="52" t="e">
        <v>#REF!</v>
      </c>
      <c r="G840" s="48" t="e">
        <v>#REF!</v>
      </c>
      <c r="H840" s="49" t="e">
        <v>#REF!</v>
      </c>
      <c r="I840" s="49" t="e">
        <v>#REF!</v>
      </c>
      <c r="J840" s="50"/>
    </row>
    <row r="841" outlineLevel="1" spans="1:10">
      <c r="A841" s="50">
        <v>699</v>
      </c>
      <c r="B841" s="51" t="str">
        <v>外墙EPS线条-线条1082*140</v>
      </c>
      <c r="C841" s="51" t="e">
        <v>#REF!</v>
      </c>
      <c r="D841" s="51" t="str">
        <v/>
      </c>
      <c r="E841" s="51" t="str">
        <v/>
      </c>
      <c r="F841" s="52" t="e">
        <v>#REF!</v>
      </c>
      <c r="G841" s="48" t="e">
        <v>#REF!</v>
      </c>
      <c r="H841" s="49" t="e">
        <v>#REF!</v>
      </c>
      <c r="I841" s="49" t="e">
        <v>#REF!</v>
      </c>
      <c r="J841" s="50"/>
    </row>
    <row r="842" ht="28.8" outlineLevel="1" spans="1:10">
      <c r="A842" s="50">
        <v>700</v>
      </c>
      <c r="B842" s="51" t="str">
        <v>外墙EPS线条-不规则EPS线条410*100</v>
      </c>
      <c r="C842" s="51" t="e">
        <v>#REF!</v>
      </c>
      <c r="D842" s="51" t="str">
        <v/>
      </c>
      <c r="E842" s="51" t="str">
        <v/>
      </c>
      <c r="F842" s="52" t="e">
        <v>#REF!</v>
      </c>
      <c r="G842" s="48" t="e">
        <v>#REF!</v>
      </c>
      <c r="H842" s="49" t="e">
        <v>#REF!</v>
      </c>
      <c r="I842" s="49" t="e">
        <v>#REF!</v>
      </c>
      <c r="J842" s="50"/>
    </row>
    <row r="843" outlineLevel="1" spans="1:10">
      <c r="A843" s="50">
        <v>701</v>
      </c>
      <c r="B843" s="51" t="str">
        <v>外墙EPS线条-线条150*80</v>
      </c>
      <c r="C843" s="51" t="e">
        <v>#REF!</v>
      </c>
      <c r="D843" s="51" t="str">
        <v/>
      </c>
      <c r="E843" s="51" t="str">
        <v/>
      </c>
      <c r="F843" s="52" t="e">
        <v>#REF!</v>
      </c>
      <c r="G843" s="48" t="e">
        <v>#REF!</v>
      </c>
      <c r="H843" s="49" t="e">
        <v>#REF!</v>
      </c>
      <c r="I843" s="49" t="e">
        <v>#REF!</v>
      </c>
      <c r="J843" s="50"/>
    </row>
    <row r="844" outlineLevel="1" spans="1:10">
      <c r="A844" s="50">
        <v>702</v>
      </c>
      <c r="B844" s="51" t="str">
        <v>外墙EPS线条-线条480*170</v>
      </c>
      <c r="C844" s="51" t="e">
        <v>#REF!</v>
      </c>
      <c r="D844" s="51" t="str">
        <v/>
      </c>
      <c r="E844" s="51" t="str">
        <v/>
      </c>
      <c r="F844" s="52" t="e">
        <v>#REF!</v>
      </c>
      <c r="G844" s="48" t="e">
        <v>#REF!</v>
      </c>
      <c r="H844" s="49" t="e">
        <v>#REF!</v>
      </c>
      <c r="I844" s="49" t="e">
        <v>#REF!</v>
      </c>
      <c r="J844" s="50"/>
    </row>
    <row r="845" outlineLevel="1" spans="1:10">
      <c r="A845" s="50">
        <v>703</v>
      </c>
      <c r="B845" s="51" t="str">
        <v>外墙EPS线条-线条1840*150</v>
      </c>
      <c r="C845" s="51" t="e">
        <v>#REF!</v>
      </c>
      <c r="D845" s="51" t="str">
        <v/>
      </c>
      <c r="E845" s="51" t="str">
        <v/>
      </c>
      <c r="F845" s="52" t="e">
        <v>#REF!</v>
      </c>
      <c r="G845" s="48" t="e">
        <v>#REF!</v>
      </c>
      <c r="H845" s="49" t="e">
        <v>#REF!</v>
      </c>
      <c r="I845" s="49" t="e">
        <v>#REF!</v>
      </c>
      <c r="J845" s="50"/>
    </row>
    <row r="846" outlineLevel="1" spans="1:10">
      <c r="A846" s="50">
        <v>704</v>
      </c>
      <c r="B846" s="51" t="str">
        <v>外墙EPS线条-线条450*50</v>
      </c>
      <c r="C846" s="51" t="e">
        <v>#REF!</v>
      </c>
      <c r="D846" s="51" t="str">
        <v/>
      </c>
      <c r="E846" s="51" t="str">
        <v/>
      </c>
      <c r="F846" s="52" t="e">
        <v>#REF!</v>
      </c>
      <c r="G846" s="48" t="e">
        <v>#REF!</v>
      </c>
      <c r="H846" s="49" t="e">
        <v>#REF!</v>
      </c>
      <c r="I846" s="49" t="e">
        <v>#REF!</v>
      </c>
      <c r="J846" s="50"/>
    </row>
    <row r="847" outlineLevel="1" spans="1:10">
      <c r="A847" s="50">
        <v>705</v>
      </c>
      <c r="B847" s="51" t="str">
        <v>外墙EPS线条-线条695*150</v>
      </c>
      <c r="C847" s="51" t="e">
        <v>#REF!</v>
      </c>
      <c r="D847" s="51" t="str">
        <v/>
      </c>
      <c r="E847" s="51" t="str">
        <v/>
      </c>
      <c r="F847" s="52" t="e">
        <v>#REF!</v>
      </c>
      <c r="G847" s="48" t="e">
        <v>#REF!</v>
      </c>
      <c r="H847" s="49" t="e">
        <v>#REF!</v>
      </c>
      <c r="I847" s="49" t="e">
        <v>#REF!</v>
      </c>
      <c r="J847" s="50"/>
    </row>
    <row r="848" outlineLevel="1" spans="1:10">
      <c r="A848" s="50">
        <v>706</v>
      </c>
      <c r="B848" s="51" t="str">
        <v>外墙EPS线条-线条70*50</v>
      </c>
      <c r="C848" s="51" t="e">
        <v>#REF!</v>
      </c>
      <c r="D848" s="51" t="str">
        <v/>
      </c>
      <c r="E848" s="51" t="str">
        <v/>
      </c>
      <c r="F848" s="52" t="e">
        <v>#REF!</v>
      </c>
      <c r="G848" s="48" t="e">
        <v>#REF!</v>
      </c>
      <c r="H848" s="49" t="e">
        <v>#REF!</v>
      </c>
      <c r="I848" s="49" t="e">
        <v>#REF!</v>
      </c>
      <c r="J848" s="50"/>
    </row>
    <row r="849" outlineLevel="1" spans="1:10">
      <c r="A849" s="50">
        <v>707</v>
      </c>
      <c r="B849" s="51" t="str">
        <v>外墙EPS线条-线条300*100</v>
      </c>
      <c r="C849" s="51" t="e">
        <v>#REF!</v>
      </c>
      <c r="D849" s="51" t="str">
        <v/>
      </c>
      <c r="E849" s="51" t="str">
        <v/>
      </c>
      <c r="F849" s="52" t="e">
        <v>#REF!</v>
      </c>
      <c r="G849" s="48" t="e">
        <v>#REF!</v>
      </c>
      <c r="H849" s="49" t="e">
        <v>#REF!</v>
      </c>
      <c r="I849" s="49" t="e">
        <v>#REF!</v>
      </c>
      <c r="J849" s="50"/>
    </row>
    <row r="850" outlineLevel="1" spans="1:10">
      <c r="A850" s="50">
        <v>708</v>
      </c>
      <c r="B850" s="51" t="str">
        <v>外墙EPS线条-线条200*100</v>
      </c>
      <c r="C850" s="51" t="e">
        <v>#REF!</v>
      </c>
      <c r="D850" s="51" t="str">
        <v/>
      </c>
      <c r="E850" s="51" t="str">
        <v/>
      </c>
      <c r="F850" s="52" t="e">
        <v>#REF!</v>
      </c>
      <c r="G850" s="48" t="e">
        <v>#REF!</v>
      </c>
      <c r="H850" s="49" t="e">
        <v>#REF!</v>
      </c>
      <c r="I850" s="49" t="e">
        <v>#REF!</v>
      </c>
      <c r="J850" s="50"/>
    </row>
    <row r="851" ht="28.8" outlineLevel="1" spans="1:10">
      <c r="A851" s="50">
        <v>709</v>
      </c>
      <c r="B851" s="51" t="str">
        <v>外墙EPS线条-不规则EPS线条1750*420（顶层挑檐下）</v>
      </c>
      <c r="C851" s="51" t="e">
        <v>#REF!</v>
      </c>
      <c r="D851" s="51" t="str">
        <v/>
      </c>
      <c r="E851" s="51" t="str">
        <v/>
      </c>
      <c r="F851" s="52" t="e">
        <v>#REF!</v>
      </c>
      <c r="G851" s="48" t="e">
        <v>#REF!</v>
      </c>
      <c r="H851" s="49" t="e">
        <v>#REF!</v>
      </c>
      <c r="I851" s="49" t="e">
        <v>#REF!</v>
      </c>
      <c r="J851" s="50"/>
    </row>
    <row r="852" ht="28.8" outlineLevel="1" spans="1:10">
      <c r="A852" s="50">
        <v>710</v>
      </c>
      <c r="B852" s="51" t="str">
        <v>外墙EPS线条-不规则EPS线条1250*300（顶层挑檐下）</v>
      </c>
      <c r="C852" s="51" t="e">
        <v>#REF!</v>
      </c>
      <c r="D852" s="51" t="str">
        <v/>
      </c>
      <c r="E852" s="51" t="str">
        <v/>
      </c>
      <c r="F852" s="52" t="e">
        <v>#REF!</v>
      </c>
      <c r="G852" s="48" t="e">
        <v>#REF!</v>
      </c>
      <c r="H852" s="49" t="e">
        <v>#REF!</v>
      </c>
      <c r="I852" s="49" t="e">
        <v>#REF!</v>
      </c>
      <c r="J852" s="50"/>
    </row>
    <row r="853" outlineLevel="1" spans="1:10">
      <c r="A853" s="50">
        <v>711</v>
      </c>
      <c r="B853" s="51" t="str">
        <v>外墙EPS线条-L型120*100</v>
      </c>
      <c r="C853" s="51" t="e">
        <v>#REF!</v>
      </c>
      <c r="D853" s="51" t="str">
        <v/>
      </c>
      <c r="E853" s="51" t="str">
        <v/>
      </c>
      <c r="F853" s="52" t="e">
        <v>#REF!</v>
      </c>
      <c r="G853" s="48" t="e">
        <v>#REF!</v>
      </c>
      <c r="H853" s="49" t="e">
        <v>#REF!</v>
      </c>
      <c r="I853" s="49" t="e">
        <v>#REF!</v>
      </c>
      <c r="J853" s="50"/>
    </row>
    <row r="854" outlineLevel="1" spans="1:10">
      <c r="A854" s="50">
        <v>712</v>
      </c>
      <c r="B854" s="51" t="str">
        <v>柱头1</v>
      </c>
      <c r="C854" s="51" t="e">
        <v>#REF!</v>
      </c>
      <c r="D854" s="51" t="str">
        <v/>
      </c>
      <c r="E854" s="51" t="str">
        <v/>
      </c>
      <c r="F854" s="52" t="e">
        <v>#REF!</v>
      </c>
      <c r="G854" s="48" t="e">
        <v>#REF!</v>
      </c>
      <c r="H854" s="49" t="e">
        <v>#REF!</v>
      </c>
      <c r="I854" s="49" t="e">
        <v>#REF!</v>
      </c>
      <c r="J854" s="50"/>
    </row>
    <row r="855" outlineLevel="1" spans="1:10">
      <c r="A855" s="50">
        <v>713</v>
      </c>
      <c r="B855" s="51" t="str">
        <v>柱头2</v>
      </c>
      <c r="C855" s="51" t="e">
        <v>#REF!</v>
      </c>
      <c r="D855" s="51" t="str">
        <v/>
      </c>
      <c r="E855" s="51" t="str">
        <v/>
      </c>
      <c r="F855" s="52" t="e">
        <v>#REF!</v>
      </c>
      <c r="G855" s="48" t="e">
        <v>#REF!</v>
      </c>
      <c r="H855" s="49" t="e">
        <v>#REF!</v>
      </c>
      <c r="I855" s="49" t="e">
        <v>#REF!</v>
      </c>
      <c r="J855" s="50"/>
    </row>
    <row r="856" outlineLevel="1" spans="1:10">
      <c r="A856" s="50">
        <v>714</v>
      </c>
      <c r="B856" s="51" t="str">
        <v>柱头3</v>
      </c>
      <c r="C856" s="51" t="e">
        <v>#REF!</v>
      </c>
      <c r="D856" s="51" t="str">
        <v/>
      </c>
      <c r="E856" s="51" t="str">
        <v/>
      </c>
      <c r="F856" s="52" t="e">
        <v>#REF!</v>
      </c>
      <c r="G856" s="48" t="e">
        <v>#REF!</v>
      </c>
      <c r="H856" s="49" t="e">
        <v>#REF!</v>
      </c>
      <c r="I856" s="49" t="e">
        <v>#REF!</v>
      </c>
      <c r="J856" s="50"/>
    </row>
    <row r="857" outlineLevel="1" spans="1:10">
      <c r="A857" s="50">
        <v>715</v>
      </c>
      <c r="B857" s="51" t="str">
        <v>方柱1</v>
      </c>
      <c r="C857" s="51" t="e">
        <v>#REF!</v>
      </c>
      <c r="D857" s="51" t="str">
        <v/>
      </c>
      <c r="E857" s="51" t="str">
        <v/>
      </c>
      <c r="F857" s="52" t="e">
        <v>#REF!</v>
      </c>
      <c r="G857" s="48" t="e">
        <v>#REF!</v>
      </c>
      <c r="H857" s="49" t="e">
        <v>#REF!</v>
      </c>
      <c r="I857" s="49" t="e">
        <v>#REF!</v>
      </c>
      <c r="J857" s="50"/>
    </row>
    <row r="858" outlineLevel="1" spans="1:10">
      <c r="A858" s="50">
        <v>716</v>
      </c>
      <c r="B858" s="51" t="str">
        <v>方柱2</v>
      </c>
      <c r="C858" s="51" t="e">
        <v>#REF!</v>
      </c>
      <c r="D858" s="51" t="str">
        <v/>
      </c>
      <c r="E858" s="51" t="str">
        <v/>
      </c>
      <c r="F858" s="52" t="e">
        <v>#REF!</v>
      </c>
      <c r="G858" s="48" t="e">
        <v>#REF!</v>
      </c>
      <c r="H858" s="49" t="e">
        <v>#REF!</v>
      </c>
      <c r="I858" s="49" t="e">
        <v>#REF!</v>
      </c>
      <c r="J858" s="50"/>
    </row>
    <row r="859" outlineLevel="1" spans="1:10">
      <c r="A859" s="50">
        <v>717</v>
      </c>
      <c r="B859" s="51" t="str">
        <v>方柱3</v>
      </c>
      <c r="C859" s="51" t="e">
        <v>#REF!</v>
      </c>
      <c r="D859" s="51" t="str">
        <v/>
      </c>
      <c r="E859" s="51" t="str">
        <v/>
      </c>
      <c r="F859" s="52" t="e">
        <v>#REF!</v>
      </c>
      <c r="G859" s="48" t="e">
        <v>#REF!</v>
      </c>
      <c r="H859" s="49" t="e">
        <v>#REF!</v>
      </c>
      <c r="I859" s="49" t="e">
        <v>#REF!</v>
      </c>
      <c r="J859" s="50"/>
    </row>
    <row r="860" outlineLevel="1" spans="1:10">
      <c r="A860" s="50">
        <v>718</v>
      </c>
      <c r="B860" s="51" t="str">
        <v>扶手墩1</v>
      </c>
      <c r="C860" s="51" t="e">
        <v>#REF!</v>
      </c>
      <c r="D860" s="51" t="str">
        <v/>
      </c>
      <c r="E860" s="51" t="str">
        <v/>
      </c>
      <c r="F860" s="52" t="e">
        <v>#REF!</v>
      </c>
      <c r="G860" s="48" t="e">
        <v>#REF!</v>
      </c>
      <c r="H860" s="49" t="e">
        <v>#REF!</v>
      </c>
      <c r="I860" s="49" t="e">
        <v>#REF!</v>
      </c>
      <c r="J860" s="50"/>
    </row>
    <row r="861" outlineLevel="1" spans="1:10">
      <c r="A861" s="50">
        <v>719</v>
      </c>
      <c r="B861" s="51" t="str">
        <v>顶部EPS装饰檐线</v>
      </c>
      <c r="C861" s="51" t="e">
        <v>#REF!</v>
      </c>
      <c r="D861" s="51" t="str">
        <v/>
      </c>
      <c r="E861" s="51" t="str">
        <v/>
      </c>
      <c r="F861" s="52" t="e">
        <v>#REF!</v>
      </c>
      <c r="G861" s="48" t="e">
        <v>#REF!</v>
      </c>
      <c r="H861" s="49" t="e">
        <v>#REF!</v>
      </c>
      <c r="I861" s="49" t="e">
        <v>#REF!</v>
      </c>
      <c r="J861" s="50"/>
    </row>
    <row r="862" outlineLevel="1" spans="1:10">
      <c r="A862" s="50">
        <v>720</v>
      </c>
      <c r="B862" s="51" t="str">
        <v>顶部EPS檐线内造型</v>
      </c>
      <c r="C862" s="51" t="e">
        <v>#REF!</v>
      </c>
      <c r="D862" s="51" t="str">
        <v/>
      </c>
      <c r="E862" s="51" t="str">
        <v/>
      </c>
      <c r="F862" s="52" t="e">
        <v>#REF!</v>
      </c>
      <c r="G862" s="48" t="e">
        <v>#REF!</v>
      </c>
      <c r="H862" s="49" t="e">
        <v>#REF!</v>
      </c>
      <c r="I862" s="49" t="e">
        <v>#REF!</v>
      </c>
      <c r="J862" s="50"/>
    </row>
    <row r="863" outlineLevel="1" spans="1:10">
      <c r="A863" s="50">
        <v>721</v>
      </c>
      <c r="B863" s="51" t="str">
        <v>柱身突出造型EPS439*480</v>
      </c>
      <c r="C863" s="51" t="e">
        <v>#REF!</v>
      </c>
      <c r="D863" s="51" t="str">
        <v/>
      </c>
      <c r="E863" s="51" t="str">
        <v/>
      </c>
      <c r="F863" s="52" t="e">
        <v>#REF!</v>
      </c>
      <c r="G863" s="48" t="e">
        <v>#REF!</v>
      </c>
      <c r="H863" s="49" t="e">
        <v>#REF!</v>
      </c>
      <c r="I863" s="49" t="e">
        <v>#REF!</v>
      </c>
      <c r="J863" s="50"/>
    </row>
    <row r="864" outlineLevel="1" spans="1:10">
      <c r="A864" s="50">
        <v>722</v>
      </c>
      <c r="B864" s="51" t="str">
        <v>上扶手线（含砼及埋件）</v>
      </c>
      <c r="C864" s="51" t="e">
        <v>#REF!</v>
      </c>
      <c r="D864" s="51" t="str">
        <v/>
      </c>
      <c r="E864" s="51" t="str">
        <v/>
      </c>
      <c r="F864" s="52" t="e">
        <v>#REF!</v>
      </c>
      <c r="G864" s="48" t="e">
        <v>#REF!</v>
      </c>
      <c r="H864" s="49" t="e">
        <v>#REF!</v>
      </c>
      <c r="I864" s="49" t="e">
        <v>#REF!</v>
      </c>
      <c r="J864" s="50"/>
    </row>
    <row r="865" outlineLevel="1" spans="1:10">
      <c r="A865" s="50">
        <v>723</v>
      </c>
      <c r="B865" s="51" t="str">
        <v>下扶手线</v>
      </c>
      <c r="C865" s="51" t="e">
        <v>#REF!</v>
      </c>
      <c r="D865" s="51" t="str">
        <v/>
      </c>
      <c r="E865" s="51" t="str">
        <v/>
      </c>
      <c r="F865" s="52" t="e">
        <v>#REF!</v>
      </c>
      <c r="G865" s="48" t="e">
        <v>#REF!</v>
      </c>
      <c r="H865" s="49" t="e">
        <v>#REF!</v>
      </c>
      <c r="I865" s="49" t="e">
        <v>#REF!</v>
      </c>
      <c r="J865" s="50"/>
    </row>
    <row r="866" outlineLevel="1" spans="1:10">
      <c r="A866" s="50">
        <v>724</v>
      </c>
      <c r="B866" s="51" t="str">
        <v>车库出入口成品宝瓶栏杆柱</v>
      </c>
      <c r="C866" s="51" t="e">
        <v>#REF!</v>
      </c>
      <c r="D866" s="51" t="str">
        <v/>
      </c>
      <c r="E866" s="51" t="str">
        <v/>
      </c>
      <c r="F866" s="52" t="e">
        <v>#REF!</v>
      </c>
      <c r="G866" s="48" t="e">
        <v>#REF!</v>
      </c>
      <c r="H866" s="49" t="e">
        <v>#REF!</v>
      </c>
      <c r="I866" s="49" t="e">
        <v>#REF!</v>
      </c>
      <c r="J866" s="50"/>
    </row>
    <row r="867" outlineLevel="1" spans="1:10">
      <c r="A867" s="50" t="str">
        <v/>
      </c>
      <c r="B867" s="51" t="str">
        <v>A.06.03外墙饰面工程</v>
      </c>
      <c r="C867" s="51" t="str">
        <v/>
      </c>
      <c r="D867" s="51" t="str">
        <v/>
      </c>
      <c r="E867" s="51" t="str">
        <v/>
      </c>
      <c r="F867" s="52" t="str">
        <v/>
      </c>
      <c r="G867" s="48" t="str">
        <v/>
      </c>
      <c r="H867" s="49">
        <v>0</v>
      </c>
      <c r="I867" s="49" t="e">
        <v>#REF!</v>
      </c>
      <c r="J867" s="50"/>
    </row>
    <row r="868" outlineLevel="1" spans="1:10">
      <c r="A868" s="50" t="str">
        <v/>
      </c>
      <c r="B868" s="51" t="str">
        <v>外墙大面涂料</v>
      </c>
      <c r="C868" s="51" t="str">
        <v/>
      </c>
      <c r="D868" s="51" t="str">
        <v/>
      </c>
      <c r="E868" s="51" t="str">
        <v/>
      </c>
      <c r="F868" s="52" t="str">
        <v/>
      </c>
      <c r="G868" s="48" t="str">
        <v/>
      </c>
      <c r="H868" s="49">
        <v>0</v>
      </c>
      <c r="I868" s="49">
        <v>0</v>
      </c>
      <c r="J868" s="50"/>
    </row>
    <row r="869" outlineLevel="1" spans="1:10">
      <c r="A869" s="50">
        <v>725</v>
      </c>
      <c r="B869" s="51" t="str">
        <v>外墙涂料-米黄色水包水</v>
      </c>
      <c r="C869" s="51" t="e">
        <v>#REF!</v>
      </c>
      <c r="D869" s="51" t="str">
        <v/>
      </c>
      <c r="E869" s="51" t="str">
        <v/>
      </c>
      <c r="F869" s="52" t="e">
        <v>#REF!</v>
      </c>
      <c r="G869" s="48" t="e">
        <v>#REF!</v>
      </c>
      <c r="H869" s="49" t="e">
        <v>#REF!</v>
      </c>
      <c r="I869" s="49" t="e">
        <v>#REF!</v>
      </c>
      <c r="J869" s="50"/>
    </row>
    <row r="870" outlineLevel="1" spans="1:10">
      <c r="A870" s="50">
        <v>726</v>
      </c>
      <c r="B870" s="51" t="str">
        <v>外墙涂料-水包砂</v>
      </c>
      <c r="C870" s="51" t="e">
        <v>#REF!</v>
      </c>
      <c r="D870" s="51" t="str">
        <v/>
      </c>
      <c r="E870" s="51" t="str">
        <v/>
      </c>
      <c r="F870" s="52" t="e">
        <v>#REF!</v>
      </c>
      <c r="G870" s="48" t="e">
        <v>#REF!</v>
      </c>
      <c r="H870" s="49">
        <v>0</v>
      </c>
      <c r="I870" s="49" t="e">
        <v>#REF!</v>
      </c>
      <c r="J870" s="50"/>
    </row>
    <row r="871" outlineLevel="1" spans="1:10">
      <c r="A871" s="50">
        <v>727</v>
      </c>
      <c r="B871" s="51" t="str">
        <v>外墙涂料-米黄色质感涂料</v>
      </c>
      <c r="C871" s="51" t="e">
        <v>#REF!</v>
      </c>
      <c r="D871" s="51" t="str">
        <v/>
      </c>
      <c r="E871" s="51" t="str">
        <v/>
      </c>
      <c r="F871" s="52" t="e">
        <v>#REF!</v>
      </c>
      <c r="G871" s="48" t="e">
        <v>#REF!</v>
      </c>
      <c r="H871" s="49">
        <v>5877.82941350776</v>
      </c>
      <c r="I871" s="49" t="e">
        <v>#REF!</v>
      </c>
      <c r="J871" s="50"/>
    </row>
    <row r="872" outlineLevel="1" spans="1:10">
      <c r="A872" s="50">
        <v>728</v>
      </c>
      <c r="B872" s="51" t="str">
        <v>外墙涂料-深褐色质感涂料</v>
      </c>
      <c r="C872" s="51" t="e">
        <v>#REF!</v>
      </c>
      <c r="D872" s="51" t="str">
        <v/>
      </c>
      <c r="E872" s="51" t="str">
        <v/>
      </c>
      <c r="F872" s="52" t="e">
        <v>#REF!</v>
      </c>
      <c r="G872" s="48" t="e">
        <v>#REF!</v>
      </c>
      <c r="H872" s="49" t="e">
        <v>#REF!</v>
      </c>
      <c r="I872" s="49" t="e">
        <v>#REF!</v>
      </c>
      <c r="J872" s="50"/>
    </row>
    <row r="873" outlineLevel="1" spans="1:10">
      <c r="A873" s="50">
        <v>729</v>
      </c>
      <c r="B873" s="51" t="str">
        <v>外墙涂料-咖色质感涂料</v>
      </c>
      <c r="C873" s="51" t="e">
        <v>#REF!</v>
      </c>
      <c r="D873" s="51" t="str">
        <v/>
      </c>
      <c r="E873" s="51" t="str">
        <v/>
      </c>
      <c r="F873" s="52" t="e">
        <v>#REF!</v>
      </c>
      <c r="G873" s="48" t="e">
        <v>#REF!</v>
      </c>
      <c r="H873" s="49" t="e">
        <v>#REF!</v>
      </c>
      <c r="I873" s="49" t="e">
        <v>#REF!</v>
      </c>
      <c r="J873" s="50"/>
    </row>
    <row r="874" ht="28.8" outlineLevel="1" spans="1:10">
      <c r="A874" s="50">
        <v>730</v>
      </c>
      <c r="B874" s="51" t="str">
        <v>外墙涂料-仿葡萄牙米黄水包水</v>
      </c>
      <c r="C874" s="51" t="e">
        <v>#REF!</v>
      </c>
      <c r="D874" s="51" t="str">
        <v/>
      </c>
      <c r="E874" s="51" t="str">
        <v/>
      </c>
      <c r="F874" s="52" t="e">
        <v>#REF!</v>
      </c>
      <c r="G874" s="48" t="e">
        <v>#REF!</v>
      </c>
      <c r="H874" s="49" t="e">
        <v>#REF!</v>
      </c>
      <c r="I874" s="49" t="e">
        <v>#REF!</v>
      </c>
      <c r="J874" s="50"/>
    </row>
    <row r="875" outlineLevel="1" spans="1:10">
      <c r="A875" s="50">
        <v>731</v>
      </c>
      <c r="B875" s="51" t="str">
        <v>外墙涂料-古典棕水包水</v>
      </c>
      <c r="C875" s="51" t="e">
        <v>#REF!</v>
      </c>
      <c r="D875" s="51" t="str">
        <v/>
      </c>
      <c r="E875" s="51" t="str">
        <v/>
      </c>
      <c r="F875" s="52" t="e">
        <v>#REF!</v>
      </c>
      <c r="G875" s="48" t="e">
        <v>#REF!</v>
      </c>
      <c r="H875" s="49" t="e">
        <v>#REF!</v>
      </c>
      <c r="I875" s="49" t="e">
        <v>#REF!</v>
      </c>
      <c r="J875" s="50"/>
    </row>
    <row r="876" outlineLevel="1" spans="1:10">
      <c r="A876" s="50">
        <v>732</v>
      </c>
      <c r="B876" s="51" t="str">
        <v>外墙涂料-米黄色真石漆</v>
      </c>
      <c r="C876" s="51" t="e">
        <v>#REF!</v>
      </c>
      <c r="D876" s="51" t="str">
        <v/>
      </c>
      <c r="E876" s="51" t="str">
        <v/>
      </c>
      <c r="F876" s="52" t="e">
        <v>#REF!</v>
      </c>
      <c r="G876" s="48" t="e">
        <v>#REF!</v>
      </c>
      <c r="H876" s="49" t="e">
        <v>#REF!</v>
      </c>
      <c r="I876" s="49" t="e">
        <v>#REF!</v>
      </c>
      <c r="J876" s="50"/>
    </row>
    <row r="877" ht="28.8" outlineLevel="1" spans="1:10">
      <c r="A877" s="50">
        <v>733</v>
      </c>
      <c r="B877" s="51" t="str">
        <v>外墙涂料-仿葡萄牙米黄真石漆</v>
      </c>
      <c r="C877" s="51" t="e">
        <v>#REF!</v>
      </c>
      <c r="D877" s="51" t="str">
        <v/>
      </c>
      <c r="E877" s="51" t="str">
        <v/>
      </c>
      <c r="F877" s="52" t="e">
        <v>#REF!</v>
      </c>
      <c r="G877" s="48" t="e">
        <v>#REF!</v>
      </c>
      <c r="H877" s="49" t="e">
        <v>#REF!</v>
      </c>
      <c r="I877" s="49" t="e">
        <v>#REF!</v>
      </c>
      <c r="J877" s="50"/>
    </row>
    <row r="878" outlineLevel="1" spans="1:10">
      <c r="A878" s="50">
        <v>734</v>
      </c>
      <c r="B878" s="51" t="str">
        <v>外墙涂料-米白色真石漆</v>
      </c>
      <c r="C878" s="51" t="e">
        <v>#REF!</v>
      </c>
      <c r="D878" s="51" t="str">
        <v/>
      </c>
      <c r="E878" s="51" t="str">
        <v/>
      </c>
      <c r="F878" s="52" t="e">
        <v>#REF!</v>
      </c>
      <c r="G878" s="48" t="e">
        <v>#REF!</v>
      </c>
      <c r="H878" s="49" t="e">
        <v>#REF!</v>
      </c>
      <c r="I878" s="49" t="e">
        <v>#REF!</v>
      </c>
      <c r="J878" s="50"/>
    </row>
    <row r="879" outlineLevel="1" spans="1:10">
      <c r="A879" s="50">
        <v>735</v>
      </c>
      <c r="B879" s="51" t="str">
        <v>外墙涂料-深咖色真石漆</v>
      </c>
      <c r="C879" s="51" t="e">
        <v>#REF!</v>
      </c>
      <c r="D879" s="51" t="str">
        <v/>
      </c>
      <c r="E879" s="51" t="str">
        <v/>
      </c>
      <c r="F879" s="52" t="e">
        <v>#REF!</v>
      </c>
      <c r="G879" s="48" t="e">
        <v>#REF!</v>
      </c>
      <c r="H879" s="49" t="e">
        <v>#REF!</v>
      </c>
      <c r="I879" s="49" t="e">
        <v>#REF!</v>
      </c>
      <c r="J879" s="50"/>
    </row>
    <row r="880" outlineLevel="1" spans="1:10">
      <c r="A880" s="50">
        <v>736</v>
      </c>
      <c r="B880" s="51" t="str">
        <v>外墙涂料-弹涂</v>
      </c>
      <c r="C880" s="51" t="e">
        <v>#REF!</v>
      </c>
      <c r="D880" s="51" t="str">
        <v/>
      </c>
      <c r="E880" s="51" t="str">
        <v/>
      </c>
      <c r="F880" s="52" t="e">
        <v>#REF!</v>
      </c>
      <c r="G880" s="48" t="e">
        <v>#REF!</v>
      </c>
      <c r="H880" s="49">
        <v>0</v>
      </c>
      <c r="I880" s="49" t="e">
        <v>#REF!</v>
      </c>
      <c r="J880" s="50"/>
    </row>
    <row r="881" outlineLevel="1" spans="1:10">
      <c r="A881" s="50">
        <v>737</v>
      </c>
      <c r="B881" s="51" t="str">
        <v>外墙涂料</v>
      </c>
      <c r="C881" s="51" t="e">
        <v>#REF!</v>
      </c>
      <c r="D881" s="51" t="str">
        <v/>
      </c>
      <c r="E881" s="51" t="str">
        <v/>
      </c>
      <c r="F881" s="52" t="e">
        <v>#REF!</v>
      </c>
      <c r="G881" s="48" t="e">
        <v>#REF!</v>
      </c>
      <c r="H881" s="49">
        <v>0</v>
      </c>
      <c r="I881" s="49" t="e">
        <v>#REF!</v>
      </c>
      <c r="J881" s="50"/>
    </row>
    <row r="882" outlineLevel="1" spans="1:10">
      <c r="A882" s="50">
        <v>738</v>
      </c>
      <c r="B882" s="51" t="str">
        <v>外墙涂料-管线涂料</v>
      </c>
      <c r="C882" s="51" t="e">
        <v>#REF!</v>
      </c>
      <c r="D882" s="51" t="str">
        <v/>
      </c>
      <c r="E882" s="51" t="str">
        <v/>
      </c>
      <c r="F882" s="52" t="e">
        <v>#REF!</v>
      </c>
      <c r="G882" s="48" t="e">
        <v>#REF!</v>
      </c>
      <c r="H882" s="49">
        <v>0</v>
      </c>
      <c r="I882" s="49" t="e">
        <v>#REF!</v>
      </c>
      <c r="J882" s="50"/>
    </row>
    <row r="883" outlineLevel="1" spans="1:10">
      <c r="A883" s="50" t="str">
        <v/>
      </c>
      <c r="B883" s="51" t="str">
        <v>外墙外挑构件涂料</v>
      </c>
      <c r="C883" s="51" t="str">
        <v/>
      </c>
      <c r="D883" s="51" t="str">
        <v/>
      </c>
      <c r="E883" s="51" t="str">
        <v/>
      </c>
      <c r="F883" s="52" t="str">
        <v/>
      </c>
      <c r="G883" s="48" t="str">
        <v/>
      </c>
      <c r="H883" s="49">
        <v>0</v>
      </c>
      <c r="I883" s="49">
        <v>0</v>
      </c>
      <c r="J883" s="50"/>
    </row>
    <row r="884" outlineLevel="1" spans="1:10">
      <c r="A884" s="50">
        <v>739</v>
      </c>
      <c r="B884" s="51" t="str">
        <v>外墙外挑涂料-米黄色水包水</v>
      </c>
      <c r="C884" s="51" t="e">
        <v>#REF!</v>
      </c>
      <c r="D884" s="51" t="str">
        <v/>
      </c>
      <c r="E884" s="51" t="str">
        <v/>
      </c>
      <c r="F884" s="52" t="e">
        <v>#REF!</v>
      </c>
      <c r="G884" s="48" t="e">
        <v>#REF!</v>
      </c>
      <c r="H884" s="49" t="e">
        <v>#REF!</v>
      </c>
      <c r="I884" s="49" t="e">
        <v>#REF!</v>
      </c>
      <c r="J884" s="50"/>
    </row>
    <row r="885" ht="28.8" outlineLevel="1" spans="1:10">
      <c r="A885" s="50">
        <v>740</v>
      </c>
      <c r="B885" s="51" t="str">
        <v>外墙外挑涂料-米黄色质感涂料</v>
      </c>
      <c r="C885" s="51" t="e">
        <v>#REF!</v>
      </c>
      <c r="D885" s="51" t="str">
        <v/>
      </c>
      <c r="E885" s="51" t="str">
        <v/>
      </c>
      <c r="F885" s="52" t="e">
        <v>#REF!</v>
      </c>
      <c r="G885" s="48" t="e">
        <v>#REF!</v>
      </c>
      <c r="H885" s="49" t="e">
        <v>#REF!</v>
      </c>
      <c r="I885" s="49" t="e">
        <v>#REF!</v>
      </c>
      <c r="J885" s="50"/>
    </row>
    <row r="886" ht="28.8" outlineLevel="1" spans="1:10">
      <c r="A886" s="50">
        <v>741</v>
      </c>
      <c r="B886" s="51" t="str">
        <v>外墙外挑涂料-深褐色质感涂料</v>
      </c>
      <c r="C886" s="51" t="e">
        <v>#REF!</v>
      </c>
      <c r="D886" s="51" t="str">
        <v/>
      </c>
      <c r="E886" s="51" t="str">
        <v/>
      </c>
      <c r="F886" s="52" t="e">
        <v>#REF!</v>
      </c>
      <c r="G886" s="48" t="e">
        <v>#REF!</v>
      </c>
      <c r="H886" s="49" t="e">
        <v>#REF!</v>
      </c>
      <c r="I886" s="49" t="e">
        <v>#REF!</v>
      </c>
      <c r="J886" s="50"/>
    </row>
    <row r="887" outlineLevel="1" spans="1:10">
      <c r="A887" s="50">
        <v>742</v>
      </c>
      <c r="B887" s="51" t="str">
        <v>外墙涂料-空调仓</v>
      </c>
      <c r="C887" s="51" t="e">
        <v>#REF!</v>
      </c>
      <c r="D887" s="51" t="str">
        <v/>
      </c>
      <c r="E887" s="51" t="str">
        <v/>
      </c>
      <c r="F887" s="52" t="e">
        <v>#REF!</v>
      </c>
      <c r="G887" s="48" t="e">
        <v>#REF!</v>
      </c>
      <c r="H887" s="49" t="e">
        <v>#REF!</v>
      </c>
      <c r="I887" s="49" t="e">
        <v>#REF!</v>
      </c>
      <c r="J887" s="50"/>
    </row>
    <row r="888" outlineLevel="1" spans="1:10">
      <c r="A888" s="50">
        <v>743</v>
      </c>
      <c r="B888" s="51" t="str">
        <v>外墙防水-空调仓</v>
      </c>
      <c r="C888" s="51" t="e">
        <v>#REF!</v>
      </c>
      <c r="D888" s="51" t="str">
        <v/>
      </c>
      <c r="E888" s="51" t="str">
        <v/>
      </c>
      <c r="F888" s="52" t="e">
        <v>#REF!</v>
      </c>
      <c r="G888" s="48" t="e">
        <v>#REF!</v>
      </c>
      <c r="H888" s="49" t="e">
        <v>#REF!</v>
      </c>
      <c r="I888" s="49" t="e">
        <v>#REF!</v>
      </c>
      <c r="J888" s="50"/>
    </row>
    <row r="889" outlineLevel="1" spans="1:10">
      <c r="A889" s="50">
        <v>744</v>
      </c>
      <c r="B889" s="51" t="str">
        <v>外墙面-空调仓保护层</v>
      </c>
      <c r="C889" s="51" t="e">
        <v>#REF!</v>
      </c>
      <c r="D889" s="51" t="str">
        <v/>
      </c>
      <c r="E889" s="51" t="str">
        <v/>
      </c>
      <c r="F889" s="52" t="e">
        <v>#REF!</v>
      </c>
      <c r="G889" s="48" t="e">
        <v>#REF!</v>
      </c>
      <c r="H889" s="49" t="e">
        <v>#REF!</v>
      </c>
      <c r="I889" s="49" t="e">
        <v>#REF!</v>
      </c>
      <c r="J889" s="50"/>
    </row>
    <row r="890" outlineLevel="1" spans="1:10">
      <c r="A890" s="50">
        <v>745</v>
      </c>
      <c r="B890" s="51" t="str">
        <v>外墙面-空调板防水</v>
      </c>
      <c r="C890" s="51" t="e">
        <v>#REF!</v>
      </c>
      <c r="D890" s="51" t="str">
        <v/>
      </c>
      <c r="E890" s="51" t="str">
        <v/>
      </c>
      <c r="F890" s="52" t="e">
        <v>#REF!</v>
      </c>
      <c r="G890" s="48" t="e">
        <v>#REF!</v>
      </c>
      <c r="H890" s="49" t="e">
        <v>#REF!</v>
      </c>
      <c r="I890" s="49" t="e">
        <v>#REF!</v>
      </c>
      <c r="J890" s="50"/>
    </row>
    <row r="891" ht="28.8" outlineLevel="1" spans="1:10">
      <c r="A891" s="50">
        <v>746</v>
      </c>
      <c r="B891" s="51" t="str">
        <v>外墙面-15厚聚合物M15水泥（防水）砂浆</v>
      </c>
      <c r="C891" s="51" t="e">
        <v>#REF!</v>
      </c>
      <c r="D891" s="51" t="str">
        <v/>
      </c>
      <c r="E891" s="51" t="str">
        <v/>
      </c>
      <c r="F891" s="52" t="e">
        <v>#REF!</v>
      </c>
      <c r="G891" s="48" t="e">
        <v>#REF!</v>
      </c>
      <c r="H891" s="49" t="e">
        <v>#REF!</v>
      </c>
      <c r="I891" s="49" t="e">
        <v>#REF!</v>
      </c>
      <c r="J891" s="50"/>
    </row>
    <row r="892" outlineLevel="1" spans="1:10">
      <c r="A892" s="50" t="str">
        <v/>
      </c>
      <c r="B892" s="51" t="str">
        <v>外墙保温与普通砂浆找平层</v>
      </c>
      <c r="C892" s="51" t="str">
        <v/>
      </c>
      <c r="D892" s="51" t="str">
        <v/>
      </c>
      <c r="E892" s="51" t="str">
        <v/>
      </c>
      <c r="F892" s="52" t="str">
        <v/>
      </c>
      <c r="G892" s="48" t="str">
        <v/>
      </c>
      <c r="H892" s="49">
        <v>0</v>
      </c>
      <c r="I892" s="49">
        <v>0</v>
      </c>
      <c r="J892" s="50"/>
    </row>
    <row r="893" outlineLevel="1" spans="1:10">
      <c r="A893" s="50">
        <v>747</v>
      </c>
      <c r="B893" s="51" t="str">
        <v>外墙面-界面剂</v>
      </c>
      <c r="C893" s="51" t="e">
        <v>#REF!</v>
      </c>
      <c r="D893" s="51" t="str">
        <v/>
      </c>
      <c r="E893" s="51" t="str">
        <v/>
      </c>
      <c r="F893" s="52" t="e">
        <v>#REF!</v>
      </c>
      <c r="G893" s="48" t="e">
        <v>#REF!</v>
      </c>
      <c r="H893" s="49" t="e">
        <v>#REF!</v>
      </c>
      <c r="I893" s="49" t="e">
        <v>#REF!</v>
      </c>
      <c r="J893" s="50"/>
    </row>
    <row r="894" outlineLevel="1" spans="1:10">
      <c r="A894" s="50">
        <v>748</v>
      </c>
      <c r="B894" s="51" t="str">
        <v>外墙面-12厚轻质砂浆</v>
      </c>
      <c r="C894" s="51" t="e">
        <v>#REF!</v>
      </c>
      <c r="D894" s="51" t="str">
        <v/>
      </c>
      <c r="E894" s="51" t="str">
        <v/>
      </c>
      <c r="F894" s="52" t="e">
        <v>#REF!</v>
      </c>
      <c r="G894" s="48" t="e">
        <v>#REF!</v>
      </c>
      <c r="H894" s="49" t="e">
        <v>#REF!</v>
      </c>
      <c r="I894" s="49" t="e">
        <v>#REF!</v>
      </c>
      <c r="J894" s="50"/>
    </row>
    <row r="895" outlineLevel="1" spans="1:10">
      <c r="A895" s="50">
        <v>749</v>
      </c>
      <c r="B895" s="51" t="str">
        <v>外墙面-15厚轻质砂浆</v>
      </c>
      <c r="C895" s="51" t="e">
        <v>#REF!</v>
      </c>
      <c r="D895" s="51" t="str">
        <v/>
      </c>
      <c r="E895" s="51" t="str">
        <v/>
      </c>
      <c r="F895" s="52" t="e">
        <v>#REF!</v>
      </c>
      <c r="G895" s="48" t="e">
        <v>#REF!</v>
      </c>
      <c r="H895" s="49">
        <v>0</v>
      </c>
      <c r="I895" s="49" t="e">
        <v>#REF!</v>
      </c>
      <c r="J895" s="50"/>
    </row>
    <row r="896" outlineLevel="1" spans="1:10">
      <c r="A896" s="50">
        <v>750</v>
      </c>
      <c r="B896" s="51" t="str">
        <v>外墙保温-20厚有机保温砂浆</v>
      </c>
      <c r="C896" s="51" t="e">
        <v>#REF!</v>
      </c>
      <c r="D896" s="51" t="str">
        <v/>
      </c>
      <c r="E896" s="51" t="str">
        <v/>
      </c>
      <c r="F896" s="52" t="e">
        <v>#REF!</v>
      </c>
      <c r="G896" s="48" t="e">
        <v>#REF!</v>
      </c>
      <c r="H896" s="49" t="e">
        <v>#REF!</v>
      </c>
      <c r="I896" s="49" t="e">
        <v>#REF!</v>
      </c>
      <c r="J896" s="50"/>
    </row>
    <row r="897" outlineLevel="1" spans="1:10">
      <c r="A897" s="50">
        <v>751</v>
      </c>
      <c r="B897" s="51" t="str">
        <v>外墙面-3厚抗裂砂浆</v>
      </c>
      <c r="C897" s="51" t="e">
        <v>#REF!</v>
      </c>
      <c r="D897" s="51" t="str">
        <v/>
      </c>
      <c r="E897" s="51" t="str">
        <v/>
      </c>
      <c r="F897" s="52" t="e">
        <v>#REF!</v>
      </c>
      <c r="G897" s="48" t="e">
        <v>#REF!</v>
      </c>
      <c r="H897" s="49" t="e">
        <v>#REF!</v>
      </c>
      <c r="I897" s="49" t="e">
        <v>#REF!</v>
      </c>
      <c r="J897" s="50"/>
    </row>
    <row r="898" outlineLevel="1" spans="1:10">
      <c r="A898" s="50">
        <v>752</v>
      </c>
      <c r="B898" s="51" t="str">
        <v>外墙面-网格布</v>
      </c>
      <c r="C898" s="51" t="e">
        <v>#REF!</v>
      </c>
      <c r="D898" s="51" t="str">
        <v/>
      </c>
      <c r="E898" s="51" t="str">
        <v/>
      </c>
      <c r="F898" s="52" t="e">
        <v>#REF!</v>
      </c>
      <c r="G898" s="48" t="e">
        <v>#REF!</v>
      </c>
      <c r="H898" s="49" t="e">
        <v>#REF!</v>
      </c>
      <c r="I898" s="49" t="e">
        <v>#REF!</v>
      </c>
      <c r="J898" s="50"/>
    </row>
    <row r="899" outlineLevel="1" spans="1:10">
      <c r="A899" s="50">
        <v>753</v>
      </c>
      <c r="B899" s="51" t="str">
        <v>外墙面-12厚M5水泥砂浆</v>
      </c>
      <c r="C899" s="51" t="e">
        <v>#REF!</v>
      </c>
      <c r="D899" s="51" t="str">
        <v/>
      </c>
      <c r="E899" s="51" t="str">
        <v/>
      </c>
      <c r="F899" s="52" t="e">
        <v>#REF!</v>
      </c>
      <c r="G899" s="48" t="e">
        <v>#REF!</v>
      </c>
      <c r="H899" s="49" t="e">
        <v>#REF!</v>
      </c>
      <c r="I899" s="49" t="e">
        <v>#REF!</v>
      </c>
      <c r="J899" s="50"/>
    </row>
    <row r="900" outlineLevel="1" spans="1:10">
      <c r="A900" s="50">
        <v>754</v>
      </c>
      <c r="B900" s="51" t="str">
        <v>外墙面-13厚M5水泥砂浆</v>
      </c>
      <c r="C900" s="51" t="e">
        <v>#REF!</v>
      </c>
      <c r="D900" s="51" t="str">
        <v/>
      </c>
      <c r="E900" s="51" t="str">
        <v/>
      </c>
      <c r="F900" s="52" t="e">
        <v>#REF!</v>
      </c>
      <c r="G900" s="48" t="e">
        <v>#REF!</v>
      </c>
      <c r="H900" s="49" t="e">
        <v>#REF!</v>
      </c>
      <c r="I900" s="49" t="e">
        <v>#REF!</v>
      </c>
      <c r="J900" s="50"/>
    </row>
    <row r="901" spans="1:10">
      <c r="A901" s="40"/>
      <c r="B901" s="41" t="s">
        <v>2356</v>
      </c>
      <c r="C901" s="41"/>
      <c r="D901" s="41"/>
      <c r="E901" s="41"/>
      <c r="F901" s="42"/>
      <c r="G901" s="43"/>
      <c r="H901" s="44"/>
      <c r="I901" s="44"/>
      <c r="J901" s="40"/>
    </row>
    <row r="902" outlineLevel="1" spans="1:10">
      <c r="A902" s="50" t="str">
        <f ca="1" t="array" ref="A902:G1798">IF(INDIRECT(K2&amp;"!A4:G900")=0,"",INDIRECT(K2&amp;"!A4:G900"))</f>
        <v/>
      </c>
      <c r="B902" s="51" t="str">
        <v>地下给排水</v>
      </c>
      <c r="C902" s="51" t="str">
        <v/>
      </c>
      <c r="D902" s="51" t="str">
        <v/>
      </c>
      <c r="E902" s="51" t="str">
        <v/>
      </c>
      <c r="F902" s="52" t="str">
        <v/>
      </c>
      <c r="G902" s="48" t="str">
        <v/>
      </c>
      <c r="H902" s="49">
        <f ca="1" t="array" ref="H902:H1798">INDIRECT(K2&amp;"!H4:H900")</f>
        <v>0</v>
      </c>
      <c r="I902" s="49" t="e">
        <f ca="1" t="array" ref="I902:I1798">INDIRECT(K2&amp;"!R4:R900")</f>
        <v>#REF!</v>
      </c>
      <c r="J902" s="50"/>
    </row>
    <row r="903" outlineLevel="1" spans="1:10">
      <c r="A903" s="50" t="str">
        <v/>
      </c>
      <c r="B903" s="51" t="str">
        <v>B.01地下给水</v>
      </c>
      <c r="C903" s="51" t="str">
        <v/>
      </c>
      <c r="D903" s="51" t="str">
        <v/>
      </c>
      <c r="E903" s="51" t="str">
        <v/>
      </c>
      <c r="F903" s="52" t="str">
        <v/>
      </c>
      <c r="G903" s="48" t="str">
        <v/>
      </c>
      <c r="H903" s="49">
        <v>0</v>
      </c>
      <c r="I903" s="49" t="e">
        <v>#REF!</v>
      </c>
      <c r="J903" s="50"/>
    </row>
    <row r="904" outlineLevel="1" spans="1:10">
      <c r="A904" s="50" t="str">
        <v/>
      </c>
      <c r="B904" s="51" t="str">
        <v>B.01.1阀部件</v>
      </c>
      <c r="C904" s="51" t="str">
        <v/>
      </c>
      <c r="D904" s="51" t="str">
        <v/>
      </c>
      <c r="E904" s="51" t="str">
        <v/>
      </c>
      <c r="F904" s="52" t="str">
        <v/>
      </c>
      <c r="G904" s="48" t="str">
        <v/>
      </c>
      <c r="H904" s="49">
        <v>0</v>
      </c>
      <c r="I904" s="49" t="e">
        <v>#REF!</v>
      </c>
      <c r="J904" s="50"/>
    </row>
    <row r="905" outlineLevel="1" spans="1:10">
      <c r="A905" s="50">
        <v>1</v>
      </c>
      <c r="B905" s="51" t="str">
        <v>螺纹阀门-自动放气阀-DN15</v>
      </c>
      <c r="C905" s="51" t="e">
        <v>#REF!</v>
      </c>
      <c r="D905" s="51" t="str">
        <v/>
      </c>
      <c r="E905" s="51" t="str">
        <v/>
      </c>
      <c r="F905" s="52" t="e">
        <v>#REF!</v>
      </c>
      <c r="G905" s="48" t="e">
        <v>#REF!</v>
      </c>
      <c r="H905" s="49">
        <v>0</v>
      </c>
      <c r="I905" s="49" t="e">
        <v>#REF!</v>
      </c>
      <c r="J905" s="50"/>
    </row>
    <row r="906" outlineLevel="1" spans="1:10">
      <c r="A906" s="50">
        <v>2</v>
      </c>
      <c r="B906" s="51" t="str">
        <v>螺纹阀门-截止阀-DN15</v>
      </c>
      <c r="C906" s="51" t="e">
        <v>#REF!</v>
      </c>
      <c r="D906" s="51" t="str">
        <v/>
      </c>
      <c r="E906" s="51" t="str">
        <v/>
      </c>
      <c r="F906" s="52" t="e">
        <v>#REF!</v>
      </c>
      <c r="G906" s="48" t="e">
        <v>#REF!</v>
      </c>
      <c r="H906" s="49">
        <v>0</v>
      </c>
      <c r="I906" s="49" t="e">
        <v>#REF!</v>
      </c>
      <c r="J906" s="50"/>
    </row>
    <row r="907" outlineLevel="1" spans="1:10">
      <c r="A907" s="50">
        <v>3</v>
      </c>
      <c r="B907" s="51" t="str">
        <v>螺纹阀门-截止阀-DN25</v>
      </c>
      <c r="C907" s="51" t="e">
        <v>#REF!</v>
      </c>
      <c r="D907" s="51" t="str">
        <v/>
      </c>
      <c r="E907" s="51" t="str">
        <v/>
      </c>
      <c r="F907" s="52" t="e">
        <v>#REF!</v>
      </c>
      <c r="G907" s="48" t="e">
        <v>#REF!</v>
      </c>
      <c r="H907" s="49">
        <v>0</v>
      </c>
      <c r="I907" s="49" t="e">
        <v>#REF!</v>
      </c>
      <c r="J907" s="50"/>
    </row>
    <row r="908" outlineLevel="1" spans="1:10">
      <c r="A908" s="50">
        <v>4</v>
      </c>
      <c r="B908" s="51" t="str">
        <v>螺纹阀门-截止阀-DN32</v>
      </c>
      <c r="C908" s="51" t="e">
        <v>#REF!</v>
      </c>
      <c r="D908" s="51" t="str">
        <v/>
      </c>
      <c r="E908" s="51" t="str">
        <v/>
      </c>
      <c r="F908" s="52" t="e">
        <v>#REF!</v>
      </c>
      <c r="G908" s="48" t="e">
        <v>#REF!</v>
      </c>
      <c r="H908" s="49">
        <v>0</v>
      </c>
      <c r="I908" s="49" t="e">
        <v>#REF!</v>
      </c>
      <c r="J908" s="50"/>
    </row>
    <row r="909" outlineLevel="1" spans="1:10">
      <c r="A909" s="50">
        <v>5</v>
      </c>
      <c r="B909" s="51" t="str">
        <v>螺纹阀门-截止阀-De20</v>
      </c>
      <c r="C909" s="51" t="e">
        <v>#REF!</v>
      </c>
      <c r="D909" s="51" t="str">
        <v/>
      </c>
      <c r="E909" s="51" t="str">
        <v/>
      </c>
      <c r="F909" s="52" t="e">
        <v>#REF!</v>
      </c>
      <c r="G909" s="48" t="e">
        <v>#REF!</v>
      </c>
      <c r="H909" s="49">
        <v>1</v>
      </c>
      <c r="I909" s="49" t="e">
        <v>#REF!</v>
      </c>
      <c r="J909" s="50"/>
    </row>
    <row r="910" outlineLevel="1" spans="1:10">
      <c r="A910" s="50">
        <v>6</v>
      </c>
      <c r="B910" s="51" t="str">
        <v>螺纹阀门-截止阀-De25</v>
      </c>
      <c r="C910" s="51" t="e">
        <v>#REF!</v>
      </c>
      <c r="D910" s="51" t="str">
        <v/>
      </c>
      <c r="E910" s="51" t="str">
        <v/>
      </c>
      <c r="F910" s="52" t="e">
        <v>#REF!</v>
      </c>
      <c r="G910" s="48" t="e">
        <v>#REF!</v>
      </c>
      <c r="H910" s="49">
        <v>0</v>
      </c>
      <c r="I910" s="49" t="e">
        <v>#REF!</v>
      </c>
      <c r="J910" s="50"/>
    </row>
    <row r="911" outlineLevel="1" spans="1:10">
      <c r="A911" s="50">
        <v>7</v>
      </c>
      <c r="B911" s="51" t="str">
        <v>螺纹阀门-截止阀-De32</v>
      </c>
      <c r="C911" s="51" t="e">
        <v>#REF!</v>
      </c>
      <c r="D911" s="51" t="str">
        <v/>
      </c>
      <c r="E911" s="51" t="str">
        <v/>
      </c>
      <c r="F911" s="52" t="e">
        <v>#REF!</v>
      </c>
      <c r="G911" s="48" t="e">
        <v>#REF!</v>
      </c>
      <c r="H911" s="49">
        <v>0</v>
      </c>
      <c r="I911" s="49" t="e">
        <v>#REF!</v>
      </c>
      <c r="J911" s="50"/>
    </row>
    <row r="912" outlineLevel="1" spans="1:10">
      <c r="A912" s="50">
        <v>8</v>
      </c>
      <c r="B912" s="51" t="str">
        <v>螺纹阀门-截止阀-De40</v>
      </c>
      <c r="C912" s="51" t="e">
        <v>#REF!</v>
      </c>
      <c r="D912" s="51" t="str">
        <v/>
      </c>
      <c r="E912" s="51" t="str">
        <v/>
      </c>
      <c r="F912" s="52" t="e">
        <v>#REF!</v>
      </c>
      <c r="G912" s="48" t="e">
        <v>#REF!</v>
      </c>
      <c r="H912" s="49">
        <v>0</v>
      </c>
      <c r="I912" s="49" t="e">
        <v>#REF!</v>
      </c>
      <c r="J912" s="50"/>
    </row>
    <row r="913" outlineLevel="1" spans="1:10">
      <c r="A913" s="50">
        <v>9</v>
      </c>
      <c r="B913" s="51" t="str">
        <v>螺纹阀门-截止阀-De50</v>
      </c>
      <c r="C913" s="51" t="e">
        <v>#REF!</v>
      </c>
      <c r="D913" s="51" t="str">
        <v/>
      </c>
      <c r="E913" s="51" t="str">
        <v/>
      </c>
      <c r="F913" s="52" t="e">
        <v>#REF!</v>
      </c>
      <c r="G913" s="48" t="e">
        <v>#REF!</v>
      </c>
      <c r="H913" s="49">
        <v>0</v>
      </c>
      <c r="I913" s="49" t="e">
        <v>#REF!</v>
      </c>
      <c r="J913" s="50"/>
    </row>
    <row r="914" outlineLevel="1" spans="1:10">
      <c r="A914" s="50">
        <v>10</v>
      </c>
      <c r="B914" s="51" t="str">
        <v>螺纹阀门-截止阀-De63</v>
      </c>
      <c r="C914" s="51" t="e">
        <v>#REF!</v>
      </c>
      <c r="D914" s="51" t="str">
        <v/>
      </c>
      <c r="E914" s="51" t="str">
        <v/>
      </c>
      <c r="F914" s="52" t="e">
        <v>#REF!</v>
      </c>
      <c r="G914" s="48" t="e">
        <v>#REF!</v>
      </c>
      <c r="H914" s="49">
        <v>0</v>
      </c>
      <c r="I914" s="49" t="e">
        <v>#REF!</v>
      </c>
      <c r="J914" s="50"/>
    </row>
    <row r="915" outlineLevel="1" spans="1:10">
      <c r="A915" s="50">
        <v>11</v>
      </c>
      <c r="B915" s="51" t="str">
        <v>螺纹阀门-止回阀-DN32</v>
      </c>
      <c r="C915" s="51" t="e">
        <v>#REF!</v>
      </c>
      <c r="D915" s="51" t="str">
        <v/>
      </c>
      <c r="E915" s="51" t="str">
        <v/>
      </c>
      <c r="F915" s="52" t="e">
        <v>#REF!</v>
      </c>
      <c r="G915" s="48" t="e">
        <v>#REF!</v>
      </c>
      <c r="H915" s="49">
        <v>0</v>
      </c>
      <c r="I915" s="49" t="e">
        <v>#REF!</v>
      </c>
      <c r="J915" s="50"/>
    </row>
    <row r="916" outlineLevel="1" spans="1:10">
      <c r="A916" s="50">
        <v>12</v>
      </c>
      <c r="B916" s="51" t="str">
        <v>螺纹阀门-闸阀-DN25</v>
      </c>
      <c r="C916" s="51" t="e">
        <v>#REF!</v>
      </c>
      <c r="D916" s="51" t="str">
        <v/>
      </c>
      <c r="E916" s="51" t="str">
        <v/>
      </c>
      <c r="F916" s="52" t="e">
        <v>#REF!</v>
      </c>
      <c r="G916" s="48" t="e">
        <v>#REF!</v>
      </c>
      <c r="H916" s="49">
        <v>0</v>
      </c>
      <c r="I916" s="49" t="e">
        <v>#REF!</v>
      </c>
      <c r="J916" s="50"/>
    </row>
    <row r="917" outlineLevel="1" spans="1:10">
      <c r="A917" s="50">
        <v>13</v>
      </c>
      <c r="B917" s="51" t="str">
        <v>螺纹阀门-闸阀-DN32</v>
      </c>
      <c r="C917" s="51" t="e">
        <v>#REF!</v>
      </c>
      <c r="D917" s="51" t="str">
        <v/>
      </c>
      <c r="E917" s="51" t="str">
        <v/>
      </c>
      <c r="F917" s="52" t="e">
        <v>#REF!</v>
      </c>
      <c r="G917" s="48" t="e">
        <v>#REF!</v>
      </c>
      <c r="H917" s="49">
        <v>0</v>
      </c>
      <c r="I917" s="49" t="e">
        <v>#REF!</v>
      </c>
      <c r="J917" s="50"/>
    </row>
    <row r="918" outlineLevel="1" spans="1:10">
      <c r="A918" s="50">
        <v>14</v>
      </c>
      <c r="B918" s="51" t="str">
        <v>螺纹阀门-闸阀-DN40</v>
      </c>
      <c r="C918" s="51" t="e">
        <v>#REF!</v>
      </c>
      <c r="D918" s="51" t="str">
        <v/>
      </c>
      <c r="E918" s="51" t="str">
        <v/>
      </c>
      <c r="F918" s="52" t="e">
        <v>#REF!</v>
      </c>
      <c r="G918" s="48" t="e">
        <v>#REF!</v>
      </c>
      <c r="H918" s="49">
        <v>0</v>
      </c>
      <c r="I918" s="49" t="e">
        <v>#REF!</v>
      </c>
      <c r="J918" s="50"/>
    </row>
    <row r="919" outlineLevel="1" spans="1:10">
      <c r="A919" s="50">
        <v>15</v>
      </c>
      <c r="B919" s="51" t="str">
        <v>螺纹阀门-闸阀-DN50</v>
      </c>
      <c r="C919" s="51" t="e">
        <v>#REF!</v>
      </c>
      <c r="D919" s="51" t="str">
        <v/>
      </c>
      <c r="E919" s="51" t="str">
        <v/>
      </c>
      <c r="F919" s="52" t="e">
        <v>#REF!</v>
      </c>
      <c r="G919" s="48" t="e">
        <v>#REF!</v>
      </c>
      <c r="H919" s="49">
        <v>0</v>
      </c>
      <c r="I919" s="49" t="e">
        <v>#REF!</v>
      </c>
      <c r="J919" s="50"/>
    </row>
    <row r="920" outlineLevel="1" spans="1:10">
      <c r="A920" s="50">
        <v>16</v>
      </c>
      <c r="B920" s="51" t="str">
        <v>螺纹阀门-过滤器-De50</v>
      </c>
      <c r="C920" s="51" t="e">
        <v>#REF!</v>
      </c>
      <c r="D920" s="51" t="str">
        <v/>
      </c>
      <c r="E920" s="51" t="str">
        <v/>
      </c>
      <c r="F920" s="52" t="e">
        <v>#REF!</v>
      </c>
      <c r="G920" s="48" t="e">
        <v>#REF!</v>
      </c>
      <c r="H920" s="49">
        <v>0</v>
      </c>
      <c r="I920" s="49" t="e">
        <v>#REF!</v>
      </c>
      <c r="J920" s="50"/>
    </row>
    <row r="921" outlineLevel="1" spans="1:10">
      <c r="A921" s="50">
        <v>17</v>
      </c>
      <c r="B921" s="51" t="str">
        <v>螺纹阀门-过滤器-DN50</v>
      </c>
      <c r="C921" s="51" t="e">
        <v>#REF!</v>
      </c>
      <c r="D921" s="51" t="str">
        <v/>
      </c>
      <c r="E921" s="51" t="str">
        <v/>
      </c>
      <c r="F921" s="52" t="e">
        <v>#REF!</v>
      </c>
      <c r="G921" s="48" t="e">
        <v>#REF!</v>
      </c>
      <c r="H921" s="49">
        <v>0</v>
      </c>
      <c r="I921" s="49" t="e">
        <v>#REF!</v>
      </c>
      <c r="J921" s="50"/>
    </row>
    <row r="922" outlineLevel="1" spans="1:10">
      <c r="A922" s="50">
        <v>18</v>
      </c>
      <c r="B922" s="51" t="str">
        <v>法兰阀门-过滤器-DN100</v>
      </c>
      <c r="C922" s="51" t="e">
        <v>#REF!</v>
      </c>
      <c r="D922" s="51" t="str">
        <v/>
      </c>
      <c r="E922" s="51" t="str">
        <v/>
      </c>
      <c r="F922" s="52" t="e">
        <v>#REF!</v>
      </c>
      <c r="G922" s="48" t="e">
        <v>#REF!</v>
      </c>
      <c r="H922" s="49">
        <v>0</v>
      </c>
      <c r="I922" s="49" t="e">
        <v>#REF!</v>
      </c>
      <c r="J922" s="50"/>
    </row>
    <row r="923" outlineLevel="1" spans="1:10">
      <c r="A923" s="50">
        <v>19</v>
      </c>
      <c r="B923" s="51" t="str">
        <v>螺纹阀门-软接头-De50</v>
      </c>
      <c r="C923" s="51" t="e">
        <v>#REF!</v>
      </c>
      <c r="D923" s="51" t="str">
        <v/>
      </c>
      <c r="E923" s="51" t="str">
        <v/>
      </c>
      <c r="F923" s="52" t="e">
        <v>#REF!</v>
      </c>
      <c r="G923" s="48" t="e">
        <v>#REF!</v>
      </c>
      <c r="H923" s="49">
        <v>0</v>
      </c>
      <c r="I923" s="49" t="e">
        <v>#REF!</v>
      </c>
      <c r="J923" s="50"/>
    </row>
    <row r="924" outlineLevel="1" spans="1:10">
      <c r="A924" s="50">
        <v>20</v>
      </c>
      <c r="B924" s="51" t="str">
        <v>法兰阀门-软接头-DN100</v>
      </c>
      <c r="C924" s="51" t="e">
        <v>#REF!</v>
      </c>
      <c r="D924" s="51" t="str">
        <v/>
      </c>
      <c r="E924" s="51" t="str">
        <v/>
      </c>
      <c r="F924" s="52" t="e">
        <v>#REF!</v>
      </c>
      <c r="G924" s="48" t="e">
        <v>#REF!</v>
      </c>
      <c r="H924" s="49">
        <v>0</v>
      </c>
      <c r="I924" s="49" t="e">
        <v>#REF!</v>
      </c>
      <c r="J924" s="50"/>
    </row>
    <row r="925" outlineLevel="1" spans="1:10">
      <c r="A925" s="50">
        <v>21</v>
      </c>
      <c r="B925" s="51" t="str">
        <v>法兰阀门-闸阀-DN65</v>
      </c>
      <c r="C925" s="51" t="e">
        <v>#REF!</v>
      </c>
      <c r="D925" s="51" t="str">
        <v/>
      </c>
      <c r="E925" s="51" t="str">
        <v/>
      </c>
      <c r="F925" s="52" t="e">
        <v>#REF!</v>
      </c>
      <c r="G925" s="48" t="e">
        <v>#REF!</v>
      </c>
      <c r="H925" s="49">
        <v>0</v>
      </c>
      <c r="I925" s="49" t="e">
        <v>#REF!</v>
      </c>
      <c r="J925" s="50"/>
    </row>
    <row r="926" outlineLevel="1" spans="1:10">
      <c r="A926" s="50">
        <v>22</v>
      </c>
      <c r="B926" s="51" t="str">
        <v>对夹式蝶阀-De50</v>
      </c>
      <c r="C926" s="51" t="e">
        <v>#REF!</v>
      </c>
      <c r="D926" s="51" t="str">
        <v/>
      </c>
      <c r="E926" s="51" t="str">
        <v/>
      </c>
      <c r="F926" s="52" t="e">
        <v>#REF!</v>
      </c>
      <c r="G926" s="48" t="e">
        <v>#REF!</v>
      </c>
      <c r="H926" s="49">
        <v>0</v>
      </c>
      <c r="I926" s="49" t="e">
        <v>#REF!</v>
      </c>
      <c r="J926" s="50"/>
    </row>
    <row r="927" outlineLevel="1" spans="1:10">
      <c r="A927" s="50">
        <v>23</v>
      </c>
      <c r="B927" s="51" t="str">
        <v>对夹式蝶阀-DN50</v>
      </c>
      <c r="C927" s="51" t="e">
        <v>#REF!</v>
      </c>
      <c r="D927" s="51" t="str">
        <v/>
      </c>
      <c r="E927" s="51" t="str">
        <v/>
      </c>
      <c r="F927" s="52" t="e">
        <v>#REF!</v>
      </c>
      <c r="G927" s="48" t="e">
        <v>#REF!</v>
      </c>
      <c r="H927" s="49">
        <v>0</v>
      </c>
      <c r="I927" s="49" t="e">
        <v>#REF!</v>
      </c>
      <c r="J927" s="50"/>
    </row>
    <row r="928" outlineLevel="1" spans="1:10">
      <c r="A928" s="50">
        <v>24</v>
      </c>
      <c r="B928" s="51" t="str">
        <v>对夹式蝶阀-DN65</v>
      </c>
      <c r="C928" s="51" t="e">
        <v>#REF!</v>
      </c>
      <c r="D928" s="51" t="str">
        <v/>
      </c>
      <c r="E928" s="51" t="str">
        <v/>
      </c>
      <c r="F928" s="52" t="e">
        <v>#REF!</v>
      </c>
      <c r="G928" s="48" t="e">
        <v>#REF!</v>
      </c>
      <c r="H928" s="49">
        <v>0</v>
      </c>
      <c r="I928" s="49" t="e">
        <v>#REF!</v>
      </c>
      <c r="J928" s="50"/>
    </row>
    <row r="929" outlineLevel="1" spans="1:10">
      <c r="A929" s="50">
        <v>25</v>
      </c>
      <c r="B929" s="51" t="str">
        <v>对夹式蝶阀-DN80</v>
      </c>
      <c r="C929" s="51" t="e">
        <v>#REF!</v>
      </c>
      <c r="D929" s="51" t="str">
        <v/>
      </c>
      <c r="E929" s="51" t="str">
        <v/>
      </c>
      <c r="F929" s="52" t="e">
        <v>#REF!</v>
      </c>
      <c r="G929" s="48" t="e">
        <v>#REF!</v>
      </c>
      <c r="H929" s="49">
        <v>0</v>
      </c>
      <c r="I929" s="49" t="e">
        <v>#REF!</v>
      </c>
      <c r="J929" s="50"/>
    </row>
    <row r="930" outlineLevel="1" spans="1:10">
      <c r="A930" s="50">
        <v>26</v>
      </c>
      <c r="B930" s="51" t="str">
        <v>对夹式蝶阀-DN100</v>
      </c>
      <c r="C930" s="51" t="e">
        <v>#REF!</v>
      </c>
      <c r="D930" s="51" t="str">
        <v/>
      </c>
      <c r="E930" s="51" t="str">
        <v/>
      </c>
      <c r="F930" s="52" t="e">
        <v>#REF!</v>
      </c>
      <c r="G930" s="48" t="e">
        <v>#REF!</v>
      </c>
      <c r="H930" s="49">
        <v>0</v>
      </c>
      <c r="I930" s="49" t="e">
        <v>#REF!</v>
      </c>
      <c r="J930" s="50"/>
    </row>
    <row r="931" outlineLevel="1" spans="1:10">
      <c r="A931" s="50">
        <v>27</v>
      </c>
      <c r="B931" s="51" t="str">
        <v>对夹式蝶阀-DN125</v>
      </c>
      <c r="C931" s="51" t="e">
        <v>#REF!</v>
      </c>
      <c r="D931" s="51" t="str">
        <v/>
      </c>
      <c r="E931" s="51" t="str">
        <v/>
      </c>
      <c r="F931" s="52" t="e">
        <v>#REF!</v>
      </c>
      <c r="G931" s="48" t="e">
        <v>#REF!</v>
      </c>
      <c r="H931" s="49">
        <v>0</v>
      </c>
      <c r="I931" s="49" t="e">
        <v>#REF!</v>
      </c>
      <c r="J931" s="50"/>
    </row>
    <row r="932" outlineLevel="1" spans="1:10">
      <c r="A932" s="50">
        <v>28</v>
      </c>
      <c r="B932" s="51" t="str">
        <v>对夹式蝶阀-DN150</v>
      </c>
      <c r="C932" s="51" t="e">
        <v>#REF!</v>
      </c>
      <c r="D932" s="51" t="str">
        <v/>
      </c>
      <c r="E932" s="51" t="str">
        <v/>
      </c>
      <c r="F932" s="52" t="e">
        <v>#REF!</v>
      </c>
      <c r="G932" s="48" t="e">
        <v>#REF!</v>
      </c>
      <c r="H932" s="49">
        <v>0</v>
      </c>
      <c r="I932" s="49" t="e">
        <v>#REF!</v>
      </c>
      <c r="J932" s="50"/>
    </row>
    <row r="933" outlineLevel="1" spans="1:10">
      <c r="A933" s="50">
        <v>29</v>
      </c>
      <c r="B933" s="51" t="str">
        <v>倒流防止器-De50</v>
      </c>
      <c r="C933" s="51" t="e">
        <v>#REF!</v>
      </c>
      <c r="D933" s="51" t="str">
        <v/>
      </c>
      <c r="E933" s="51" t="str">
        <v/>
      </c>
      <c r="F933" s="52" t="e">
        <v>#REF!</v>
      </c>
      <c r="G933" s="48" t="e">
        <v>#REF!</v>
      </c>
      <c r="H933" s="49">
        <v>0</v>
      </c>
      <c r="I933" s="49" t="e">
        <v>#REF!</v>
      </c>
      <c r="J933" s="50"/>
    </row>
    <row r="934" outlineLevel="1" spans="1:10">
      <c r="A934" s="50">
        <v>30</v>
      </c>
      <c r="B934" s="51" t="str">
        <v>浮球阀-DN40</v>
      </c>
      <c r="C934" s="51" t="e">
        <v>#REF!</v>
      </c>
      <c r="D934" s="51" t="str">
        <v/>
      </c>
      <c r="E934" s="51" t="str">
        <v/>
      </c>
      <c r="F934" s="52" t="e">
        <v>#REF!</v>
      </c>
      <c r="G934" s="48" t="e">
        <v>#REF!</v>
      </c>
      <c r="H934" s="49">
        <v>0</v>
      </c>
      <c r="I934" s="49" t="e">
        <v>#REF!</v>
      </c>
      <c r="J934" s="50"/>
    </row>
    <row r="935" outlineLevel="1" spans="1:10">
      <c r="A935" s="50">
        <v>31</v>
      </c>
      <c r="B935" s="51" t="str">
        <v>活塞式电动浮球阀-DN100</v>
      </c>
      <c r="C935" s="51" t="e">
        <v>#REF!</v>
      </c>
      <c r="D935" s="51" t="str">
        <v/>
      </c>
      <c r="E935" s="51" t="str">
        <v/>
      </c>
      <c r="F935" s="52" t="e">
        <v>#REF!</v>
      </c>
      <c r="G935" s="48" t="e">
        <v>#REF!</v>
      </c>
      <c r="H935" s="49">
        <v>0</v>
      </c>
      <c r="I935" s="49" t="e">
        <v>#REF!</v>
      </c>
      <c r="J935" s="50"/>
    </row>
    <row r="936" outlineLevel="1" spans="1:10">
      <c r="A936" s="50">
        <v>32</v>
      </c>
      <c r="B936" s="51" t="str">
        <v>水表安装-DN32</v>
      </c>
      <c r="C936" s="51" t="e">
        <v>#REF!</v>
      </c>
      <c r="D936" s="51" t="str">
        <v/>
      </c>
      <c r="E936" s="51" t="str">
        <v/>
      </c>
      <c r="F936" s="52" t="e">
        <v>#REF!</v>
      </c>
      <c r="G936" s="48" t="e">
        <v>#REF!</v>
      </c>
      <c r="H936" s="49">
        <v>0</v>
      </c>
      <c r="I936" s="49" t="e">
        <v>#REF!</v>
      </c>
      <c r="J936" s="50"/>
    </row>
    <row r="937" outlineLevel="1" spans="1:10">
      <c r="A937" s="50">
        <v>33</v>
      </c>
      <c r="B937" s="51" t="str">
        <v>水表安装-DN40</v>
      </c>
      <c r="C937" s="51" t="e">
        <v>#REF!</v>
      </c>
      <c r="D937" s="51" t="str">
        <v/>
      </c>
      <c r="E937" s="51" t="str">
        <v/>
      </c>
      <c r="F937" s="52" t="e">
        <v>#REF!</v>
      </c>
      <c r="G937" s="48" t="e">
        <v>#REF!</v>
      </c>
      <c r="H937" s="49">
        <v>0</v>
      </c>
      <c r="I937" s="49" t="e">
        <v>#REF!</v>
      </c>
      <c r="J937" s="50"/>
    </row>
    <row r="938" outlineLevel="1" spans="1:10">
      <c r="A938" s="50">
        <v>34</v>
      </c>
      <c r="B938" s="51" t="str">
        <v>水表安装-DN50</v>
      </c>
      <c r="C938" s="51" t="e">
        <v>#REF!</v>
      </c>
      <c r="D938" s="51" t="str">
        <v/>
      </c>
      <c r="E938" s="51" t="str">
        <v/>
      </c>
      <c r="F938" s="52" t="e">
        <v>#REF!</v>
      </c>
      <c r="G938" s="48" t="e">
        <v>#REF!</v>
      </c>
      <c r="H938" s="49">
        <v>0</v>
      </c>
      <c r="I938" s="49" t="e">
        <v>#REF!</v>
      </c>
      <c r="J938" s="50"/>
    </row>
    <row r="939" outlineLevel="1" spans="1:10">
      <c r="A939" s="50">
        <v>35</v>
      </c>
      <c r="B939" s="51" t="str">
        <v>水表安装-DN70</v>
      </c>
      <c r="C939" s="51" t="e">
        <v>#REF!</v>
      </c>
      <c r="D939" s="51" t="str">
        <v/>
      </c>
      <c r="E939" s="51" t="str">
        <v/>
      </c>
      <c r="F939" s="52" t="e">
        <v>#REF!</v>
      </c>
      <c r="G939" s="48" t="e">
        <v>#REF!</v>
      </c>
      <c r="H939" s="49">
        <v>0</v>
      </c>
      <c r="I939" s="49" t="e">
        <v>#REF!</v>
      </c>
      <c r="J939" s="50"/>
    </row>
    <row r="940" outlineLevel="1" spans="1:10">
      <c r="A940" s="50">
        <v>36</v>
      </c>
      <c r="B940" s="51" t="str">
        <v>水表安装-DN80</v>
      </c>
      <c r="C940" s="51" t="e">
        <v>#REF!</v>
      </c>
      <c r="D940" s="51" t="str">
        <v/>
      </c>
      <c r="E940" s="51" t="str">
        <v/>
      </c>
      <c r="F940" s="52" t="e">
        <v>#REF!</v>
      </c>
      <c r="G940" s="48" t="e">
        <v>#REF!</v>
      </c>
      <c r="H940" s="49">
        <v>0</v>
      </c>
      <c r="I940" s="49" t="e">
        <v>#REF!</v>
      </c>
      <c r="J940" s="50"/>
    </row>
    <row r="941" outlineLevel="1" spans="1:10">
      <c r="A941" s="50">
        <v>37</v>
      </c>
      <c r="B941" s="51" t="str">
        <v>水表安装-DN250</v>
      </c>
      <c r="C941" s="51" t="e">
        <v>#REF!</v>
      </c>
      <c r="D941" s="51" t="str">
        <v/>
      </c>
      <c r="E941" s="51" t="str">
        <v/>
      </c>
      <c r="F941" s="52" t="e">
        <v>#REF!</v>
      </c>
      <c r="G941" s="48" t="e">
        <v>#REF!</v>
      </c>
      <c r="H941" s="49">
        <v>0</v>
      </c>
      <c r="I941" s="49" t="e">
        <v>#REF!</v>
      </c>
      <c r="J941" s="50"/>
    </row>
    <row r="942" outlineLevel="1" spans="1:10">
      <c r="A942" s="50">
        <v>38</v>
      </c>
      <c r="B942" s="51" t="str">
        <v>水龙头-De20</v>
      </c>
      <c r="C942" s="51" t="e">
        <v>#REF!</v>
      </c>
      <c r="D942" s="51" t="str">
        <v/>
      </c>
      <c r="E942" s="51" t="str">
        <v/>
      </c>
      <c r="F942" s="52" t="e">
        <v>#REF!</v>
      </c>
      <c r="G942" s="48" t="e">
        <v>#REF!</v>
      </c>
      <c r="H942" s="49">
        <v>1</v>
      </c>
      <c r="I942" s="49" t="e">
        <v>#REF!</v>
      </c>
      <c r="J942" s="50"/>
    </row>
    <row r="943" outlineLevel="1" spans="1:10">
      <c r="A943" s="50">
        <v>39</v>
      </c>
      <c r="B943" s="51" t="str">
        <v>给排水压力仪表-DN15</v>
      </c>
      <c r="C943" s="51" t="e">
        <v>#REF!</v>
      </c>
      <c r="D943" s="51" t="str">
        <v/>
      </c>
      <c r="E943" s="51" t="str">
        <v/>
      </c>
      <c r="F943" s="52" t="e">
        <v>#REF!</v>
      </c>
      <c r="G943" s="48" t="e">
        <v>#REF!</v>
      </c>
      <c r="H943" s="49">
        <v>0</v>
      </c>
      <c r="I943" s="49" t="e">
        <v>#REF!</v>
      </c>
      <c r="J943" s="50"/>
    </row>
    <row r="944" outlineLevel="1" spans="1:10">
      <c r="A944" s="50" t="str">
        <v/>
      </c>
      <c r="B944" s="51" t="str">
        <v>B.01.2给水管道</v>
      </c>
      <c r="C944" s="51" t="str">
        <v/>
      </c>
      <c r="D944" s="51" t="str">
        <v/>
      </c>
      <c r="E944" s="51" t="str">
        <v/>
      </c>
      <c r="F944" s="52" t="str">
        <v/>
      </c>
      <c r="G944" s="48" t="str">
        <v/>
      </c>
      <c r="H944" s="49">
        <v>0</v>
      </c>
      <c r="I944" s="49" t="e">
        <v>#REF!</v>
      </c>
      <c r="J944" s="50"/>
    </row>
    <row r="945" ht="28.8" outlineLevel="1" spans="1:10">
      <c r="A945" s="50">
        <v>40</v>
      </c>
      <c r="B945" s="51" t="str">
        <v>室内给水内衬塑镀锌钢塑复合管-DN15</v>
      </c>
      <c r="C945" s="51" t="e">
        <v>#REF!</v>
      </c>
      <c r="D945" s="51" t="str">
        <v/>
      </c>
      <c r="E945" s="51" t="str">
        <v/>
      </c>
      <c r="F945" s="52" t="e">
        <v>#REF!</v>
      </c>
      <c r="G945" s="48" t="e">
        <v>#REF!</v>
      </c>
      <c r="H945" s="49">
        <v>0</v>
      </c>
      <c r="I945" s="49" t="e">
        <v>#REF!</v>
      </c>
      <c r="J945" s="50"/>
    </row>
    <row r="946" ht="28.8" outlineLevel="1" spans="1:10">
      <c r="A946" s="50">
        <v>41</v>
      </c>
      <c r="B946" s="51" t="str">
        <v>室内给水内衬塑镀锌钢塑复合管-DN20</v>
      </c>
      <c r="C946" s="51" t="e">
        <v>#REF!</v>
      </c>
      <c r="D946" s="51" t="str">
        <v/>
      </c>
      <c r="E946" s="51" t="str">
        <v/>
      </c>
      <c r="F946" s="52" t="e">
        <v>#REF!</v>
      </c>
      <c r="G946" s="48" t="e">
        <v>#REF!</v>
      </c>
      <c r="H946" s="49">
        <v>0</v>
      </c>
      <c r="I946" s="49" t="e">
        <v>#REF!</v>
      </c>
      <c r="J946" s="50"/>
    </row>
    <row r="947" ht="28.8" outlineLevel="1" spans="1:10">
      <c r="A947" s="50">
        <v>42</v>
      </c>
      <c r="B947" s="51" t="str">
        <v>室内给水内衬塑镀锌钢塑复合管-DN25</v>
      </c>
      <c r="C947" s="51" t="e">
        <v>#REF!</v>
      </c>
      <c r="D947" s="51" t="str">
        <v/>
      </c>
      <c r="E947" s="51" t="str">
        <v/>
      </c>
      <c r="F947" s="52" t="e">
        <v>#REF!</v>
      </c>
      <c r="G947" s="48" t="e">
        <v>#REF!</v>
      </c>
      <c r="H947" s="49">
        <v>0</v>
      </c>
      <c r="I947" s="49" t="e">
        <v>#REF!</v>
      </c>
      <c r="J947" s="50"/>
    </row>
    <row r="948" ht="28.8" outlineLevel="1" spans="1:10">
      <c r="A948" s="50">
        <v>43</v>
      </c>
      <c r="B948" s="51" t="str">
        <v>室内给水内衬塑镀锌钢塑复合管-DN32</v>
      </c>
      <c r="C948" s="51" t="e">
        <v>#REF!</v>
      </c>
      <c r="D948" s="51" t="str">
        <v/>
      </c>
      <c r="E948" s="51" t="str">
        <v/>
      </c>
      <c r="F948" s="52" t="e">
        <v>#REF!</v>
      </c>
      <c r="G948" s="48" t="e">
        <v>#REF!</v>
      </c>
      <c r="H948" s="49">
        <v>0</v>
      </c>
      <c r="I948" s="49" t="e">
        <v>#REF!</v>
      </c>
      <c r="J948" s="50"/>
    </row>
    <row r="949" ht="28.8" outlineLevel="1" spans="1:10">
      <c r="A949" s="50">
        <v>44</v>
      </c>
      <c r="B949" s="51" t="str">
        <v>室内给水内衬塑镀锌钢塑复合管-DN40</v>
      </c>
      <c r="C949" s="51" t="e">
        <v>#REF!</v>
      </c>
      <c r="D949" s="51" t="str">
        <v/>
      </c>
      <c r="E949" s="51" t="str">
        <v/>
      </c>
      <c r="F949" s="52" t="e">
        <v>#REF!</v>
      </c>
      <c r="G949" s="48" t="e">
        <v>#REF!</v>
      </c>
      <c r="H949" s="49">
        <v>0</v>
      </c>
      <c r="I949" s="49" t="e">
        <v>#REF!</v>
      </c>
      <c r="J949" s="50"/>
    </row>
    <row r="950" ht="28.8" outlineLevel="1" spans="1:10">
      <c r="A950" s="50">
        <v>45</v>
      </c>
      <c r="B950" s="51" t="str">
        <v>室内给水内衬塑镀锌钢塑复合管-DN50</v>
      </c>
      <c r="C950" s="51" t="e">
        <v>#REF!</v>
      </c>
      <c r="D950" s="51" t="str">
        <v/>
      </c>
      <c r="E950" s="51" t="str">
        <v/>
      </c>
      <c r="F950" s="52" t="e">
        <v>#REF!</v>
      </c>
      <c r="G950" s="48" t="e">
        <v>#REF!</v>
      </c>
      <c r="H950" s="49">
        <v>63.71</v>
      </c>
      <c r="I950" s="49" t="e">
        <v>#REF!</v>
      </c>
      <c r="J950" s="50"/>
    </row>
    <row r="951" ht="28.8" outlineLevel="1" spans="1:10">
      <c r="A951" s="50">
        <v>46</v>
      </c>
      <c r="B951" s="51" t="str">
        <v>室内给水内衬塑镀锌钢塑复合管-DN65</v>
      </c>
      <c r="C951" s="51" t="e">
        <v>#REF!</v>
      </c>
      <c r="D951" s="51" t="str">
        <v/>
      </c>
      <c r="E951" s="51" t="str">
        <v/>
      </c>
      <c r="F951" s="52" t="e">
        <v>#REF!</v>
      </c>
      <c r="G951" s="48" t="e">
        <v>#REF!</v>
      </c>
      <c r="H951" s="49">
        <v>12.15</v>
      </c>
      <c r="I951" s="49" t="e">
        <v>#REF!</v>
      </c>
      <c r="J951" s="50"/>
    </row>
    <row r="952" ht="28.8" outlineLevel="1" spans="1:10">
      <c r="A952" s="50">
        <v>47</v>
      </c>
      <c r="B952" s="51" t="str">
        <v>室内给水内衬塑镀锌钢塑复合管-DN80</v>
      </c>
      <c r="C952" s="51" t="e">
        <v>#REF!</v>
      </c>
      <c r="D952" s="51" t="str">
        <v/>
      </c>
      <c r="E952" s="51" t="str">
        <v/>
      </c>
      <c r="F952" s="52" t="e">
        <v>#REF!</v>
      </c>
      <c r="G952" s="48" t="e">
        <v>#REF!</v>
      </c>
      <c r="H952" s="49">
        <v>0</v>
      </c>
      <c r="I952" s="49" t="e">
        <v>#REF!</v>
      </c>
      <c r="J952" s="50"/>
    </row>
    <row r="953" ht="28.8" outlineLevel="1" spans="1:10">
      <c r="A953" s="50">
        <v>48</v>
      </c>
      <c r="B953" s="51" t="str">
        <v>室内给水内衬塑镀锌钢塑复合管-DN100</v>
      </c>
      <c r="C953" s="51" t="e">
        <v>#REF!</v>
      </c>
      <c r="D953" s="51" t="str">
        <v/>
      </c>
      <c r="E953" s="51" t="str">
        <v/>
      </c>
      <c r="F953" s="52" t="e">
        <v>#REF!</v>
      </c>
      <c r="G953" s="48" t="e">
        <v>#REF!</v>
      </c>
      <c r="H953" s="49">
        <v>0</v>
      </c>
      <c r="I953" s="49" t="e">
        <v>#REF!</v>
      </c>
      <c r="J953" s="50"/>
    </row>
    <row r="954" ht="28.8" outlineLevel="1" spans="1:10">
      <c r="A954" s="50">
        <v>49</v>
      </c>
      <c r="B954" s="51" t="str">
        <v>室内给水内衬塑镀锌钢塑复合管-DN125</v>
      </c>
      <c r="C954" s="51" t="e">
        <v>#REF!</v>
      </c>
      <c r="D954" s="51" t="str">
        <v/>
      </c>
      <c r="E954" s="51" t="str">
        <v/>
      </c>
      <c r="F954" s="52" t="e">
        <v>#REF!</v>
      </c>
      <c r="G954" s="48" t="e">
        <v>#REF!</v>
      </c>
      <c r="H954" s="49">
        <v>0</v>
      </c>
      <c r="I954" s="49" t="e">
        <v>#REF!</v>
      </c>
      <c r="J954" s="50"/>
    </row>
    <row r="955" ht="28.8" outlineLevel="1" spans="1:10">
      <c r="A955" s="50">
        <v>50</v>
      </c>
      <c r="B955" s="51" t="str">
        <v>室内给水内衬塑镀锌钢塑复合管-DN150</v>
      </c>
      <c r="C955" s="51" t="e">
        <v>#REF!</v>
      </c>
      <c r="D955" s="51" t="str">
        <v/>
      </c>
      <c r="E955" s="51" t="str">
        <v/>
      </c>
      <c r="F955" s="52" t="e">
        <v>#REF!</v>
      </c>
      <c r="G955" s="48" t="e">
        <v>#REF!</v>
      </c>
      <c r="H955" s="49">
        <v>0</v>
      </c>
      <c r="I955" s="49" t="e">
        <v>#REF!</v>
      </c>
      <c r="J955" s="50"/>
    </row>
    <row r="956" ht="28.8" outlineLevel="1" spans="1:10">
      <c r="A956" s="50">
        <v>51</v>
      </c>
      <c r="B956" s="51" t="str">
        <v>室内给水塑料管-PPR-De20-热熔</v>
      </c>
      <c r="C956" s="51" t="e">
        <v>#REF!</v>
      </c>
      <c r="D956" s="51" t="str">
        <v/>
      </c>
      <c r="E956" s="51" t="str">
        <v/>
      </c>
      <c r="F956" s="52" t="e">
        <v>#REF!</v>
      </c>
      <c r="G956" s="48" t="e">
        <v>#REF!</v>
      </c>
      <c r="H956" s="49">
        <v>18.43</v>
      </c>
      <c r="I956" s="49" t="e">
        <v>#REF!</v>
      </c>
      <c r="J956" s="50"/>
    </row>
    <row r="957" ht="28.8" outlineLevel="1" spans="1:10">
      <c r="A957" s="50">
        <v>52</v>
      </c>
      <c r="B957" s="51" t="str">
        <v>室内给水塑料管-PPR-De25-热熔</v>
      </c>
      <c r="C957" s="51" t="e">
        <v>#REF!</v>
      </c>
      <c r="D957" s="51" t="str">
        <v/>
      </c>
      <c r="E957" s="51" t="str">
        <v/>
      </c>
      <c r="F957" s="52" t="e">
        <v>#REF!</v>
      </c>
      <c r="G957" s="48" t="e">
        <v>#REF!</v>
      </c>
      <c r="H957" s="49">
        <v>0</v>
      </c>
      <c r="I957" s="49" t="e">
        <v>#REF!</v>
      </c>
      <c r="J957" s="50"/>
    </row>
    <row r="958" ht="28.8" outlineLevel="1" spans="1:10">
      <c r="A958" s="50">
        <v>53</v>
      </c>
      <c r="B958" s="51" t="str">
        <v>室内给水塑料管-PPR-De32-热熔</v>
      </c>
      <c r="C958" s="51" t="e">
        <v>#REF!</v>
      </c>
      <c r="D958" s="51" t="str">
        <v/>
      </c>
      <c r="E958" s="51" t="str">
        <v/>
      </c>
      <c r="F958" s="52" t="e">
        <v>#REF!</v>
      </c>
      <c r="G958" s="48" t="e">
        <v>#REF!</v>
      </c>
      <c r="H958" s="49">
        <v>0</v>
      </c>
      <c r="I958" s="49" t="e">
        <v>#REF!</v>
      </c>
      <c r="J958" s="50"/>
    </row>
    <row r="959" ht="28.8" outlineLevel="1" spans="1:10">
      <c r="A959" s="50">
        <v>54</v>
      </c>
      <c r="B959" s="51" t="str">
        <v>室内给水塑料管-PPR-De40-热熔</v>
      </c>
      <c r="C959" s="51" t="e">
        <v>#REF!</v>
      </c>
      <c r="D959" s="51" t="str">
        <v/>
      </c>
      <c r="E959" s="51" t="str">
        <v/>
      </c>
      <c r="F959" s="52" t="e">
        <v>#REF!</v>
      </c>
      <c r="G959" s="48" t="e">
        <v>#REF!</v>
      </c>
      <c r="H959" s="49">
        <v>0</v>
      </c>
      <c r="I959" s="49" t="e">
        <v>#REF!</v>
      </c>
      <c r="J959" s="50"/>
    </row>
    <row r="960" ht="28.8" outlineLevel="1" spans="1:10">
      <c r="A960" s="50">
        <v>55</v>
      </c>
      <c r="B960" s="51" t="str">
        <v>室内给水塑料管-PPR-De50-热熔</v>
      </c>
      <c r="C960" s="51" t="e">
        <v>#REF!</v>
      </c>
      <c r="D960" s="51" t="str">
        <v/>
      </c>
      <c r="E960" s="51" t="str">
        <v/>
      </c>
      <c r="F960" s="52" t="e">
        <v>#REF!</v>
      </c>
      <c r="G960" s="48" t="e">
        <v>#REF!</v>
      </c>
      <c r="H960" s="49">
        <v>0</v>
      </c>
      <c r="I960" s="49" t="e">
        <v>#REF!</v>
      </c>
      <c r="J960" s="50"/>
    </row>
    <row r="961" ht="28.8" outlineLevel="1" spans="1:10">
      <c r="A961" s="50">
        <v>56</v>
      </c>
      <c r="B961" s="51" t="str">
        <v>室内给水塑料管-PPR-De63-热熔</v>
      </c>
      <c r="C961" s="51" t="e">
        <v>#REF!</v>
      </c>
      <c r="D961" s="51" t="str">
        <v/>
      </c>
      <c r="E961" s="51" t="str">
        <v/>
      </c>
      <c r="F961" s="52" t="e">
        <v>#REF!</v>
      </c>
      <c r="G961" s="48" t="e">
        <v>#REF!</v>
      </c>
      <c r="H961" s="49">
        <v>32.31</v>
      </c>
      <c r="I961" s="49" t="e">
        <v>#REF!</v>
      </c>
      <c r="J961" s="50"/>
    </row>
    <row r="962" outlineLevel="1" spans="1:10">
      <c r="A962" s="50" t="str">
        <v/>
      </c>
      <c r="B962" s="51" t="str">
        <v>B.01.3绝热</v>
      </c>
      <c r="C962" s="51" t="str">
        <v/>
      </c>
      <c r="D962" s="51" t="str">
        <v/>
      </c>
      <c r="E962" s="51" t="str">
        <v/>
      </c>
      <c r="F962" s="52" t="str">
        <v/>
      </c>
      <c r="G962" s="48" t="str">
        <v/>
      </c>
      <c r="H962" s="49">
        <v>0</v>
      </c>
      <c r="I962" s="49" t="e">
        <v>#REF!</v>
      </c>
      <c r="J962" s="50"/>
    </row>
    <row r="963" outlineLevel="1" spans="1:10">
      <c r="A963" s="50">
        <v>57</v>
      </c>
      <c r="B963" s="51" t="str">
        <v>管道绝热</v>
      </c>
      <c r="C963" s="51" t="e">
        <v>#REF!</v>
      </c>
      <c r="D963" s="51" t="str">
        <v/>
      </c>
      <c r="E963" s="51" t="str">
        <v/>
      </c>
      <c r="F963" s="52" t="e">
        <v>#REF!</v>
      </c>
      <c r="G963" s="48" t="e">
        <v>#REF!</v>
      </c>
      <c r="H963" s="49">
        <v>0.27</v>
      </c>
      <c r="I963" s="49" t="e">
        <v>#REF!</v>
      </c>
      <c r="J963" s="50"/>
    </row>
    <row r="964" outlineLevel="1" spans="1:10">
      <c r="A964" s="50">
        <v>58</v>
      </c>
      <c r="B964" s="51" t="str">
        <v>玻璃丝布</v>
      </c>
      <c r="C964" s="51" t="e">
        <v>#REF!</v>
      </c>
      <c r="D964" s="51" t="str">
        <v/>
      </c>
      <c r="E964" s="51" t="str">
        <v/>
      </c>
      <c r="F964" s="52" t="e">
        <v>#REF!</v>
      </c>
      <c r="G964" s="48" t="e">
        <v>#REF!</v>
      </c>
      <c r="H964" s="49">
        <v>0</v>
      </c>
      <c r="I964" s="49" t="e">
        <v>#REF!</v>
      </c>
      <c r="J964" s="50"/>
    </row>
    <row r="965" outlineLevel="1" spans="1:10">
      <c r="A965" s="50">
        <v>59</v>
      </c>
      <c r="B965" s="51" t="str">
        <v>电伴热</v>
      </c>
      <c r="C965" s="51" t="e">
        <v>#REF!</v>
      </c>
      <c r="D965" s="51" t="str">
        <v/>
      </c>
      <c r="E965" s="51" t="str">
        <v/>
      </c>
      <c r="F965" s="52" t="e">
        <v>#REF!</v>
      </c>
      <c r="G965" s="48" t="e">
        <v>#REF!</v>
      </c>
      <c r="H965" s="49">
        <v>0</v>
      </c>
      <c r="I965" s="49" t="e">
        <v>#REF!</v>
      </c>
      <c r="J965" s="50"/>
    </row>
    <row r="966" outlineLevel="1" spans="1:10">
      <c r="A966" s="50">
        <v>60</v>
      </c>
      <c r="B966" s="51" t="str">
        <v>电伴热控制箱</v>
      </c>
      <c r="C966" s="51" t="e">
        <v>#REF!</v>
      </c>
      <c r="D966" s="51" t="str">
        <v/>
      </c>
      <c r="E966" s="51" t="str">
        <v/>
      </c>
      <c r="F966" s="52" t="e">
        <v>#REF!</v>
      </c>
      <c r="G966" s="48" t="e">
        <v>#REF!</v>
      </c>
      <c r="H966" s="49">
        <v>0</v>
      </c>
      <c r="I966" s="49" t="e">
        <v>#REF!</v>
      </c>
      <c r="J966" s="50"/>
    </row>
    <row r="967" outlineLevel="1" spans="1:10">
      <c r="A967" s="50">
        <v>61</v>
      </c>
      <c r="B967" s="51" t="str">
        <v>防火漆</v>
      </c>
      <c r="C967" s="51" t="e">
        <v>#REF!</v>
      </c>
      <c r="D967" s="51" t="str">
        <v/>
      </c>
      <c r="E967" s="51" t="str">
        <v/>
      </c>
      <c r="F967" s="52" t="e">
        <v>#REF!</v>
      </c>
      <c r="G967" s="48" t="e">
        <v>#REF!</v>
      </c>
      <c r="H967" s="49">
        <v>0</v>
      </c>
      <c r="I967" s="49" t="e">
        <v>#REF!</v>
      </c>
      <c r="J967" s="50"/>
    </row>
    <row r="968" outlineLevel="1" spans="1:10">
      <c r="A968" s="50">
        <v>62</v>
      </c>
      <c r="B968" s="51" t="str">
        <v>塑料带保护层</v>
      </c>
      <c r="C968" s="51" t="e">
        <v>#REF!</v>
      </c>
      <c r="D968" s="51" t="str">
        <v/>
      </c>
      <c r="E968" s="51" t="str">
        <v/>
      </c>
      <c r="F968" s="52" t="e">
        <v>#REF!</v>
      </c>
      <c r="G968" s="48" t="e">
        <v>#REF!</v>
      </c>
      <c r="H968" s="49">
        <v>33.46</v>
      </c>
      <c r="I968" s="49" t="e">
        <v>#REF!</v>
      </c>
      <c r="J968" s="50"/>
    </row>
    <row r="969" outlineLevel="1" spans="1:10">
      <c r="A969" s="50" t="str">
        <v/>
      </c>
      <c r="B969" s="51" t="str">
        <v>B.02地下排水</v>
      </c>
      <c r="C969" s="51" t="str">
        <v/>
      </c>
      <c r="D969" s="51" t="str">
        <v/>
      </c>
      <c r="E969" s="51" t="str">
        <v/>
      </c>
      <c r="F969" s="52" t="str">
        <v/>
      </c>
      <c r="G969" s="48" t="str">
        <v/>
      </c>
      <c r="H969" s="49">
        <v>0</v>
      </c>
      <c r="I969" s="49" t="e">
        <v>#REF!</v>
      </c>
      <c r="J969" s="50"/>
    </row>
    <row r="970" outlineLevel="1" spans="1:10">
      <c r="A970" s="50" t="str">
        <v/>
      </c>
      <c r="B970" s="51" t="str">
        <v>B.02.1阀部件</v>
      </c>
      <c r="C970" s="51" t="str">
        <v/>
      </c>
      <c r="D970" s="51" t="str">
        <v/>
      </c>
      <c r="E970" s="51" t="str">
        <v/>
      </c>
      <c r="F970" s="52" t="str">
        <v/>
      </c>
      <c r="G970" s="48" t="str">
        <v/>
      </c>
      <c r="H970" s="49">
        <v>0</v>
      </c>
      <c r="I970" s="49" t="e">
        <v>#REF!</v>
      </c>
      <c r="J970" s="50"/>
    </row>
    <row r="971" outlineLevel="1" spans="1:10">
      <c r="A971" s="50">
        <v>63</v>
      </c>
      <c r="B971" s="51" t="str">
        <v>法兰阀门-闸阀-DN50</v>
      </c>
      <c r="C971" s="51" t="e">
        <v>#REF!</v>
      </c>
      <c r="D971" s="51" t="str">
        <v/>
      </c>
      <c r="E971" s="51" t="str">
        <v/>
      </c>
      <c r="F971" s="52" t="e">
        <v>#REF!</v>
      </c>
      <c r="G971" s="48" t="e">
        <v>#REF!</v>
      </c>
      <c r="H971" s="49">
        <v>0</v>
      </c>
      <c r="I971" s="49" t="e">
        <v>#REF!</v>
      </c>
      <c r="J971" s="50"/>
    </row>
    <row r="972" outlineLevel="1" spans="1:10">
      <c r="A972" s="50">
        <v>64</v>
      </c>
      <c r="B972" s="51" t="str">
        <v>法兰阀门-闸阀-DN65</v>
      </c>
      <c r="C972" s="51" t="e">
        <v>#REF!</v>
      </c>
      <c r="D972" s="51" t="str">
        <v/>
      </c>
      <c r="E972" s="51" t="str">
        <v/>
      </c>
      <c r="F972" s="52" t="e">
        <v>#REF!</v>
      </c>
      <c r="G972" s="48" t="e">
        <v>#REF!</v>
      </c>
      <c r="H972" s="49">
        <v>0</v>
      </c>
      <c r="I972" s="49" t="e">
        <v>#REF!</v>
      </c>
      <c r="J972" s="50"/>
    </row>
    <row r="973" outlineLevel="1" spans="1:10">
      <c r="A973" s="50">
        <v>65</v>
      </c>
      <c r="B973" s="51" t="str">
        <v>法兰阀门-闸阀-DN80</v>
      </c>
      <c r="C973" s="51" t="e">
        <v>#REF!</v>
      </c>
      <c r="D973" s="51" t="str">
        <v/>
      </c>
      <c r="E973" s="51" t="str">
        <v/>
      </c>
      <c r="F973" s="52" t="e">
        <v>#REF!</v>
      </c>
      <c r="G973" s="48" t="e">
        <v>#REF!</v>
      </c>
      <c r="H973" s="49">
        <v>6</v>
      </c>
      <c r="I973" s="49" t="e">
        <v>#REF!</v>
      </c>
      <c r="J973" s="50"/>
    </row>
    <row r="974" outlineLevel="1" spans="1:10">
      <c r="A974" s="50">
        <v>66</v>
      </c>
      <c r="B974" s="51" t="str">
        <v>法兰阀门-闸阀-DN100</v>
      </c>
      <c r="C974" s="51" t="e">
        <v>#REF!</v>
      </c>
      <c r="D974" s="51" t="str">
        <v/>
      </c>
      <c r="E974" s="51" t="str">
        <v/>
      </c>
      <c r="F974" s="52" t="e">
        <v>#REF!</v>
      </c>
      <c r="G974" s="48" t="e">
        <v>#REF!</v>
      </c>
      <c r="H974" s="49">
        <v>0</v>
      </c>
      <c r="I974" s="49" t="e">
        <v>#REF!</v>
      </c>
      <c r="J974" s="50"/>
    </row>
    <row r="975" outlineLevel="1" spans="1:10">
      <c r="A975" s="50">
        <v>67</v>
      </c>
      <c r="B975" s="51" t="str">
        <v>法兰阀门-止回阀-DN50</v>
      </c>
      <c r="C975" s="51" t="e">
        <v>#REF!</v>
      </c>
      <c r="D975" s="51" t="str">
        <v/>
      </c>
      <c r="E975" s="51" t="str">
        <v/>
      </c>
      <c r="F975" s="52" t="e">
        <v>#REF!</v>
      </c>
      <c r="G975" s="48" t="e">
        <v>#REF!</v>
      </c>
      <c r="H975" s="49">
        <v>0</v>
      </c>
      <c r="I975" s="49" t="e">
        <v>#REF!</v>
      </c>
      <c r="J975" s="50"/>
    </row>
    <row r="976" outlineLevel="1" spans="1:10">
      <c r="A976" s="50">
        <v>68</v>
      </c>
      <c r="B976" s="51" t="str">
        <v>法兰阀门-止回阀-DN65</v>
      </c>
      <c r="C976" s="51" t="e">
        <v>#REF!</v>
      </c>
      <c r="D976" s="51" t="str">
        <v/>
      </c>
      <c r="E976" s="51" t="str">
        <v/>
      </c>
      <c r="F976" s="52" t="e">
        <v>#REF!</v>
      </c>
      <c r="G976" s="48" t="e">
        <v>#REF!</v>
      </c>
      <c r="H976" s="49">
        <v>0</v>
      </c>
      <c r="I976" s="49" t="e">
        <v>#REF!</v>
      </c>
      <c r="J976" s="50"/>
    </row>
    <row r="977" outlineLevel="1" spans="1:10">
      <c r="A977" s="50">
        <v>69</v>
      </c>
      <c r="B977" s="51" t="str">
        <v>法兰阀门-止回阀-DN80</v>
      </c>
      <c r="C977" s="51" t="e">
        <v>#REF!</v>
      </c>
      <c r="D977" s="51" t="str">
        <v/>
      </c>
      <c r="E977" s="51" t="str">
        <v/>
      </c>
      <c r="F977" s="52" t="e">
        <v>#REF!</v>
      </c>
      <c r="G977" s="48" t="e">
        <v>#REF!</v>
      </c>
      <c r="H977" s="49">
        <v>6</v>
      </c>
      <c r="I977" s="49" t="e">
        <v>#REF!</v>
      </c>
      <c r="J977" s="50"/>
    </row>
    <row r="978" outlineLevel="1" spans="1:10">
      <c r="A978" s="50">
        <v>70</v>
      </c>
      <c r="B978" s="51" t="str">
        <v>法兰阀门-止回阀-DN100</v>
      </c>
      <c r="C978" s="51" t="e">
        <v>#REF!</v>
      </c>
      <c r="D978" s="51" t="str">
        <v/>
      </c>
      <c r="E978" s="51" t="str">
        <v/>
      </c>
      <c r="F978" s="52" t="e">
        <v>#REF!</v>
      </c>
      <c r="G978" s="48" t="e">
        <v>#REF!</v>
      </c>
      <c r="H978" s="49">
        <v>0</v>
      </c>
      <c r="I978" s="49" t="e">
        <v>#REF!</v>
      </c>
      <c r="J978" s="50"/>
    </row>
    <row r="979" outlineLevel="1" spans="1:10">
      <c r="A979" s="50">
        <v>71</v>
      </c>
      <c r="B979" s="51" t="str">
        <v>法兰阀门-软接头-DN50</v>
      </c>
      <c r="C979" s="51" t="e">
        <v>#REF!</v>
      </c>
      <c r="D979" s="51" t="str">
        <v/>
      </c>
      <c r="E979" s="51" t="str">
        <v/>
      </c>
      <c r="F979" s="52" t="e">
        <v>#REF!</v>
      </c>
      <c r="G979" s="48" t="e">
        <v>#REF!</v>
      </c>
      <c r="H979" s="49">
        <v>0</v>
      </c>
      <c r="I979" s="49" t="e">
        <v>#REF!</v>
      </c>
      <c r="J979" s="50"/>
    </row>
    <row r="980" outlineLevel="1" spans="1:10">
      <c r="A980" s="50">
        <v>72</v>
      </c>
      <c r="B980" s="51" t="str">
        <v>法兰阀门-软接头-DN65</v>
      </c>
      <c r="C980" s="51" t="e">
        <v>#REF!</v>
      </c>
      <c r="D980" s="51" t="str">
        <v/>
      </c>
      <c r="E980" s="51" t="str">
        <v/>
      </c>
      <c r="F980" s="52" t="e">
        <v>#REF!</v>
      </c>
      <c r="G980" s="48" t="e">
        <v>#REF!</v>
      </c>
      <c r="H980" s="49">
        <v>0</v>
      </c>
      <c r="I980" s="49" t="e">
        <v>#REF!</v>
      </c>
      <c r="J980" s="50"/>
    </row>
    <row r="981" outlineLevel="1" spans="1:10">
      <c r="A981" s="50">
        <v>73</v>
      </c>
      <c r="B981" s="51" t="str">
        <v>法兰阀门-软接头-DN80</v>
      </c>
      <c r="C981" s="51" t="e">
        <v>#REF!</v>
      </c>
      <c r="D981" s="51" t="str">
        <v/>
      </c>
      <c r="E981" s="51" t="str">
        <v/>
      </c>
      <c r="F981" s="52" t="e">
        <v>#REF!</v>
      </c>
      <c r="G981" s="48" t="e">
        <v>#REF!</v>
      </c>
      <c r="H981" s="49">
        <v>6</v>
      </c>
      <c r="I981" s="49" t="e">
        <v>#REF!</v>
      </c>
      <c r="J981" s="50"/>
    </row>
    <row r="982" outlineLevel="1" spans="1:10">
      <c r="A982" s="50">
        <v>74</v>
      </c>
      <c r="B982" s="51" t="str">
        <v>可曲挠橡胶接头-DN100</v>
      </c>
      <c r="C982" s="51" t="e">
        <v>#REF!</v>
      </c>
      <c r="D982" s="51" t="str">
        <v/>
      </c>
      <c r="E982" s="51" t="str">
        <v/>
      </c>
      <c r="F982" s="52" t="e">
        <v>#REF!</v>
      </c>
      <c r="G982" s="48" t="e">
        <v>#REF!</v>
      </c>
      <c r="H982" s="49">
        <v>0</v>
      </c>
      <c r="I982" s="49" t="e">
        <v>#REF!</v>
      </c>
      <c r="J982" s="50"/>
    </row>
    <row r="983" outlineLevel="1" spans="1:10">
      <c r="A983" s="50">
        <v>75</v>
      </c>
      <c r="B983" s="51" t="str">
        <v>给排水压力仪表-DN15</v>
      </c>
      <c r="C983" s="51" t="e">
        <v>#REF!</v>
      </c>
      <c r="D983" s="51" t="str">
        <v/>
      </c>
      <c r="E983" s="51" t="str">
        <v/>
      </c>
      <c r="F983" s="52" t="e">
        <v>#REF!</v>
      </c>
      <c r="G983" s="48" t="e">
        <v>#REF!</v>
      </c>
      <c r="H983" s="49">
        <v>0</v>
      </c>
      <c r="I983" s="49" t="e">
        <v>#REF!</v>
      </c>
      <c r="J983" s="50"/>
    </row>
    <row r="984" outlineLevel="1" spans="1:10">
      <c r="A984" s="50" t="str">
        <v/>
      </c>
      <c r="B984" s="51" t="str">
        <v>B.02.2排水管道</v>
      </c>
      <c r="C984" s="51" t="str">
        <v/>
      </c>
      <c r="D984" s="51" t="str">
        <v/>
      </c>
      <c r="E984" s="51" t="str">
        <v/>
      </c>
      <c r="F984" s="52" t="str">
        <v/>
      </c>
      <c r="G984" s="48" t="str">
        <v/>
      </c>
      <c r="H984" s="49">
        <v>0</v>
      </c>
      <c r="I984" s="49" t="e">
        <v>#REF!</v>
      </c>
      <c r="J984" s="50"/>
    </row>
    <row r="985" ht="28.8" outlineLevel="1" spans="1:10">
      <c r="A985" s="50">
        <v>76</v>
      </c>
      <c r="B985" s="51" t="str">
        <v>室外排水塑料管-加厚UPVC-De160</v>
      </c>
      <c r="C985" s="51" t="e">
        <v>#REF!</v>
      </c>
      <c r="D985" s="51" t="str">
        <v/>
      </c>
      <c r="E985" s="51" t="str">
        <v/>
      </c>
      <c r="F985" s="52" t="e">
        <v>#REF!</v>
      </c>
      <c r="G985" s="48" t="e">
        <v>#REF!</v>
      </c>
      <c r="H985" s="49">
        <v>35</v>
      </c>
      <c r="I985" s="49" t="e">
        <v>#REF!</v>
      </c>
      <c r="J985" s="50"/>
    </row>
    <row r="986" ht="28.8" outlineLevel="1" spans="1:10">
      <c r="A986" s="50">
        <v>77</v>
      </c>
      <c r="B986" s="51" t="str">
        <v>室外排水塑料管-加厚UPVC-De110</v>
      </c>
      <c r="C986" s="51" t="e">
        <v>#REF!</v>
      </c>
      <c r="D986" s="51" t="str">
        <v/>
      </c>
      <c r="E986" s="51" t="str">
        <v/>
      </c>
      <c r="F986" s="52" t="e">
        <v>#REF!</v>
      </c>
      <c r="G986" s="48" t="e">
        <v>#REF!</v>
      </c>
      <c r="H986" s="49">
        <v>90</v>
      </c>
      <c r="I986" s="49" t="e">
        <v>#REF!</v>
      </c>
      <c r="J986" s="50"/>
    </row>
    <row r="987" ht="28.8" outlineLevel="1" spans="1:10">
      <c r="A987" s="50">
        <v>78</v>
      </c>
      <c r="B987" s="51" t="str">
        <v>室外排水塑料管-加厚UPVC-De75</v>
      </c>
      <c r="C987" s="51" t="e">
        <v>#REF!</v>
      </c>
      <c r="D987" s="51" t="str">
        <v/>
      </c>
      <c r="E987" s="51" t="str">
        <v/>
      </c>
      <c r="F987" s="52" t="e">
        <v>#REF!</v>
      </c>
      <c r="G987" s="48" t="e">
        <v>#REF!</v>
      </c>
      <c r="H987" s="49">
        <v>18</v>
      </c>
      <c r="I987" s="49" t="e">
        <v>#REF!</v>
      </c>
      <c r="J987" s="50"/>
    </row>
    <row r="988" outlineLevel="1" spans="1:10">
      <c r="A988" s="50">
        <v>79</v>
      </c>
      <c r="B988" s="51" t="str">
        <v>室外塑料管-UPVC-De50</v>
      </c>
      <c r="C988" s="51" t="e">
        <v>#REF!</v>
      </c>
      <c r="D988" s="51" t="str">
        <v/>
      </c>
      <c r="E988" s="51" t="str">
        <v/>
      </c>
      <c r="F988" s="52" t="e">
        <v>#REF!</v>
      </c>
      <c r="G988" s="48" t="e">
        <v>#REF!</v>
      </c>
      <c r="H988" s="49">
        <v>45</v>
      </c>
      <c r="I988" s="49" t="e">
        <v>#REF!</v>
      </c>
      <c r="J988" s="50"/>
    </row>
    <row r="989" outlineLevel="1" spans="1:10">
      <c r="A989" s="50">
        <v>80</v>
      </c>
      <c r="B989" s="51" t="str">
        <v>室外排水镀锌钢管-DN50</v>
      </c>
      <c r="C989" s="51" t="e">
        <v>#REF!</v>
      </c>
      <c r="D989" s="51" t="str">
        <v/>
      </c>
      <c r="E989" s="51" t="str">
        <v/>
      </c>
      <c r="F989" s="52" t="e">
        <v>#REF!</v>
      </c>
      <c r="G989" s="48" t="e">
        <v>#REF!</v>
      </c>
      <c r="H989" s="49">
        <v>0</v>
      </c>
      <c r="I989" s="49" t="e">
        <v>#REF!</v>
      </c>
      <c r="J989" s="50"/>
    </row>
    <row r="990" outlineLevel="1" spans="1:10">
      <c r="A990" s="50">
        <v>81</v>
      </c>
      <c r="B990" s="51" t="str">
        <v>室外排水镀锌钢管-DN65</v>
      </c>
      <c r="C990" s="51" t="e">
        <v>#REF!</v>
      </c>
      <c r="D990" s="51" t="str">
        <v/>
      </c>
      <c r="E990" s="51" t="str">
        <v/>
      </c>
      <c r="F990" s="52" t="e">
        <v>#REF!</v>
      </c>
      <c r="G990" s="48" t="e">
        <v>#REF!</v>
      </c>
      <c r="H990" s="49">
        <v>0</v>
      </c>
      <c r="I990" s="49" t="e">
        <v>#REF!</v>
      </c>
      <c r="J990" s="50"/>
    </row>
    <row r="991" outlineLevel="1" spans="1:10">
      <c r="A991" s="50">
        <v>82</v>
      </c>
      <c r="B991" s="51" t="str">
        <v>室外排水镀锌钢管-DN80</v>
      </c>
      <c r="C991" s="51" t="e">
        <v>#REF!</v>
      </c>
      <c r="D991" s="51" t="str">
        <v/>
      </c>
      <c r="E991" s="51" t="str">
        <v/>
      </c>
      <c r="F991" s="52" t="e">
        <v>#REF!</v>
      </c>
      <c r="G991" s="48" t="e">
        <v>#REF!</v>
      </c>
      <c r="H991" s="49">
        <v>10</v>
      </c>
      <c r="I991" s="49" t="e">
        <v>#REF!</v>
      </c>
      <c r="J991" s="50"/>
    </row>
    <row r="992" outlineLevel="1" spans="1:10">
      <c r="A992" s="50">
        <v>83</v>
      </c>
      <c r="B992" s="51" t="str">
        <v>室外排水镀锌钢管-DN100</v>
      </c>
      <c r="C992" s="51" t="e">
        <v>#REF!</v>
      </c>
      <c r="D992" s="51" t="str">
        <v/>
      </c>
      <c r="E992" s="51" t="str">
        <v/>
      </c>
      <c r="F992" s="52" t="e">
        <v>#REF!</v>
      </c>
      <c r="G992" s="48" t="e">
        <v>#REF!</v>
      </c>
      <c r="H992" s="49">
        <v>0</v>
      </c>
      <c r="I992" s="49" t="e">
        <v>#REF!</v>
      </c>
      <c r="J992" s="50"/>
    </row>
    <row r="993" outlineLevel="1" spans="1:10">
      <c r="A993" s="50">
        <v>84</v>
      </c>
      <c r="B993" s="51" t="str">
        <v>室外排水镀锌钢管-DN125</v>
      </c>
      <c r="C993" s="51" t="e">
        <v>#REF!</v>
      </c>
      <c r="D993" s="51" t="str">
        <v/>
      </c>
      <c r="E993" s="51" t="str">
        <v/>
      </c>
      <c r="F993" s="52" t="e">
        <v>#REF!</v>
      </c>
      <c r="G993" s="48" t="e">
        <v>#REF!</v>
      </c>
      <c r="H993" s="49">
        <v>0</v>
      </c>
      <c r="I993" s="49" t="e">
        <v>#REF!</v>
      </c>
      <c r="J993" s="50"/>
    </row>
    <row r="994" outlineLevel="1" spans="1:10">
      <c r="A994" s="50">
        <v>85</v>
      </c>
      <c r="B994" s="51" t="str">
        <v>室外排水镀锌钢管-DN150</v>
      </c>
      <c r="C994" s="51" t="e">
        <v>#REF!</v>
      </c>
      <c r="D994" s="51" t="str">
        <v/>
      </c>
      <c r="E994" s="51" t="str">
        <v/>
      </c>
      <c r="F994" s="52" t="e">
        <v>#REF!</v>
      </c>
      <c r="G994" s="48" t="e">
        <v>#REF!</v>
      </c>
      <c r="H994" s="49">
        <v>0</v>
      </c>
      <c r="I994" s="49" t="e">
        <v>#REF!</v>
      </c>
      <c r="J994" s="50"/>
    </row>
    <row r="995" ht="28.8" outlineLevel="1" spans="1:10">
      <c r="A995" s="50">
        <v>86</v>
      </c>
      <c r="B995" s="51" t="str">
        <v>室外或埋地排水管-铸铁管-DN50</v>
      </c>
      <c r="C995" s="51" t="e">
        <v>#REF!</v>
      </c>
      <c r="D995" s="51" t="str">
        <v/>
      </c>
      <c r="E995" s="51" t="str">
        <v/>
      </c>
      <c r="F995" s="52" t="e">
        <v>#REF!</v>
      </c>
      <c r="G995" s="48" t="e">
        <v>#REF!</v>
      </c>
      <c r="H995" s="49">
        <v>0</v>
      </c>
      <c r="I995" s="49" t="e">
        <v>#REF!</v>
      </c>
      <c r="J995" s="50"/>
    </row>
    <row r="996" ht="28.8" outlineLevel="1" spans="1:10">
      <c r="A996" s="50">
        <v>87</v>
      </c>
      <c r="B996" s="51" t="str">
        <v>室外或埋地排水管-铸铁管-DN75</v>
      </c>
      <c r="C996" s="51" t="e">
        <v>#REF!</v>
      </c>
      <c r="D996" s="51" t="str">
        <v/>
      </c>
      <c r="E996" s="51" t="str">
        <v/>
      </c>
      <c r="F996" s="52" t="e">
        <v>#REF!</v>
      </c>
      <c r="G996" s="48" t="e">
        <v>#REF!</v>
      </c>
      <c r="H996" s="49">
        <v>0</v>
      </c>
      <c r="I996" s="49" t="e">
        <v>#REF!</v>
      </c>
      <c r="J996" s="50"/>
    </row>
    <row r="997" ht="28.8" outlineLevel="1" spans="1:10">
      <c r="A997" s="50">
        <v>88</v>
      </c>
      <c r="B997" s="51" t="str">
        <v>室外或埋地排水管-铸铁管-DN100</v>
      </c>
      <c r="C997" s="51" t="e">
        <v>#REF!</v>
      </c>
      <c r="D997" s="51" t="str">
        <v/>
      </c>
      <c r="E997" s="51" t="str">
        <v/>
      </c>
      <c r="F997" s="52" t="e">
        <v>#REF!</v>
      </c>
      <c r="G997" s="48" t="e">
        <v>#REF!</v>
      </c>
      <c r="H997" s="49">
        <v>0</v>
      </c>
      <c r="I997" s="49" t="e">
        <v>#REF!</v>
      </c>
      <c r="J997" s="50"/>
    </row>
    <row r="998" ht="28.8" outlineLevel="1" spans="1:10">
      <c r="A998" s="50">
        <v>89</v>
      </c>
      <c r="B998" s="51" t="str">
        <v>室外或埋地排水管-铸铁管-DN150</v>
      </c>
      <c r="C998" s="51" t="e">
        <v>#REF!</v>
      </c>
      <c r="D998" s="51" t="str">
        <v/>
      </c>
      <c r="E998" s="51" t="str">
        <v/>
      </c>
      <c r="F998" s="52" t="e">
        <v>#REF!</v>
      </c>
      <c r="G998" s="48" t="e">
        <v>#REF!</v>
      </c>
      <c r="H998" s="49">
        <v>0</v>
      </c>
      <c r="I998" s="49" t="e">
        <v>#REF!</v>
      </c>
      <c r="J998" s="50"/>
    </row>
    <row r="999" ht="28.8" outlineLevel="1" spans="1:10">
      <c r="A999" s="50">
        <v>90</v>
      </c>
      <c r="B999" s="51" t="str">
        <v>室内排水塑料管-加厚UPVC-De160</v>
      </c>
      <c r="C999" s="51" t="e">
        <v>#REF!</v>
      </c>
      <c r="D999" s="51" t="str">
        <v/>
      </c>
      <c r="E999" s="51" t="str">
        <v/>
      </c>
      <c r="F999" s="52" t="e">
        <v>#REF!</v>
      </c>
      <c r="G999" s="48" t="e">
        <v>#REF!</v>
      </c>
      <c r="H999" s="49">
        <v>150.62</v>
      </c>
      <c r="I999" s="49" t="e">
        <v>#REF!</v>
      </c>
      <c r="J999" s="50"/>
    </row>
    <row r="1000" ht="28.8" outlineLevel="1" spans="1:10">
      <c r="A1000" s="50">
        <v>91</v>
      </c>
      <c r="B1000" s="51" t="str">
        <v>室内排水塑料管-加厚UPVC-De110</v>
      </c>
      <c r="C1000" s="51" t="e">
        <v>#REF!</v>
      </c>
      <c r="D1000" s="51" t="str">
        <v/>
      </c>
      <c r="E1000" s="51" t="str">
        <v/>
      </c>
      <c r="F1000" s="52" t="e">
        <v>#REF!</v>
      </c>
      <c r="G1000" s="48" t="e">
        <v>#REF!</v>
      </c>
      <c r="H1000" s="49">
        <v>35.08</v>
      </c>
      <c r="I1000" s="49" t="e">
        <v>#REF!</v>
      </c>
      <c r="J1000" s="50"/>
    </row>
    <row r="1001" ht="28.8" outlineLevel="1" spans="1:10">
      <c r="A1001" s="50">
        <v>92</v>
      </c>
      <c r="B1001" s="51" t="str">
        <v>室内排水塑料管-加厚UPVC-De75</v>
      </c>
      <c r="C1001" s="51" t="e">
        <v>#REF!</v>
      </c>
      <c r="D1001" s="51" t="str">
        <v/>
      </c>
      <c r="E1001" s="51" t="str">
        <v/>
      </c>
      <c r="F1001" s="52" t="e">
        <v>#REF!</v>
      </c>
      <c r="G1001" s="48" t="e">
        <v>#REF!</v>
      </c>
      <c r="H1001" s="49">
        <v>1</v>
      </c>
      <c r="I1001" s="49" t="e">
        <v>#REF!</v>
      </c>
      <c r="J1001" s="50"/>
    </row>
    <row r="1002" ht="28.8" outlineLevel="1" spans="1:10">
      <c r="A1002" s="50">
        <v>93</v>
      </c>
      <c r="B1002" s="51" t="str">
        <v>室内排水塑料管-消音UPVC-De110</v>
      </c>
      <c r="C1002" s="51" t="e">
        <v>#REF!</v>
      </c>
      <c r="D1002" s="51" t="str">
        <v/>
      </c>
      <c r="E1002" s="51" t="str">
        <v/>
      </c>
      <c r="F1002" s="52" t="e">
        <v>#REF!</v>
      </c>
      <c r="G1002" s="48" t="e">
        <v>#REF!</v>
      </c>
      <c r="H1002" s="49">
        <v>20.85</v>
      </c>
      <c r="I1002" s="49" t="e">
        <v>#REF!</v>
      </c>
      <c r="J1002" s="50"/>
    </row>
    <row r="1003" ht="28.8" outlineLevel="1" spans="1:10">
      <c r="A1003" s="50">
        <v>94</v>
      </c>
      <c r="B1003" s="51" t="str">
        <v>室内排水塑料管-消音UPVC-De75</v>
      </c>
      <c r="C1003" s="51" t="e">
        <v>#REF!</v>
      </c>
      <c r="D1003" s="51" t="str">
        <v/>
      </c>
      <c r="E1003" s="51" t="str">
        <v/>
      </c>
      <c r="F1003" s="52" t="e">
        <v>#REF!</v>
      </c>
      <c r="G1003" s="48" t="e">
        <v>#REF!</v>
      </c>
      <c r="H1003" s="49">
        <v>1</v>
      </c>
      <c r="I1003" s="49" t="e">
        <v>#REF!</v>
      </c>
      <c r="J1003" s="50"/>
    </row>
    <row r="1004" outlineLevel="1" spans="1:10">
      <c r="A1004" s="50">
        <v>95</v>
      </c>
      <c r="B1004" s="51" t="str">
        <v>室内排水塑料管-UPVC-De110</v>
      </c>
      <c r="C1004" s="51" t="e">
        <v>#REF!</v>
      </c>
      <c r="D1004" s="51" t="str">
        <v/>
      </c>
      <c r="E1004" s="51" t="str">
        <v/>
      </c>
      <c r="F1004" s="52" t="e">
        <v>#REF!</v>
      </c>
      <c r="G1004" s="48" t="e">
        <v>#REF!</v>
      </c>
      <c r="H1004" s="49">
        <v>103.29</v>
      </c>
      <c r="I1004" s="49" t="e">
        <v>#REF!</v>
      </c>
      <c r="J1004" s="50"/>
    </row>
    <row r="1005" outlineLevel="1" spans="1:10">
      <c r="A1005" s="50">
        <v>96</v>
      </c>
      <c r="B1005" s="51" t="str">
        <v>室内排水塑料管-UPVC-De75</v>
      </c>
      <c r="C1005" s="51" t="e">
        <v>#REF!</v>
      </c>
      <c r="D1005" s="51" t="str">
        <v/>
      </c>
      <c r="E1005" s="51" t="str">
        <v/>
      </c>
      <c r="F1005" s="52" t="e">
        <v>#REF!</v>
      </c>
      <c r="G1005" s="48" t="e">
        <v>#REF!</v>
      </c>
      <c r="H1005" s="49">
        <v>30.27</v>
      </c>
      <c r="I1005" s="49" t="e">
        <v>#REF!</v>
      </c>
      <c r="J1005" s="50"/>
    </row>
    <row r="1006" outlineLevel="1" spans="1:10">
      <c r="A1006" s="50">
        <v>97</v>
      </c>
      <c r="B1006" s="51" t="str">
        <v>室内排水塑料管-UPVC-De50</v>
      </c>
      <c r="C1006" s="51" t="e">
        <v>#REF!</v>
      </c>
      <c r="D1006" s="51" t="str">
        <v/>
      </c>
      <c r="E1006" s="51" t="str">
        <v/>
      </c>
      <c r="F1006" s="52" t="e">
        <v>#REF!</v>
      </c>
      <c r="G1006" s="48" t="e">
        <v>#REF!</v>
      </c>
      <c r="H1006" s="49">
        <v>33.7</v>
      </c>
      <c r="I1006" s="49" t="e">
        <v>#REF!</v>
      </c>
      <c r="J1006" s="50"/>
    </row>
    <row r="1007" outlineLevel="1" spans="1:10">
      <c r="A1007" s="50">
        <v>98</v>
      </c>
      <c r="B1007" s="51" t="str">
        <v>室内排水镀锌钢管-DN100</v>
      </c>
      <c r="C1007" s="51" t="e">
        <v>#REF!</v>
      </c>
      <c r="D1007" s="51" t="str">
        <v/>
      </c>
      <c r="E1007" s="51" t="str">
        <v/>
      </c>
      <c r="F1007" s="52" t="e">
        <v>#REF!</v>
      </c>
      <c r="G1007" s="48" t="e">
        <v>#REF!</v>
      </c>
      <c r="H1007" s="49">
        <v>0</v>
      </c>
      <c r="I1007" s="49" t="e">
        <v>#REF!</v>
      </c>
      <c r="J1007" s="50"/>
    </row>
    <row r="1008" outlineLevel="1" spans="1:10">
      <c r="A1008" s="50">
        <v>99</v>
      </c>
      <c r="B1008" s="51" t="str">
        <v>室内排水镀锌钢管-DN80</v>
      </c>
      <c r="C1008" s="51" t="e">
        <v>#REF!</v>
      </c>
      <c r="D1008" s="51" t="str">
        <v/>
      </c>
      <c r="E1008" s="51" t="str">
        <v/>
      </c>
      <c r="F1008" s="52" t="e">
        <v>#REF!</v>
      </c>
      <c r="G1008" s="48" t="e">
        <v>#REF!</v>
      </c>
      <c r="H1008" s="49">
        <v>81.51</v>
      </c>
      <c r="I1008" s="49" t="e">
        <v>#REF!</v>
      </c>
      <c r="J1008" s="50"/>
    </row>
    <row r="1009" outlineLevel="1" spans="1:10">
      <c r="A1009" s="50">
        <v>100</v>
      </c>
      <c r="B1009" s="51" t="str">
        <v>室内排水镀锌钢管-DN65</v>
      </c>
      <c r="C1009" s="51" t="e">
        <v>#REF!</v>
      </c>
      <c r="D1009" s="51" t="str">
        <v/>
      </c>
      <c r="E1009" s="51" t="str">
        <v/>
      </c>
      <c r="F1009" s="52" t="e">
        <v>#REF!</v>
      </c>
      <c r="G1009" s="48" t="e">
        <v>#REF!</v>
      </c>
      <c r="H1009" s="49">
        <v>1</v>
      </c>
      <c r="I1009" s="49" t="e">
        <v>#REF!</v>
      </c>
      <c r="J1009" s="50"/>
    </row>
    <row r="1010" outlineLevel="1" spans="1:10">
      <c r="A1010" s="50">
        <v>101</v>
      </c>
      <c r="B1010" s="51" t="str">
        <v>室内排水镀锌钢管-DN50</v>
      </c>
      <c r="C1010" s="51" t="e">
        <v>#REF!</v>
      </c>
      <c r="D1010" s="51" t="str">
        <v/>
      </c>
      <c r="E1010" s="51" t="str">
        <v/>
      </c>
      <c r="F1010" s="52" t="e">
        <v>#REF!</v>
      </c>
      <c r="G1010" s="48" t="e">
        <v>#REF!</v>
      </c>
      <c r="H1010" s="49">
        <v>0</v>
      </c>
      <c r="I1010" s="49" t="e">
        <v>#REF!</v>
      </c>
      <c r="J1010" s="50"/>
    </row>
    <row r="1011" outlineLevel="1" spans="1:10">
      <c r="A1011" s="50">
        <v>102</v>
      </c>
      <c r="B1011" s="51" t="str">
        <v>室内排水管-铸铁管-DN50</v>
      </c>
      <c r="C1011" s="51" t="e">
        <v>#REF!</v>
      </c>
      <c r="D1011" s="51" t="str">
        <v/>
      </c>
      <c r="E1011" s="51" t="str">
        <v/>
      </c>
      <c r="F1011" s="52" t="e">
        <v>#REF!</v>
      </c>
      <c r="G1011" s="48" t="e">
        <v>#REF!</v>
      </c>
      <c r="H1011" s="49">
        <v>0</v>
      </c>
      <c r="I1011" s="49" t="e">
        <v>#REF!</v>
      </c>
      <c r="J1011" s="50"/>
    </row>
    <row r="1012" outlineLevel="1" spans="1:10">
      <c r="A1012" s="50">
        <v>103</v>
      </c>
      <c r="B1012" s="51" t="str">
        <v>室内排水管-铸铁管-DN75</v>
      </c>
      <c r="C1012" s="51" t="e">
        <v>#REF!</v>
      </c>
      <c r="D1012" s="51" t="str">
        <v/>
      </c>
      <c r="E1012" s="51" t="str">
        <v/>
      </c>
      <c r="F1012" s="52" t="e">
        <v>#REF!</v>
      </c>
      <c r="G1012" s="48" t="e">
        <v>#REF!</v>
      </c>
      <c r="H1012" s="49">
        <v>0</v>
      </c>
      <c r="I1012" s="49" t="e">
        <v>#REF!</v>
      </c>
      <c r="J1012" s="50"/>
    </row>
    <row r="1013" outlineLevel="1" spans="1:10">
      <c r="A1013" s="50">
        <v>104</v>
      </c>
      <c r="B1013" s="51" t="str">
        <v>室内排水管-铸铁管-DN100</v>
      </c>
      <c r="C1013" s="51" t="e">
        <v>#REF!</v>
      </c>
      <c r="D1013" s="51" t="str">
        <v/>
      </c>
      <c r="E1013" s="51" t="str">
        <v/>
      </c>
      <c r="F1013" s="52" t="e">
        <v>#REF!</v>
      </c>
      <c r="G1013" s="48" t="e">
        <v>#REF!</v>
      </c>
      <c r="H1013" s="49">
        <v>0</v>
      </c>
      <c r="I1013" s="49" t="e">
        <v>#REF!</v>
      </c>
      <c r="J1013" s="50"/>
    </row>
    <row r="1014" outlineLevel="1" spans="1:10">
      <c r="A1014" s="50">
        <v>105</v>
      </c>
      <c r="B1014" s="51" t="str">
        <v>室内排水管-铸铁管-DN150</v>
      </c>
      <c r="C1014" s="51" t="e">
        <v>#REF!</v>
      </c>
      <c r="D1014" s="51" t="str">
        <v/>
      </c>
      <c r="E1014" s="51" t="str">
        <v/>
      </c>
      <c r="F1014" s="52" t="e">
        <v>#REF!</v>
      </c>
      <c r="G1014" s="48" t="e">
        <v>#REF!</v>
      </c>
      <c r="H1014" s="49">
        <v>0</v>
      </c>
      <c r="I1014" s="49" t="e">
        <v>#REF!</v>
      </c>
      <c r="J1014" s="50"/>
    </row>
    <row r="1015" outlineLevel="1" spans="1:10">
      <c r="A1015" s="50">
        <v>106</v>
      </c>
      <c r="B1015" s="51" t="str">
        <v>室内排水管-铸铁管-DN200</v>
      </c>
      <c r="C1015" s="51" t="e">
        <v>#REF!</v>
      </c>
      <c r="D1015" s="51" t="str">
        <v/>
      </c>
      <c r="E1015" s="51" t="str">
        <v/>
      </c>
      <c r="F1015" s="52" t="e">
        <v>#REF!</v>
      </c>
      <c r="G1015" s="48" t="e">
        <v>#REF!</v>
      </c>
      <c r="H1015" s="49">
        <v>0</v>
      </c>
      <c r="I1015" s="49" t="e">
        <v>#REF!</v>
      </c>
      <c r="J1015" s="50"/>
    </row>
    <row r="1016" ht="28.8" outlineLevel="1" spans="1:10">
      <c r="A1016" s="50">
        <v>107</v>
      </c>
      <c r="B1016" s="51" t="str">
        <v>车库内埋地排水管-铸铁管-DN200</v>
      </c>
      <c r="C1016" s="51" t="e">
        <v>#REF!</v>
      </c>
      <c r="D1016" s="51" t="str">
        <v/>
      </c>
      <c r="E1016" s="51" t="str">
        <v/>
      </c>
      <c r="F1016" s="52" t="e">
        <v>#REF!</v>
      </c>
      <c r="G1016" s="48" t="e">
        <v>#REF!</v>
      </c>
      <c r="H1016" s="49">
        <v>0</v>
      </c>
      <c r="I1016" s="49" t="e">
        <v>#REF!</v>
      </c>
      <c r="J1016" s="50"/>
    </row>
    <row r="1017" outlineLevel="1" spans="1:10">
      <c r="A1017" s="50">
        <v>108</v>
      </c>
      <c r="B1017" s="51" t="str">
        <v>土方开挖回填</v>
      </c>
      <c r="C1017" s="51" t="e">
        <v>#REF!</v>
      </c>
      <c r="D1017" s="51" t="str">
        <v/>
      </c>
      <c r="E1017" s="51" t="str">
        <v/>
      </c>
      <c r="F1017" s="52" t="e">
        <v>#REF!</v>
      </c>
      <c r="G1017" s="48" t="e">
        <v>#REF!</v>
      </c>
      <c r="H1017" s="49">
        <v>47</v>
      </c>
      <c r="I1017" s="49" t="e">
        <v>#REF!</v>
      </c>
      <c r="J1017" s="50"/>
    </row>
    <row r="1018" outlineLevel="1" spans="1:10">
      <c r="A1018" s="50" t="str">
        <v/>
      </c>
      <c r="B1018" s="51" t="str">
        <v>B.02.3绝热</v>
      </c>
      <c r="C1018" s="51" t="str">
        <v/>
      </c>
      <c r="D1018" s="51" t="str">
        <v/>
      </c>
      <c r="E1018" s="51" t="str">
        <v/>
      </c>
      <c r="F1018" s="52" t="str">
        <v/>
      </c>
      <c r="G1018" s="48" t="str">
        <v/>
      </c>
      <c r="H1018" s="49">
        <v>0</v>
      </c>
      <c r="I1018" s="49" t="e">
        <v>#REF!</v>
      </c>
      <c r="J1018" s="50"/>
    </row>
    <row r="1019" outlineLevel="1" spans="1:10">
      <c r="A1019" s="50">
        <v>109</v>
      </c>
      <c r="B1019" s="51" t="str">
        <v>塑料带保护层</v>
      </c>
      <c r="C1019" s="51" t="e">
        <v>#REF!</v>
      </c>
      <c r="D1019" s="51" t="str">
        <v/>
      </c>
      <c r="E1019" s="51" t="str">
        <v/>
      </c>
      <c r="F1019" s="52" t="e">
        <v>#REF!</v>
      </c>
      <c r="G1019" s="48" t="e">
        <v>#REF!</v>
      </c>
      <c r="H1019" s="49">
        <v>169.27</v>
      </c>
      <c r="I1019" s="49" t="e">
        <v>#REF!</v>
      </c>
      <c r="J1019" s="50"/>
    </row>
    <row r="1020" outlineLevel="1" spans="1:10">
      <c r="A1020" s="50">
        <v>110</v>
      </c>
      <c r="B1020" s="51" t="str">
        <v>管道绝热</v>
      </c>
      <c r="C1020" s="51" t="e">
        <v>#REF!</v>
      </c>
      <c r="D1020" s="51" t="str">
        <v/>
      </c>
      <c r="E1020" s="51" t="str">
        <v/>
      </c>
      <c r="F1020" s="52" t="e">
        <v>#REF!</v>
      </c>
      <c r="G1020" s="48" t="e">
        <v>#REF!</v>
      </c>
      <c r="H1020" s="49">
        <v>1.52</v>
      </c>
      <c r="I1020" s="49" t="e">
        <v>#REF!</v>
      </c>
      <c r="J1020" s="50"/>
    </row>
    <row r="1021" outlineLevel="1" spans="1:10">
      <c r="A1021" s="50" t="str">
        <v/>
      </c>
      <c r="B1021" s="51" t="str">
        <v>B.02.4设备</v>
      </c>
      <c r="C1021" s="51" t="str">
        <v/>
      </c>
      <c r="D1021" s="51" t="str">
        <v/>
      </c>
      <c r="E1021" s="51" t="str">
        <v/>
      </c>
      <c r="F1021" s="52" t="str">
        <v/>
      </c>
      <c r="G1021" s="48" t="str">
        <v/>
      </c>
      <c r="H1021" s="49">
        <v>0</v>
      </c>
      <c r="I1021" s="49" t="e">
        <v>#REF!</v>
      </c>
      <c r="J1021" s="50"/>
    </row>
    <row r="1022" outlineLevel="1" spans="1:10">
      <c r="A1022" s="50">
        <v>111</v>
      </c>
      <c r="B1022" s="51" t="str">
        <v>潜水排污泵1</v>
      </c>
      <c r="C1022" s="51" t="e">
        <v>#REF!</v>
      </c>
      <c r="D1022" s="51" t="str">
        <v/>
      </c>
      <c r="E1022" s="51" t="str">
        <v/>
      </c>
      <c r="F1022" s="52" t="e">
        <v>#REF!</v>
      </c>
      <c r="G1022" s="48" t="e">
        <v>#REF!</v>
      </c>
      <c r="H1022" s="49">
        <v>0</v>
      </c>
      <c r="I1022" s="49" t="e">
        <v>#REF!</v>
      </c>
      <c r="J1022" s="50"/>
    </row>
    <row r="1023" outlineLevel="1" spans="1:10">
      <c r="A1023" s="50">
        <v>112</v>
      </c>
      <c r="B1023" s="51" t="str">
        <v>潜水排污泵2</v>
      </c>
      <c r="C1023" s="51" t="e">
        <v>#REF!</v>
      </c>
      <c r="D1023" s="51" t="str">
        <v/>
      </c>
      <c r="E1023" s="51" t="str">
        <v/>
      </c>
      <c r="F1023" s="52" t="e">
        <v>#REF!</v>
      </c>
      <c r="G1023" s="48" t="e">
        <v>#REF!</v>
      </c>
      <c r="H1023" s="49">
        <v>6</v>
      </c>
      <c r="I1023" s="49" t="e">
        <v>#REF!</v>
      </c>
      <c r="J1023" s="50"/>
    </row>
    <row r="1024" outlineLevel="1" spans="1:10">
      <c r="A1024" s="50">
        <v>113</v>
      </c>
      <c r="B1024" s="51" t="str">
        <v>潜水排污泵3</v>
      </c>
      <c r="C1024" s="51" t="e">
        <v>#REF!</v>
      </c>
      <c r="D1024" s="51" t="str">
        <v/>
      </c>
      <c r="E1024" s="51" t="str">
        <v/>
      </c>
      <c r="F1024" s="52" t="e">
        <v>#REF!</v>
      </c>
      <c r="G1024" s="48" t="e">
        <v>#REF!</v>
      </c>
      <c r="H1024" s="49">
        <v>0</v>
      </c>
      <c r="I1024" s="49" t="e">
        <v>#REF!</v>
      </c>
      <c r="J1024" s="50"/>
    </row>
    <row r="1025" outlineLevel="1" spans="1:10">
      <c r="A1025" s="50">
        <v>114</v>
      </c>
      <c r="B1025" s="51" t="str">
        <v>潜水排污泵4</v>
      </c>
      <c r="C1025" s="51" t="e">
        <v>#REF!</v>
      </c>
      <c r="D1025" s="51" t="str">
        <v/>
      </c>
      <c r="E1025" s="51" t="str">
        <v/>
      </c>
      <c r="F1025" s="52" t="e">
        <v>#REF!</v>
      </c>
      <c r="G1025" s="48" t="e">
        <v>#REF!</v>
      </c>
      <c r="H1025" s="49">
        <v>0</v>
      </c>
      <c r="I1025" s="49" t="e">
        <v>#REF!</v>
      </c>
      <c r="J1025" s="50"/>
    </row>
    <row r="1026" outlineLevel="1" spans="1:10">
      <c r="A1026" s="50">
        <v>115</v>
      </c>
      <c r="B1026" s="51" t="str">
        <v>潜水排污泵5</v>
      </c>
      <c r="C1026" s="51" t="e">
        <v>#REF!</v>
      </c>
      <c r="D1026" s="51" t="str">
        <v/>
      </c>
      <c r="E1026" s="51" t="str">
        <v/>
      </c>
      <c r="F1026" s="52" t="e">
        <v>#REF!</v>
      </c>
      <c r="G1026" s="48" t="e">
        <v>#REF!</v>
      </c>
      <c r="H1026" s="49">
        <v>0</v>
      </c>
      <c r="I1026" s="49" t="e">
        <v>#REF!</v>
      </c>
      <c r="J1026" s="50"/>
    </row>
    <row r="1027" outlineLevel="1" spans="1:10">
      <c r="A1027" s="50">
        <v>116</v>
      </c>
      <c r="B1027" s="51" t="str">
        <v>潜水排污泵6</v>
      </c>
      <c r="C1027" s="51" t="e">
        <v>#REF!</v>
      </c>
      <c r="D1027" s="51" t="str">
        <v/>
      </c>
      <c r="E1027" s="51" t="str">
        <v/>
      </c>
      <c r="F1027" s="52" t="e">
        <v>#REF!</v>
      </c>
      <c r="G1027" s="48" t="e">
        <v>#REF!</v>
      </c>
      <c r="H1027" s="49">
        <v>0</v>
      </c>
      <c r="I1027" s="49" t="e">
        <v>#REF!</v>
      </c>
      <c r="J1027" s="50"/>
    </row>
    <row r="1028" outlineLevel="1" spans="1:10">
      <c r="A1028" s="50">
        <v>117</v>
      </c>
      <c r="B1028" s="51" t="str">
        <v>潜水排污泵7</v>
      </c>
      <c r="C1028" s="51" t="e">
        <v>#REF!</v>
      </c>
      <c r="D1028" s="51" t="str">
        <v/>
      </c>
      <c r="E1028" s="51" t="str">
        <v/>
      </c>
      <c r="F1028" s="52" t="e">
        <v>#REF!</v>
      </c>
      <c r="G1028" s="48" t="e">
        <v>#REF!</v>
      </c>
      <c r="H1028" s="49">
        <v>0</v>
      </c>
      <c r="I1028" s="49" t="e">
        <v>#REF!</v>
      </c>
      <c r="J1028" s="50"/>
    </row>
    <row r="1029" outlineLevel="1" spans="1:10">
      <c r="A1029" s="50">
        <v>118</v>
      </c>
      <c r="B1029" s="51" t="str">
        <v>潜水排污泵8</v>
      </c>
      <c r="C1029" s="51" t="e">
        <v>#REF!</v>
      </c>
      <c r="D1029" s="51" t="str">
        <v/>
      </c>
      <c r="E1029" s="51" t="str">
        <v/>
      </c>
      <c r="F1029" s="52" t="e">
        <v>#REF!</v>
      </c>
      <c r="G1029" s="48" t="e">
        <v>#REF!</v>
      </c>
      <c r="H1029" s="49">
        <v>0</v>
      </c>
      <c r="I1029" s="49" t="e">
        <v>#REF!</v>
      </c>
      <c r="J1029" s="50"/>
    </row>
    <row r="1030" outlineLevel="1" spans="1:10">
      <c r="A1030" s="50">
        <v>119</v>
      </c>
      <c r="B1030" s="51" t="str">
        <v>潜水排污泵9</v>
      </c>
      <c r="C1030" s="51" t="e">
        <v>#REF!</v>
      </c>
      <c r="D1030" s="51" t="str">
        <v/>
      </c>
      <c r="E1030" s="51" t="str">
        <v/>
      </c>
      <c r="F1030" s="52" t="e">
        <v>#REF!</v>
      </c>
      <c r="G1030" s="48" t="e">
        <v>#REF!</v>
      </c>
      <c r="H1030" s="49">
        <v>0</v>
      </c>
      <c r="I1030" s="49" t="e">
        <v>#REF!</v>
      </c>
      <c r="J1030" s="50"/>
    </row>
    <row r="1031" outlineLevel="1" spans="1:10">
      <c r="A1031" s="50">
        <v>120</v>
      </c>
      <c r="B1031" s="51" t="str">
        <v>潜水排污泵10</v>
      </c>
      <c r="C1031" s="51" t="e">
        <v>#REF!</v>
      </c>
      <c r="D1031" s="51" t="str">
        <v/>
      </c>
      <c r="E1031" s="51" t="str">
        <v/>
      </c>
      <c r="F1031" s="52" t="e">
        <v>#REF!</v>
      </c>
      <c r="G1031" s="48" t="e">
        <v>#REF!</v>
      </c>
      <c r="H1031" s="49">
        <v>0</v>
      </c>
      <c r="I1031" s="49" t="e">
        <v>#REF!</v>
      </c>
      <c r="J1031" s="50"/>
    </row>
    <row r="1032" outlineLevel="1" spans="1:10">
      <c r="A1032" s="50">
        <v>121</v>
      </c>
      <c r="B1032" s="51" t="str">
        <v>潜水排污泵11</v>
      </c>
      <c r="C1032" s="51" t="e">
        <v>#REF!</v>
      </c>
      <c r="D1032" s="51" t="str">
        <v/>
      </c>
      <c r="E1032" s="51" t="str">
        <v/>
      </c>
      <c r="F1032" s="52" t="e">
        <v>#REF!</v>
      </c>
      <c r="G1032" s="48" t="e">
        <v>#REF!</v>
      </c>
      <c r="H1032" s="49">
        <v>0</v>
      </c>
      <c r="I1032" s="49" t="e">
        <v>#REF!</v>
      </c>
      <c r="J1032" s="50"/>
    </row>
    <row r="1033" outlineLevel="1" spans="1:10">
      <c r="A1033" s="50">
        <v>122</v>
      </c>
      <c r="B1033" s="51" t="str">
        <v>自耦装置</v>
      </c>
      <c r="C1033" s="51" t="e">
        <v>#REF!</v>
      </c>
      <c r="D1033" s="51" t="str">
        <v/>
      </c>
      <c r="E1033" s="51" t="str">
        <v/>
      </c>
      <c r="F1033" s="52" t="e">
        <v>#REF!</v>
      </c>
      <c r="G1033" s="48" t="e">
        <v>#REF!</v>
      </c>
      <c r="H1033" s="49">
        <v>0</v>
      </c>
      <c r="I1033" s="49" t="e">
        <v>#REF!</v>
      </c>
      <c r="J1033" s="50"/>
    </row>
    <row r="1034" outlineLevel="1" spans="1:10">
      <c r="A1034" s="50" t="str">
        <v/>
      </c>
      <c r="B1034" s="51" t="str">
        <v>B.02.5卫生器具</v>
      </c>
      <c r="C1034" s="51" t="str">
        <v/>
      </c>
      <c r="D1034" s="51" t="str">
        <v/>
      </c>
      <c r="E1034" s="51" t="str">
        <v/>
      </c>
      <c r="F1034" s="52" t="str">
        <v/>
      </c>
      <c r="G1034" s="48" t="str">
        <v/>
      </c>
      <c r="H1034" s="49">
        <v>0</v>
      </c>
      <c r="I1034" s="49" t="e">
        <v>#REF!</v>
      </c>
      <c r="J1034" s="50"/>
    </row>
    <row r="1035" outlineLevel="1" spans="1:10">
      <c r="A1035" s="50">
        <v>123</v>
      </c>
      <c r="B1035" s="51" t="str">
        <v>铸铁地漏-DN100</v>
      </c>
      <c r="C1035" s="51" t="e">
        <v>#REF!</v>
      </c>
      <c r="D1035" s="51" t="str">
        <v/>
      </c>
      <c r="E1035" s="51" t="str">
        <v/>
      </c>
      <c r="F1035" s="52" t="e">
        <v>#REF!</v>
      </c>
      <c r="G1035" s="48" t="e">
        <v>#REF!</v>
      </c>
      <c r="H1035" s="49">
        <v>0</v>
      </c>
      <c r="I1035" s="49" t="e">
        <v>#REF!</v>
      </c>
      <c r="J1035" s="50"/>
    </row>
    <row r="1036" outlineLevel="1" spans="1:10">
      <c r="A1036" s="50">
        <v>124</v>
      </c>
      <c r="B1036" s="51" t="str">
        <v>铸铁地漏-DN75</v>
      </c>
      <c r="C1036" s="51" t="e">
        <v>#REF!</v>
      </c>
      <c r="D1036" s="51" t="str">
        <v/>
      </c>
      <c r="E1036" s="51" t="str">
        <v/>
      </c>
      <c r="F1036" s="52" t="e">
        <v>#REF!</v>
      </c>
      <c r="G1036" s="48" t="e">
        <v>#REF!</v>
      </c>
      <c r="H1036" s="49">
        <v>6</v>
      </c>
      <c r="I1036" s="49" t="e">
        <v>#REF!</v>
      </c>
      <c r="J1036" s="50"/>
    </row>
    <row r="1037" outlineLevel="1" spans="1:10">
      <c r="A1037" s="50">
        <v>125</v>
      </c>
      <c r="B1037" s="51" t="str">
        <v>铸铁地漏-DN50</v>
      </c>
      <c r="C1037" s="51" t="e">
        <v>#REF!</v>
      </c>
      <c r="D1037" s="51" t="str">
        <v/>
      </c>
      <c r="E1037" s="51" t="str">
        <v/>
      </c>
      <c r="F1037" s="52" t="e">
        <v>#REF!</v>
      </c>
      <c r="G1037" s="48" t="e">
        <v>#REF!</v>
      </c>
      <c r="H1037" s="49">
        <v>0</v>
      </c>
      <c r="I1037" s="49" t="e">
        <v>#REF!</v>
      </c>
      <c r="J1037" s="50"/>
    </row>
    <row r="1038" outlineLevel="1" spans="1:10">
      <c r="A1038" s="50">
        <v>126</v>
      </c>
      <c r="B1038" s="51" t="str">
        <v>防爆地漏-DN80</v>
      </c>
      <c r="C1038" s="51" t="e">
        <v>#REF!</v>
      </c>
      <c r="D1038" s="51" t="str">
        <v/>
      </c>
      <c r="E1038" s="51" t="str">
        <v/>
      </c>
      <c r="F1038" s="52" t="e">
        <v>#REF!</v>
      </c>
      <c r="G1038" s="48" t="e">
        <v>#REF!</v>
      </c>
      <c r="H1038" s="49">
        <v>0</v>
      </c>
      <c r="I1038" s="49" t="e">
        <v>#REF!</v>
      </c>
      <c r="J1038" s="50"/>
    </row>
    <row r="1039" outlineLevel="1" spans="1:10">
      <c r="A1039" s="50">
        <v>127</v>
      </c>
      <c r="B1039" s="51" t="str">
        <v>地面铸铁扫除口-DN80</v>
      </c>
      <c r="C1039" s="51" t="e">
        <v>#REF!</v>
      </c>
      <c r="D1039" s="51" t="str">
        <v/>
      </c>
      <c r="E1039" s="51" t="str">
        <v/>
      </c>
      <c r="F1039" s="52" t="e">
        <v>#REF!</v>
      </c>
      <c r="G1039" s="48" t="e">
        <v>#REF!</v>
      </c>
      <c r="H1039" s="49">
        <v>0</v>
      </c>
      <c r="I1039" s="49" t="e">
        <v>#REF!</v>
      </c>
      <c r="J1039" s="50"/>
    </row>
    <row r="1040" outlineLevel="1" spans="1:10">
      <c r="A1040" s="50" t="str">
        <v/>
      </c>
      <c r="B1040" s="51" t="str">
        <v>B.03地下预留预埋</v>
      </c>
      <c r="C1040" s="51" t="str">
        <v/>
      </c>
      <c r="D1040" s="51" t="str">
        <v/>
      </c>
      <c r="E1040" s="51" t="str">
        <v/>
      </c>
      <c r="F1040" s="52" t="str">
        <v/>
      </c>
      <c r="G1040" s="48" t="str">
        <v/>
      </c>
      <c r="H1040" s="49">
        <v>0</v>
      </c>
      <c r="I1040" s="49" t="e">
        <v>#REF!</v>
      </c>
      <c r="J1040" s="50"/>
    </row>
    <row r="1041" outlineLevel="1" spans="1:10">
      <c r="A1041" s="50" t="str">
        <v/>
      </c>
      <c r="B1041" s="51" t="str">
        <v>B.03.1给排水预留预埋</v>
      </c>
      <c r="C1041" s="51" t="str">
        <v/>
      </c>
      <c r="D1041" s="51" t="str">
        <v/>
      </c>
      <c r="E1041" s="51" t="str">
        <v/>
      </c>
      <c r="F1041" s="52" t="str">
        <v/>
      </c>
      <c r="G1041" s="48" t="str">
        <v/>
      </c>
      <c r="H1041" s="49">
        <v>0</v>
      </c>
      <c r="I1041" s="49" t="e">
        <v>#REF!</v>
      </c>
      <c r="J1041" s="50"/>
    </row>
    <row r="1042" outlineLevel="1" spans="1:10">
      <c r="A1042" s="50">
        <v>128</v>
      </c>
      <c r="B1042" s="51" t="str">
        <v>刚性防水套管-DN20</v>
      </c>
      <c r="C1042" s="51" t="e">
        <v>#REF!</v>
      </c>
      <c r="D1042" s="51" t="str">
        <v/>
      </c>
      <c r="E1042" s="51" t="str">
        <v/>
      </c>
      <c r="F1042" s="52" t="e">
        <v>#REF!</v>
      </c>
      <c r="G1042" s="48" t="e">
        <v>#REF!</v>
      </c>
      <c r="H1042" s="49">
        <v>1</v>
      </c>
      <c r="I1042" s="49" t="e">
        <v>#REF!</v>
      </c>
      <c r="J1042" s="50"/>
    </row>
    <row r="1043" outlineLevel="1" spans="1:10">
      <c r="A1043" s="50">
        <v>129</v>
      </c>
      <c r="B1043" s="51" t="str">
        <v>刚性防水套管-DN50</v>
      </c>
      <c r="C1043" s="51" t="e">
        <v>#REF!</v>
      </c>
      <c r="D1043" s="51" t="str">
        <v/>
      </c>
      <c r="E1043" s="51" t="str">
        <v/>
      </c>
      <c r="F1043" s="52" t="e">
        <v>#REF!</v>
      </c>
      <c r="G1043" s="48" t="e">
        <v>#REF!</v>
      </c>
      <c r="H1043" s="49">
        <v>6</v>
      </c>
      <c r="I1043" s="49" t="e">
        <v>#REF!</v>
      </c>
      <c r="J1043" s="50"/>
    </row>
    <row r="1044" outlineLevel="1" spans="1:10">
      <c r="A1044" s="50">
        <v>130</v>
      </c>
      <c r="B1044" s="51" t="str">
        <v>刚性防水套管-De63</v>
      </c>
      <c r="C1044" s="51" t="e">
        <v>#REF!</v>
      </c>
      <c r="D1044" s="51" t="str">
        <v/>
      </c>
      <c r="E1044" s="51" t="str">
        <v/>
      </c>
      <c r="F1044" s="52" t="e">
        <v>#REF!</v>
      </c>
      <c r="G1044" s="48" t="e">
        <v>#REF!</v>
      </c>
      <c r="H1044" s="49">
        <v>3</v>
      </c>
      <c r="I1044" s="49" t="e">
        <v>#REF!</v>
      </c>
      <c r="J1044" s="50"/>
    </row>
    <row r="1045" outlineLevel="1" spans="1:10">
      <c r="A1045" s="50">
        <v>131</v>
      </c>
      <c r="B1045" s="51" t="str">
        <v>刚性防水套管-De75</v>
      </c>
      <c r="C1045" s="51" t="e">
        <v>#REF!</v>
      </c>
      <c r="D1045" s="51" t="str">
        <v/>
      </c>
      <c r="E1045" s="51" t="str">
        <v/>
      </c>
      <c r="F1045" s="52" t="e">
        <v>#REF!</v>
      </c>
      <c r="G1045" s="48" t="e">
        <v>#REF!</v>
      </c>
      <c r="H1045" s="49">
        <v>6</v>
      </c>
      <c r="I1045" s="49" t="e">
        <v>#REF!</v>
      </c>
      <c r="J1045" s="50"/>
    </row>
    <row r="1046" outlineLevel="1" spans="1:10">
      <c r="A1046" s="50">
        <v>132</v>
      </c>
      <c r="B1046" s="51" t="str">
        <v>刚性防水套管-DN80</v>
      </c>
      <c r="C1046" s="51" t="e">
        <v>#REF!</v>
      </c>
      <c r="D1046" s="51" t="str">
        <v/>
      </c>
      <c r="E1046" s="51" t="str">
        <v/>
      </c>
      <c r="F1046" s="52" t="e">
        <v>#REF!</v>
      </c>
      <c r="G1046" s="48" t="e">
        <v>#REF!</v>
      </c>
      <c r="H1046" s="49">
        <v>3</v>
      </c>
      <c r="I1046" s="49" t="e">
        <v>#REF!</v>
      </c>
      <c r="J1046" s="50"/>
    </row>
    <row r="1047" outlineLevel="1" spans="1:10">
      <c r="A1047" s="50">
        <v>133</v>
      </c>
      <c r="B1047" s="51" t="str">
        <v>刚性防水套管-De110</v>
      </c>
      <c r="C1047" s="51" t="e">
        <v>#REF!</v>
      </c>
      <c r="D1047" s="51" t="str">
        <v/>
      </c>
      <c r="E1047" s="51" t="str">
        <v/>
      </c>
      <c r="F1047" s="52" t="e">
        <v>#REF!</v>
      </c>
      <c r="G1047" s="48" t="e">
        <v>#REF!</v>
      </c>
      <c r="H1047" s="49">
        <v>19</v>
      </c>
      <c r="I1047" s="49" t="e">
        <v>#REF!</v>
      </c>
      <c r="J1047" s="50"/>
    </row>
    <row r="1048" outlineLevel="1" spans="1:10">
      <c r="A1048" s="50">
        <v>134</v>
      </c>
      <c r="B1048" s="51" t="str">
        <v>刚性防水套管-DN100</v>
      </c>
      <c r="C1048" s="51" t="e">
        <v>#REF!</v>
      </c>
      <c r="D1048" s="51" t="str">
        <v/>
      </c>
      <c r="E1048" s="51" t="str">
        <v/>
      </c>
      <c r="F1048" s="52" t="e">
        <v>#REF!</v>
      </c>
      <c r="G1048" s="48" t="e">
        <v>#REF!</v>
      </c>
      <c r="H1048" s="49">
        <v>0</v>
      </c>
      <c r="I1048" s="49" t="e">
        <v>#REF!</v>
      </c>
      <c r="J1048" s="50"/>
    </row>
    <row r="1049" outlineLevel="1" spans="1:10">
      <c r="A1049" s="50">
        <v>135</v>
      </c>
      <c r="B1049" s="51" t="str">
        <v>刚性防水套管-De160</v>
      </c>
      <c r="C1049" s="51" t="e">
        <v>#REF!</v>
      </c>
      <c r="D1049" s="51" t="str">
        <v/>
      </c>
      <c r="E1049" s="51" t="str">
        <v/>
      </c>
      <c r="F1049" s="52" t="e">
        <v>#REF!</v>
      </c>
      <c r="G1049" s="48" t="e">
        <v>#REF!</v>
      </c>
      <c r="H1049" s="49">
        <v>19</v>
      </c>
      <c r="I1049" s="49" t="e">
        <v>#REF!</v>
      </c>
      <c r="J1049" s="50"/>
    </row>
    <row r="1050" outlineLevel="1" spans="1:10">
      <c r="A1050" s="50">
        <v>136</v>
      </c>
      <c r="B1050" s="51" t="str">
        <v>刚性防水套管-DN125</v>
      </c>
      <c r="C1050" s="51" t="e">
        <v>#REF!</v>
      </c>
      <c r="D1050" s="51" t="str">
        <v/>
      </c>
      <c r="E1050" s="51" t="str">
        <v/>
      </c>
      <c r="F1050" s="52" t="e">
        <v>#REF!</v>
      </c>
      <c r="G1050" s="48" t="e">
        <v>#REF!</v>
      </c>
      <c r="H1050" s="49">
        <v>0</v>
      </c>
      <c r="I1050" s="49" t="e">
        <v>#REF!</v>
      </c>
      <c r="J1050" s="50"/>
    </row>
    <row r="1051" outlineLevel="1" spans="1:10">
      <c r="A1051" s="50">
        <v>137</v>
      </c>
      <c r="B1051" s="51" t="str">
        <v>刚性防水套管-DN150</v>
      </c>
      <c r="C1051" s="51" t="e">
        <v>#REF!</v>
      </c>
      <c r="D1051" s="51" t="str">
        <v/>
      </c>
      <c r="E1051" s="51" t="str">
        <v/>
      </c>
      <c r="F1051" s="52" t="e">
        <v>#REF!</v>
      </c>
      <c r="G1051" s="48" t="e">
        <v>#REF!</v>
      </c>
      <c r="H1051" s="49">
        <v>0</v>
      </c>
      <c r="I1051" s="49" t="e">
        <v>#REF!</v>
      </c>
      <c r="J1051" s="50"/>
    </row>
    <row r="1052" outlineLevel="1" spans="1:10">
      <c r="A1052" s="50">
        <v>138</v>
      </c>
      <c r="B1052" s="51" t="str">
        <v>刚性防水套管-DN200</v>
      </c>
      <c r="C1052" s="51" t="e">
        <v>#REF!</v>
      </c>
      <c r="D1052" s="51" t="str">
        <v/>
      </c>
      <c r="E1052" s="51" t="str">
        <v/>
      </c>
      <c r="F1052" s="52" t="e">
        <v>#REF!</v>
      </c>
      <c r="G1052" s="48" t="e">
        <v>#REF!</v>
      </c>
      <c r="H1052" s="49">
        <v>0</v>
      </c>
      <c r="I1052" s="49" t="e">
        <v>#REF!</v>
      </c>
      <c r="J1052" s="50"/>
    </row>
    <row r="1053" outlineLevel="1" spans="1:10">
      <c r="A1053" s="50">
        <v>139</v>
      </c>
      <c r="B1053" s="51" t="str">
        <v>刚性防水套管-DN250</v>
      </c>
      <c r="C1053" s="51" t="e">
        <v>#REF!</v>
      </c>
      <c r="D1053" s="51" t="str">
        <v/>
      </c>
      <c r="E1053" s="51" t="str">
        <v/>
      </c>
      <c r="F1053" s="52" t="e">
        <v>#REF!</v>
      </c>
      <c r="G1053" s="48" t="e">
        <v>#REF!</v>
      </c>
      <c r="H1053" s="49">
        <v>0</v>
      </c>
      <c r="I1053" s="49" t="e">
        <v>#REF!</v>
      </c>
      <c r="J1053" s="50"/>
    </row>
    <row r="1054" outlineLevel="1" spans="1:10">
      <c r="A1054" s="50">
        <v>140</v>
      </c>
      <c r="B1054" s="51" t="str">
        <v>刚性防水套管-DN300</v>
      </c>
      <c r="C1054" s="51" t="e">
        <v>#REF!</v>
      </c>
      <c r="D1054" s="51" t="str">
        <v/>
      </c>
      <c r="E1054" s="51" t="str">
        <v/>
      </c>
      <c r="F1054" s="52" t="e">
        <v>#REF!</v>
      </c>
      <c r="G1054" s="48" t="e">
        <v>#REF!</v>
      </c>
      <c r="H1054" s="49">
        <v>0</v>
      </c>
      <c r="I1054" s="49" t="e">
        <v>#REF!</v>
      </c>
      <c r="J1054" s="50"/>
    </row>
    <row r="1055" outlineLevel="1" spans="1:10">
      <c r="A1055" s="50" t="str">
        <v/>
      </c>
      <c r="B1055" s="51" t="str">
        <v>B.03.2消防预留预埋</v>
      </c>
      <c r="C1055" s="51" t="str">
        <v/>
      </c>
      <c r="D1055" s="51" t="str">
        <v/>
      </c>
      <c r="E1055" s="51" t="str">
        <v/>
      </c>
      <c r="F1055" s="52" t="str">
        <v/>
      </c>
      <c r="G1055" s="48" t="str">
        <v/>
      </c>
      <c r="H1055" s="49">
        <v>0</v>
      </c>
      <c r="I1055" s="49" t="e">
        <v>#REF!</v>
      </c>
      <c r="J1055" s="50"/>
    </row>
    <row r="1056" outlineLevel="1" spans="1:10">
      <c r="A1056" s="50">
        <v>141</v>
      </c>
      <c r="B1056" s="51" t="str">
        <v>刚性防水套管-DN100</v>
      </c>
      <c r="C1056" s="51" t="e">
        <v>#REF!</v>
      </c>
      <c r="D1056" s="51" t="str">
        <v/>
      </c>
      <c r="E1056" s="51" t="str">
        <v/>
      </c>
      <c r="F1056" s="52" t="e">
        <v>#REF!</v>
      </c>
      <c r="G1056" s="48" t="e">
        <v>#REF!</v>
      </c>
      <c r="H1056" s="49">
        <v>4</v>
      </c>
      <c r="I1056" s="49" t="e">
        <v>#REF!</v>
      </c>
      <c r="J1056" s="50"/>
    </row>
    <row r="1057" outlineLevel="1" spans="1:10">
      <c r="A1057" s="50">
        <v>142</v>
      </c>
      <c r="B1057" s="51" t="str">
        <v>刚性防水套管-DN150</v>
      </c>
      <c r="C1057" s="51" t="e">
        <v>#REF!</v>
      </c>
      <c r="D1057" s="51" t="str">
        <v/>
      </c>
      <c r="E1057" s="51" t="str">
        <v/>
      </c>
      <c r="F1057" s="52" t="e">
        <v>#REF!</v>
      </c>
      <c r="G1057" s="48" t="e">
        <v>#REF!</v>
      </c>
      <c r="H1057" s="49">
        <v>0</v>
      </c>
      <c r="I1057" s="49" t="e">
        <v>#REF!</v>
      </c>
      <c r="J1057" s="50"/>
    </row>
    <row r="1058" outlineLevel="1" spans="1:10">
      <c r="A1058" s="50">
        <v>143</v>
      </c>
      <c r="B1058" s="51" t="str">
        <v>柔性防水套管-DN50</v>
      </c>
      <c r="C1058" s="51" t="e">
        <v>#REF!</v>
      </c>
      <c r="D1058" s="51" t="str">
        <v/>
      </c>
      <c r="E1058" s="51" t="str">
        <v/>
      </c>
      <c r="F1058" s="52" t="e">
        <v>#REF!</v>
      </c>
      <c r="G1058" s="48" t="e">
        <v>#REF!</v>
      </c>
      <c r="H1058" s="49">
        <v>0</v>
      </c>
      <c r="I1058" s="49" t="e">
        <v>#REF!</v>
      </c>
      <c r="J1058" s="50"/>
    </row>
    <row r="1059" outlineLevel="1" spans="1:10">
      <c r="A1059" s="50">
        <v>144</v>
      </c>
      <c r="B1059" s="51" t="str">
        <v>柔性防水套管-DN65</v>
      </c>
      <c r="C1059" s="51" t="e">
        <v>#REF!</v>
      </c>
      <c r="D1059" s="51" t="str">
        <v/>
      </c>
      <c r="E1059" s="51" t="str">
        <v/>
      </c>
      <c r="F1059" s="52" t="e">
        <v>#REF!</v>
      </c>
      <c r="G1059" s="48" t="e">
        <v>#REF!</v>
      </c>
      <c r="H1059" s="49">
        <v>0</v>
      </c>
      <c r="I1059" s="49" t="e">
        <v>#REF!</v>
      </c>
      <c r="J1059" s="50"/>
    </row>
    <row r="1060" outlineLevel="1" spans="1:10">
      <c r="A1060" s="50">
        <v>145</v>
      </c>
      <c r="B1060" s="51" t="str">
        <v>柔性防水套管-DN80</v>
      </c>
      <c r="C1060" s="51" t="e">
        <v>#REF!</v>
      </c>
      <c r="D1060" s="51" t="str">
        <v/>
      </c>
      <c r="E1060" s="51" t="str">
        <v/>
      </c>
      <c r="F1060" s="52" t="e">
        <v>#REF!</v>
      </c>
      <c r="G1060" s="48" t="e">
        <v>#REF!</v>
      </c>
      <c r="H1060" s="49">
        <v>0</v>
      </c>
      <c r="I1060" s="49" t="e">
        <v>#REF!</v>
      </c>
      <c r="J1060" s="50"/>
    </row>
    <row r="1061" outlineLevel="1" spans="1:10">
      <c r="A1061" s="50">
        <v>146</v>
      </c>
      <c r="B1061" s="51" t="str">
        <v>柔性防水套管-DN100</v>
      </c>
      <c r="C1061" s="51" t="e">
        <v>#REF!</v>
      </c>
      <c r="D1061" s="51" t="str">
        <v/>
      </c>
      <c r="E1061" s="51" t="str">
        <v/>
      </c>
      <c r="F1061" s="52" t="e">
        <v>#REF!</v>
      </c>
      <c r="G1061" s="48" t="e">
        <v>#REF!</v>
      </c>
      <c r="H1061" s="49">
        <v>0</v>
      </c>
      <c r="I1061" s="49" t="e">
        <v>#REF!</v>
      </c>
      <c r="J1061" s="50"/>
    </row>
    <row r="1062" outlineLevel="1" spans="1:10">
      <c r="A1062" s="50">
        <v>147</v>
      </c>
      <c r="B1062" s="51" t="str">
        <v>柔性防水套管-DN125</v>
      </c>
      <c r="C1062" s="51" t="e">
        <v>#REF!</v>
      </c>
      <c r="D1062" s="51" t="str">
        <v/>
      </c>
      <c r="E1062" s="51" t="str">
        <v/>
      </c>
      <c r="F1062" s="52" t="e">
        <v>#REF!</v>
      </c>
      <c r="G1062" s="48" t="e">
        <v>#REF!</v>
      </c>
      <c r="H1062" s="49">
        <v>0</v>
      </c>
      <c r="I1062" s="49" t="e">
        <v>#REF!</v>
      </c>
      <c r="J1062" s="50"/>
    </row>
    <row r="1063" outlineLevel="1" spans="1:10">
      <c r="A1063" s="50">
        <v>148</v>
      </c>
      <c r="B1063" s="51" t="str">
        <v>柔性防水套管-DN150</v>
      </c>
      <c r="C1063" s="51" t="e">
        <v>#REF!</v>
      </c>
      <c r="D1063" s="51" t="str">
        <v/>
      </c>
      <c r="E1063" s="51" t="str">
        <v/>
      </c>
      <c r="F1063" s="52" t="e">
        <v>#REF!</v>
      </c>
      <c r="G1063" s="48" t="e">
        <v>#REF!</v>
      </c>
      <c r="H1063" s="49">
        <v>0</v>
      </c>
      <c r="I1063" s="49" t="e">
        <v>#REF!</v>
      </c>
      <c r="J1063" s="50"/>
    </row>
    <row r="1064" outlineLevel="1" spans="1:10">
      <c r="A1064" s="50">
        <v>149</v>
      </c>
      <c r="B1064" s="51" t="str">
        <v>柔性防水套管-DN200</v>
      </c>
      <c r="C1064" s="51" t="e">
        <v>#REF!</v>
      </c>
      <c r="D1064" s="51" t="str">
        <v/>
      </c>
      <c r="E1064" s="51" t="str">
        <v/>
      </c>
      <c r="F1064" s="52" t="e">
        <v>#REF!</v>
      </c>
      <c r="G1064" s="48" t="e">
        <v>#REF!</v>
      </c>
      <c r="H1064" s="49">
        <v>0</v>
      </c>
      <c r="I1064" s="49" t="e">
        <v>#REF!</v>
      </c>
      <c r="J1064" s="50"/>
    </row>
    <row r="1065" outlineLevel="1" spans="1:10">
      <c r="A1065" s="50">
        <v>150</v>
      </c>
      <c r="B1065" s="51" t="str">
        <v>柔性防水套管-DN250</v>
      </c>
      <c r="C1065" s="51" t="e">
        <v>#REF!</v>
      </c>
      <c r="D1065" s="51" t="str">
        <v/>
      </c>
      <c r="E1065" s="51" t="str">
        <v/>
      </c>
      <c r="F1065" s="52" t="e">
        <v>#REF!</v>
      </c>
      <c r="G1065" s="48" t="e">
        <v>#REF!</v>
      </c>
      <c r="H1065" s="49">
        <v>0</v>
      </c>
      <c r="I1065" s="49" t="e">
        <v>#REF!</v>
      </c>
      <c r="J1065" s="50"/>
    </row>
    <row r="1066" outlineLevel="1" spans="1:10">
      <c r="A1066" s="50">
        <v>151</v>
      </c>
      <c r="B1066" s="51" t="str">
        <v>柔性防水套管-DN300</v>
      </c>
      <c r="C1066" s="51" t="e">
        <v>#REF!</v>
      </c>
      <c r="D1066" s="51" t="str">
        <v/>
      </c>
      <c r="E1066" s="51" t="str">
        <v/>
      </c>
      <c r="F1066" s="52" t="e">
        <v>#REF!</v>
      </c>
      <c r="G1066" s="48" t="e">
        <v>#REF!</v>
      </c>
      <c r="H1066" s="49">
        <v>0</v>
      </c>
      <c r="I1066" s="49" t="e">
        <v>#REF!</v>
      </c>
      <c r="J1066" s="50"/>
    </row>
    <row r="1067" outlineLevel="1" spans="1:10">
      <c r="A1067" s="50">
        <v>152</v>
      </c>
      <c r="B1067" s="51" t="str">
        <v>柔性防水套管-DN350</v>
      </c>
      <c r="C1067" s="51" t="e">
        <v>#REF!</v>
      </c>
      <c r="D1067" s="51" t="str">
        <v/>
      </c>
      <c r="E1067" s="51" t="str">
        <v/>
      </c>
      <c r="F1067" s="52" t="e">
        <v>#REF!</v>
      </c>
      <c r="G1067" s="48" t="e">
        <v>#REF!</v>
      </c>
      <c r="H1067" s="49">
        <v>0</v>
      </c>
      <c r="I1067" s="49" t="e">
        <v>#REF!</v>
      </c>
      <c r="J1067" s="50"/>
    </row>
    <row r="1068" outlineLevel="1" spans="1:10">
      <c r="A1068" s="50">
        <v>153</v>
      </c>
      <c r="B1068" s="51" t="str">
        <v>柔性防水套管-DN400</v>
      </c>
      <c r="C1068" s="51" t="e">
        <v>#REF!</v>
      </c>
      <c r="D1068" s="51" t="str">
        <v/>
      </c>
      <c r="E1068" s="51" t="str">
        <v/>
      </c>
      <c r="F1068" s="52" t="e">
        <v>#REF!</v>
      </c>
      <c r="G1068" s="48" t="e">
        <v>#REF!</v>
      </c>
      <c r="H1068" s="49">
        <v>0</v>
      </c>
      <c r="I1068" s="49" t="e">
        <v>#REF!</v>
      </c>
      <c r="J1068" s="50"/>
    </row>
    <row r="1069" outlineLevel="1" spans="1:10">
      <c r="A1069" s="50">
        <v>154</v>
      </c>
      <c r="B1069" s="51" t="str">
        <v>消防钢套管-DN65</v>
      </c>
      <c r="C1069" s="51" t="e">
        <v>#REF!</v>
      </c>
      <c r="D1069" s="51" t="str">
        <v/>
      </c>
      <c r="E1069" s="51" t="str">
        <v/>
      </c>
      <c r="F1069" s="52" t="e">
        <v>#REF!</v>
      </c>
      <c r="G1069" s="48" t="e">
        <v>#REF!</v>
      </c>
      <c r="H1069" s="49">
        <v>0</v>
      </c>
      <c r="I1069" s="49" t="e">
        <v>#REF!</v>
      </c>
      <c r="J1069" s="50"/>
    </row>
    <row r="1070" outlineLevel="1" spans="1:10">
      <c r="A1070" s="50">
        <v>155</v>
      </c>
      <c r="B1070" s="51" t="str">
        <v>消防钢套管-DN150</v>
      </c>
      <c r="C1070" s="51" t="e">
        <v>#REF!</v>
      </c>
      <c r="D1070" s="51" t="str">
        <v/>
      </c>
      <c r="E1070" s="51" t="str">
        <v/>
      </c>
      <c r="F1070" s="52" t="e">
        <v>#REF!</v>
      </c>
      <c r="G1070" s="48" t="e">
        <v>#REF!</v>
      </c>
      <c r="H1070" s="49">
        <v>0</v>
      </c>
      <c r="I1070" s="49" t="e">
        <v>#REF!</v>
      </c>
      <c r="J1070" s="50"/>
    </row>
    <row r="1071" outlineLevel="1" spans="1:10">
      <c r="A1071" s="50">
        <v>156</v>
      </c>
      <c r="B1071" s="51" t="str">
        <v>消防钢套管-DN250</v>
      </c>
      <c r="C1071" s="51" t="e">
        <v>#REF!</v>
      </c>
      <c r="D1071" s="51" t="str">
        <v/>
      </c>
      <c r="E1071" s="51" t="str">
        <v/>
      </c>
      <c r="F1071" s="52" t="e">
        <v>#REF!</v>
      </c>
      <c r="G1071" s="48" t="e">
        <v>#REF!</v>
      </c>
      <c r="H1071" s="49">
        <v>0</v>
      </c>
      <c r="I1071" s="49" t="e">
        <v>#REF!</v>
      </c>
      <c r="J1071" s="50"/>
    </row>
    <row r="1072" outlineLevel="1" spans="1:10">
      <c r="A1072" s="50" t="str">
        <v/>
      </c>
      <c r="B1072" s="51" t="str">
        <v>地上给排水</v>
      </c>
      <c r="C1072" s="51" t="str">
        <v/>
      </c>
      <c r="D1072" s="51" t="str">
        <v/>
      </c>
      <c r="E1072" s="51" t="str">
        <v/>
      </c>
      <c r="F1072" s="52" t="str">
        <v/>
      </c>
      <c r="G1072" s="48" t="str">
        <v/>
      </c>
      <c r="H1072" s="49">
        <v>0</v>
      </c>
      <c r="I1072" s="49" t="e">
        <v>#REF!</v>
      </c>
      <c r="J1072" s="50"/>
    </row>
    <row r="1073" outlineLevel="1" spans="1:10">
      <c r="A1073" s="50" t="str">
        <v/>
      </c>
      <c r="B1073" s="51" t="str">
        <v>B.04地上户内给水</v>
      </c>
      <c r="C1073" s="51" t="str">
        <v/>
      </c>
      <c r="D1073" s="51" t="str">
        <v/>
      </c>
      <c r="E1073" s="51" t="str">
        <v/>
      </c>
      <c r="F1073" s="52" t="str">
        <v/>
      </c>
      <c r="G1073" s="48" t="str">
        <v/>
      </c>
      <c r="H1073" s="49">
        <v>0</v>
      </c>
      <c r="I1073" s="49" t="e">
        <v>#REF!</v>
      </c>
      <c r="J1073" s="50"/>
    </row>
    <row r="1074" outlineLevel="1" spans="1:10">
      <c r="A1074" s="50" t="str">
        <v/>
      </c>
      <c r="B1074" s="51" t="str">
        <v>B.04.1阀部件</v>
      </c>
      <c r="C1074" s="51" t="str">
        <v/>
      </c>
      <c r="D1074" s="51" t="str">
        <v/>
      </c>
      <c r="E1074" s="51" t="str">
        <v/>
      </c>
      <c r="F1074" s="52" t="str">
        <v/>
      </c>
      <c r="G1074" s="48" t="str">
        <v/>
      </c>
      <c r="H1074" s="49">
        <v>0</v>
      </c>
      <c r="I1074" s="49" t="e">
        <v>#REF!</v>
      </c>
      <c r="J1074" s="50"/>
    </row>
    <row r="1075" outlineLevel="1" spans="1:10">
      <c r="A1075" s="50">
        <v>157</v>
      </c>
      <c r="B1075" s="51" t="str">
        <v>螺纹阀门-截止阀-De32</v>
      </c>
      <c r="C1075" s="51" t="e">
        <v>#REF!</v>
      </c>
      <c r="D1075" s="51" t="str">
        <v/>
      </c>
      <c r="E1075" s="51" t="str">
        <v/>
      </c>
      <c r="F1075" s="52" t="e">
        <v>#REF!</v>
      </c>
      <c r="G1075" s="48" t="e">
        <v>#REF!</v>
      </c>
      <c r="H1075" s="49">
        <v>0</v>
      </c>
      <c r="I1075" s="49" t="e">
        <v>#REF!</v>
      </c>
      <c r="J1075" s="50"/>
    </row>
    <row r="1076" outlineLevel="1" spans="1:10">
      <c r="A1076" s="50">
        <v>158</v>
      </c>
      <c r="B1076" s="51" t="str">
        <v>螺纹阀门-截止阀-De25</v>
      </c>
      <c r="C1076" s="51" t="e">
        <v>#REF!</v>
      </c>
      <c r="D1076" s="51" t="str">
        <v/>
      </c>
      <c r="E1076" s="51" t="str">
        <v/>
      </c>
      <c r="F1076" s="52" t="e">
        <v>#REF!</v>
      </c>
      <c r="G1076" s="48" t="e">
        <v>#REF!</v>
      </c>
      <c r="H1076" s="49">
        <v>108</v>
      </c>
      <c r="I1076" s="49" t="e">
        <v>#REF!</v>
      </c>
      <c r="J1076" s="50"/>
    </row>
    <row r="1077" outlineLevel="1" spans="1:10">
      <c r="A1077" s="50">
        <v>159</v>
      </c>
      <c r="B1077" s="51" t="str">
        <v>螺纹阀门-截止阀-De20</v>
      </c>
      <c r="C1077" s="51" t="e">
        <v>#REF!</v>
      </c>
      <c r="D1077" s="51" t="str">
        <v/>
      </c>
      <c r="E1077" s="51" t="str">
        <v/>
      </c>
      <c r="F1077" s="52" t="e">
        <v>#REF!</v>
      </c>
      <c r="G1077" s="48" t="e">
        <v>#REF!</v>
      </c>
      <c r="H1077" s="49">
        <v>114</v>
      </c>
      <c r="I1077" s="49" t="e">
        <v>#REF!</v>
      </c>
      <c r="J1077" s="50"/>
    </row>
    <row r="1078" outlineLevel="1" spans="1:10">
      <c r="A1078" s="50">
        <v>160</v>
      </c>
      <c r="B1078" s="51" t="str">
        <v>倒流防止器-De25</v>
      </c>
      <c r="C1078" s="51" t="e">
        <v>#REF!</v>
      </c>
      <c r="D1078" s="51" t="str">
        <v/>
      </c>
      <c r="E1078" s="51" t="str">
        <v/>
      </c>
      <c r="F1078" s="52" t="e">
        <v>#REF!</v>
      </c>
      <c r="G1078" s="48" t="e">
        <v>#REF!</v>
      </c>
      <c r="H1078" s="49">
        <v>114</v>
      </c>
      <c r="I1078" s="49" t="e">
        <v>#REF!</v>
      </c>
      <c r="J1078" s="50"/>
    </row>
    <row r="1079" outlineLevel="1" spans="1:10">
      <c r="A1079" s="50">
        <v>161</v>
      </c>
      <c r="B1079" s="51" t="str">
        <v>螺纹阀门-止回阀-De20</v>
      </c>
      <c r="C1079" s="51" t="e">
        <v>#REF!</v>
      </c>
      <c r="D1079" s="51" t="str">
        <v/>
      </c>
      <c r="E1079" s="51" t="str">
        <v/>
      </c>
      <c r="F1079" s="52" t="e">
        <v>#REF!</v>
      </c>
      <c r="G1079" s="48" t="e">
        <v>#REF!</v>
      </c>
      <c r="H1079" s="49">
        <v>1</v>
      </c>
      <c r="I1079" s="49" t="e">
        <v>#REF!</v>
      </c>
      <c r="J1079" s="50"/>
    </row>
    <row r="1080" outlineLevel="1" spans="1:10">
      <c r="A1080" s="50" t="str">
        <v/>
      </c>
      <c r="B1080" s="51" t="str">
        <v>B.04.2给水管道</v>
      </c>
      <c r="C1080" s="51" t="str">
        <v/>
      </c>
      <c r="D1080" s="51" t="str">
        <v/>
      </c>
      <c r="E1080" s="51" t="str">
        <v/>
      </c>
      <c r="F1080" s="52" t="str">
        <v/>
      </c>
      <c r="G1080" s="48" t="str">
        <v/>
      </c>
      <c r="H1080" s="49">
        <v>0</v>
      </c>
      <c r="I1080" s="49" t="e">
        <v>#REF!</v>
      </c>
      <c r="J1080" s="50"/>
    </row>
    <row r="1081" ht="28.8" outlineLevel="1" spans="1:10">
      <c r="A1081" s="50">
        <v>162</v>
      </c>
      <c r="B1081" s="51" t="str">
        <v>室内给水塑料管-PPR-De20-热熔</v>
      </c>
      <c r="C1081" s="51" t="e">
        <v>#REF!</v>
      </c>
      <c r="D1081" s="51" t="str">
        <v/>
      </c>
      <c r="E1081" s="51" t="str">
        <v/>
      </c>
      <c r="F1081" s="52" t="e">
        <v>#REF!</v>
      </c>
      <c r="G1081" s="48" t="e">
        <v>#REF!</v>
      </c>
      <c r="H1081" s="49">
        <v>4285.25</v>
      </c>
      <c r="I1081" s="49" t="e">
        <v>#REF!</v>
      </c>
      <c r="J1081" s="50"/>
    </row>
    <row r="1082" ht="28.8" outlineLevel="1" spans="1:10">
      <c r="A1082" s="50">
        <v>163</v>
      </c>
      <c r="B1082" s="51" t="str">
        <v>室内给水塑料管-PPR-De25-热熔</v>
      </c>
      <c r="C1082" s="51" t="e">
        <v>#REF!</v>
      </c>
      <c r="D1082" s="51" t="str">
        <v/>
      </c>
      <c r="E1082" s="51" t="str">
        <v/>
      </c>
      <c r="F1082" s="52" t="e">
        <v>#REF!</v>
      </c>
      <c r="G1082" s="48" t="e">
        <v>#REF!</v>
      </c>
      <c r="H1082" s="49">
        <v>1418.82</v>
      </c>
      <c r="I1082" s="49" t="e">
        <v>#REF!</v>
      </c>
      <c r="J1082" s="50"/>
    </row>
    <row r="1083" ht="28.8" outlineLevel="1" spans="1:10">
      <c r="A1083" s="50">
        <v>164</v>
      </c>
      <c r="B1083" s="51" t="str">
        <v>室内给水塑料管-PPR-De32-热熔</v>
      </c>
      <c r="C1083" s="51" t="e">
        <v>#REF!</v>
      </c>
      <c r="D1083" s="51" t="str">
        <v/>
      </c>
      <c r="E1083" s="51" t="str">
        <v/>
      </c>
      <c r="F1083" s="52" t="e">
        <v>#REF!</v>
      </c>
      <c r="G1083" s="48" t="e">
        <v>#REF!</v>
      </c>
      <c r="H1083" s="49">
        <v>0</v>
      </c>
      <c r="I1083" s="49" t="e">
        <v>#REF!</v>
      </c>
      <c r="J1083" s="50"/>
    </row>
    <row r="1084" ht="28.8" outlineLevel="1" spans="1:10">
      <c r="A1084" s="50">
        <v>165</v>
      </c>
      <c r="B1084" s="51" t="str">
        <v>室内给水塑料管-PPR-De40-热熔</v>
      </c>
      <c r="C1084" s="51" t="e">
        <v>#REF!</v>
      </c>
      <c r="D1084" s="51" t="str">
        <v/>
      </c>
      <c r="E1084" s="51" t="str">
        <v/>
      </c>
      <c r="F1084" s="52" t="e">
        <v>#REF!</v>
      </c>
      <c r="G1084" s="48" t="e">
        <v>#REF!</v>
      </c>
      <c r="H1084" s="49">
        <v>0</v>
      </c>
      <c r="I1084" s="49" t="e">
        <v>#REF!</v>
      </c>
      <c r="J1084" s="50"/>
    </row>
    <row r="1085" ht="28.8" outlineLevel="1" spans="1:10">
      <c r="A1085" s="50">
        <v>166</v>
      </c>
      <c r="B1085" s="51" t="str">
        <v>室内给水塑料管-PPR-De50-热熔</v>
      </c>
      <c r="C1085" s="51" t="e">
        <v>#REF!</v>
      </c>
      <c r="D1085" s="51" t="str">
        <v/>
      </c>
      <c r="E1085" s="51" t="str">
        <v/>
      </c>
      <c r="F1085" s="52" t="e">
        <v>#REF!</v>
      </c>
      <c r="G1085" s="48" t="e">
        <v>#REF!</v>
      </c>
      <c r="H1085" s="49">
        <v>0</v>
      </c>
      <c r="I1085" s="49" t="e">
        <v>#REF!</v>
      </c>
      <c r="J1085" s="50"/>
    </row>
    <row r="1086" ht="28.8" outlineLevel="1" spans="1:10">
      <c r="A1086" s="50">
        <v>167</v>
      </c>
      <c r="B1086" s="51" t="str">
        <v>室内给水塑料管-PPR-De63-热熔</v>
      </c>
      <c r="C1086" s="51" t="e">
        <v>#REF!</v>
      </c>
      <c r="D1086" s="51" t="str">
        <v/>
      </c>
      <c r="E1086" s="51" t="str">
        <v/>
      </c>
      <c r="F1086" s="52" t="e">
        <v>#REF!</v>
      </c>
      <c r="G1086" s="48" t="e">
        <v>#REF!</v>
      </c>
      <c r="H1086" s="49">
        <v>0</v>
      </c>
      <c r="I1086" s="49" t="e">
        <v>#REF!</v>
      </c>
      <c r="J1086" s="50"/>
    </row>
    <row r="1087" ht="28.8" outlineLevel="1" spans="1:10">
      <c r="A1087" s="50">
        <v>168</v>
      </c>
      <c r="B1087" s="51" t="str">
        <v>室内给水塑料管-PPR-De20（S3.2）-热熔</v>
      </c>
      <c r="C1087" s="51" t="e">
        <v>#REF!</v>
      </c>
      <c r="D1087" s="51" t="str">
        <v/>
      </c>
      <c r="E1087" s="51" t="str">
        <v/>
      </c>
      <c r="F1087" s="52" t="e">
        <v>#REF!</v>
      </c>
      <c r="G1087" s="48" t="e">
        <v>#REF!</v>
      </c>
      <c r="H1087" s="49">
        <v>4091.57</v>
      </c>
      <c r="I1087" s="49" t="e">
        <v>#REF!</v>
      </c>
      <c r="J1087" s="50"/>
    </row>
    <row r="1088" ht="28.8" outlineLevel="1" spans="1:10">
      <c r="A1088" s="50">
        <v>169</v>
      </c>
      <c r="B1088" s="51" t="str">
        <v>室内给水塑料管-PPR-De25（S3.2）-热熔</v>
      </c>
      <c r="C1088" s="51" t="e">
        <v>#REF!</v>
      </c>
      <c r="D1088" s="51" t="str">
        <v/>
      </c>
      <c r="E1088" s="51" t="str">
        <v/>
      </c>
      <c r="F1088" s="52" t="e">
        <v>#REF!</v>
      </c>
      <c r="G1088" s="48" t="e">
        <v>#REF!</v>
      </c>
      <c r="H1088" s="49">
        <v>1</v>
      </c>
      <c r="I1088" s="49" t="e">
        <v>#REF!</v>
      </c>
      <c r="J1088" s="50"/>
    </row>
    <row r="1089" ht="28.8" outlineLevel="1" spans="1:10">
      <c r="A1089" s="50">
        <v>170</v>
      </c>
      <c r="B1089" s="51" t="str">
        <v>室内给水塑料管-PPR-De32（S3.2）-热熔</v>
      </c>
      <c r="C1089" s="51" t="e">
        <v>#REF!</v>
      </c>
      <c r="D1089" s="51" t="str">
        <v/>
      </c>
      <c r="E1089" s="51" t="str">
        <v/>
      </c>
      <c r="F1089" s="52" t="e">
        <v>#REF!</v>
      </c>
      <c r="G1089" s="48" t="e">
        <v>#REF!</v>
      </c>
      <c r="H1089" s="49">
        <v>0</v>
      </c>
      <c r="I1089" s="49" t="e">
        <v>#REF!</v>
      </c>
      <c r="J1089" s="50"/>
    </row>
    <row r="1090" outlineLevel="1" spans="1:10">
      <c r="A1090" s="50" t="str">
        <v/>
      </c>
      <c r="B1090" s="51" t="str">
        <v>B.05地上户内排水</v>
      </c>
      <c r="C1090" s="51" t="str">
        <v/>
      </c>
      <c r="D1090" s="51" t="str">
        <v/>
      </c>
      <c r="E1090" s="51" t="str">
        <v/>
      </c>
      <c r="F1090" s="52" t="str">
        <v/>
      </c>
      <c r="G1090" s="48" t="str">
        <v/>
      </c>
      <c r="H1090" s="49">
        <v>0</v>
      </c>
      <c r="I1090" s="49" t="e">
        <v>#REF!</v>
      </c>
      <c r="J1090" s="50"/>
    </row>
    <row r="1091" outlineLevel="1" spans="1:10">
      <c r="A1091" s="50" t="str">
        <v/>
      </c>
      <c r="B1091" s="51" t="str">
        <v>B.05.1排水管道</v>
      </c>
      <c r="C1091" s="51" t="str">
        <v/>
      </c>
      <c r="D1091" s="51" t="str">
        <v/>
      </c>
      <c r="E1091" s="51" t="str">
        <v/>
      </c>
      <c r="F1091" s="52" t="str">
        <v/>
      </c>
      <c r="G1091" s="48" t="str">
        <v/>
      </c>
      <c r="H1091" s="49">
        <v>0</v>
      </c>
      <c r="I1091" s="49" t="e">
        <v>#REF!</v>
      </c>
      <c r="J1091" s="50"/>
    </row>
    <row r="1092" outlineLevel="1" spans="1:10">
      <c r="A1092" s="50">
        <v>171</v>
      </c>
      <c r="B1092" s="51" t="str">
        <v>室外排水塑料管-UPVC-De110</v>
      </c>
      <c r="C1092" s="51" t="e">
        <v>#REF!</v>
      </c>
      <c r="D1092" s="51" t="str">
        <v/>
      </c>
      <c r="E1092" s="51" t="str">
        <v/>
      </c>
      <c r="F1092" s="52" t="e">
        <v>#REF!</v>
      </c>
      <c r="G1092" s="48" t="e">
        <v>#REF!</v>
      </c>
      <c r="H1092" s="49">
        <v>0</v>
      </c>
      <c r="I1092" s="49" t="e">
        <v>#REF!</v>
      </c>
      <c r="J1092" s="50"/>
    </row>
    <row r="1093" outlineLevel="1" spans="1:10">
      <c r="A1093" s="50">
        <v>172</v>
      </c>
      <c r="B1093" s="51" t="str">
        <v>室外排水塑料管-UPVC-De75</v>
      </c>
      <c r="C1093" s="51" t="e">
        <v>#REF!</v>
      </c>
      <c r="D1093" s="51" t="str">
        <v/>
      </c>
      <c r="E1093" s="51" t="str">
        <v/>
      </c>
      <c r="F1093" s="52" t="e">
        <v>#REF!</v>
      </c>
      <c r="G1093" s="48" t="e">
        <v>#REF!</v>
      </c>
      <c r="H1093" s="49">
        <v>0</v>
      </c>
      <c r="I1093" s="49" t="e">
        <v>#REF!</v>
      </c>
      <c r="J1093" s="50"/>
    </row>
    <row r="1094" outlineLevel="1" spans="1:10">
      <c r="A1094" s="50">
        <v>173</v>
      </c>
      <c r="B1094" s="51" t="str">
        <v>室外塑料管-UPVC-De50</v>
      </c>
      <c r="C1094" s="51" t="e">
        <v>#REF!</v>
      </c>
      <c r="D1094" s="51" t="str">
        <v/>
      </c>
      <c r="E1094" s="51" t="str">
        <v/>
      </c>
      <c r="F1094" s="52" t="e">
        <v>#REF!</v>
      </c>
      <c r="G1094" s="48" t="e">
        <v>#REF!</v>
      </c>
      <c r="H1094" s="49">
        <v>0</v>
      </c>
      <c r="I1094" s="49" t="e">
        <v>#REF!</v>
      </c>
      <c r="J1094" s="50"/>
    </row>
    <row r="1095" ht="28.8" outlineLevel="1" spans="1:10">
      <c r="A1095" s="50">
        <v>174</v>
      </c>
      <c r="B1095" s="51" t="str">
        <v>室内排水塑料管-消音UPVC-De110</v>
      </c>
      <c r="C1095" s="51" t="e">
        <v>#REF!</v>
      </c>
      <c r="D1095" s="51" t="str">
        <v/>
      </c>
      <c r="E1095" s="51" t="str">
        <v/>
      </c>
      <c r="F1095" s="52" t="e">
        <v>#REF!</v>
      </c>
      <c r="G1095" s="48" t="e">
        <v>#REF!</v>
      </c>
      <c r="H1095" s="49">
        <v>682.01</v>
      </c>
      <c r="I1095" s="49" t="e">
        <v>#REF!</v>
      </c>
      <c r="J1095" s="50"/>
    </row>
    <row r="1096" ht="28.8" outlineLevel="1" spans="1:10">
      <c r="A1096" s="50">
        <v>175</v>
      </c>
      <c r="B1096" s="51" t="str">
        <v>室内透气塑料立管-UPVC-De110</v>
      </c>
      <c r="C1096" s="51" t="e">
        <v>#REF!</v>
      </c>
      <c r="D1096" s="51" t="str">
        <v/>
      </c>
      <c r="E1096" s="51" t="str">
        <v/>
      </c>
      <c r="F1096" s="52" t="e">
        <v>#REF!</v>
      </c>
      <c r="G1096" s="48" t="e">
        <v>#REF!</v>
      </c>
      <c r="H1096" s="49">
        <v>600</v>
      </c>
      <c r="I1096" s="49" t="e">
        <v>#REF!</v>
      </c>
      <c r="J1096" s="50"/>
    </row>
    <row r="1097" outlineLevel="1" spans="1:10">
      <c r="A1097" s="50">
        <v>176</v>
      </c>
      <c r="B1097" s="51" t="str">
        <v>室内排水塑料管-UPVC-De110</v>
      </c>
      <c r="C1097" s="51" t="e">
        <v>#REF!</v>
      </c>
      <c r="D1097" s="51" t="str">
        <v/>
      </c>
      <c r="E1097" s="51" t="str">
        <v/>
      </c>
      <c r="F1097" s="52" t="e">
        <v>#REF!</v>
      </c>
      <c r="G1097" s="48" t="e">
        <v>#REF!</v>
      </c>
      <c r="H1097" s="49">
        <v>567.19</v>
      </c>
      <c r="I1097" s="49" t="e">
        <v>#REF!</v>
      </c>
      <c r="J1097" s="50"/>
    </row>
    <row r="1098" outlineLevel="1" spans="1:10">
      <c r="A1098" s="50">
        <v>177</v>
      </c>
      <c r="B1098" s="51" t="str">
        <v>室内排水塑料管-UPVC-De75</v>
      </c>
      <c r="C1098" s="51" t="e">
        <v>#REF!</v>
      </c>
      <c r="D1098" s="51" t="str">
        <v/>
      </c>
      <c r="E1098" s="51" t="str">
        <v/>
      </c>
      <c r="F1098" s="52" t="e">
        <v>#REF!</v>
      </c>
      <c r="G1098" s="48" t="e">
        <v>#REF!</v>
      </c>
      <c r="H1098" s="49">
        <v>1</v>
      </c>
      <c r="I1098" s="49" t="e">
        <v>#REF!</v>
      </c>
      <c r="J1098" s="50"/>
    </row>
    <row r="1099" outlineLevel="1" spans="1:10">
      <c r="A1099" s="50">
        <v>178</v>
      </c>
      <c r="B1099" s="51" t="str">
        <v>室内排水塑料管-UPVC-De50</v>
      </c>
      <c r="C1099" s="51" t="e">
        <v>#REF!</v>
      </c>
      <c r="D1099" s="51" t="str">
        <v/>
      </c>
      <c r="E1099" s="51" t="str">
        <v/>
      </c>
      <c r="F1099" s="52" t="e">
        <v>#REF!</v>
      </c>
      <c r="G1099" s="48" t="e">
        <v>#REF!</v>
      </c>
      <c r="H1099" s="49">
        <v>818.74</v>
      </c>
      <c r="I1099" s="49" t="e">
        <v>#REF!</v>
      </c>
      <c r="J1099" s="50"/>
    </row>
    <row r="1100" outlineLevel="1" spans="1:10">
      <c r="A1100" s="50" t="str">
        <v/>
      </c>
      <c r="B1100" s="51" t="str">
        <v>B.05.2卫生器具</v>
      </c>
      <c r="C1100" s="51" t="str">
        <v/>
      </c>
      <c r="D1100" s="51" t="str">
        <v/>
      </c>
      <c r="E1100" s="51" t="str">
        <v/>
      </c>
      <c r="F1100" s="52" t="str">
        <v/>
      </c>
      <c r="G1100" s="48" t="str">
        <v/>
      </c>
      <c r="H1100" s="49">
        <v>0</v>
      </c>
      <c r="I1100" s="49" t="e">
        <v>#REF!</v>
      </c>
      <c r="J1100" s="50"/>
    </row>
    <row r="1101" outlineLevel="1" spans="1:10">
      <c r="A1101" s="50">
        <v>179</v>
      </c>
      <c r="B1101" s="51" t="str">
        <v>卫生间防臭地漏-De50</v>
      </c>
      <c r="C1101" s="51" t="e">
        <v>#REF!</v>
      </c>
      <c r="D1101" s="51" t="str">
        <v/>
      </c>
      <c r="E1101" s="51" t="str">
        <v/>
      </c>
      <c r="F1101" s="52" t="e">
        <v>#REF!</v>
      </c>
      <c r="G1101" s="48" t="e">
        <v>#REF!</v>
      </c>
      <c r="H1101" s="49">
        <v>424</v>
      </c>
      <c r="I1101" s="49" t="e">
        <v>#REF!</v>
      </c>
      <c r="J1101" s="50"/>
    </row>
    <row r="1102" outlineLevel="1" spans="1:10">
      <c r="A1102" s="50">
        <v>180</v>
      </c>
      <c r="B1102" s="51" t="str">
        <v>洗衣机防臭地漏-De50</v>
      </c>
      <c r="C1102" s="51" t="e">
        <v>#REF!</v>
      </c>
      <c r="D1102" s="51" t="str">
        <v/>
      </c>
      <c r="E1102" s="51" t="str">
        <v/>
      </c>
      <c r="F1102" s="52" t="e">
        <v>#REF!</v>
      </c>
      <c r="G1102" s="48" t="e">
        <v>#REF!</v>
      </c>
      <c r="H1102" s="49">
        <v>108</v>
      </c>
      <c r="I1102" s="49" t="e">
        <v>#REF!</v>
      </c>
      <c r="J1102" s="50"/>
    </row>
    <row r="1103" outlineLevel="1" spans="1:10">
      <c r="A1103" s="50">
        <v>181</v>
      </c>
      <c r="B1103" s="51" t="str">
        <v>雨水地漏-DN75</v>
      </c>
      <c r="C1103" s="51" t="e">
        <v>#REF!</v>
      </c>
      <c r="D1103" s="51" t="str">
        <v/>
      </c>
      <c r="E1103" s="51" t="str">
        <v/>
      </c>
      <c r="F1103" s="52" t="e">
        <v>#REF!</v>
      </c>
      <c r="G1103" s="48" t="e">
        <v>#REF!</v>
      </c>
      <c r="H1103" s="49">
        <v>0</v>
      </c>
      <c r="I1103" s="49" t="e">
        <v>#REF!</v>
      </c>
      <c r="J1103" s="50"/>
    </row>
    <row r="1104" outlineLevel="1" spans="1:10">
      <c r="A1104" s="50">
        <v>181</v>
      </c>
      <c r="B1104" s="51" t="str">
        <v>清扫口-De110</v>
      </c>
      <c r="C1104" s="51" t="e">
        <v>#REF!</v>
      </c>
      <c r="D1104" s="51" t="str">
        <v/>
      </c>
      <c r="E1104" s="51" t="str">
        <v/>
      </c>
      <c r="F1104" s="52" t="e">
        <v>#REF!</v>
      </c>
      <c r="G1104" s="48" t="e">
        <v>#REF!</v>
      </c>
      <c r="H1104" s="49">
        <v>3</v>
      </c>
      <c r="I1104" s="49" t="e">
        <v>#REF!</v>
      </c>
      <c r="J1104" s="50"/>
    </row>
    <row r="1105" outlineLevel="1" spans="1:10">
      <c r="A1105" s="50">
        <v>182</v>
      </c>
      <c r="B1105" s="51" t="str">
        <v>阳台水龙头-DN20</v>
      </c>
      <c r="C1105" s="51" t="e">
        <v>#REF!</v>
      </c>
      <c r="D1105" s="51" t="str">
        <v/>
      </c>
      <c r="E1105" s="51" t="str">
        <v/>
      </c>
      <c r="F1105" s="52" t="e">
        <v>#REF!</v>
      </c>
      <c r="G1105" s="48" t="e">
        <v>#REF!</v>
      </c>
      <c r="H1105" s="49">
        <v>6</v>
      </c>
      <c r="I1105" s="49" t="e">
        <v>#REF!</v>
      </c>
      <c r="J1105" s="50"/>
    </row>
    <row r="1106" outlineLevel="1" spans="1:10">
      <c r="A1106" s="50">
        <v>183</v>
      </c>
      <c r="B1106" s="51" t="str">
        <v>洗衣机龙头-DN20</v>
      </c>
      <c r="C1106" s="51" t="e">
        <v>#REF!</v>
      </c>
      <c r="D1106" s="51" t="str">
        <v/>
      </c>
      <c r="E1106" s="51" t="str">
        <v/>
      </c>
      <c r="F1106" s="52" t="e">
        <v>#REF!</v>
      </c>
      <c r="G1106" s="48" t="e">
        <v>#REF!</v>
      </c>
      <c r="H1106" s="49">
        <v>108</v>
      </c>
      <c r="I1106" s="49" t="e">
        <v>#REF!</v>
      </c>
      <c r="J1106" s="50"/>
    </row>
    <row r="1107" outlineLevel="1" spans="1:10">
      <c r="A1107" s="50" t="str">
        <v/>
      </c>
      <c r="B1107" s="51" t="str">
        <v>B.06地上公区给水</v>
      </c>
      <c r="C1107" s="51" t="str">
        <v/>
      </c>
      <c r="D1107" s="51" t="str">
        <v/>
      </c>
      <c r="E1107" s="51" t="str">
        <v/>
      </c>
      <c r="F1107" s="52" t="str">
        <v/>
      </c>
      <c r="G1107" s="48" t="str">
        <v/>
      </c>
      <c r="H1107" s="49">
        <v>0</v>
      </c>
      <c r="I1107" s="49" t="e">
        <v>#REF!</v>
      </c>
      <c r="J1107" s="50"/>
    </row>
    <row r="1108" outlineLevel="1" spans="1:10">
      <c r="A1108" s="50" t="str">
        <v/>
      </c>
      <c r="B1108" s="51" t="str">
        <v>B.06.1阀部件</v>
      </c>
      <c r="C1108" s="51" t="str">
        <v/>
      </c>
      <c r="D1108" s="51" t="str">
        <v/>
      </c>
      <c r="E1108" s="51" t="str">
        <v/>
      </c>
      <c r="F1108" s="52" t="str">
        <v/>
      </c>
      <c r="G1108" s="48" t="str">
        <v/>
      </c>
      <c r="H1108" s="49">
        <v>0</v>
      </c>
      <c r="I1108" s="49" t="e">
        <v>#REF!</v>
      </c>
      <c r="J1108" s="50"/>
    </row>
    <row r="1109" outlineLevel="1" spans="1:10">
      <c r="A1109" s="50">
        <v>184</v>
      </c>
      <c r="B1109" s="51" t="str">
        <v>螺纹阀门-减压稳压阀-DN25</v>
      </c>
      <c r="C1109" s="51" t="e">
        <v>#REF!</v>
      </c>
      <c r="D1109" s="51" t="str">
        <v/>
      </c>
      <c r="E1109" s="51" t="str">
        <v/>
      </c>
      <c r="F1109" s="52" t="e">
        <v>#REF!</v>
      </c>
      <c r="G1109" s="48" t="e">
        <v>#REF!</v>
      </c>
      <c r="H1109" s="49">
        <v>48</v>
      </c>
      <c r="I1109" s="49" t="e">
        <v>#REF!</v>
      </c>
      <c r="J1109" s="50"/>
    </row>
    <row r="1110" outlineLevel="1" spans="1:10">
      <c r="A1110" s="50">
        <v>185</v>
      </c>
      <c r="B1110" s="51" t="str">
        <v>螺纹阀门-减压稳压阀-DN32</v>
      </c>
      <c r="C1110" s="51" t="e">
        <v>#REF!</v>
      </c>
      <c r="D1110" s="51" t="str">
        <v/>
      </c>
      <c r="E1110" s="51" t="str">
        <v/>
      </c>
      <c r="F1110" s="52" t="e">
        <v>#REF!</v>
      </c>
      <c r="G1110" s="48" t="e">
        <v>#REF!</v>
      </c>
      <c r="H1110" s="49">
        <v>0</v>
      </c>
      <c r="I1110" s="49" t="e">
        <v>#REF!</v>
      </c>
      <c r="J1110" s="50"/>
    </row>
    <row r="1111" outlineLevel="1" spans="1:10">
      <c r="A1111" s="50">
        <v>186</v>
      </c>
      <c r="B1111" s="51" t="str">
        <v>螺纹阀门-减压稳压阀-DN20</v>
      </c>
      <c r="C1111" s="51" t="e">
        <v>#REF!</v>
      </c>
      <c r="D1111" s="51" t="str">
        <v/>
      </c>
      <c r="E1111" s="51" t="str">
        <v/>
      </c>
      <c r="F1111" s="52" t="e">
        <v>#REF!</v>
      </c>
      <c r="G1111" s="48" t="e">
        <v>#REF!</v>
      </c>
      <c r="H1111" s="49">
        <v>1</v>
      </c>
      <c r="I1111" s="49" t="e">
        <v>#REF!</v>
      </c>
      <c r="J1111" s="50"/>
    </row>
    <row r="1112" outlineLevel="1" spans="1:10">
      <c r="A1112" s="50">
        <v>187</v>
      </c>
      <c r="B1112" s="51" t="str">
        <v>螺纹阀门-自动放气阀-DN15</v>
      </c>
      <c r="C1112" s="51" t="e">
        <v>#REF!</v>
      </c>
      <c r="D1112" s="51" t="str">
        <v/>
      </c>
      <c r="E1112" s="51" t="str">
        <v/>
      </c>
      <c r="F1112" s="52" t="e">
        <v>#REF!</v>
      </c>
      <c r="G1112" s="48" t="e">
        <v>#REF!</v>
      </c>
      <c r="H1112" s="49">
        <v>9</v>
      </c>
      <c r="I1112" s="49" t="e">
        <v>#REF!</v>
      </c>
      <c r="J1112" s="50"/>
    </row>
    <row r="1113" outlineLevel="1" spans="1:10">
      <c r="A1113" s="50">
        <v>188</v>
      </c>
      <c r="B1113" s="51" t="str">
        <v>螺纹阀门-截止阀-DN15</v>
      </c>
      <c r="C1113" s="51" t="e">
        <v>#REF!</v>
      </c>
      <c r="D1113" s="51" t="str">
        <v/>
      </c>
      <c r="E1113" s="51" t="str">
        <v/>
      </c>
      <c r="F1113" s="52" t="e">
        <v>#REF!</v>
      </c>
      <c r="G1113" s="48" t="e">
        <v>#REF!</v>
      </c>
      <c r="H1113" s="49">
        <v>9</v>
      </c>
      <c r="I1113" s="49" t="e">
        <v>#REF!</v>
      </c>
      <c r="J1113" s="50"/>
    </row>
    <row r="1114" outlineLevel="1" spans="1:10">
      <c r="A1114" s="50">
        <v>189</v>
      </c>
      <c r="B1114" s="51" t="str">
        <v>螺纹阀门-截止阀-DN20</v>
      </c>
      <c r="C1114" s="51" t="e">
        <v>#REF!</v>
      </c>
      <c r="D1114" s="51" t="str">
        <v/>
      </c>
      <c r="E1114" s="51" t="str">
        <v/>
      </c>
      <c r="F1114" s="52" t="e">
        <v>#REF!</v>
      </c>
      <c r="G1114" s="48" t="e">
        <v>#REF!</v>
      </c>
      <c r="H1114" s="49">
        <v>1</v>
      </c>
      <c r="I1114" s="49" t="e">
        <v>#REF!</v>
      </c>
      <c r="J1114" s="50"/>
    </row>
    <row r="1115" outlineLevel="1" spans="1:10">
      <c r="A1115" s="50">
        <v>190</v>
      </c>
      <c r="B1115" s="51" t="str">
        <v>螺纹阀门-截止阀-De25</v>
      </c>
      <c r="C1115" s="51" t="e">
        <v>#REF!</v>
      </c>
      <c r="D1115" s="51" t="str">
        <v/>
      </c>
      <c r="E1115" s="51" t="str">
        <v/>
      </c>
      <c r="F1115" s="52" t="e">
        <v>#REF!</v>
      </c>
      <c r="G1115" s="48" t="e">
        <v>#REF!</v>
      </c>
      <c r="H1115" s="49">
        <v>108</v>
      </c>
      <c r="I1115" s="49" t="e">
        <v>#REF!</v>
      </c>
      <c r="J1115" s="50"/>
    </row>
    <row r="1116" outlineLevel="1" spans="1:10">
      <c r="A1116" s="50">
        <v>191</v>
      </c>
      <c r="B1116" s="51" t="str">
        <v>螺纹阀门-截止阀-DN25</v>
      </c>
      <c r="C1116" s="51" t="e">
        <v>#REF!</v>
      </c>
      <c r="D1116" s="51" t="str">
        <v/>
      </c>
      <c r="E1116" s="51" t="str">
        <v/>
      </c>
      <c r="F1116" s="52" t="e">
        <v>#REF!</v>
      </c>
      <c r="G1116" s="48" t="e">
        <v>#REF!</v>
      </c>
      <c r="H1116" s="49">
        <v>96</v>
      </c>
      <c r="I1116" s="49" t="e">
        <v>#REF!</v>
      </c>
      <c r="J1116" s="50"/>
    </row>
    <row r="1117" outlineLevel="1" spans="1:10">
      <c r="A1117" s="50">
        <v>192</v>
      </c>
      <c r="B1117" s="51" t="str">
        <v>螺纹阀门-截止阀-De32</v>
      </c>
      <c r="C1117" s="51" t="e">
        <v>#REF!</v>
      </c>
      <c r="D1117" s="51" t="str">
        <v/>
      </c>
      <c r="E1117" s="51" t="str">
        <v/>
      </c>
      <c r="F1117" s="52" t="e">
        <v>#REF!</v>
      </c>
      <c r="G1117" s="48" t="e">
        <v>#REF!</v>
      </c>
      <c r="H1117" s="49">
        <v>0</v>
      </c>
      <c r="I1117" s="49" t="e">
        <v>#REF!</v>
      </c>
      <c r="J1117" s="50"/>
    </row>
    <row r="1118" outlineLevel="1" spans="1:10">
      <c r="A1118" s="50">
        <v>193</v>
      </c>
      <c r="B1118" s="51" t="str">
        <v>螺纹阀门-截止阀-DN32</v>
      </c>
      <c r="C1118" s="51" t="e">
        <v>#REF!</v>
      </c>
      <c r="D1118" s="51" t="str">
        <v/>
      </c>
      <c r="E1118" s="51" t="str">
        <v/>
      </c>
      <c r="F1118" s="52" t="e">
        <v>#REF!</v>
      </c>
      <c r="G1118" s="48" t="e">
        <v>#REF!</v>
      </c>
      <c r="H1118" s="49">
        <v>0</v>
      </c>
      <c r="I1118" s="49" t="e">
        <v>#REF!</v>
      </c>
      <c r="J1118" s="50"/>
    </row>
    <row r="1119" outlineLevel="1" spans="1:10">
      <c r="A1119" s="50">
        <v>194</v>
      </c>
      <c r="B1119" s="51" t="str">
        <v>螺纹阀门-截止阀-DN50</v>
      </c>
      <c r="C1119" s="51" t="e">
        <v>#REF!</v>
      </c>
      <c r="D1119" s="51" t="str">
        <v/>
      </c>
      <c r="E1119" s="51" t="str">
        <v/>
      </c>
      <c r="F1119" s="52" t="e">
        <v>#REF!</v>
      </c>
      <c r="G1119" s="48" t="e">
        <v>#REF!</v>
      </c>
      <c r="H1119" s="49">
        <v>6</v>
      </c>
      <c r="I1119" s="49" t="e">
        <v>#REF!</v>
      </c>
      <c r="J1119" s="50"/>
    </row>
    <row r="1120" outlineLevel="1" spans="1:10">
      <c r="A1120" s="50">
        <v>195</v>
      </c>
      <c r="B1120" s="51" t="str">
        <v>螺纹阀门-截止阀-De63</v>
      </c>
      <c r="C1120" s="51" t="e">
        <v>#REF!</v>
      </c>
      <c r="D1120" s="51" t="str">
        <v/>
      </c>
      <c r="E1120" s="51" t="str">
        <v/>
      </c>
      <c r="F1120" s="52" t="e">
        <v>#REF!</v>
      </c>
      <c r="G1120" s="48" t="e">
        <v>#REF!</v>
      </c>
      <c r="H1120" s="49">
        <v>3</v>
      </c>
      <c r="I1120" s="49" t="e">
        <v>#REF!</v>
      </c>
      <c r="J1120" s="50"/>
    </row>
    <row r="1121" outlineLevel="1" spans="1:10">
      <c r="A1121" s="50">
        <v>196</v>
      </c>
      <c r="B1121" s="51" t="str">
        <v>螺纹阀门-止回阀-De20</v>
      </c>
      <c r="C1121" s="51" t="e">
        <v>#REF!</v>
      </c>
      <c r="D1121" s="51" t="str">
        <v/>
      </c>
      <c r="E1121" s="51" t="str">
        <v/>
      </c>
      <c r="F1121" s="52" t="e">
        <v>#REF!</v>
      </c>
      <c r="G1121" s="48" t="e">
        <v>#REF!</v>
      </c>
      <c r="H1121" s="49">
        <v>1</v>
      </c>
      <c r="I1121" s="49" t="e">
        <v>#REF!</v>
      </c>
      <c r="J1121" s="50"/>
    </row>
    <row r="1122" outlineLevel="1" spans="1:10">
      <c r="A1122" s="50">
        <v>197</v>
      </c>
      <c r="B1122" s="51" t="str">
        <v>螺纹阀门-止回阀-De25</v>
      </c>
      <c r="C1122" s="51" t="e">
        <v>#REF!</v>
      </c>
      <c r="D1122" s="51" t="str">
        <v/>
      </c>
      <c r="E1122" s="51" t="str">
        <v/>
      </c>
      <c r="F1122" s="52" t="e">
        <v>#REF!</v>
      </c>
      <c r="G1122" s="48" t="e">
        <v>#REF!</v>
      </c>
      <c r="H1122" s="49">
        <v>1</v>
      </c>
      <c r="I1122" s="49" t="e">
        <v>#REF!</v>
      </c>
      <c r="J1122" s="50"/>
    </row>
    <row r="1123" outlineLevel="1" spans="1:10">
      <c r="A1123" s="50">
        <v>198</v>
      </c>
      <c r="B1123" s="51" t="str">
        <v>螺纹阀门-锁闭阀-DN20</v>
      </c>
      <c r="C1123" s="51" t="e">
        <v>#REF!</v>
      </c>
      <c r="D1123" s="51" t="str">
        <v/>
      </c>
      <c r="E1123" s="51" t="str">
        <v/>
      </c>
      <c r="F1123" s="52" t="e">
        <v>#REF!</v>
      </c>
      <c r="G1123" s="48" t="e">
        <v>#REF!</v>
      </c>
      <c r="H1123" s="49">
        <v>108</v>
      </c>
      <c r="I1123" s="49" t="e">
        <v>#REF!</v>
      </c>
      <c r="J1123" s="50"/>
    </row>
    <row r="1124" outlineLevel="1" spans="1:10">
      <c r="A1124" s="50">
        <v>199</v>
      </c>
      <c r="B1124" s="51" t="str">
        <v>螺纹阀门-锁闭阀-DN25</v>
      </c>
      <c r="C1124" s="51" t="e">
        <v>#REF!</v>
      </c>
      <c r="D1124" s="51" t="str">
        <v/>
      </c>
      <c r="E1124" s="51" t="str">
        <v/>
      </c>
      <c r="F1124" s="52" t="e">
        <v>#REF!</v>
      </c>
      <c r="G1124" s="48" t="e">
        <v>#REF!</v>
      </c>
      <c r="H1124" s="49">
        <v>1</v>
      </c>
      <c r="I1124" s="49" t="e">
        <v>#REF!</v>
      </c>
      <c r="J1124" s="50"/>
    </row>
    <row r="1125" outlineLevel="1" spans="1:10">
      <c r="A1125" s="50">
        <v>200</v>
      </c>
      <c r="B1125" s="51" t="str">
        <v>螺纹阀门-锁闭阀-DN50</v>
      </c>
      <c r="C1125" s="51" t="e">
        <v>#REF!</v>
      </c>
      <c r="D1125" s="51" t="str">
        <v/>
      </c>
      <c r="E1125" s="51" t="str">
        <v/>
      </c>
      <c r="F1125" s="52" t="e">
        <v>#REF!</v>
      </c>
      <c r="G1125" s="48" t="e">
        <v>#REF!</v>
      </c>
      <c r="H1125" s="49">
        <v>6</v>
      </c>
      <c r="I1125" s="49" t="e">
        <v>#REF!</v>
      </c>
      <c r="J1125" s="50"/>
    </row>
    <row r="1126" outlineLevel="1" spans="1:10">
      <c r="A1126" s="50">
        <v>201</v>
      </c>
      <c r="B1126" s="51" t="str">
        <v>螺纹阀门-锁闭阀-De63</v>
      </c>
      <c r="C1126" s="51" t="e">
        <v>#REF!</v>
      </c>
      <c r="D1126" s="51" t="str">
        <v/>
      </c>
      <c r="E1126" s="51" t="str">
        <v/>
      </c>
      <c r="F1126" s="52" t="e">
        <v>#REF!</v>
      </c>
      <c r="G1126" s="48" t="e">
        <v>#REF!</v>
      </c>
      <c r="H1126" s="49">
        <v>3</v>
      </c>
      <c r="I1126" s="49" t="e">
        <v>#REF!</v>
      </c>
      <c r="J1126" s="50"/>
    </row>
    <row r="1127" outlineLevel="1" spans="1:10">
      <c r="A1127" s="50">
        <v>202</v>
      </c>
      <c r="B1127" s="51" t="str">
        <v>螺纹阀门-Y型过滤器-DN20</v>
      </c>
      <c r="C1127" s="51" t="e">
        <v>#REF!</v>
      </c>
      <c r="D1127" s="51" t="str">
        <v/>
      </c>
      <c r="E1127" s="51" t="str">
        <v/>
      </c>
      <c r="F1127" s="52" t="e">
        <v>#REF!</v>
      </c>
      <c r="G1127" s="48" t="e">
        <v>#REF!</v>
      </c>
      <c r="H1127" s="49">
        <v>0</v>
      </c>
      <c r="I1127" s="49" t="e">
        <v>#REF!</v>
      </c>
      <c r="J1127" s="50"/>
    </row>
    <row r="1128" outlineLevel="1" spans="1:10">
      <c r="A1128" s="50">
        <v>203</v>
      </c>
      <c r="B1128" s="51" t="str">
        <v>螺纹阀门-Y型过滤器-DN25</v>
      </c>
      <c r="C1128" s="51" t="e">
        <v>#REF!</v>
      </c>
      <c r="D1128" s="51" t="str">
        <v/>
      </c>
      <c r="E1128" s="51" t="str">
        <v/>
      </c>
      <c r="F1128" s="52" t="e">
        <v>#REF!</v>
      </c>
      <c r="G1128" s="48" t="e">
        <v>#REF!</v>
      </c>
      <c r="H1128" s="49">
        <v>48</v>
      </c>
      <c r="I1128" s="49" t="e">
        <v>#REF!</v>
      </c>
      <c r="J1128" s="50"/>
    </row>
    <row r="1129" outlineLevel="1" spans="1:10">
      <c r="A1129" s="50">
        <v>204</v>
      </c>
      <c r="B1129" s="51" t="str">
        <v>螺纹阀门-Y型过滤器-DN32</v>
      </c>
      <c r="C1129" s="51" t="e">
        <v>#REF!</v>
      </c>
      <c r="D1129" s="51" t="str">
        <v/>
      </c>
      <c r="E1129" s="51" t="str">
        <v/>
      </c>
      <c r="F1129" s="52" t="e">
        <v>#REF!</v>
      </c>
      <c r="G1129" s="48" t="e">
        <v>#REF!</v>
      </c>
      <c r="H1129" s="49">
        <v>0</v>
      </c>
      <c r="I1129" s="49" t="e">
        <v>#REF!</v>
      </c>
      <c r="J1129" s="50"/>
    </row>
    <row r="1130" outlineLevel="1" spans="1:10">
      <c r="A1130" s="50">
        <v>205</v>
      </c>
      <c r="B1130" s="51" t="str">
        <v>可曲挠橡胶接头-DN25</v>
      </c>
      <c r="C1130" s="51" t="e">
        <v>#REF!</v>
      </c>
      <c r="D1130" s="51" t="str">
        <v/>
      </c>
      <c r="E1130" s="51" t="str">
        <v/>
      </c>
      <c r="F1130" s="52" t="e">
        <v>#REF!</v>
      </c>
      <c r="G1130" s="48" t="e">
        <v>#REF!</v>
      </c>
      <c r="H1130" s="49">
        <v>48</v>
      </c>
      <c r="I1130" s="49" t="e">
        <v>#REF!</v>
      </c>
      <c r="J1130" s="50"/>
    </row>
    <row r="1131" outlineLevel="1" spans="1:10">
      <c r="A1131" s="50">
        <v>206</v>
      </c>
      <c r="B1131" s="51" t="str">
        <v>水表安装-DN20</v>
      </c>
      <c r="C1131" s="51" t="e">
        <v>#REF!</v>
      </c>
      <c r="D1131" s="51" t="str">
        <v/>
      </c>
      <c r="E1131" s="51" t="str">
        <v/>
      </c>
      <c r="F1131" s="52" t="e">
        <v>#REF!</v>
      </c>
      <c r="G1131" s="48" t="e">
        <v>#REF!</v>
      </c>
      <c r="H1131" s="49">
        <v>108</v>
      </c>
      <c r="I1131" s="49" t="e">
        <v>#REF!</v>
      </c>
      <c r="J1131" s="50"/>
    </row>
    <row r="1132" outlineLevel="1" spans="1:10">
      <c r="A1132" s="50">
        <v>207</v>
      </c>
      <c r="B1132" s="51" t="str">
        <v>水表安装-DN32</v>
      </c>
      <c r="C1132" s="51" t="e">
        <v>#REF!</v>
      </c>
      <c r="D1132" s="51" t="str">
        <v/>
      </c>
      <c r="E1132" s="51" t="str">
        <v/>
      </c>
      <c r="F1132" s="52" t="e">
        <v>#REF!</v>
      </c>
      <c r="G1132" s="48" t="e">
        <v>#REF!</v>
      </c>
      <c r="H1132" s="49">
        <v>0</v>
      </c>
      <c r="I1132" s="49" t="e">
        <v>#REF!</v>
      </c>
      <c r="J1132" s="50"/>
    </row>
    <row r="1133" outlineLevel="1" spans="1:10">
      <c r="A1133" s="50">
        <v>208</v>
      </c>
      <c r="B1133" s="51" t="str">
        <v>水表安装-DN40</v>
      </c>
      <c r="C1133" s="51" t="e">
        <v>#REF!</v>
      </c>
      <c r="D1133" s="51" t="str">
        <v/>
      </c>
      <c r="E1133" s="51" t="str">
        <v/>
      </c>
      <c r="F1133" s="52" t="e">
        <v>#REF!</v>
      </c>
      <c r="G1133" s="48" t="e">
        <v>#REF!</v>
      </c>
      <c r="H1133" s="49">
        <v>9</v>
      </c>
      <c r="I1133" s="49" t="e">
        <v>#REF!</v>
      </c>
      <c r="J1133" s="50"/>
    </row>
    <row r="1134" outlineLevel="1" spans="1:10">
      <c r="A1134" s="50">
        <v>209</v>
      </c>
      <c r="B1134" s="51" t="str">
        <v>水表安装-DN50</v>
      </c>
      <c r="C1134" s="51" t="e">
        <v>#REF!</v>
      </c>
      <c r="D1134" s="51" t="str">
        <v/>
      </c>
      <c r="E1134" s="51" t="str">
        <v/>
      </c>
      <c r="F1134" s="52" t="e">
        <v>#REF!</v>
      </c>
      <c r="G1134" s="48" t="e">
        <v>#REF!</v>
      </c>
      <c r="H1134" s="49">
        <v>0</v>
      </c>
      <c r="I1134" s="49" t="e">
        <v>#REF!</v>
      </c>
      <c r="J1134" s="50"/>
    </row>
    <row r="1135" outlineLevel="1" spans="1:10">
      <c r="A1135" s="50">
        <v>210</v>
      </c>
      <c r="B1135" s="51" t="str">
        <v>IC卡热水表(DN15)</v>
      </c>
      <c r="C1135" s="51" t="e">
        <v>#REF!</v>
      </c>
      <c r="D1135" s="51" t="str">
        <v/>
      </c>
      <c r="E1135" s="51" t="str">
        <v/>
      </c>
      <c r="F1135" s="52" t="e">
        <v>#REF!</v>
      </c>
      <c r="G1135" s="48" t="e">
        <v>#REF!</v>
      </c>
      <c r="H1135" s="49">
        <v>108</v>
      </c>
      <c r="I1135" s="49" t="e">
        <v>#REF!</v>
      </c>
      <c r="J1135" s="50"/>
    </row>
    <row r="1136" outlineLevel="1" spans="1:10">
      <c r="A1136" s="50">
        <v>211</v>
      </c>
      <c r="B1136" s="51" t="str">
        <v>IC卡热水表(DN20)</v>
      </c>
      <c r="C1136" s="51" t="e">
        <v>#REF!</v>
      </c>
      <c r="D1136" s="51" t="str">
        <v/>
      </c>
      <c r="E1136" s="51" t="str">
        <v/>
      </c>
      <c r="F1136" s="52" t="e">
        <v>#REF!</v>
      </c>
      <c r="G1136" s="48" t="e">
        <v>#REF!</v>
      </c>
      <c r="H1136" s="49">
        <v>108</v>
      </c>
      <c r="I1136" s="49" t="e">
        <v>#REF!</v>
      </c>
      <c r="J1136" s="50"/>
    </row>
    <row r="1137" outlineLevel="1" spans="1:10">
      <c r="A1137" s="50">
        <v>212</v>
      </c>
      <c r="B1137" s="51" t="str">
        <v>减压阀组压力表-DN15</v>
      </c>
      <c r="C1137" s="51" t="e">
        <v>#REF!</v>
      </c>
      <c r="D1137" s="51" t="str">
        <v/>
      </c>
      <c r="E1137" s="51" t="str">
        <v/>
      </c>
      <c r="F1137" s="52" t="e">
        <v>#REF!</v>
      </c>
      <c r="G1137" s="48" t="e">
        <v>#REF!</v>
      </c>
      <c r="H1137" s="49">
        <v>48</v>
      </c>
      <c r="I1137" s="49" t="e">
        <v>#REF!</v>
      </c>
      <c r="J1137" s="50"/>
    </row>
    <row r="1138" outlineLevel="1" spans="1:10">
      <c r="A1138" s="50">
        <v>213</v>
      </c>
      <c r="B1138" s="51" t="str">
        <v>螺纹阀门-波纹补偿器-DN32</v>
      </c>
      <c r="C1138" s="51" t="e">
        <v>#REF!</v>
      </c>
      <c r="D1138" s="51" t="str">
        <v/>
      </c>
      <c r="E1138" s="51" t="str">
        <v/>
      </c>
      <c r="F1138" s="52" t="e">
        <v>#REF!</v>
      </c>
      <c r="G1138" s="48" t="e">
        <v>#REF!</v>
      </c>
      <c r="H1138" s="49">
        <v>1</v>
      </c>
      <c r="I1138" s="49" t="e">
        <v>#REF!</v>
      </c>
      <c r="J1138" s="50"/>
    </row>
    <row r="1139" outlineLevel="1" spans="1:10">
      <c r="A1139" s="50">
        <v>214</v>
      </c>
      <c r="B1139" s="51" t="str">
        <v>螺纹阀门-波纹补偿器-DN40</v>
      </c>
      <c r="C1139" s="51" t="e">
        <v>#REF!</v>
      </c>
      <c r="D1139" s="51" t="str">
        <v/>
      </c>
      <c r="E1139" s="51" t="str">
        <v/>
      </c>
      <c r="F1139" s="52" t="e">
        <v>#REF!</v>
      </c>
      <c r="G1139" s="48" t="e">
        <v>#REF!</v>
      </c>
      <c r="H1139" s="49">
        <v>2</v>
      </c>
      <c r="I1139" s="49" t="e">
        <v>#REF!</v>
      </c>
      <c r="J1139" s="50"/>
    </row>
    <row r="1140" outlineLevel="1" spans="1:10">
      <c r="A1140" s="50">
        <v>215</v>
      </c>
      <c r="B1140" s="51" t="str">
        <v>螺纹阀门-波纹补偿器-DN50</v>
      </c>
      <c r="C1140" s="51" t="e">
        <v>#REF!</v>
      </c>
      <c r="D1140" s="51" t="str">
        <v/>
      </c>
      <c r="E1140" s="51" t="str">
        <v/>
      </c>
      <c r="F1140" s="52" t="e">
        <v>#REF!</v>
      </c>
      <c r="G1140" s="48" t="e">
        <v>#REF!</v>
      </c>
      <c r="H1140" s="49">
        <v>1</v>
      </c>
      <c r="I1140" s="49" t="e">
        <v>#REF!</v>
      </c>
      <c r="J1140" s="50"/>
    </row>
    <row r="1141" outlineLevel="1" spans="1:10">
      <c r="A1141" s="50" t="str">
        <v/>
      </c>
      <c r="B1141" s="51" t="str">
        <v>B.06.2给水管道</v>
      </c>
      <c r="C1141" s="51" t="str">
        <v/>
      </c>
      <c r="D1141" s="51" t="str">
        <v/>
      </c>
      <c r="E1141" s="51" t="str">
        <v/>
      </c>
      <c r="F1141" s="52" t="str">
        <v/>
      </c>
      <c r="G1141" s="48" t="str">
        <v/>
      </c>
      <c r="H1141" s="49">
        <v>0</v>
      </c>
      <c r="I1141" s="49" t="e">
        <v>#REF!</v>
      </c>
      <c r="J1141" s="50"/>
    </row>
    <row r="1142" ht="28.8" outlineLevel="1" spans="1:10">
      <c r="A1142" s="50">
        <v>216</v>
      </c>
      <c r="B1142" s="51" t="str">
        <v>室内给水塑料管-PPR-De20-热熔</v>
      </c>
      <c r="C1142" s="51" t="e">
        <v>#REF!</v>
      </c>
      <c r="D1142" s="51" t="str">
        <v/>
      </c>
      <c r="E1142" s="51" t="str">
        <v/>
      </c>
      <c r="F1142" s="52" t="e">
        <v>#REF!</v>
      </c>
      <c r="G1142" s="48" t="e">
        <v>#REF!</v>
      </c>
      <c r="H1142" s="49">
        <v>1.5</v>
      </c>
      <c r="I1142" s="49" t="e">
        <v>#REF!</v>
      </c>
      <c r="J1142" s="50"/>
    </row>
    <row r="1143" ht="28.8" outlineLevel="1" spans="1:10">
      <c r="A1143" s="50">
        <v>217</v>
      </c>
      <c r="B1143" s="51" t="str">
        <v>室内给水塑料管-PPR-De25-热熔</v>
      </c>
      <c r="C1143" s="51" t="e">
        <v>#REF!</v>
      </c>
      <c r="D1143" s="51" t="str">
        <v/>
      </c>
      <c r="E1143" s="51" t="str">
        <v/>
      </c>
      <c r="F1143" s="52" t="e">
        <v>#REF!</v>
      </c>
      <c r="G1143" s="48" t="e">
        <v>#REF!</v>
      </c>
      <c r="H1143" s="49">
        <v>287.82</v>
      </c>
      <c r="I1143" s="49" t="e">
        <v>#REF!</v>
      </c>
      <c r="J1143" s="50"/>
    </row>
    <row r="1144" ht="28.8" outlineLevel="1" spans="1:10">
      <c r="A1144" s="50">
        <v>218</v>
      </c>
      <c r="B1144" s="51" t="str">
        <v>室内给水塑料管-PPR-De32-热熔</v>
      </c>
      <c r="C1144" s="51" t="e">
        <v>#REF!</v>
      </c>
      <c r="D1144" s="51" t="str">
        <v/>
      </c>
      <c r="E1144" s="51" t="str">
        <v/>
      </c>
      <c r="F1144" s="52" t="e">
        <v>#REF!</v>
      </c>
      <c r="G1144" s="48" t="e">
        <v>#REF!</v>
      </c>
      <c r="H1144" s="49">
        <v>50.88</v>
      </c>
      <c r="I1144" s="49" t="e">
        <v>#REF!</v>
      </c>
      <c r="J1144" s="50"/>
    </row>
    <row r="1145" ht="28.8" outlineLevel="1" spans="1:10">
      <c r="A1145" s="50">
        <v>219</v>
      </c>
      <c r="B1145" s="51" t="str">
        <v>室内给水塑料管-PPR-De40-热熔</v>
      </c>
      <c r="C1145" s="51" t="e">
        <v>#REF!</v>
      </c>
      <c r="D1145" s="51" t="str">
        <v/>
      </c>
      <c r="E1145" s="51" t="str">
        <v/>
      </c>
      <c r="F1145" s="52" t="e">
        <v>#REF!</v>
      </c>
      <c r="G1145" s="48" t="e">
        <v>#REF!</v>
      </c>
      <c r="H1145" s="49">
        <v>8.7</v>
      </c>
      <c r="I1145" s="49" t="e">
        <v>#REF!</v>
      </c>
      <c r="J1145" s="50"/>
    </row>
    <row r="1146" ht="28.8" outlineLevel="1" spans="1:10">
      <c r="A1146" s="50">
        <v>220</v>
      </c>
      <c r="B1146" s="51" t="str">
        <v>室内给水塑料管-PPR-De50-热熔</v>
      </c>
      <c r="C1146" s="51" t="e">
        <v>#REF!</v>
      </c>
      <c r="D1146" s="51" t="str">
        <v/>
      </c>
      <c r="E1146" s="51" t="str">
        <v/>
      </c>
      <c r="F1146" s="52" t="e">
        <v>#REF!</v>
      </c>
      <c r="G1146" s="48" t="e">
        <v>#REF!</v>
      </c>
      <c r="H1146" s="49">
        <v>17.4</v>
      </c>
      <c r="I1146" s="49" t="e">
        <v>#REF!</v>
      </c>
      <c r="J1146" s="50"/>
    </row>
    <row r="1147" ht="28.8" outlineLevel="1" spans="1:10">
      <c r="A1147" s="50">
        <v>221</v>
      </c>
      <c r="B1147" s="51" t="str">
        <v>室内给水塑料管-PPR-De63-热熔</v>
      </c>
      <c r="C1147" s="51" t="e">
        <v>#REF!</v>
      </c>
      <c r="D1147" s="51" t="str">
        <v/>
      </c>
      <c r="E1147" s="51" t="str">
        <v/>
      </c>
      <c r="F1147" s="52" t="e">
        <v>#REF!</v>
      </c>
      <c r="G1147" s="48" t="e">
        <v>#REF!</v>
      </c>
      <c r="H1147" s="49">
        <v>2.4</v>
      </c>
      <c r="I1147" s="49" t="e">
        <v>#REF!</v>
      </c>
      <c r="J1147" s="50"/>
    </row>
    <row r="1148" outlineLevel="1" spans="1:10">
      <c r="A1148" s="50">
        <v>222</v>
      </c>
      <c r="B1148" s="51" t="str">
        <v>室内薄壁不锈钢管-DN15</v>
      </c>
      <c r="C1148" s="51" t="e">
        <v>#REF!</v>
      </c>
      <c r="D1148" s="51" t="str">
        <v/>
      </c>
      <c r="E1148" s="51" t="str">
        <v/>
      </c>
      <c r="F1148" s="52" t="e">
        <v>#REF!</v>
      </c>
      <c r="G1148" s="48" t="e">
        <v>#REF!</v>
      </c>
      <c r="H1148" s="49">
        <v>3.4</v>
      </c>
      <c r="I1148" s="49" t="e">
        <v>#REF!</v>
      </c>
      <c r="J1148" s="50"/>
    </row>
    <row r="1149" outlineLevel="1" spans="1:10">
      <c r="A1149" s="50">
        <v>223</v>
      </c>
      <c r="B1149" s="51" t="str">
        <v>室内薄壁不锈钢管-DN20</v>
      </c>
      <c r="C1149" s="51" t="e">
        <v>#REF!</v>
      </c>
      <c r="D1149" s="51" t="str">
        <v/>
      </c>
      <c r="E1149" s="51" t="str">
        <v/>
      </c>
      <c r="F1149" s="52" t="e">
        <v>#REF!</v>
      </c>
      <c r="G1149" s="48" t="e">
        <v>#REF!</v>
      </c>
      <c r="H1149" s="49">
        <v>4.4</v>
      </c>
      <c r="I1149" s="49" t="e">
        <v>#REF!</v>
      </c>
      <c r="J1149" s="50"/>
    </row>
    <row r="1150" outlineLevel="1" spans="1:10">
      <c r="A1150" s="50">
        <v>224</v>
      </c>
      <c r="B1150" s="51" t="str">
        <v>室内薄壁不锈钢管-DN25</v>
      </c>
      <c r="C1150" s="51" t="e">
        <v>#REF!</v>
      </c>
      <c r="D1150" s="51" t="str">
        <v/>
      </c>
      <c r="E1150" s="51" t="str">
        <v/>
      </c>
      <c r="F1150" s="52" t="e">
        <v>#REF!</v>
      </c>
      <c r="G1150" s="48" t="e">
        <v>#REF!</v>
      </c>
      <c r="H1150" s="49">
        <v>5.4</v>
      </c>
      <c r="I1150" s="49" t="e">
        <v>#REF!</v>
      </c>
      <c r="J1150" s="50"/>
    </row>
    <row r="1151" outlineLevel="1" spans="1:10">
      <c r="A1151" s="50">
        <v>225</v>
      </c>
      <c r="B1151" s="51" t="str">
        <v>室内薄壁不锈钢管-DN32</v>
      </c>
      <c r="C1151" s="51" t="e">
        <v>#REF!</v>
      </c>
      <c r="D1151" s="51" t="str">
        <v/>
      </c>
      <c r="E1151" s="51" t="str">
        <v/>
      </c>
      <c r="F1151" s="52" t="e">
        <v>#REF!</v>
      </c>
      <c r="G1151" s="48" t="e">
        <v>#REF!</v>
      </c>
      <c r="H1151" s="49">
        <v>6.4</v>
      </c>
      <c r="I1151" s="49" t="e">
        <v>#REF!</v>
      </c>
      <c r="J1151" s="50"/>
    </row>
    <row r="1152" outlineLevel="1" spans="1:10">
      <c r="A1152" s="50">
        <v>226</v>
      </c>
      <c r="B1152" s="51" t="str">
        <v>室内薄壁不锈钢管-DN40</v>
      </c>
      <c r="C1152" s="51" t="e">
        <v>#REF!</v>
      </c>
      <c r="D1152" s="51" t="str">
        <v/>
      </c>
      <c r="E1152" s="51" t="str">
        <v/>
      </c>
      <c r="F1152" s="52" t="e">
        <v>#REF!</v>
      </c>
      <c r="G1152" s="48" t="e">
        <v>#REF!</v>
      </c>
      <c r="H1152" s="49">
        <v>7.4</v>
      </c>
      <c r="I1152" s="49" t="e">
        <v>#REF!</v>
      </c>
      <c r="J1152" s="50"/>
    </row>
    <row r="1153" outlineLevel="1" spans="1:10">
      <c r="A1153" s="50">
        <v>227</v>
      </c>
      <c r="B1153" s="51" t="str">
        <v>室内薄壁不锈钢管-DN50</v>
      </c>
      <c r="C1153" s="51" t="e">
        <v>#REF!</v>
      </c>
      <c r="D1153" s="51" t="str">
        <v/>
      </c>
      <c r="E1153" s="51" t="str">
        <v/>
      </c>
      <c r="F1153" s="52" t="e">
        <v>#REF!</v>
      </c>
      <c r="G1153" s="48" t="e">
        <v>#REF!</v>
      </c>
      <c r="H1153" s="49">
        <v>8.4</v>
      </c>
      <c r="I1153" s="49" t="e">
        <v>#REF!</v>
      </c>
      <c r="J1153" s="50"/>
    </row>
    <row r="1154" outlineLevel="1" spans="1:10">
      <c r="A1154" s="50">
        <v>228</v>
      </c>
      <c r="B1154" s="51" t="str">
        <v>室内薄壁不锈钢管-DN65</v>
      </c>
      <c r="C1154" s="51" t="e">
        <v>#REF!</v>
      </c>
      <c r="D1154" s="51" t="str">
        <v/>
      </c>
      <c r="E1154" s="51" t="str">
        <v/>
      </c>
      <c r="F1154" s="52" t="e">
        <v>#REF!</v>
      </c>
      <c r="G1154" s="48" t="e">
        <v>#REF!</v>
      </c>
      <c r="H1154" s="49">
        <v>9.4</v>
      </c>
      <c r="I1154" s="49" t="e">
        <v>#REF!</v>
      </c>
      <c r="J1154" s="50"/>
    </row>
    <row r="1155" ht="28.8" outlineLevel="1" spans="1:10">
      <c r="A1155" s="50">
        <v>229</v>
      </c>
      <c r="B1155" s="51" t="str">
        <v>室内给水内衬塑镀锌钢塑复合管-DN15</v>
      </c>
      <c r="C1155" s="51" t="e">
        <v>#REF!</v>
      </c>
      <c r="D1155" s="51" t="str">
        <v/>
      </c>
      <c r="E1155" s="51" t="str">
        <v/>
      </c>
      <c r="F1155" s="52" t="e">
        <v>#REF!</v>
      </c>
      <c r="G1155" s="48" t="e">
        <v>#REF!</v>
      </c>
      <c r="H1155" s="49">
        <v>4.8</v>
      </c>
      <c r="I1155" s="49" t="e">
        <v>#REF!</v>
      </c>
      <c r="J1155" s="50"/>
    </row>
    <row r="1156" ht="28.8" outlineLevel="1" spans="1:10">
      <c r="A1156" s="50">
        <v>230</v>
      </c>
      <c r="B1156" s="51" t="str">
        <v>室内给水内衬塑镀锌钢塑复合管-DN20</v>
      </c>
      <c r="C1156" s="51" t="e">
        <v>#REF!</v>
      </c>
      <c r="D1156" s="51" t="str">
        <v/>
      </c>
      <c r="E1156" s="51" t="str">
        <v/>
      </c>
      <c r="F1156" s="52" t="e">
        <v>#REF!</v>
      </c>
      <c r="G1156" s="48" t="e">
        <v>#REF!</v>
      </c>
      <c r="H1156" s="49">
        <v>30</v>
      </c>
      <c r="I1156" s="49" t="e">
        <v>#REF!</v>
      </c>
      <c r="J1156" s="50"/>
    </row>
    <row r="1157" ht="28.8" outlineLevel="1" spans="1:10">
      <c r="A1157" s="50">
        <v>231</v>
      </c>
      <c r="B1157" s="51" t="str">
        <v>室内给水内衬塑镀锌钢塑复合管-DN25</v>
      </c>
      <c r="C1157" s="51" t="e">
        <v>#REF!</v>
      </c>
      <c r="D1157" s="51" t="str">
        <v/>
      </c>
      <c r="E1157" s="51" t="str">
        <v/>
      </c>
      <c r="F1157" s="52" t="e">
        <v>#REF!</v>
      </c>
      <c r="G1157" s="48" t="e">
        <v>#REF!</v>
      </c>
      <c r="H1157" s="49">
        <v>80.4</v>
      </c>
      <c r="I1157" s="49" t="e">
        <v>#REF!</v>
      </c>
      <c r="J1157" s="50"/>
    </row>
    <row r="1158" ht="28.8" outlineLevel="1" spans="1:10">
      <c r="A1158" s="50">
        <v>232</v>
      </c>
      <c r="B1158" s="51" t="str">
        <v>室内给水内衬塑镀锌钢塑复合管-DN32</v>
      </c>
      <c r="C1158" s="51" t="e">
        <v>#REF!</v>
      </c>
      <c r="D1158" s="51" t="str">
        <v/>
      </c>
      <c r="E1158" s="51" t="str">
        <v/>
      </c>
      <c r="F1158" s="52" t="e">
        <v>#REF!</v>
      </c>
      <c r="G1158" s="48" t="e">
        <v>#REF!</v>
      </c>
      <c r="H1158" s="49">
        <v>17.4</v>
      </c>
      <c r="I1158" s="49" t="e">
        <v>#REF!</v>
      </c>
      <c r="J1158" s="50"/>
    </row>
    <row r="1159" ht="28.8" outlineLevel="1" spans="1:10">
      <c r="A1159" s="50">
        <v>233</v>
      </c>
      <c r="B1159" s="51" t="str">
        <v>室内给水内衬塑镀锌钢塑复合管-DN40</v>
      </c>
      <c r="C1159" s="51" t="e">
        <v>#REF!</v>
      </c>
      <c r="D1159" s="51" t="str">
        <v/>
      </c>
      <c r="E1159" s="51" t="str">
        <v/>
      </c>
      <c r="F1159" s="52" t="e">
        <v>#REF!</v>
      </c>
      <c r="G1159" s="48" t="e">
        <v>#REF!</v>
      </c>
      <c r="H1159" s="49">
        <v>26.1</v>
      </c>
      <c r="I1159" s="49" t="e">
        <v>#REF!</v>
      </c>
      <c r="J1159" s="50"/>
    </row>
    <row r="1160" ht="28.8" outlineLevel="1" spans="1:10">
      <c r="A1160" s="50">
        <v>234</v>
      </c>
      <c r="B1160" s="51" t="str">
        <v>室内给水内衬塑镀锌钢塑复合管-DN50</v>
      </c>
      <c r="C1160" s="51" t="e">
        <v>#REF!</v>
      </c>
      <c r="D1160" s="51" t="str">
        <v/>
      </c>
      <c r="E1160" s="51" t="str">
        <v/>
      </c>
      <c r="F1160" s="52" t="e">
        <v>#REF!</v>
      </c>
      <c r="G1160" s="48" t="e">
        <v>#REF!</v>
      </c>
      <c r="H1160" s="49">
        <v>197.49</v>
      </c>
      <c r="I1160" s="49" t="e">
        <v>#REF!</v>
      </c>
      <c r="J1160" s="50"/>
    </row>
    <row r="1161" ht="28.8" outlineLevel="1" spans="1:10">
      <c r="A1161" s="50">
        <v>235</v>
      </c>
      <c r="B1161" s="51" t="str">
        <v>室内给水内衬塑镀锌钢塑复合管-DN65</v>
      </c>
      <c r="C1161" s="51" t="e">
        <v>#REF!</v>
      </c>
      <c r="D1161" s="51" t="str">
        <v/>
      </c>
      <c r="E1161" s="51" t="str">
        <v/>
      </c>
      <c r="F1161" s="52" t="e">
        <v>#REF!</v>
      </c>
      <c r="G1161" s="48" t="e">
        <v>#REF!</v>
      </c>
      <c r="H1161" s="49">
        <v>0</v>
      </c>
      <c r="I1161" s="49" t="e">
        <v>#REF!</v>
      </c>
      <c r="J1161" s="50"/>
    </row>
    <row r="1162" outlineLevel="1" spans="1:10">
      <c r="A1162" s="50" t="str">
        <v/>
      </c>
      <c r="B1162" s="51" t="str">
        <v>B.06.3绝热</v>
      </c>
      <c r="C1162" s="51" t="str">
        <v/>
      </c>
      <c r="D1162" s="51" t="str">
        <v/>
      </c>
      <c r="E1162" s="51" t="str">
        <v/>
      </c>
      <c r="F1162" s="52" t="str">
        <v/>
      </c>
      <c r="G1162" s="48" t="str">
        <v/>
      </c>
      <c r="H1162" s="49">
        <v>0</v>
      </c>
      <c r="I1162" s="49" t="e">
        <v>#REF!</v>
      </c>
      <c r="J1162" s="50"/>
    </row>
    <row r="1163" outlineLevel="1" spans="1:10">
      <c r="A1163" s="50">
        <v>236</v>
      </c>
      <c r="B1163" s="51" t="str">
        <v>管道绝热</v>
      </c>
      <c r="C1163" s="51" t="e">
        <v>#REF!</v>
      </c>
      <c r="D1163" s="51" t="str">
        <v/>
      </c>
      <c r="E1163" s="51" t="str">
        <v/>
      </c>
      <c r="F1163" s="52" t="e">
        <v>#REF!</v>
      </c>
      <c r="G1163" s="48" t="e">
        <v>#REF!</v>
      </c>
      <c r="H1163" s="49">
        <v>6.65</v>
      </c>
      <c r="I1163" s="49" t="e">
        <v>#REF!</v>
      </c>
      <c r="J1163" s="50"/>
    </row>
    <row r="1164" outlineLevel="1" spans="1:10">
      <c r="A1164" s="50">
        <v>237</v>
      </c>
      <c r="B1164" s="51" t="str">
        <v>塑料带保护层</v>
      </c>
      <c r="C1164" s="51" t="e">
        <v>#REF!</v>
      </c>
      <c r="D1164" s="51" t="str">
        <v/>
      </c>
      <c r="E1164" s="51" t="str">
        <v/>
      </c>
      <c r="F1164" s="52" t="e">
        <v>#REF!</v>
      </c>
      <c r="G1164" s="48" t="e">
        <v>#REF!</v>
      </c>
      <c r="H1164" s="49">
        <v>233.49</v>
      </c>
      <c r="I1164" s="49" t="e">
        <v>#REF!</v>
      </c>
      <c r="J1164" s="50"/>
    </row>
    <row r="1165" outlineLevel="1" spans="1:10">
      <c r="A1165" s="50" t="str">
        <v/>
      </c>
      <c r="B1165" s="51" t="str">
        <v>B.07地上公区排水</v>
      </c>
      <c r="C1165" s="51" t="str">
        <v/>
      </c>
      <c r="D1165" s="51" t="str">
        <v/>
      </c>
      <c r="E1165" s="51" t="str">
        <v/>
      </c>
      <c r="F1165" s="52" t="str">
        <v/>
      </c>
      <c r="G1165" s="48" t="str">
        <v/>
      </c>
      <c r="H1165" s="49">
        <v>0</v>
      </c>
      <c r="I1165" s="49" t="e">
        <v>#REF!</v>
      </c>
      <c r="J1165" s="50"/>
    </row>
    <row r="1166" outlineLevel="1" spans="1:10">
      <c r="A1166" s="50" t="str">
        <v/>
      </c>
      <c r="B1166" s="51" t="str">
        <v>B.07.1排水管道</v>
      </c>
      <c r="C1166" s="51" t="str">
        <v/>
      </c>
      <c r="D1166" s="51" t="str">
        <v/>
      </c>
      <c r="E1166" s="51" t="str">
        <v/>
      </c>
      <c r="F1166" s="52" t="str">
        <v/>
      </c>
      <c r="G1166" s="48" t="str">
        <v/>
      </c>
      <c r="H1166" s="49">
        <v>0</v>
      </c>
      <c r="I1166" s="49" t="e">
        <v>#REF!</v>
      </c>
      <c r="J1166" s="50"/>
    </row>
    <row r="1167" outlineLevel="1" spans="1:10">
      <c r="A1167" s="50">
        <v>238</v>
      </c>
      <c r="B1167" s="51" t="str">
        <v>室内排水塑料管-UPVC-De50</v>
      </c>
      <c r="C1167" s="51" t="e">
        <v>#REF!</v>
      </c>
      <c r="D1167" s="51" t="str">
        <v/>
      </c>
      <c r="E1167" s="51" t="str">
        <v/>
      </c>
      <c r="F1167" s="52" t="e">
        <v>#REF!</v>
      </c>
      <c r="G1167" s="48" t="e">
        <v>#REF!</v>
      </c>
      <c r="H1167" s="49">
        <v>30.56</v>
      </c>
      <c r="I1167" s="49" t="e">
        <v>#REF!</v>
      </c>
      <c r="J1167" s="50"/>
    </row>
    <row r="1168" outlineLevel="1" spans="1:10">
      <c r="A1168" s="50">
        <v>239</v>
      </c>
      <c r="B1168" s="51" t="str">
        <v>室内排水塑料管-UPVC-De75</v>
      </c>
      <c r="C1168" s="51" t="e">
        <v>#REF!</v>
      </c>
      <c r="D1168" s="51" t="str">
        <v/>
      </c>
      <c r="E1168" s="51" t="str">
        <v/>
      </c>
      <c r="F1168" s="52" t="e">
        <v>#REF!</v>
      </c>
      <c r="G1168" s="48" t="e">
        <v>#REF!</v>
      </c>
      <c r="H1168" s="49">
        <v>0</v>
      </c>
      <c r="I1168" s="49" t="e">
        <v>#REF!</v>
      </c>
      <c r="J1168" s="50"/>
    </row>
    <row r="1169" outlineLevel="1" spans="1:10">
      <c r="A1169" s="50">
        <v>240</v>
      </c>
      <c r="B1169" s="51" t="str">
        <v>室内排水塑料管-UPVC-De110</v>
      </c>
      <c r="C1169" s="51" t="e">
        <v>#REF!</v>
      </c>
      <c r="D1169" s="51" t="str">
        <v/>
      </c>
      <c r="E1169" s="51" t="str">
        <v/>
      </c>
      <c r="F1169" s="52" t="e">
        <v>#REF!</v>
      </c>
      <c r="G1169" s="48" t="e">
        <v>#REF!</v>
      </c>
      <c r="H1169" s="49">
        <v>30.41</v>
      </c>
      <c r="I1169" s="49" t="e">
        <v>#REF!</v>
      </c>
      <c r="J1169" s="50"/>
    </row>
    <row r="1170" ht="28.8" outlineLevel="1" spans="1:10">
      <c r="A1170" s="50">
        <v>241</v>
      </c>
      <c r="B1170" s="51" t="str">
        <v>室内排水塑料管-消音UPVC-De75</v>
      </c>
      <c r="C1170" s="51" t="e">
        <v>#REF!</v>
      </c>
      <c r="D1170" s="51" t="str">
        <v/>
      </c>
      <c r="E1170" s="51" t="str">
        <v/>
      </c>
      <c r="F1170" s="52" t="e">
        <v>#REF!</v>
      </c>
      <c r="G1170" s="48" t="e">
        <v>#REF!</v>
      </c>
      <c r="H1170" s="49">
        <v>0</v>
      </c>
      <c r="I1170" s="49" t="e">
        <v>#REF!</v>
      </c>
      <c r="J1170" s="50"/>
    </row>
    <row r="1171" ht="28.8" outlineLevel="1" spans="1:10">
      <c r="A1171" s="50">
        <v>242</v>
      </c>
      <c r="B1171" s="51" t="str">
        <v>室内排水塑料管-消音UPVC-De110</v>
      </c>
      <c r="C1171" s="51" t="e">
        <v>#REF!</v>
      </c>
      <c r="D1171" s="51" t="str">
        <v/>
      </c>
      <c r="E1171" s="51" t="str">
        <v/>
      </c>
      <c r="F1171" s="52" t="e">
        <v>#REF!</v>
      </c>
      <c r="G1171" s="48" t="e">
        <v>#REF!</v>
      </c>
      <c r="H1171" s="49">
        <v>0</v>
      </c>
      <c r="I1171" s="49" t="e">
        <v>#REF!</v>
      </c>
      <c r="J1171" s="50"/>
    </row>
    <row r="1172" ht="28.8" outlineLevel="1" spans="1:10">
      <c r="A1172" s="50">
        <v>243</v>
      </c>
      <c r="B1172" s="51" t="str">
        <v>室内冷凝水塑料管-UPVC-De75</v>
      </c>
      <c r="C1172" s="51" t="e">
        <v>#REF!</v>
      </c>
      <c r="D1172" s="51" t="str">
        <v/>
      </c>
      <c r="E1172" s="51" t="str">
        <v/>
      </c>
      <c r="F1172" s="52" t="e">
        <v>#REF!</v>
      </c>
      <c r="G1172" s="48" t="e">
        <v>#REF!</v>
      </c>
      <c r="H1172" s="49">
        <v>1</v>
      </c>
      <c r="I1172" s="49" t="e">
        <v>#REF!</v>
      </c>
      <c r="J1172" s="50"/>
    </row>
    <row r="1173" ht="28.8" outlineLevel="1" spans="1:10">
      <c r="A1173" s="50">
        <v>244</v>
      </c>
      <c r="B1173" s="51" t="str">
        <v>室内冷凝水塑料管-UPVC-De50</v>
      </c>
      <c r="C1173" s="51" t="e">
        <v>#REF!</v>
      </c>
      <c r="D1173" s="51" t="str">
        <v/>
      </c>
      <c r="E1173" s="51" t="str">
        <v/>
      </c>
      <c r="F1173" s="52" t="e">
        <v>#REF!</v>
      </c>
      <c r="G1173" s="48" t="e">
        <v>#REF!</v>
      </c>
      <c r="H1173" s="49">
        <v>862.5</v>
      </c>
      <c r="I1173" s="49" t="e">
        <v>#REF!</v>
      </c>
      <c r="J1173" s="50"/>
    </row>
    <row r="1174" outlineLevel="1" spans="1:10">
      <c r="A1174" s="50" t="str">
        <v/>
      </c>
      <c r="B1174" s="51" t="str">
        <v>B.07.1卫生器具</v>
      </c>
      <c r="C1174" s="51" t="str">
        <v/>
      </c>
      <c r="D1174" s="51" t="str">
        <v/>
      </c>
      <c r="E1174" s="51" t="str">
        <v/>
      </c>
      <c r="F1174" s="52" t="str">
        <v/>
      </c>
      <c r="G1174" s="48" t="str">
        <v/>
      </c>
      <c r="H1174" s="49">
        <v>0</v>
      </c>
      <c r="I1174" s="49" t="e">
        <v>#REF!</v>
      </c>
      <c r="J1174" s="50"/>
    </row>
    <row r="1175" outlineLevel="1" spans="1:10">
      <c r="A1175" s="50">
        <v>245</v>
      </c>
      <c r="B1175" s="51" t="str">
        <v>水龙头DN15</v>
      </c>
      <c r="C1175" s="51" t="e">
        <v>#REF!</v>
      </c>
      <c r="D1175" s="51" t="str">
        <v/>
      </c>
      <c r="E1175" s="51" t="str">
        <v/>
      </c>
      <c r="F1175" s="52" t="e">
        <v>#REF!</v>
      </c>
      <c r="G1175" s="48" t="e">
        <v>#REF!</v>
      </c>
      <c r="H1175" s="49">
        <v>0</v>
      </c>
      <c r="I1175" s="49" t="e">
        <v>#REF!</v>
      </c>
      <c r="J1175" s="50"/>
    </row>
    <row r="1176" outlineLevel="1" spans="1:10">
      <c r="A1176" s="50">
        <v>246</v>
      </c>
      <c r="B1176" s="51" t="str">
        <v>铸铁地漏-DN50</v>
      </c>
      <c r="C1176" s="51" t="e">
        <v>#REF!</v>
      </c>
      <c r="D1176" s="51" t="str">
        <v/>
      </c>
      <c r="E1176" s="51" t="str">
        <v/>
      </c>
      <c r="F1176" s="52" t="e">
        <v>#REF!</v>
      </c>
      <c r="G1176" s="48" t="e">
        <v>#REF!</v>
      </c>
      <c r="H1176" s="49">
        <v>0</v>
      </c>
      <c r="I1176" s="49" t="e">
        <v>#REF!</v>
      </c>
      <c r="J1176" s="50"/>
    </row>
    <row r="1177" outlineLevel="1" spans="1:10">
      <c r="A1177" s="50">
        <v>247</v>
      </c>
      <c r="B1177" s="51" t="str">
        <v>公区塑料地漏-De50</v>
      </c>
      <c r="C1177" s="51" t="e">
        <v>#REF!</v>
      </c>
      <c r="D1177" s="51" t="str">
        <v/>
      </c>
      <c r="E1177" s="51" t="str">
        <v/>
      </c>
      <c r="F1177" s="52" t="e">
        <v>#REF!</v>
      </c>
      <c r="G1177" s="48" t="e">
        <v>#REF!</v>
      </c>
      <c r="H1177" s="49">
        <v>0</v>
      </c>
      <c r="I1177" s="49" t="e">
        <v>#REF!</v>
      </c>
      <c r="J1177" s="50"/>
    </row>
    <row r="1178" outlineLevel="1" spans="1:10">
      <c r="A1178" s="50">
        <v>248</v>
      </c>
      <c r="B1178" s="51" t="str">
        <v>地漏-De110</v>
      </c>
      <c r="C1178" s="51" t="e">
        <v>#REF!</v>
      </c>
      <c r="D1178" s="51" t="str">
        <v/>
      </c>
      <c r="E1178" s="51" t="str">
        <v/>
      </c>
      <c r="F1178" s="52" t="e">
        <v>#REF!</v>
      </c>
      <c r="G1178" s="48" t="e">
        <v>#REF!</v>
      </c>
      <c r="H1178" s="49">
        <v>51</v>
      </c>
      <c r="I1178" s="49" t="e">
        <v>#REF!</v>
      </c>
      <c r="J1178" s="50"/>
    </row>
    <row r="1179" outlineLevel="1" spans="1:10">
      <c r="A1179" s="50">
        <v>249</v>
      </c>
      <c r="B1179" s="51" t="str">
        <v>清扫口-De110</v>
      </c>
      <c r="C1179" s="51" t="e">
        <v>#REF!</v>
      </c>
      <c r="D1179" s="51" t="str">
        <v/>
      </c>
      <c r="E1179" s="51" t="str">
        <v/>
      </c>
      <c r="F1179" s="52" t="e">
        <v>#REF!</v>
      </c>
      <c r="G1179" s="48" t="e">
        <v>#REF!</v>
      </c>
      <c r="H1179" s="49">
        <v>3</v>
      </c>
      <c r="I1179" s="49" t="e">
        <v>#REF!</v>
      </c>
      <c r="J1179" s="50"/>
    </row>
    <row r="1180" outlineLevel="1" spans="1:10">
      <c r="A1180" s="50">
        <v>250</v>
      </c>
      <c r="B1180" s="51" t="str">
        <v>雨水地漏-DN75</v>
      </c>
      <c r="C1180" s="51" t="e">
        <v>#REF!</v>
      </c>
      <c r="D1180" s="51" t="str">
        <v/>
      </c>
      <c r="E1180" s="51" t="str">
        <v/>
      </c>
      <c r="F1180" s="52" t="e">
        <v>#REF!</v>
      </c>
      <c r="G1180" s="48" t="e">
        <v>#REF!</v>
      </c>
      <c r="H1180" s="49">
        <v>4</v>
      </c>
      <c r="I1180" s="49" t="e">
        <v>#REF!</v>
      </c>
      <c r="J1180" s="50"/>
    </row>
    <row r="1181" outlineLevel="1" spans="1:10">
      <c r="A1181" s="50" t="str">
        <v/>
      </c>
      <c r="B1181" s="51" t="str">
        <v>B.08地上预留预埋</v>
      </c>
      <c r="C1181" s="51" t="str">
        <v/>
      </c>
      <c r="D1181" s="51" t="str">
        <v/>
      </c>
      <c r="E1181" s="51" t="str">
        <v/>
      </c>
      <c r="F1181" s="52" t="str">
        <v/>
      </c>
      <c r="G1181" s="48" t="str">
        <v/>
      </c>
      <c r="H1181" s="49">
        <v>0</v>
      </c>
      <c r="I1181" s="49" t="e">
        <v>#REF!</v>
      </c>
      <c r="J1181" s="50"/>
    </row>
    <row r="1182" outlineLevel="1" spans="1:10">
      <c r="A1182" s="50" t="str">
        <v/>
      </c>
      <c r="B1182" s="51" t="str">
        <v>B.08.1给排水预留预埋</v>
      </c>
      <c r="C1182" s="51" t="str">
        <v/>
      </c>
      <c r="D1182" s="51" t="str">
        <v/>
      </c>
      <c r="E1182" s="51" t="str">
        <v/>
      </c>
      <c r="F1182" s="52" t="str">
        <v/>
      </c>
      <c r="G1182" s="48" t="str">
        <v/>
      </c>
      <c r="H1182" s="49">
        <v>0</v>
      </c>
      <c r="I1182" s="49" t="e">
        <v>#REF!</v>
      </c>
      <c r="J1182" s="50"/>
    </row>
    <row r="1183" outlineLevel="1" spans="1:10">
      <c r="A1183" s="50">
        <v>251</v>
      </c>
      <c r="B1183" s="51" t="str">
        <v>空调套管DN80</v>
      </c>
      <c r="C1183" s="51" t="e">
        <v>#REF!</v>
      </c>
      <c r="D1183" s="51" t="str">
        <v/>
      </c>
      <c r="E1183" s="51" t="str">
        <v/>
      </c>
      <c r="F1183" s="52" t="e">
        <v>#REF!</v>
      </c>
      <c r="G1183" s="48" t="e">
        <v>#REF!</v>
      </c>
      <c r="H1183" s="49">
        <v>108</v>
      </c>
      <c r="I1183" s="49" t="e">
        <v>#REF!</v>
      </c>
      <c r="J1183" s="50"/>
    </row>
    <row r="1184" outlineLevel="1" spans="1:10">
      <c r="A1184" s="50">
        <v>252</v>
      </c>
      <c r="B1184" s="51" t="str">
        <v>燃气套管DN100</v>
      </c>
      <c r="C1184" s="51" t="e">
        <v>#REF!</v>
      </c>
      <c r="D1184" s="51" t="str">
        <v/>
      </c>
      <c r="E1184" s="51" t="str">
        <v/>
      </c>
      <c r="F1184" s="52" t="e">
        <v>#REF!</v>
      </c>
      <c r="G1184" s="48" t="e">
        <v>#REF!</v>
      </c>
      <c r="H1184" s="49">
        <v>108</v>
      </c>
      <c r="I1184" s="49" t="e">
        <v>#REF!</v>
      </c>
      <c r="J1184" s="50"/>
    </row>
    <row r="1185" outlineLevel="1" spans="1:10">
      <c r="A1185" s="50">
        <v>253</v>
      </c>
      <c r="B1185" s="51" t="str">
        <v>刚性防水套管-DN50</v>
      </c>
      <c r="C1185" s="51" t="e">
        <v>#REF!</v>
      </c>
      <c r="D1185" s="51" t="str">
        <v/>
      </c>
      <c r="E1185" s="51" t="str">
        <v/>
      </c>
      <c r="F1185" s="52" t="e">
        <v>#REF!</v>
      </c>
      <c r="G1185" s="48" t="e">
        <v>#REF!</v>
      </c>
      <c r="H1185" s="49">
        <v>1</v>
      </c>
      <c r="I1185" s="49" t="e">
        <v>#REF!</v>
      </c>
      <c r="J1185" s="50"/>
    </row>
    <row r="1186" outlineLevel="1" spans="1:10">
      <c r="A1186" s="50">
        <v>254</v>
      </c>
      <c r="B1186" s="51" t="str">
        <v>刚性防水套管-DN65</v>
      </c>
      <c r="C1186" s="51" t="e">
        <v>#REF!</v>
      </c>
      <c r="D1186" s="51" t="str">
        <v/>
      </c>
      <c r="E1186" s="51" t="str">
        <v/>
      </c>
      <c r="F1186" s="52" t="e">
        <v>#REF!</v>
      </c>
      <c r="G1186" s="48" t="e">
        <v>#REF!</v>
      </c>
      <c r="H1186" s="49">
        <v>1</v>
      </c>
      <c r="I1186" s="49" t="e">
        <v>#REF!</v>
      </c>
      <c r="J1186" s="50"/>
    </row>
    <row r="1187" outlineLevel="1" spans="1:10">
      <c r="A1187" s="50">
        <v>255</v>
      </c>
      <c r="B1187" s="51" t="str">
        <v>刚性防水套管-DN80</v>
      </c>
      <c r="C1187" s="51" t="e">
        <v>#REF!</v>
      </c>
      <c r="D1187" s="51" t="str">
        <v/>
      </c>
      <c r="E1187" s="51" t="str">
        <v/>
      </c>
      <c r="F1187" s="52" t="e">
        <v>#REF!</v>
      </c>
      <c r="G1187" s="48" t="e">
        <v>#REF!</v>
      </c>
      <c r="H1187" s="49">
        <v>1</v>
      </c>
      <c r="I1187" s="49" t="e">
        <v>#REF!</v>
      </c>
      <c r="J1187" s="50"/>
    </row>
    <row r="1188" outlineLevel="1" spans="1:10">
      <c r="A1188" s="50">
        <v>256</v>
      </c>
      <c r="B1188" s="51" t="str">
        <v>刚性防水套管-De110</v>
      </c>
      <c r="C1188" s="51" t="e">
        <v>#REF!</v>
      </c>
      <c r="D1188" s="51" t="str">
        <v/>
      </c>
      <c r="E1188" s="51" t="str">
        <v/>
      </c>
      <c r="F1188" s="52" t="e">
        <v>#REF!</v>
      </c>
      <c r="G1188" s="48" t="e">
        <v>#REF!</v>
      </c>
      <c r="H1188" s="49">
        <v>24</v>
      </c>
      <c r="I1188" s="49" t="e">
        <v>#REF!</v>
      </c>
      <c r="J1188" s="50"/>
    </row>
    <row r="1189" outlineLevel="1" spans="1:10">
      <c r="A1189" s="50" t="str">
        <v/>
      </c>
      <c r="B1189" s="51" t="str">
        <v>B.08.1消防预留预埋</v>
      </c>
      <c r="C1189" s="51" t="str">
        <v/>
      </c>
      <c r="D1189" s="51" t="str">
        <v/>
      </c>
      <c r="E1189" s="51" t="str">
        <v/>
      </c>
      <c r="F1189" s="52" t="str">
        <v/>
      </c>
      <c r="G1189" s="48" t="str">
        <v/>
      </c>
      <c r="H1189" s="49">
        <v>0</v>
      </c>
      <c r="I1189" s="49" t="e">
        <v>#REF!</v>
      </c>
      <c r="J1189" s="50"/>
    </row>
    <row r="1190" outlineLevel="1" spans="1:10">
      <c r="A1190" s="50">
        <v>257</v>
      </c>
      <c r="B1190" s="51" t="str">
        <v>消防钢套管-DN65</v>
      </c>
      <c r="C1190" s="51" t="e">
        <v>#REF!</v>
      </c>
      <c r="D1190" s="51" t="str">
        <v/>
      </c>
      <c r="E1190" s="51" t="str">
        <v/>
      </c>
      <c r="F1190" s="52" t="e">
        <v>#REF!</v>
      </c>
      <c r="G1190" s="48" t="e">
        <v>#REF!</v>
      </c>
      <c r="H1190" s="49">
        <v>0</v>
      </c>
      <c r="I1190" s="49" t="e">
        <v>#REF!</v>
      </c>
      <c r="J1190" s="50"/>
    </row>
    <row r="1191" outlineLevel="1" spans="1:10">
      <c r="A1191" s="50">
        <v>258</v>
      </c>
      <c r="B1191" s="51" t="str">
        <v>消防钢套管-DN100</v>
      </c>
      <c r="C1191" s="51" t="e">
        <v>#REF!</v>
      </c>
      <c r="D1191" s="51" t="str">
        <v/>
      </c>
      <c r="E1191" s="51" t="str">
        <v/>
      </c>
      <c r="F1191" s="52" t="e">
        <v>#REF!</v>
      </c>
      <c r="G1191" s="48" t="e">
        <v>#REF!</v>
      </c>
      <c r="H1191" s="49">
        <v>57</v>
      </c>
      <c r="I1191" s="49" t="e">
        <v>#REF!</v>
      </c>
      <c r="J1191" s="50"/>
    </row>
    <row r="1192" outlineLevel="1" spans="1:10">
      <c r="A1192" s="50">
        <v>259</v>
      </c>
      <c r="B1192" s="51" t="str">
        <v>刚性防水套管-DN100</v>
      </c>
      <c r="C1192" s="51" t="e">
        <v>#REF!</v>
      </c>
      <c r="D1192" s="51" t="str">
        <v/>
      </c>
      <c r="E1192" s="51" t="str">
        <v/>
      </c>
      <c r="F1192" s="52" t="e">
        <v>#REF!</v>
      </c>
      <c r="G1192" s="48" t="e">
        <v>#REF!</v>
      </c>
      <c r="H1192" s="49">
        <v>4</v>
      </c>
      <c r="I1192" s="49" t="e">
        <v>#REF!</v>
      </c>
      <c r="J1192" s="50"/>
    </row>
    <row r="1193" outlineLevel="1" spans="1:10">
      <c r="A1193" s="50" t="str">
        <v/>
      </c>
      <c r="B1193" s="51" t="str">
        <v>地下采暖</v>
      </c>
      <c r="C1193" s="51" t="str">
        <v/>
      </c>
      <c r="D1193" s="51" t="str">
        <v/>
      </c>
      <c r="E1193" s="51" t="str">
        <v/>
      </c>
      <c r="F1193" s="52" t="str">
        <v/>
      </c>
      <c r="G1193" s="48" t="str">
        <v/>
      </c>
      <c r="H1193" s="49">
        <v>0</v>
      </c>
      <c r="I1193" s="49" t="e">
        <v>#REF!</v>
      </c>
      <c r="J1193" s="50"/>
    </row>
    <row r="1194" outlineLevel="1" spans="1:10">
      <c r="A1194" s="50" t="str">
        <v/>
      </c>
      <c r="B1194" s="51" t="str">
        <v>B.09采暖入口装置</v>
      </c>
      <c r="C1194" s="51" t="str">
        <v/>
      </c>
      <c r="D1194" s="51" t="str">
        <v/>
      </c>
      <c r="E1194" s="51" t="str">
        <v/>
      </c>
      <c r="F1194" s="52" t="str">
        <v/>
      </c>
      <c r="G1194" s="48" t="str">
        <v/>
      </c>
      <c r="H1194" s="49">
        <v>0</v>
      </c>
      <c r="I1194" s="49" t="e">
        <v>#REF!</v>
      </c>
      <c r="J1194" s="50"/>
    </row>
    <row r="1195" outlineLevel="1" spans="1:10">
      <c r="A1195" s="50">
        <v>260</v>
      </c>
      <c r="B1195" s="51" t="str">
        <v>采暖入口装置-DN25</v>
      </c>
      <c r="C1195" s="51" t="e">
        <v>#REF!</v>
      </c>
      <c r="D1195" s="51" t="str">
        <v/>
      </c>
      <c r="E1195" s="51" t="str">
        <v/>
      </c>
      <c r="F1195" s="52" t="e">
        <v>#REF!</v>
      </c>
      <c r="G1195" s="48" t="e">
        <v>#REF!</v>
      </c>
      <c r="H1195" s="49">
        <v>0</v>
      </c>
      <c r="I1195" s="49" t="e">
        <v>#REF!</v>
      </c>
      <c r="J1195" s="50"/>
    </row>
    <row r="1196" outlineLevel="1" spans="1:10">
      <c r="A1196" s="50">
        <v>261</v>
      </c>
      <c r="B1196" s="51" t="str">
        <v>采暖入口装置-DN32</v>
      </c>
      <c r="C1196" s="51" t="e">
        <v>#REF!</v>
      </c>
      <c r="D1196" s="51" t="str">
        <v/>
      </c>
      <c r="E1196" s="51" t="str">
        <v/>
      </c>
      <c r="F1196" s="52" t="e">
        <v>#REF!</v>
      </c>
      <c r="G1196" s="48" t="e">
        <v>#REF!</v>
      </c>
      <c r="H1196" s="49">
        <v>0</v>
      </c>
      <c r="I1196" s="49" t="e">
        <v>#REF!</v>
      </c>
      <c r="J1196" s="50"/>
    </row>
    <row r="1197" outlineLevel="1" spans="1:10">
      <c r="A1197" s="50">
        <v>262</v>
      </c>
      <c r="B1197" s="51" t="str">
        <v>采暖入口装置-DN40</v>
      </c>
      <c r="C1197" s="51" t="e">
        <v>#REF!</v>
      </c>
      <c r="D1197" s="51" t="str">
        <v/>
      </c>
      <c r="E1197" s="51" t="str">
        <v/>
      </c>
      <c r="F1197" s="52" t="e">
        <v>#REF!</v>
      </c>
      <c r="G1197" s="48" t="e">
        <v>#REF!</v>
      </c>
      <c r="H1197" s="49">
        <v>0</v>
      </c>
      <c r="I1197" s="49" t="e">
        <v>#REF!</v>
      </c>
      <c r="J1197" s="50"/>
    </row>
    <row r="1198" outlineLevel="1" spans="1:10">
      <c r="A1198" s="50">
        <v>263</v>
      </c>
      <c r="B1198" s="51" t="str">
        <v>采暖入口装置-DN50</v>
      </c>
      <c r="C1198" s="51" t="e">
        <v>#REF!</v>
      </c>
      <c r="D1198" s="51" t="str">
        <v/>
      </c>
      <c r="E1198" s="51" t="str">
        <v/>
      </c>
      <c r="F1198" s="52" t="e">
        <v>#REF!</v>
      </c>
      <c r="G1198" s="48" t="e">
        <v>#REF!</v>
      </c>
      <c r="H1198" s="49">
        <v>1</v>
      </c>
      <c r="I1198" s="49" t="e">
        <v>#REF!</v>
      </c>
      <c r="J1198" s="50"/>
    </row>
    <row r="1199" outlineLevel="1" spans="1:10">
      <c r="A1199" s="50">
        <v>264</v>
      </c>
      <c r="B1199" s="51" t="str">
        <v>采暖入口装置-DN65</v>
      </c>
      <c r="C1199" s="51" t="e">
        <v>#REF!</v>
      </c>
      <c r="D1199" s="51" t="str">
        <v/>
      </c>
      <c r="E1199" s="51" t="str">
        <v/>
      </c>
      <c r="F1199" s="52" t="e">
        <v>#REF!</v>
      </c>
      <c r="G1199" s="48" t="e">
        <v>#REF!</v>
      </c>
      <c r="H1199" s="49">
        <v>1</v>
      </c>
      <c r="I1199" s="49" t="e">
        <v>#REF!</v>
      </c>
      <c r="J1199" s="50"/>
    </row>
    <row r="1200" outlineLevel="1" spans="1:10">
      <c r="A1200" s="50">
        <v>265</v>
      </c>
      <c r="B1200" s="51" t="str">
        <v>采暖入口装置-DN80</v>
      </c>
      <c r="C1200" s="51" t="e">
        <v>#REF!</v>
      </c>
      <c r="D1200" s="51" t="str">
        <v/>
      </c>
      <c r="E1200" s="51" t="str">
        <v/>
      </c>
      <c r="F1200" s="52" t="e">
        <v>#REF!</v>
      </c>
      <c r="G1200" s="48" t="e">
        <v>#REF!</v>
      </c>
      <c r="H1200" s="49">
        <v>1</v>
      </c>
      <c r="I1200" s="49" t="e">
        <v>#REF!</v>
      </c>
      <c r="J1200" s="50"/>
    </row>
    <row r="1201" outlineLevel="1" spans="1:10">
      <c r="A1201" s="50">
        <v>266</v>
      </c>
      <c r="B1201" s="51" t="str">
        <v>采暖入口装置-DN100</v>
      </c>
      <c r="C1201" s="51" t="e">
        <v>#REF!</v>
      </c>
      <c r="D1201" s="51" t="str">
        <v/>
      </c>
      <c r="E1201" s="51" t="str">
        <v/>
      </c>
      <c r="F1201" s="52" t="e">
        <v>#REF!</v>
      </c>
      <c r="G1201" s="48" t="e">
        <v>#REF!</v>
      </c>
      <c r="H1201" s="49">
        <v>1</v>
      </c>
      <c r="I1201" s="49" t="e">
        <v>#REF!</v>
      </c>
      <c r="J1201" s="50"/>
    </row>
    <row r="1202" outlineLevel="1" spans="1:10">
      <c r="A1202" s="50" t="str">
        <v/>
      </c>
      <c r="B1202" s="51" t="str">
        <v>B.10采暖管道</v>
      </c>
      <c r="C1202" s="51" t="str">
        <v/>
      </c>
      <c r="D1202" s="51" t="str">
        <v/>
      </c>
      <c r="E1202" s="51" t="str">
        <v/>
      </c>
      <c r="F1202" s="52" t="str">
        <v/>
      </c>
      <c r="G1202" s="48" t="str">
        <v/>
      </c>
      <c r="H1202" s="49">
        <v>0</v>
      </c>
      <c r="I1202" s="49" t="e">
        <v>#REF!</v>
      </c>
      <c r="J1202" s="50"/>
    </row>
    <row r="1203" outlineLevel="1" spans="1:10">
      <c r="A1203" s="50">
        <v>267</v>
      </c>
      <c r="B1203" s="51" t="str">
        <v>室内供暖镀锌钢管-DN15</v>
      </c>
      <c r="C1203" s="51" t="e">
        <v>#REF!</v>
      </c>
      <c r="D1203" s="51" t="str">
        <v/>
      </c>
      <c r="E1203" s="51" t="str">
        <v/>
      </c>
      <c r="F1203" s="52" t="e">
        <v>#REF!</v>
      </c>
      <c r="G1203" s="48" t="e">
        <v>#REF!</v>
      </c>
      <c r="H1203" s="49">
        <v>0</v>
      </c>
      <c r="I1203" s="49" t="e">
        <v>#REF!</v>
      </c>
      <c r="J1203" s="50"/>
    </row>
    <row r="1204" outlineLevel="1" spans="1:10">
      <c r="A1204" s="50">
        <v>268</v>
      </c>
      <c r="B1204" s="51" t="str">
        <v>室内供暖镀锌钢管-DN20</v>
      </c>
      <c r="C1204" s="51" t="e">
        <v>#REF!</v>
      </c>
      <c r="D1204" s="51" t="str">
        <v/>
      </c>
      <c r="E1204" s="51" t="str">
        <v/>
      </c>
      <c r="F1204" s="52" t="e">
        <v>#REF!</v>
      </c>
      <c r="G1204" s="48" t="e">
        <v>#REF!</v>
      </c>
      <c r="H1204" s="49">
        <v>0</v>
      </c>
      <c r="I1204" s="49" t="e">
        <v>#REF!</v>
      </c>
      <c r="J1204" s="50"/>
    </row>
    <row r="1205" outlineLevel="1" spans="1:10">
      <c r="A1205" s="50">
        <v>269</v>
      </c>
      <c r="B1205" s="51" t="str">
        <v>室内供暖镀锌钢管-DN25</v>
      </c>
      <c r="C1205" s="51" t="e">
        <v>#REF!</v>
      </c>
      <c r="D1205" s="51" t="str">
        <v/>
      </c>
      <c r="E1205" s="51" t="str">
        <v/>
      </c>
      <c r="F1205" s="52" t="e">
        <v>#REF!</v>
      </c>
      <c r="G1205" s="48" t="e">
        <v>#REF!</v>
      </c>
      <c r="H1205" s="49">
        <v>1.8</v>
      </c>
      <c r="I1205" s="49" t="e">
        <v>#REF!</v>
      </c>
      <c r="J1205" s="50"/>
    </row>
    <row r="1206" outlineLevel="1" spans="1:10">
      <c r="A1206" s="50">
        <v>270</v>
      </c>
      <c r="B1206" s="51" t="str">
        <v>室内供暖镀锌钢管-DN32</v>
      </c>
      <c r="C1206" s="51" t="e">
        <v>#REF!</v>
      </c>
      <c r="D1206" s="51" t="str">
        <v/>
      </c>
      <c r="E1206" s="51" t="str">
        <v/>
      </c>
      <c r="F1206" s="52" t="e">
        <v>#REF!</v>
      </c>
      <c r="G1206" s="48" t="e">
        <v>#REF!</v>
      </c>
      <c r="H1206" s="49">
        <v>1.8</v>
      </c>
      <c r="I1206" s="49" t="e">
        <v>#REF!</v>
      </c>
      <c r="J1206" s="50"/>
    </row>
    <row r="1207" outlineLevel="1" spans="1:10">
      <c r="A1207" s="50">
        <v>271</v>
      </c>
      <c r="B1207" s="51" t="str">
        <v>室内供暖镀锌钢管-DN40</v>
      </c>
      <c r="C1207" s="51" t="e">
        <v>#REF!</v>
      </c>
      <c r="D1207" s="51" t="str">
        <v/>
      </c>
      <c r="E1207" s="51" t="str">
        <v/>
      </c>
      <c r="F1207" s="52" t="e">
        <v>#REF!</v>
      </c>
      <c r="G1207" s="48" t="e">
        <v>#REF!</v>
      </c>
      <c r="H1207" s="49">
        <v>0</v>
      </c>
      <c r="I1207" s="49" t="e">
        <v>#REF!</v>
      </c>
      <c r="J1207" s="50"/>
    </row>
    <row r="1208" outlineLevel="1" spans="1:10">
      <c r="A1208" s="50">
        <v>272</v>
      </c>
      <c r="B1208" s="51" t="str">
        <v>室内供暖镀锌钢管-DN50</v>
      </c>
      <c r="C1208" s="51" t="e">
        <v>#REF!</v>
      </c>
      <c r="D1208" s="51" t="str">
        <v/>
      </c>
      <c r="E1208" s="51" t="str">
        <v/>
      </c>
      <c r="F1208" s="52" t="e">
        <v>#REF!</v>
      </c>
      <c r="G1208" s="48" t="e">
        <v>#REF!</v>
      </c>
      <c r="H1208" s="49">
        <v>0</v>
      </c>
      <c r="I1208" s="49" t="e">
        <v>#REF!</v>
      </c>
      <c r="J1208" s="50"/>
    </row>
    <row r="1209" outlineLevel="1" spans="1:10">
      <c r="A1209" s="50">
        <v>273</v>
      </c>
      <c r="B1209" s="51" t="str">
        <v>室内供暖镀锌钢管-DN65</v>
      </c>
      <c r="C1209" s="51" t="e">
        <v>#REF!</v>
      </c>
      <c r="D1209" s="51" t="str">
        <v/>
      </c>
      <c r="E1209" s="51" t="str">
        <v/>
      </c>
      <c r="F1209" s="52" t="e">
        <v>#REF!</v>
      </c>
      <c r="G1209" s="48" t="e">
        <v>#REF!</v>
      </c>
      <c r="H1209" s="49">
        <v>213.39</v>
      </c>
      <c r="I1209" s="49" t="e">
        <v>#REF!</v>
      </c>
      <c r="J1209" s="50"/>
    </row>
    <row r="1210" outlineLevel="1" spans="1:10">
      <c r="A1210" s="50">
        <v>274</v>
      </c>
      <c r="B1210" s="51" t="str">
        <v>室内供暖镀锌钢管-DN80</v>
      </c>
      <c r="C1210" s="51" t="e">
        <v>#REF!</v>
      </c>
      <c r="D1210" s="51" t="str">
        <v/>
      </c>
      <c r="E1210" s="51" t="str">
        <v/>
      </c>
      <c r="F1210" s="52" t="e">
        <v>#REF!</v>
      </c>
      <c r="G1210" s="48" t="e">
        <v>#REF!</v>
      </c>
      <c r="H1210" s="49">
        <v>227.73</v>
      </c>
      <c r="I1210" s="49" t="e">
        <v>#REF!</v>
      </c>
      <c r="J1210" s="50"/>
    </row>
    <row r="1211" ht="28.8" outlineLevel="1" spans="1:10">
      <c r="A1211" s="50">
        <v>275</v>
      </c>
      <c r="B1211" s="51" t="str">
        <v>室内供暖无缝镀锌钢管-DN100</v>
      </c>
      <c r="C1211" s="51" t="e">
        <v>#REF!</v>
      </c>
      <c r="D1211" s="51" t="str">
        <v/>
      </c>
      <c r="E1211" s="51" t="str">
        <v/>
      </c>
      <c r="F1211" s="52" t="e">
        <v>#REF!</v>
      </c>
      <c r="G1211" s="48" t="e">
        <v>#REF!</v>
      </c>
      <c r="H1211" s="49">
        <v>0</v>
      </c>
      <c r="I1211" s="49" t="e">
        <v>#REF!</v>
      </c>
      <c r="J1211" s="50"/>
    </row>
    <row r="1212" ht="28.8" outlineLevel="1" spans="1:10">
      <c r="A1212" s="50">
        <v>276</v>
      </c>
      <c r="B1212" s="51" t="str">
        <v>室内供暖无缝镀锌钢管-DN125</v>
      </c>
      <c r="C1212" s="51" t="e">
        <v>#REF!</v>
      </c>
      <c r="D1212" s="51" t="str">
        <v/>
      </c>
      <c r="E1212" s="51" t="str">
        <v/>
      </c>
      <c r="F1212" s="52" t="e">
        <v>#REF!</v>
      </c>
      <c r="G1212" s="48" t="e">
        <v>#REF!</v>
      </c>
      <c r="H1212" s="49">
        <v>0</v>
      </c>
      <c r="I1212" s="49" t="e">
        <v>#REF!</v>
      </c>
      <c r="J1212" s="50"/>
    </row>
    <row r="1213" ht="28.8" outlineLevel="1" spans="1:10">
      <c r="A1213" s="50">
        <v>277</v>
      </c>
      <c r="B1213" s="51" t="str">
        <v>室内供暖无缝镀锌钢管-DN150</v>
      </c>
      <c r="C1213" s="51" t="e">
        <v>#REF!</v>
      </c>
      <c r="D1213" s="51" t="str">
        <v/>
      </c>
      <c r="E1213" s="51" t="str">
        <v/>
      </c>
      <c r="F1213" s="52" t="e">
        <v>#REF!</v>
      </c>
      <c r="G1213" s="48" t="e">
        <v>#REF!</v>
      </c>
      <c r="H1213" s="49">
        <v>0</v>
      </c>
      <c r="I1213" s="49" t="e">
        <v>#REF!</v>
      </c>
      <c r="J1213" s="50"/>
    </row>
    <row r="1214" ht="28.8" outlineLevel="1" spans="1:10">
      <c r="A1214" s="50">
        <v>278</v>
      </c>
      <c r="B1214" s="51" t="str">
        <v>室内供暖无缝镀锌钢管-DN200</v>
      </c>
      <c r="C1214" s="51" t="e">
        <v>#REF!</v>
      </c>
      <c r="D1214" s="51" t="str">
        <v/>
      </c>
      <c r="E1214" s="51" t="str">
        <v/>
      </c>
      <c r="F1214" s="52" t="e">
        <v>#REF!</v>
      </c>
      <c r="G1214" s="48" t="e">
        <v>#REF!</v>
      </c>
      <c r="H1214" s="49">
        <v>0</v>
      </c>
      <c r="I1214" s="49" t="e">
        <v>#REF!</v>
      </c>
      <c r="J1214" s="50"/>
    </row>
    <row r="1215" ht="28.8" outlineLevel="1" spans="1:10">
      <c r="A1215" s="50">
        <v>279</v>
      </c>
      <c r="B1215" s="51" t="str">
        <v>室内供暖无缝镀锌钢管-DN250</v>
      </c>
      <c r="C1215" s="51" t="e">
        <v>#REF!</v>
      </c>
      <c r="D1215" s="51" t="str">
        <v/>
      </c>
      <c r="E1215" s="51" t="str">
        <v/>
      </c>
      <c r="F1215" s="52" t="e">
        <v>#REF!</v>
      </c>
      <c r="G1215" s="48" t="e">
        <v>#REF!</v>
      </c>
      <c r="H1215" s="49">
        <v>0</v>
      </c>
      <c r="I1215" s="49" t="e">
        <v>#REF!</v>
      </c>
      <c r="J1215" s="50"/>
    </row>
    <row r="1216" outlineLevel="1" spans="1:10">
      <c r="A1216" s="50" t="str">
        <v/>
      </c>
      <c r="B1216" s="51" t="str">
        <v>B.11采暖套管及阀部件</v>
      </c>
      <c r="C1216" s="51" t="str">
        <v/>
      </c>
      <c r="D1216" s="51" t="str">
        <v/>
      </c>
      <c r="E1216" s="51" t="str">
        <v/>
      </c>
      <c r="F1216" s="52" t="str">
        <v/>
      </c>
      <c r="G1216" s="48" t="str">
        <v/>
      </c>
      <c r="H1216" s="49">
        <v>0</v>
      </c>
      <c r="I1216" s="49" t="e">
        <v>#REF!</v>
      </c>
      <c r="J1216" s="50"/>
    </row>
    <row r="1217" outlineLevel="1" spans="1:10">
      <c r="A1217" s="50">
        <v>280</v>
      </c>
      <c r="B1217" s="51" t="str">
        <v>刚性防水套管-DN50</v>
      </c>
      <c r="C1217" s="51" t="e">
        <v>#REF!</v>
      </c>
      <c r="D1217" s="51" t="str">
        <v/>
      </c>
      <c r="E1217" s="51" t="str">
        <v/>
      </c>
      <c r="F1217" s="52" t="e">
        <v>#REF!</v>
      </c>
      <c r="G1217" s="48" t="e">
        <v>#REF!</v>
      </c>
      <c r="H1217" s="49">
        <v>0</v>
      </c>
      <c r="I1217" s="49" t="e">
        <v>#REF!</v>
      </c>
      <c r="J1217" s="50"/>
    </row>
    <row r="1218" outlineLevel="1" spans="1:10">
      <c r="A1218" s="50">
        <v>281</v>
      </c>
      <c r="B1218" s="51" t="str">
        <v>刚性防水套管-DN65</v>
      </c>
      <c r="C1218" s="51" t="e">
        <v>#REF!</v>
      </c>
      <c r="D1218" s="51" t="str">
        <v/>
      </c>
      <c r="E1218" s="51" t="str">
        <v/>
      </c>
      <c r="F1218" s="52" t="e">
        <v>#REF!</v>
      </c>
      <c r="G1218" s="48" t="e">
        <v>#REF!</v>
      </c>
      <c r="H1218" s="49">
        <v>1</v>
      </c>
      <c r="I1218" s="49" t="e">
        <v>#REF!</v>
      </c>
      <c r="J1218" s="50"/>
    </row>
    <row r="1219" outlineLevel="1" spans="1:10">
      <c r="A1219" s="50">
        <v>282</v>
      </c>
      <c r="B1219" s="51" t="str">
        <v>刚性防水套管-DN80</v>
      </c>
      <c r="C1219" s="51" t="e">
        <v>#REF!</v>
      </c>
      <c r="D1219" s="51" t="str">
        <v/>
      </c>
      <c r="E1219" s="51" t="str">
        <v/>
      </c>
      <c r="F1219" s="52" t="e">
        <v>#REF!</v>
      </c>
      <c r="G1219" s="48" t="e">
        <v>#REF!</v>
      </c>
      <c r="H1219" s="49">
        <v>1</v>
      </c>
      <c r="I1219" s="49" t="e">
        <v>#REF!</v>
      </c>
      <c r="J1219" s="50"/>
    </row>
    <row r="1220" outlineLevel="1" spans="1:10">
      <c r="A1220" s="50">
        <v>283</v>
      </c>
      <c r="B1220" s="51" t="str">
        <v>刚性防水套管-DN150</v>
      </c>
      <c r="C1220" s="51" t="e">
        <v>#REF!</v>
      </c>
      <c r="D1220" s="51" t="str">
        <v/>
      </c>
      <c r="E1220" s="51" t="str">
        <v/>
      </c>
      <c r="F1220" s="52" t="e">
        <v>#REF!</v>
      </c>
      <c r="G1220" s="48" t="e">
        <v>#REF!</v>
      </c>
      <c r="H1220" s="49">
        <v>0</v>
      </c>
      <c r="I1220" s="49" t="e">
        <v>#REF!</v>
      </c>
      <c r="J1220" s="50"/>
    </row>
    <row r="1221" outlineLevel="1" spans="1:10">
      <c r="A1221" s="50">
        <v>284</v>
      </c>
      <c r="B1221" s="51" t="str">
        <v>刚性防水套管-DN125</v>
      </c>
      <c r="C1221" s="51" t="e">
        <v>#REF!</v>
      </c>
      <c r="D1221" s="51" t="str">
        <v/>
      </c>
      <c r="E1221" s="51" t="str">
        <v/>
      </c>
      <c r="F1221" s="52" t="e">
        <v>#REF!</v>
      </c>
      <c r="G1221" s="48" t="e">
        <v>#REF!</v>
      </c>
      <c r="H1221" s="49">
        <v>0</v>
      </c>
      <c r="I1221" s="49" t="e">
        <v>#REF!</v>
      </c>
      <c r="J1221" s="50"/>
    </row>
    <row r="1222" outlineLevel="1" spans="1:10">
      <c r="A1222" s="50">
        <v>285</v>
      </c>
      <c r="B1222" s="51" t="str">
        <v>刚性防水套管-DN100</v>
      </c>
      <c r="C1222" s="51" t="e">
        <v>#REF!</v>
      </c>
      <c r="D1222" s="51" t="str">
        <v/>
      </c>
      <c r="E1222" s="51" t="str">
        <v/>
      </c>
      <c r="F1222" s="52" t="e">
        <v>#REF!</v>
      </c>
      <c r="G1222" s="48" t="e">
        <v>#REF!</v>
      </c>
      <c r="H1222" s="49">
        <v>0</v>
      </c>
      <c r="I1222" s="49" t="e">
        <v>#REF!</v>
      </c>
      <c r="J1222" s="50"/>
    </row>
    <row r="1223" outlineLevel="1" spans="1:10">
      <c r="A1223" s="50">
        <v>286</v>
      </c>
      <c r="B1223" s="51" t="str">
        <v>刚性防水套管-DN300</v>
      </c>
      <c r="C1223" s="51" t="e">
        <v>#REF!</v>
      </c>
      <c r="D1223" s="51" t="str">
        <v/>
      </c>
      <c r="E1223" s="51" t="str">
        <v/>
      </c>
      <c r="F1223" s="52" t="e">
        <v>#REF!</v>
      </c>
      <c r="G1223" s="48" t="e">
        <v>#REF!</v>
      </c>
      <c r="H1223" s="49">
        <v>0</v>
      </c>
      <c r="I1223" s="49" t="e">
        <v>#REF!</v>
      </c>
      <c r="J1223" s="50"/>
    </row>
    <row r="1224" outlineLevel="1" spans="1:10">
      <c r="A1224" s="50">
        <v>287</v>
      </c>
      <c r="B1224" s="51" t="str">
        <v>刚性防水套管-DN250</v>
      </c>
      <c r="C1224" s="51" t="e">
        <v>#REF!</v>
      </c>
      <c r="D1224" s="51" t="str">
        <v/>
      </c>
      <c r="E1224" s="51" t="str">
        <v/>
      </c>
      <c r="F1224" s="52" t="e">
        <v>#REF!</v>
      </c>
      <c r="G1224" s="48" t="e">
        <v>#REF!</v>
      </c>
      <c r="H1224" s="49">
        <v>0</v>
      </c>
      <c r="I1224" s="49" t="e">
        <v>#REF!</v>
      </c>
      <c r="J1224" s="50"/>
    </row>
    <row r="1225" outlineLevel="1" spans="1:10">
      <c r="A1225" s="50">
        <v>288</v>
      </c>
      <c r="B1225" s="51" t="str">
        <v>人防通风密闭套管-D250</v>
      </c>
      <c r="C1225" s="51" t="e">
        <v>#REF!</v>
      </c>
      <c r="D1225" s="51" t="str">
        <v/>
      </c>
      <c r="E1225" s="51" t="str">
        <v/>
      </c>
      <c r="F1225" s="52" t="e">
        <v>#REF!</v>
      </c>
      <c r="G1225" s="48" t="e">
        <v>#REF!</v>
      </c>
      <c r="H1225" s="49">
        <v>0</v>
      </c>
      <c r="I1225" s="49" t="e">
        <v>#REF!</v>
      </c>
      <c r="J1225" s="50"/>
    </row>
    <row r="1226" outlineLevel="1" spans="1:10">
      <c r="A1226" s="50">
        <v>289</v>
      </c>
      <c r="B1226" s="51" t="str">
        <v>人防通风密闭套管-D310</v>
      </c>
      <c r="C1226" s="51" t="e">
        <v>#REF!</v>
      </c>
      <c r="D1226" s="51" t="str">
        <v/>
      </c>
      <c r="E1226" s="51" t="str">
        <v/>
      </c>
      <c r="F1226" s="52" t="e">
        <v>#REF!</v>
      </c>
      <c r="G1226" s="48" t="e">
        <v>#REF!</v>
      </c>
      <c r="H1226" s="49">
        <v>0</v>
      </c>
      <c r="I1226" s="49" t="e">
        <v>#REF!</v>
      </c>
      <c r="J1226" s="50"/>
    </row>
    <row r="1227" outlineLevel="1" spans="1:10">
      <c r="A1227" s="50">
        <v>290</v>
      </c>
      <c r="B1227" s="51" t="str">
        <v>人防通风密闭套管-D450</v>
      </c>
      <c r="C1227" s="51" t="e">
        <v>#REF!</v>
      </c>
      <c r="D1227" s="51" t="str">
        <v/>
      </c>
      <c r="E1227" s="51" t="str">
        <v/>
      </c>
      <c r="F1227" s="52" t="e">
        <v>#REF!</v>
      </c>
      <c r="G1227" s="48" t="e">
        <v>#REF!</v>
      </c>
      <c r="H1227" s="49">
        <v>0</v>
      </c>
      <c r="I1227" s="49" t="e">
        <v>#REF!</v>
      </c>
      <c r="J1227" s="50"/>
    </row>
    <row r="1228" outlineLevel="1" spans="1:10">
      <c r="A1228" s="50">
        <v>291</v>
      </c>
      <c r="B1228" s="51" t="str">
        <v>人防通风密闭套管-D570</v>
      </c>
      <c r="C1228" s="51" t="e">
        <v>#REF!</v>
      </c>
      <c r="D1228" s="51" t="str">
        <v/>
      </c>
      <c r="E1228" s="51" t="str">
        <v/>
      </c>
      <c r="F1228" s="52" t="e">
        <v>#REF!</v>
      </c>
      <c r="G1228" s="48" t="e">
        <v>#REF!</v>
      </c>
      <c r="H1228" s="49">
        <v>0</v>
      </c>
      <c r="I1228" s="49" t="e">
        <v>#REF!</v>
      </c>
      <c r="J1228" s="50"/>
    </row>
    <row r="1229" outlineLevel="1" spans="1:10">
      <c r="A1229" s="50">
        <v>292</v>
      </c>
      <c r="B1229" s="51" t="str">
        <v>人防通风密闭套管-D680</v>
      </c>
      <c r="C1229" s="51" t="e">
        <v>#REF!</v>
      </c>
      <c r="D1229" s="51" t="str">
        <v/>
      </c>
      <c r="E1229" s="51" t="str">
        <v/>
      </c>
      <c r="F1229" s="52" t="e">
        <v>#REF!</v>
      </c>
      <c r="G1229" s="48" t="e">
        <v>#REF!</v>
      </c>
      <c r="H1229" s="49">
        <v>0</v>
      </c>
      <c r="I1229" s="49" t="e">
        <v>#REF!</v>
      </c>
      <c r="J1229" s="50"/>
    </row>
    <row r="1230" outlineLevel="1" spans="1:10">
      <c r="A1230" s="50">
        <v>293</v>
      </c>
      <c r="B1230" s="51" t="str">
        <v>人防通风密闭套管-D820</v>
      </c>
      <c r="C1230" s="51" t="e">
        <v>#REF!</v>
      </c>
      <c r="D1230" s="51" t="str">
        <v/>
      </c>
      <c r="E1230" s="51" t="str">
        <v/>
      </c>
      <c r="F1230" s="52" t="e">
        <v>#REF!</v>
      </c>
      <c r="G1230" s="48" t="e">
        <v>#REF!</v>
      </c>
      <c r="H1230" s="49">
        <v>0</v>
      </c>
      <c r="I1230" s="49" t="e">
        <v>#REF!</v>
      </c>
      <c r="J1230" s="50"/>
    </row>
    <row r="1231" outlineLevel="1" spans="1:10">
      <c r="A1231" s="50">
        <v>294</v>
      </c>
      <c r="B1231" s="51" t="str">
        <v>人防通风密闭套管-D1100</v>
      </c>
      <c r="C1231" s="51" t="e">
        <v>#REF!</v>
      </c>
      <c r="D1231" s="51" t="str">
        <v/>
      </c>
      <c r="E1231" s="51" t="str">
        <v/>
      </c>
      <c r="F1231" s="52" t="e">
        <v>#REF!</v>
      </c>
      <c r="G1231" s="48" t="e">
        <v>#REF!</v>
      </c>
      <c r="H1231" s="49">
        <v>0</v>
      </c>
      <c r="I1231" s="49" t="e">
        <v>#REF!</v>
      </c>
      <c r="J1231" s="50"/>
    </row>
    <row r="1232" outlineLevel="1" spans="1:10">
      <c r="A1232" s="50">
        <v>295</v>
      </c>
      <c r="B1232" s="51" t="str">
        <v>钢制散热器（20片/组）</v>
      </c>
      <c r="C1232" s="51" t="e">
        <v>#REF!</v>
      </c>
      <c r="D1232" s="51" t="str">
        <v/>
      </c>
      <c r="E1232" s="51" t="str">
        <v/>
      </c>
      <c r="F1232" s="52" t="e">
        <v>#REF!</v>
      </c>
      <c r="G1232" s="48" t="e">
        <v>#REF!</v>
      </c>
      <c r="H1232" s="49">
        <v>0</v>
      </c>
      <c r="I1232" s="49" t="e">
        <v>#REF!</v>
      </c>
      <c r="J1232" s="50"/>
    </row>
    <row r="1233" outlineLevel="1" spans="1:10">
      <c r="A1233" s="50">
        <v>296</v>
      </c>
      <c r="B1233" s="51" t="str">
        <v>钢制散热器（10片/组）</v>
      </c>
      <c r="C1233" s="51" t="e">
        <v>#REF!</v>
      </c>
      <c r="D1233" s="51" t="str">
        <v/>
      </c>
      <c r="E1233" s="51" t="str">
        <v/>
      </c>
      <c r="F1233" s="52" t="e">
        <v>#REF!</v>
      </c>
      <c r="G1233" s="48" t="e">
        <v>#REF!</v>
      </c>
      <c r="H1233" s="49">
        <v>0</v>
      </c>
      <c r="I1233" s="49" t="e">
        <v>#REF!</v>
      </c>
      <c r="J1233" s="50"/>
    </row>
    <row r="1234" outlineLevel="1" spans="1:10">
      <c r="A1234" s="50">
        <v>297</v>
      </c>
      <c r="B1234" s="51" t="str">
        <v>螺纹阀门-自动放气阀-DN15</v>
      </c>
      <c r="C1234" s="51" t="e">
        <v>#REF!</v>
      </c>
      <c r="D1234" s="51" t="str">
        <v/>
      </c>
      <c r="E1234" s="51" t="str">
        <v/>
      </c>
      <c r="F1234" s="52" t="e">
        <v>#REF!</v>
      </c>
      <c r="G1234" s="48" t="e">
        <v>#REF!</v>
      </c>
      <c r="H1234" s="49">
        <v>11</v>
      </c>
      <c r="I1234" s="49" t="e">
        <v>#REF!</v>
      </c>
      <c r="J1234" s="50"/>
    </row>
    <row r="1235" outlineLevel="1" spans="1:10">
      <c r="A1235" s="50">
        <v>298</v>
      </c>
      <c r="B1235" s="51" t="str">
        <v>螺纹阀门-自动放气阀-DN20</v>
      </c>
      <c r="C1235" s="51" t="e">
        <v>#REF!</v>
      </c>
      <c r="D1235" s="51" t="str">
        <v/>
      </c>
      <c r="E1235" s="51" t="str">
        <v/>
      </c>
      <c r="F1235" s="52" t="e">
        <v>#REF!</v>
      </c>
      <c r="G1235" s="48" t="e">
        <v>#REF!</v>
      </c>
      <c r="H1235" s="49">
        <v>1</v>
      </c>
      <c r="I1235" s="49" t="e">
        <v>#REF!</v>
      </c>
      <c r="J1235" s="50"/>
    </row>
    <row r="1236" outlineLevel="1" spans="1:10">
      <c r="A1236" s="50">
        <v>299</v>
      </c>
      <c r="B1236" s="51" t="str">
        <v>自动放气阀下截止阀-DN15</v>
      </c>
      <c r="C1236" s="51" t="e">
        <v>#REF!</v>
      </c>
      <c r="D1236" s="51" t="str">
        <v/>
      </c>
      <c r="E1236" s="51" t="str">
        <v/>
      </c>
      <c r="F1236" s="52" t="e">
        <v>#REF!</v>
      </c>
      <c r="G1236" s="48" t="e">
        <v>#REF!</v>
      </c>
      <c r="H1236" s="49">
        <v>11</v>
      </c>
      <c r="I1236" s="49" t="e">
        <v>#REF!</v>
      </c>
      <c r="J1236" s="50"/>
    </row>
    <row r="1237" outlineLevel="1" spans="1:10">
      <c r="A1237" s="50">
        <v>300</v>
      </c>
      <c r="B1237" s="51" t="str">
        <v>自动放气阀下截止阀-DN20</v>
      </c>
      <c r="C1237" s="51" t="e">
        <v>#REF!</v>
      </c>
      <c r="D1237" s="51" t="str">
        <v/>
      </c>
      <c r="E1237" s="51" t="str">
        <v/>
      </c>
      <c r="F1237" s="52" t="e">
        <v>#REF!</v>
      </c>
      <c r="G1237" s="48" t="e">
        <v>#REF!</v>
      </c>
      <c r="H1237" s="49">
        <v>1</v>
      </c>
      <c r="I1237" s="49" t="e">
        <v>#REF!</v>
      </c>
      <c r="J1237" s="50"/>
    </row>
    <row r="1238" outlineLevel="1" spans="1:10">
      <c r="A1238" s="50">
        <v>301</v>
      </c>
      <c r="B1238" s="51" t="str">
        <v>螺纹阀门-球阀-DN25</v>
      </c>
      <c r="C1238" s="51" t="e">
        <v>#REF!</v>
      </c>
      <c r="D1238" s="51" t="str">
        <v/>
      </c>
      <c r="E1238" s="51" t="str">
        <v/>
      </c>
      <c r="F1238" s="52" t="e">
        <v>#REF!</v>
      </c>
      <c r="G1238" s="48" t="e">
        <v>#REF!</v>
      </c>
      <c r="H1238" s="49">
        <v>12</v>
      </c>
      <c r="I1238" s="49" t="e">
        <v>#REF!</v>
      </c>
      <c r="J1238" s="50"/>
    </row>
    <row r="1239" outlineLevel="1" spans="1:10">
      <c r="A1239" s="50">
        <v>302</v>
      </c>
      <c r="B1239" s="51" t="str">
        <v>螺纹阀门-球阀-DN32</v>
      </c>
      <c r="C1239" s="51" t="e">
        <v>#REF!</v>
      </c>
      <c r="D1239" s="51" t="str">
        <v/>
      </c>
      <c r="E1239" s="51" t="str">
        <v/>
      </c>
      <c r="F1239" s="52" t="e">
        <v>#REF!</v>
      </c>
      <c r="G1239" s="48" t="e">
        <v>#REF!</v>
      </c>
      <c r="H1239" s="49">
        <v>12</v>
      </c>
      <c r="I1239" s="49" t="e">
        <v>#REF!</v>
      </c>
      <c r="J1239" s="50"/>
    </row>
    <row r="1240" outlineLevel="1" spans="1:10">
      <c r="A1240" s="50">
        <v>303</v>
      </c>
      <c r="B1240" s="51" t="str">
        <v>螺纹阀门-截止阀-DN40</v>
      </c>
      <c r="C1240" s="51" t="e">
        <v>#REF!</v>
      </c>
      <c r="D1240" s="51" t="str">
        <v/>
      </c>
      <c r="E1240" s="51" t="str">
        <v/>
      </c>
      <c r="F1240" s="52" t="e">
        <v>#REF!</v>
      </c>
      <c r="G1240" s="48" t="e">
        <v>#REF!</v>
      </c>
      <c r="H1240" s="49">
        <v>0</v>
      </c>
      <c r="I1240" s="49" t="e">
        <v>#REF!</v>
      </c>
      <c r="J1240" s="50"/>
    </row>
    <row r="1241" outlineLevel="1" spans="1:10">
      <c r="A1241" s="50">
        <v>304</v>
      </c>
      <c r="B1241" s="51" t="str">
        <v>螺纹阀门-截止阀-DN50</v>
      </c>
      <c r="C1241" s="51" t="e">
        <v>#REF!</v>
      </c>
      <c r="D1241" s="51" t="str">
        <v/>
      </c>
      <c r="E1241" s="51" t="str">
        <v/>
      </c>
      <c r="F1241" s="52" t="e">
        <v>#REF!</v>
      </c>
      <c r="G1241" s="48" t="e">
        <v>#REF!</v>
      </c>
      <c r="H1241" s="49">
        <v>0</v>
      </c>
      <c r="I1241" s="49" t="e">
        <v>#REF!</v>
      </c>
      <c r="J1241" s="50"/>
    </row>
    <row r="1242" outlineLevel="1" spans="1:10">
      <c r="A1242" s="50">
        <v>305</v>
      </c>
      <c r="B1242" s="51" t="str">
        <v>螺纹阀门-锁闭阀-DN20</v>
      </c>
      <c r="C1242" s="51" t="e">
        <v>#REF!</v>
      </c>
      <c r="D1242" s="51" t="str">
        <v/>
      </c>
      <c r="E1242" s="51" t="str">
        <v/>
      </c>
      <c r="F1242" s="52" t="e">
        <v>#REF!</v>
      </c>
      <c r="G1242" s="48" t="e">
        <v>#REF!</v>
      </c>
      <c r="H1242" s="49">
        <v>0</v>
      </c>
      <c r="I1242" s="49" t="e">
        <v>#REF!</v>
      </c>
      <c r="J1242" s="50"/>
    </row>
    <row r="1243" ht="28.8" outlineLevel="1" spans="1:10">
      <c r="A1243" s="50">
        <v>306</v>
      </c>
      <c r="B1243" s="51" t="str">
        <v>螺纹阀门-静态水力平衡阀-DN20</v>
      </c>
      <c r="C1243" s="51" t="e">
        <v>#REF!</v>
      </c>
      <c r="D1243" s="51" t="str">
        <v/>
      </c>
      <c r="E1243" s="51" t="str">
        <v/>
      </c>
      <c r="F1243" s="52" t="e">
        <v>#REF!</v>
      </c>
      <c r="G1243" s="48" t="e">
        <v>#REF!</v>
      </c>
      <c r="H1243" s="49">
        <v>0</v>
      </c>
      <c r="I1243" s="49" t="e">
        <v>#REF!</v>
      </c>
      <c r="J1243" s="50"/>
    </row>
    <row r="1244" ht="28.8" outlineLevel="1" spans="1:10">
      <c r="A1244" s="50">
        <v>307</v>
      </c>
      <c r="B1244" s="51" t="str">
        <v>螺纹阀门-静态水力平衡阀-DN40</v>
      </c>
      <c r="C1244" s="51" t="e">
        <v>#REF!</v>
      </c>
      <c r="D1244" s="51" t="str">
        <v/>
      </c>
      <c r="E1244" s="51" t="str">
        <v/>
      </c>
      <c r="F1244" s="52" t="e">
        <v>#REF!</v>
      </c>
      <c r="G1244" s="48" t="e">
        <v>#REF!</v>
      </c>
      <c r="H1244" s="49">
        <v>0</v>
      </c>
      <c r="I1244" s="49" t="e">
        <v>#REF!</v>
      </c>
      <c r="J1244" s="50"/>
    </row>
    <row r="1245" ht="28.8" outlineLevel="1" spans="1:10">
      <c r="A1245" s="50">
        <v>308</v>
      </c>
      <c r="B1245" s="51" t="str">
        <v>螺纹阀门-静态水力平衡阀-DN50</v>
      </c>
      <c r="C1245" s="51" t="e">
        <v>#REF!</v>
      </c>
      <c r="D1245" s="51" t="str">
        <v/>
      </c>
      <c r="E1245" s="51" t="str">
        <v/>
      </c>
      <c r="F1245" s="52" t="e">
        <v>#REF!</v>
      </c>
      <c r="G1245" s="48" t="e">
        <v>#REF!</v>
      </c>
      <c r="H1245" s="49">
        <v>0</v>
      </c>
      <c r="I1245" s="49" t="e">
        <v>#REF!</v>
      </c>
      <c r="J1245" s="50"/>
    </row>
    <row r="1246" ht="28.8" outlineLevel="1" spans="1:10">
      <c r="A1246" s="50">
        <v>309</v>
      </c>
      <c r="B1246" s="51" t="str">
        <v>法兰阀门-静态水力平衡阀-DN65</v>
      </c>
      <c r="C1246" s="51" t="e">
        <v>#REF!</v>
      </c>
      <c r="D1246" s="51" t="str">
        <v/>
      </c>
      <c r="E1246" s="51" t="str">
        <v/>
      </c>
      <c r="F1246" s="52" t="e">
        <v>#REF!</v>
      </c>
      <c r="G1246" s="48" t="e">
        <v>#REF!</v>
      </c>
      <c r="H1246" s="49">
        <v>3</v>
      </c>
      <c r="I1246" s="49" t="e">
        <v>#REF!</v>
      </c>
      <c r="J1246" s="50"/>
    </row>
    <row r="1247" ht="28.8" outlineLevel="1" spans="1:10">
      <c r="A1247" s="50">
        <v>310</v>
      </c>
      <c r="B1247" s="51" t="str">
        <v>法兰阀门-静态水力平衡阀-DN80</v>
      </c>
      <c r="C1247" s="51" t="e">
        <v>#REF!</v>
      </c>
      <c r="D1247" s="51" t="str">
        <v/>
      </c>
      <c r="E1247" s="51" t="str">
        <v/>
      </c>
      <c r="F1247" s="52" t="e">
        <v>#REF!</v>
      </c>
      <c r="G1247" s="48" t="e">
        <v>#REF!</v>
      </c>
      <c r="H1247" s="49">
        <v>3</v>
      </c>
      <c r="I1247" s="49" t="e">
        <v>#REF!</v>
      </c>
      <c r="J1247" s="50"/>
    </row>
    <row r="1248" outlineLevel="1" spans="1:10">
      <c r="A1248" s="50">
        <v>311</v>
      </c>
      <c r="B1248" s="51" t="str">
        <v>法兰阀门-闸阀-DN65</v>
      </c>
      <c r="C1248" s="51" t="e">
        <v>#REF!</v>
      </c>
      <c r="D1248" s="51" t="str">
        <v/>
      </c>
      <c r="E1248" s="51" t="str">
        <v/>
      </c>
      <c r="F1248" s="52" t="e">
        <v>#REF!</v>
      </c>
      <c r="G1248" s="48" t="e">
        <v>#REF!</v>
      </c>
      <c r="H1248" s="49">
        <v>12</v>
      </c>
      <c r="I1248" s="49" t="e">
        <v>#REF!</v>
      </c>
      <c r="J1248" s="50"/>
    </row>
    <row r="1249" outlineLevel="1" spans="1:10">
      <c r="A1249" s="50">
        <v>312</v>
      </c>
      <c r="B1249" s="51" t="str">
        <v>法兰阀门-闸阀-DN80</v>
      </c>
      <c r="C1249" s="51" t="e">
        <v>#REF!</v>
      </c>
      <c r="D1249" s="51" t="str">
        <v/>
      </c>
      <c r="E1249" s="51" t="str">
        <v/>
      </c>
      <c r="F1249" s="52" t="e">
        <v>#REF!</v>
      </c>
      <c r="G1249" s="48" t="e">
        <v>#REF!</v>
      </c>
      <c r="H1249" s="49">
        <v>12</v>
      </c>
      <c r="I1249" s="49" t="e">
        <v>#REF!</v>
      </c>
      <c r="J1249" s="50"/>
    </row>
    <row r="1250" outlineLevel="1" spans="1:10">
      <c r="A1250" s="50">
        <v>313</v>
      </c>
      <c r="B1250" s="51" t="str">
        <v>法兰阀门-闸阀-DN100</v>
      </c>
      <c r="C1250" s="51" t="e">
        <v>#REF!</v>
      </c>
      <c r="D1250" s="51" t="str">
        <v/>
      </c>
      <c r="E1250" s="51" t="str">
        <v/>
      </c>
      <c r="F1250" s="52" t="e">
        <v>#REF!</v>
      </c>
      <c r="G1250" s="48" t="e">
        <v>#REF!</v>
      </c>
      <c r="H1250" s="49">
        <v>0</v>
      </c>
      <c r="I1250" s="49" t="e">
        <v>#REF!</v>
      </c>
      <c r="J1250" s="50"/>
    </row>
    <row r="1251" outlineLevel="1" spans="1:10">
      <c r="A1251" s="50">
        <v>314</v>
      </c>
      <c r="B1251" s="51" t="str">
        <v>法兰阀门-Y型过滤器-DN65</v>
      </c>
      <c r="C1251" s="51" t="e">
        <v>#REF!</v>
      </c>
      <c r="D1251" s="51" t="str">
        <v/>
      </c>
      <c r="E1251" s="51" t="str">
        <v/>
      </c>
      <c r="F1251" s="52" t="e">
        <v>#REF!</v>
      </c>
      <c r="G1251" s="48" t="e">
        <v>#REF!</v>
      </c>
      <c r="H1251" s="49">
        <v>9</v>
      </c>
      <c r="I1251" s="49" t="e">
        <v>#REF!</v>
      </c>
      <c r="J1251" s="50"/>
    </row>
    <row r="1252" outlineLevel="1" spans="1:10">
      <c r="A1252" s="50">
        <v>315</v>
      </c>
      <c r="B1252" s="51" t="str">
        <v>法兰阀门-Y型过滤器-DN80</v>
      </c>
      <c r="C1252" s="51" t="e">
        <v>#REF!</v>
      </c>
      <c r="D1252" s="51" t="str">
        <v/>
      </c>
      <c r="E1252" s="51" t="str">
        <v/>
      </c>
      <c r="F1252" s="52" t="e">
        <v>#REF!</v>
      </c>
      <c r="G1252" s="48" t="e">
        <v>#REF!</v>
      </c>
      <c r="H1252" s="49">
        <v>9</v>
      </c>
      <c r="I1252" s="49" t="e">
        <v>#REF!</v>
      </c>
      <c r="J1252" s="50"/>
    </row>
    <row r="1253" outlineLevel="1" spans="1:10">
      <c r="A1253" s="50">
        <v>316</v>
      </c>
      <c r="B1253" s="51" t="str">
        <v>对夹式蝶阀-DN100</v>
      </c>
      <c r="C1253" s="51" t="e">
        <v>#REF!</v>
      </c>
      <c r="D1253" s="51" t="str">
        <v/>
      </c>
      <c r="E1253" s="51" t="str">
        <v/>
      </c>
      <c r="F1253" s="52" t="e">
        <v>#REF!</v>
      </c>
      <c r="G1253" s="48" t="e">
        <v>#REF!</v>
      </c>
      <c r="H1253" s="49">
        <v>0</v>
      </c>
      <c r="I1253" s="49" t="e">
        <v>#REF!</v>
      </c>
      <c r="J1253" s="50"/>
    </row>
    <row r="1254" outlineLevel="1" spans="1:10">
      <c r="A1254" s="50">
        <v>317</v>
      </c>
      <c r="B1254" s="51" t="str">
        <v>对夹式蝶阀-DN125</v>
      </c>
      <c r="C1254" s="51" t="e">
        <v>#REF!</v>
      </c>
      <c r="D1254" s="51" t="str">
        <v/>
      </c>
      <c r="E1254" s="51" t="str">
        <v/>
      </c>
      <c r="F1254" s="52" t="e">
        <v>#REF!</v>
      </c>
      <c r="G1254" s="48" t="e">
        <v>#REF!</v>
      </c>
      <c r="H1254" s="49">
        <v>0</v>
      </c>
      <c r="I1254" s="49" t="e">
        <v>#REF!</v>
      </c>
      <c r="J1254" s="50"/>
    </row>
    <row r="1255" outlineLevel="1" spans="1:10">
      <c r="A1255" s="50">
        <v>318</v>
      </c>
      <c r="B1255" s="51" t="str">
        <v>对夹式蝶阀-DN150</v>
      </c>
      <c r="C1255" s="51" t="e">
        <v>#REF!</v>
      </c>
      <c r="D1255" s="51" t="str">
        <v/>
      </c>
      <c r="E1255" s="51" t="str">
        <v/>
      </c>
      <c r="F1255" s="52" t="e">
        <v>#REF!</v>
      </c>
      <c r="G1255" s="48" t="e">
        <v>#REF!</v>
      </c>
      <c r="H1255" s="49">
        <v>0</v>
      </c>
      <c r="I1255" s="49" t="e">
        <v>#REF!</v>
      </c>
      <c r="J1255" s="50"/>
    </row>
    <row r="1256" outlineLevel="1" spans="1:10">
      <c r="A1256" s="50">
        <v>319</v>
      </c>
      <c r="B1256" s="51" t="str">
        <v>对夹式蝶阀-DN200</v>
      </c>
      <c r="C1256" s="51" t="e">
        <v>#REF!</v>
      </c>
      <c r="D1256" s="51" t="str">
        <v/>
      </c>
      <c r="E1256" s="51" t="str">
        <v/>
      </c>
      <c r="F1256" s="52" t="e">
        <v>#REF!</v>
      </c>
      <c r="G1256" s="48" t="e">
        <v>#REF!</v>
      </c>
      <c r="H1256" s="49">
        <v>0</v>
      </c>
      <c r="I1256" s="49" t="e">
        <v>#REF!</v>
      </c>
      <c r="J1256" s="50"/>
    </row>
    <row r="1257" outlineLevel="1" spans="1:10">
      <c r="A1257" s="50">
        <v>320</v>
      </c>
      <c r="B1257" s="51" t="str">
        <v>对夹式蝶阀-DN250</v>
      </c>
      <c r="C1257" s="51" t="e">
        <v>#REF!</v>
      </c>
      <c r="D1257" s="51" t="str">
        <v/>
      </c>
      <c r="E1257" s="51" t="str">
        <v/>
      </c>
      <c r="F1257" s="52" t="e">
        <v>#REF!</v>
      </c>
      <c r="G1257" s="48" t="e">
        <v>#REF!</v>
      </c>
      <c r="H1257" s="49">
        <v>0</v>
      </c>
      <c r="I1257" s="49" t="e">
        <v>#REF!</v>
      </c>
      <c r="J1257" s="50"/>
    </row>
    <row r="1258" outlineLevel="1" spans="1:10">
      <c r="A1258" s="50">
        <v>321</v>
      </c>
      <c r="B1258" s="51" t="str">
        <v>波纹补偿器-DN65</v>
      </c>
      <c r="C1258" s="51" t="e">
        <v>#REF!</v>
      </c>
      <c r="D1258" s="51" t="str">
        <v/>
      </c>
      <c r="E1258" s="51" t="str">
        <v/>
      </c>
      <c r="F1258" s="52" t="e">
        <v>#REF!</v>
      </c>
      <c r="G1258" s="48" t="e">
        <v>#REF!</v>
      </c>
      <c r="H1258" s="49">
        <v>0</v>
      </c>
      <c r="I1258" s="49" t="e">
        <v>#REF!</v>
      </c>
      <c r="J1258" s="50"/>
    </row>
    <row r="1259" outlineLevel="1" spans="1:10">
      <c r="A1259" s="50">
        <v>322</v>
      </c>
      <c r="B1259" s="51" t="str">
        <v>波纹补偿器-DN80</v>
      </c>
      <c r="C1259" s="51" t="e">
        <v>#REF!</v>
      </c>
      <c r="D1259" s="51" t="str">
        <v/>
      </c>
      <c r="E1259" s="51" t="str">
        <v/>
      </c>
      <c r="F1259" s="52" t="e">
        <v>#REF!</v>
      </c>
      <c r="G1259" s="48" t="e">
        <v>#REF!</v>
      </c>
      <c r="H1259" s="49">
        <v>0</v>
      </c>
      <c r="I1259" s="49" t="e">
        <v>#REF!</v>
      </c>
      <c r="J1259" s="50"/>
    </row>
    <row r="1260" outlineLevel="1" spans="1:10">
      <c r="A1260" s="50">
        <v>323</v>
      </c>
      <c r="B1260" s="51" t="str">
        <v>波纹补偿器-DN100</v>
      </c>
      <c r="C1260" s="51" t="e">
        <v>#REF!</v>
      </c>
      <c r="D1260" s="51" t="str">
        <v/>
      </c>
      <c r="E1260" s="51" t="str">
        <v/>
      </c>
      <c r="F1260" s="52" t="e">
        <v>#REF!</v>
      </c>
      <c r="G1260" s="48" t="e">
        <v>#REF!</v>
      </c>
      <c r="H1260" s="49">
        <v>0</v>
      </c>
      <c r="I1260" s="49" t="e">
        <v>#REF!</v>
      </c>
      <c r="J1260" s="50"/>
    </row>
    <row r="1261" outlineLevel="1" spans="1:10">
      <c r="A1261" s="50">
        <v>324</v>
      </c>
      <c r="B1261" s="51" t="str">
        <v>波纹补偿器-DN125</v>
      </c>
      <c r="C1261" s="51" t="e">
        <v>#REF!</v>
      </c>
      <c r="D1261" s="51" t="str">
        <v/>
      </c>
      <c r="E1261" s="51" t="str">
        <v/>
      </c>
      <c r="F1261" s="52" t="e">
        <v>#REF!</v>
      </c>
      <c r="G1261" s="48" t="e">
        <v>#REF!</v>
      </c>
      <c r="H1261" s="49">
        <v>0</v>
      </c>
      <c r="I1261" s="49" t="e">
        <v>#REF!</v>
      </c>
      <c r="J1261" s="50"/>
    </row>
    <row r="1262" outlineLevel="1" spans="1:10">
      <c r="A1262" s="50">
        <v>325</v>
      </c>
      <c r="B1262" s="51" t="str">
        <v>波纹补偿器-DN150</v>
      </c>
      <c r="C1262" s="51" t="e">
        <v>#REF!</v>
      </c>
      <c r="D1262" s="51" t="str">
        <v/>
      </c>
      <c r="E1262" s="51" t="str">
        <v/>
      </c>
      <c r="F1262" s="52" t="e">
        <v>#REF!</v>
      </c>
      <c r="G1262" s="48" t="e">
        <v>#REF!</v>
      </c>
      <c r="H1262" s="49">
        <v>0</v>
      </c>
      <c r="I1262" s="49" t="e">
        <v>#REF!</v>
      </c>
      <c r="J1262" s="50"/>
    </row>
    <row r="1263" outlineLevel="1" spans="1:10">
      <c r="A1263" s="50">
        <v>326</v>
      </c>
      <c r="B1263" s="51" t="str">
        <v>波纹补偿器-DN200</v>
      </c>
      <c r="C1263" s="51" t="e">
        <v>#REF!</v>
      </c>
      <c r="D1263" s="51" t="str">
        <v/>
      </c>
      <c r="E1263" s="51" t="str">
        <v/>
      </c>
      <c r="F1263" s="52" t="e">
        <v>#REF!</v>
      </c>
      <c r="G1263" s="48" t="e">
        <v>#REF!</v>
      </c>
      <c r="H1263" s="49">
        <v>0</v>
      </c>
      <c r="I1263" s="49" t="e">
        <v>#REF!</v>
      </c>
      <c r="J1263" s="50"/>
    </row>
    <row r="1264" outlineLevel="1" spans="1:10">
      <c r="A1264" s="50">
        <v>327</v>
      </c>
      <c r="B1264" s="51" t="str">
        <v>温度仪表</v>
      </c>
      <c r="C1264" s="51" t="e">
        <v>#REF!</v>
      </c>
      <c r="D1264" s="51" t="str">
        <v/>
      </c>
      <c r="E1264" s="51" t="str">
        <v/>
      </c>
      <c r="F1264" s="52" t="e">
        <v>#REF!</v>
      </c>
      <c r="G1264" s="48" t="e">
        <v>#REF!</v>
      </c>
      <c r="H1264" s="49">
        <v>12</v>
      </c>
      <c r="I1264" s="49" t="e">
        <v>#REF!</v>
      </c>
      <c r="J1264" s="50"/>
    </row>
    <row r="1265" outlineLevel="1" spans="1:10">
      <c r="A1265" s="50">
        <v>328</v>
      </c>
      <c r="B1265" s="51" t="str">
        <v>采暖压力仪表</v>
      </c>
      <c r="C1265" s="51" t="e">
        <v>#REF!</v>
      </c>
      <c r="D1265" s="51" t="str">
        <v/>
      </c>
      <c r="E1265" s="51" t="str">
        <v/>
      </c>
      <c r="F1265" s="52" t="e">
        <v>#REF!</v>
      </c>
      <c r="G1265" s="48" t="e">
        <v>#REF!</v>
      </c>
      <c r="H1265" s="49">
        <v>30</v>
      </c>
      <c r="I1265" s="49" t="e">
        <v>#REF!</v>
      </c>
      <c r="J1265" s="50"/>
    </row>
    <row r="1266" outlineLevel="1" spans="1:10">
      <c r="A1266" s="50" t="str">
        <v/>
      </c>
      <c r="B1266" s="51" t="str">
        <v>B.12绝热</v>
      </c>
      <c r="C1266" s="51" t="str">
        <v/>
      </c>
      <c r="D1266" s="51" t="str">
        <v/>
      </c>
      <c r="E1266" s="51" t="str">
        <v/>
      </c>
      <c r="F1266" s="52" t="str">
        <v/>
      </c>
      <c r="G1266" s="48" t="str">
        <v/>
      </c>
      <c r="H1266" s="49">
        <v>0</v>
      </c>
      <c r="I1266" s="49" t="e">
        <v>#REF!</v>
      </c>
      <c r="J1266" s="50"/>
    </row>
    <row r="1267" outlineLevel="1" spans="1:10">
      <c r="A1267" s="50">
        <v>329</v>
      </c>
      <c r="B1267" s="51" t="str">
        <v>管道绝热</v>
      </c>
      <c r="C1267" s="51" t="e">
        <v>#REF!</v>
      </c>
      <c r="D1267" s="51" t="str">
        <v/>
      </c>
      <c r="E1267" s="51" t="str">
        <v/>
      </c>
      <c r="F1267" s="52" t="e">
        <v>#REF!</v>
      </c>
      <c r="G1267" s="48" t="e">
        <v>#REF!</v>
      </c>
      <c r="H1267" s="49">
        <v>5.77</v>
      </c>
      <c r="I1267" s="49" t="e">
        <v>#REF!</v>
      </c>
      <c r="J1267" s="50"/>
    </row>
    <row r="1268" outlineLevel="1" spans="1:10">
      <c r="A1268" s="50">
        <v>330</v>
      </c>
      <c r="B1268" s="51" t="str">
        <v>防火胶带保护层</v>
      </c>
      <c r="C1268" s="51" t="e">
        <v>#REF!</v>
      </c>
      <c r="D1268" s="51" t="str">
        <v/>
      </c>
      <c r="E1268" s="51" t="str">
        <v/>
      </c>
      <c r="F1268" s="52" t="e">
        <v>#REF!</v>
      </c>
      <c r="G1268" s="48" t="e">
        <v>#REF!</v>
      </c>
      <c r="H1268" s="49">
        <v>225.68</v>
      </c>
      <c r="I1268" s="49" t="e">
        <v>#REF!</v>
      </c>
      <c r="J1268" s="50"/>
    </row>
    <row r="1269" outlineLevel="1" spans="1:10">
      <c r="A1269" s="50" t="str">
        <v/>
      </c>
      <c r="B1269" s="51" t="str">
        <v>地上采暖</v>
      </c>
      <c r="C1269" s="51" t="str">
        <v/>
      </c>
      <c r="D1269" s="51" t="str">
        <v/>
      </c>
      <c r="E1269" s="51" t="str">
        <v/>
      </c>
      <c r="F1269" s="52" t="str">
        <v/>
      </c>
      <c r="G1269" s="48" t="str">
        <v/>
      </c>
      <c r="H1269" s="49">
        <v>0</v>
      </c>
      <c r="I1269" s="49" t="e">
        <v>#REF!</v>
      </c>
      <c r="J1269" s="50"/>
    </row>
    <row r="1270" outlineLevel="1" spans="1:10">
      <c r="A1270" s="50" t="str">
        <v/>
      </c>
      <c r="B1270" s="51" t="str">
        <v>B.13户内采暖</v>
      </c>
      <c r="C1270" s="51" t="str">
        <v/>
      </c>
      <c r="D1270" s="51" t="str">
        <v/>
      </c>
      <c r="E1270" s="51" t="str">
        <v/>
      </c>
      <c r="F1270" s="52" t="str">
        <v/>
      </c>
      <c r="G1270" s="48" t="str">
        <v/>
      </c>
      <c r="H1270" s="49">
        <v>0</v>
      </c>
      <c r="I1270" s="49" t="e">
        <v>#REF!</v>
      </c>
      <c r="J1270" s="50"/>
    </row>
    <row r="1271" outlineLevel="1" spans="1:10">
      <c r="A1271" s="50">
        <v>331</v>
      </c>
      <c r="B1271" s="51" t="str">
        <v>室内采暖塑料管-PPR-De32</v>
      </c>
      <c r="C1271" s="51" t="e">
        <v>#REF!</v>
      </c>
      <c r="D1271" s="51" t="str">
        <v/>
      </c>
      <c r="E1271" s="51" t="str">
        <v/>
      </c>
      <c r="F1271" s="52" t="e">
        <v>#REF!</v>
      </c>
      <c r="G1271" s="48" t="e">
        <v>#REF!</v>
      </c>
      <c r="H1271" s="49">
        <v>1423.98</v>
      </c>
      <c r="I1271" s="49" t="e">
        <v>#REF!</v>
      </c>
      <c r="J1271" s="50"/>
    </row>
    <row r="1272" ht="28.8" outlineLevel="1" spans="1:10">
      <c r="A1272" s="50">
        <v>332</v>
      </c>
      <c r="B1272" s="51" t="str">
        <v>户内湿式地暖塑料管-PERT-De20(S5）</v>
      </c>
      <c r="C1272" s="51" t="e">
        <v>#REF!</v>
      </c>
      <c r="D1272" s="51" t="str">
        <v/>
      </c>
      <c r="E1272" s="51" t="str">
        <v/>
      </c>
      <c r="F1272" s="52" t="e">
        <v>#REF!</v>
      </c>
      <c r="G1272" s="48" t="e">
        <v>#REF!</v>
      </c>
      <c r="H1272" s="49">
        <v>2162.01</v>
      </c>
      <c r="I1272" s="49" t="e">
        <v>#REF!</v>
      </c>
      <c r="J1272" s="50"/>
    </row>
    <row r="1273" ht="28.8" outlineLevel="1" spans="1:10">
      <c r="A1273" s="50">
        <v>333</v>
      </c>
      <c r="B1273" s="51" t="str">
        <v>户内湿式地暖塑料管-PERT-De20(S4）</v>
      </c>
      <c r="C1273" s="51" t="e">
        <v>#REF!</v>
      </c>
      <c r="D1273" s="51" t="str">
        <v/>
      </c>
      <c r="E1273" s="51" t="str">
        <v/>
      </c>
      <c r="F1273" s="52" t="e">
        <v>#REF!</v>
      </c>
      <c r="G1273" s="48" t="e">
        <v>#REF!</v>
      </c>
      <c r="H1273" s="49">
        <v>0</v>
      </c>
      <c r="I1273" s="49" t="e">
        <v>#REF!</v>
      </c>
      <c r="J1273" s="50"/>
    </row>
    <row r="1274" outlineLevel="1" spans="1:10">
      <c r="A1274" s="50">
        <v>334</v>
      </c>
      <c r="B1274" s="51" t="str">
        <v>户内湿法-玻纤网格布</v>
      </c>
      <c r="C1274" s="51" t="e">
        <v>#REF!</v>
      </c>
      <c r="D1274" s="51" t="str">
        <v/>
      </c>
      <c r="E1274" s="51" t="str">
        <v/>
      </c>
      <c r="F1274" s="52" t="e">
        <v>#REF!</v>
      </c>
      <c r="G1274" s="48" t="e">
        <v>#REF!</v>
      </c>
      <c r="H1274" s="49">
        <v>2162.01</v>
      </c>
      <c r="I1274" s="49" t="e">
        <v>#REF!</v>
      </c>
      <c r="J1274" s="50"/>
    </row>
    <row r="1275" outlineLevel="1" spans="1:10">
      <c r="A1275" s="50">
        <v>335</v>
      </c>
      <c r="B1275" s="51" t="str">
        <v>户内湿法-单层钢丝网</v>
      </c>
      <c r="C1275" s="51" t="e">
        <v>#REF!</v>
      </c>
      <c r="D1275" s="51" t="str">
        <v/>
      </c>
      <c r="E1275" s="51" t="str">
        <v/>
      </c>
      <c r="F1275" s="52" t="e">
        <v>#REF!</v>
      </c>
      <c r="G1275" s="48" t="e">
        <v>#REF!</v>
      </c>
      <c r="H1275" s="49">
        <v>2162.01</v>
      </c>
      <c r="I1275" s="49" t="e">
        <v>#REF!</v>
      </c>
      <c r="J1275" s="50"/>
    </row>
    <row r="1276" outlineLevel="1" spans="1:10">
      <c r="A1276" s="50">
        <v>336</v>
      </c>
      <c r="B1276" s="51" t="str">
        <v>户内湿法-双层钢丝网</v>
      </c>
      <c r="C1276" s="51" t="e">
        <v>#REF!</v>
      </c>
      <c r="D1276" s="51" t="str">
        <v/>
      </c>
      <c r="E1276" s="51" t="str">
        <v/>
      </c>
      <c r="F1276" s="52" t="e">
        <v>#REF!</v>
      </c>
      <c r="G1276" s="48" t="e">
        <v>#REF!</v>
      </c>
      <c r="H1276" s="49">
        <v>1</v>
      </c>
      <c r="I1276" s="49" t="e">
        <v>#REF!</v>
      </c>
      <c r="J1276" s="50"/>
    </row>
    <row r="1277" outlineLevel="1" spans="1:10">
      <c r="A1277" s="50">
        <v>337</v>
      </c>
      <c r="B1277" s="51" t="str">
        <v>户内湿法-铝箔纸</v>
      </c>
      <c r="C1277" s="51" t="e">
        <v>#REF!</v>
      </c>
      <c r="D1277" s="51" t="str">
        <v/>
      </c>
      <c r="E1277" s="51" t="str">
        <v/>
      </c>
      <c r="F1277" s="52" t="e">
        <v>#REF!</v>
      </c>
      <c r="G1277" s="48" t="e">
        <v>#REF!</v>
      </c>
      <c r="H1277" s="49">
        <v>2162.01</v>
      </c>
      <c r="I1277" s="49" t="e">
        <v>#REF!</v>
      </c>
      <c r="J1277" s="50"/>
    </row>
    <row r="1278" outlineLevel="1" spans="1:10">
      <c r="A1278" s="50">
        <v>338</v>
      </c>
      <c r="B1278" s="51" t="str">
        <v>户内湿法-挤塑板</v>
      </c>
      <c r="C1278" s="51" t="e">
        <v>#REF!</v>
      </c>
      <c r="D1278" s="51" t="str">
        <v/>
      </c>
      <c r="E1278" s="51" t="str">
        <v/>
      </c>
      <c r="F1278" s="52" t="e">
        <v>#REF!</v>
      </c>
      <c r="G1278" s="48" t="e">
        <v>#REF!</v>
      </c>
      <c r="H1278" s="49">
        <v>2162.01</v>
      </c>
      <c r="I1278" s="49" t="e">
        <v>#REF!</v>
      </c>
      <c r="J1278" s="50"/>
    </row>
    <row r="1279" ht="28.8" outlineLevel="1" spans="1:10">
      <c r="A1279" s="50">
        <v>339</v>
      </c>
      <c r="B1279" s="51" t="str">
        <v>户内干法采暖塑料管-PERT-De20(S5）</v>
      </c>
      <c r="C1279" s="51" t="e">
        <v>#REF!</v>
      </c>
      <c r="D1279" s="51" t="str">
        <v/>
      </c>
      <c r="E1279" s="51" t="str">
        <v/>
      </c>
      <c r="F1279" s="52" t="e">
        <v>#REF!</v>
      </c>
      <c r="G1279" s="48" t="e">
        <v>#REF!</v>
      </c>
      <c r="H1279" s="49">
        <v>7560.01</v>
      </c>
      <c r="I1279" s="49" t="e">
        <v>#REF!</v>
      </c>
      <c r="J1279" s="50"/>
    </row>
    <row r="1280" ht="28.8" outlineLevel="1" spans="1:10">
      <c r="A1280" s="50">
        <v>340</v>
      </c>
      <c r="B1280" s="51" t="str">
        <v>户内干法采暖塑料管-PERT-De20(S4）</v>
      </c>
      <c r="C1280" s="51" t="e">
        <v>#REF!</v>
      </c>
      <c r="D1280" s="51" t="str">
        <v/>
      </c>
      <c r="E1280" s="51" t="str">
        <v/>
      </c>
      <c r="F1280" s="52" t="e">
        <v>#REF!</v>
      </c>
      <c r="G1280" s="48" t="e">
        <v>#REF!</v>
      </c>
      <c r="H1280" s="49">
        <v>0</v>
      </c>
      <c r="I1280" s="49" t="e">
        <v>#REF!</v>
      </c>
      <c r="J1280" s="50"/>
    </row>
    <row r="1281" outlineLevel="1" spans="1:10">
      <c r="A1281" s="50">
        <v>341</v>
      </c>
      <c r="B1281" s="51" t="str">
        <v>户内干法-地面砂浆</v>
      </c>
      <c r="C1281" s="51" t="e">
        <v>#REF!</v>
      </c>
      <c r="D1281" s="51" t="str">
        <v/>
      </c>
      <c r="E1281" s="51" t="str">
        <v/>
      </c>
      <c r="F1281" s="52" t="e">
        <v>#REF!</v>
      </c>
      <c r="G1281" s="48" t="e">
        <v>#REF!</v>
      </c>
      <c r="H1281" s="49">
        <v>1</v>
      </c>
      <c r="I1281" s="49" t="e">
        <v>#REF!</v>
      </c>
      <c r="J1281" s="50"/>
    </row>
    <row r="1282" outlineLevel="1" spans="1:10">
      <c r="A1282" s="50">
        <v>342</v>
      </c>
      <c r="B1282" s="51" t="str">
        <v>户内干法-沟槽板</v>
      </c>
      <c r="C1282" s="51" t="e">
        <v>#REF!</v>
      </c>
      <c r="D1282" s="51" t="str">
        <v/>
      </c>
      <c r="E1282" s="51" t="str">
        <v/>
      </c>
      <c r="F1282" s="52" t="e">
        <v>#REF!</v>
      </c>
      <c r="G1282" s="48" t="e">
        <v>#REF!</v>
      </c>
      <c r="H1282" s="49">
        <v>7538.01</v>
      </c>
      <c r="I1282" s="49" t="e">
        <v>#REF!</v>
      </c>
      <c r="J1282" s="50"/>
    </row>
    <row r="1283" outlineLevel="1" spans="1:10">
      <c r="A1283" s="50">
        <v>343</v>
      </c>
      <c r="B1283" s="51" t="str">
        <v>户内干法-粘接砂浆</v>
      </c>
      <c r="C1283" s="51" t="e">
        <v>#REF!</v>
      </c>
      <c r="D1283" s="51" t="str">
        <v/>
      </c>
      <c r="E1283" s="51" t="str">
        <v/>
      </c>
      <c r="F1283" s="52" t="e">
        <v>#REF!</v>
      </c>
      <c r="G1283" s="48" t="e">
        <v>#REF!</v>
      </c>
      <c r="H1283" s="49">
        <v>7538.01</v>
      </c>
      <c r="I1283" s="49" t="e">
        <v>#REF!</v>
      </c>
      <c r="J1283" s="50"/>
    </row>
    <row r="1284" outlineLevel="1" spans="1:10">
      <c r="A1284" s="50">
        <v>344</v>
      </c>
      <c r="B1284" s="51" t="str">
        <v>户内干法-石膏自流平</v>
      </c>
      <c r="C1284" s="51" t="e">
        <v>#REF!</v>
      </c>
      <c r="D1284" s="51" t="str">
        <v/>
      </c>
      <c r="E1284" s="51" t="str">
        <v/>
      </c>
      <c r="F1284" s="52" t="e">
        <v>#REF!</v>
      </c>
      <c r="G1284" s="48" t="e">
        <v>#REF!</v>
      </c>
      <c r="H1284" s="49">
        <v>1</v>
      </c>
      <c r="I1284" s="49" t="e">
        <v>#REF!</v>
      </c>
      <c r="J1284" s="50"/>
    </row>
    <row r="1285" outlineLevel="1" spans="1:10">
      <c r="A1285" s="50">
        <v>345</v>
      </c>
      <c r="B1285" s="51" t="str">
        <v>户内干法-基层处理</v>
      </c>
      <c r="C1285" s="51" t="e">
        <v>#REF!</v>
      </c>
      <c r="D1285" s="51" t="str">
        <v/>
      </c>
      <c r="E1285" s="51" t="str">
        <v/>
      </c>
      <c r="F1285" s="52" t="e">
        <v>#REF!</v>
      </c>
      <c r="G1285" s="48" t="e">
        <v>#REF!</v>
      </c>
      <c r="H1285" s="49">
        <v>7538.01</v>
      </c>
      <c r="I1285" s="49" t="e">
        <v>#REF!</v>
      </c>
      <c r="J1285" s="50"/>
    </row>
    <row r="1286" outlineLevel="1" spans="1:10">
      <c r="A1286" s="50">
        <v>346</v>
      </c>
      <c r="B1286" s="51" t="str">
        <v>30mm厚1000Kpa压缩强度</v>
      </c>
      <c r="C1286" s="51" t="e">
        <v>#REF!</v>
      </c>
      <c r="D1286" s="51" t="str">
        <v/>
      </c>
      <c r="E1286" s="51" t="str">
        <v/>
      </c>
      <c r="F1286" s="52" t="e">
        <v>#REF!</v>
      </c>
      <c r="G1286" s="48" t="e">
        <v>#REF!</v>
      </c>
      <c r="H1286" s="49">
        <v>1</v>
      </c>
      <c r="I1286" s="49" t="e">
        <v>#REF!</v>
      </c>
      <c r="J1286" s="50"/>
    </row>
    <row r="1287" outlineLevel="1" spans="1:10">
      <c r="A1287" s="50">
        <v>347</v>
      </c>
      <c r="B1287" s="51" t="str">
        <v>30mm厚1200Kpa压缩强度</v>
      </c>
      <c r="C1287" s="51" t="e">
        <v>#REF!</v>
      </c>
      <c r="D1287" s="51" t="str">
        <v/>
      </c>
      <c r="E1287" s="51" t="str">
        <v/>
      </c>
      <c r="F1287" s="52" t="e">
        <v>#REF!</v>
      </c>
      <c r="G1287" s="48" t="e">
        <v>#REF!</v>
      </c>
      <c r="H1287" s="49">
        <v>1</v>
      </c>
      <c r="I1287" s="49" t="e">
        <v>#REF!</v>
      </c>
      <c r="J1287" s="50"/>
    </row>
    <row r="1288" outlineLevel="1" spans="1:10">
      <c r="A1288" s="50">
        <v>348</v>
      </c>
      <c r="B1288" s="51" t="str">
        <v>30mm厚1250Kpa压缩强度</v>
      </c>
      <c r="C1288" s="51" t="e">
        <v>#REF!</v>
      </c>
      <c r="D1288" s="51" t="str">
        <v/>
      </c>
      <c r="E1288" s="51" t="str">
        <v/>
      </c>
      <c r="F1288" s="52" t="e">
        <v>#REF!</v>
      </c>
      <c r="G1288" s="48" t="e">
        <v>#REF!</v>
      </c>
      <c r="H1288" s="49">
        <v>1</v>
      </c>
      <c r="I1288" s="49" t="e">
        <v>#REF!</v>
      </c>
      <c r="J1288" s="50"/>
    </row>
    <row r="1289" outlineLevel="1" spans="1:10">
      <c r="A1289" s="50">
        <v>349</v>
      </c>
      <c r="B1289" s="51" t="str">
        <v>橡胶减震垫-5厚单面凹发泡</v>
      </c>
      <c r="C1289" s="51" t="e">
        <v>#REF!</v>
      </c>
      <c r="D1289" s="51" t="str">
        <v/>
      </c>
      <c r="E1289" s="51" t="str">
        <v/>
      </c>
      <c r="F1289" s="52" t="e">
        <v>#REF!</v>
      </c>
      <c r="G1289" s="48" t="e">
        <v>#REF!</v>
      </c>
      <c r="H1289" s="49">
        <v>0</v>
      </c>
      <c r="I1289" s="49" t="e">
        <v>#REF!</v>
      </c>
      <c r="J1289" s="50"/>
    </row>
    <row r="1290" ht="28.8" outlineLevel="1" spans="1:10">
      <c r="A1290" s="50">
        <v>350</v>
      </c>
      <c r="B1290" s="51" t="str">
        <v>聚乙烯减震垫-5厚单面凹发泡</v>
      </c>
      <c r="C1290" s="51" t="e">
        <v>#REF!</v>
      </c>
      <c r="D1290" s="51" t="str">
        <v/>
      </c>
      <c r="E1290" s="51" t="str">
        <v/>
      </c>
      <c r="F1290" s="52" t="e">
        <v>#REF!</v>
      </c>
      <c r="G1290" s="48" t="e">
        <v>#REF!</v>
      </c>
      <c r="H1290" s="49">
        <v>0</v>
      </c>
      <c r="I1290" s="49" t="e">
        <v>#REF!</v>
      </c>
      <c r="J1290" s="50"/>
    </row>
    <row r="1291" ht="28.8" outlineLevel="1" spans="1:10">
      <c r="A1291" s="50">
        <v>351</v>
      </c>
      <c r="B1291" s="51" t="str">
        <v>聚乙烯减震垫-5厚单面平发泡</v>
      </c>
      <c r="C1291" s="51" t="e">
        <v>#REF!</v>
      </c>
      <c r="D1291" s="51" t="str">
        <v/>
      </c>
      <c r="E1291" s="51" t="str">
        <v/>
      </c>
      <c r="F1291" s="52" t="e">
        <v>#REF!</v>
      </c>
      <c r="G1291" s="48" t="e">
        <v>#REF!</v>
      </c>
      <c r="H1291" s="49">
        <v>0</v>
      </c>
      <c r="I1291" s="49" t="e">
        <v>#REF!</v>
      </c>
      <c r="J1291" s="50"/>
    </row>
    <row r="1292" outlineLevel="1" spans="1:10">
      <c r="A1292" s="50">
        <v>352</v>
      </c>
      <c r="B1292" s="51" t="str">
        <v>2回路分/集水器</v>
      </c>
      <c r="C1292" s="51" t="e">
        <v>#REF!</v>
      </c>
      <c r="D1292" s="51" t="str">
        <v/>
      </c>
      <c r="E1292" s="51" t="str">
        <v/>
      </c>
      <c r="F1292" s="52" t="e">
        <v>#REF!</v>
      </c>
      <c r="G1292" s="48" t="e">
        <v>#REF!</v>
      </c>
      <c r="H1292" s="49">
        <v>1</v>
      </c>
      <c r="I1292" s="49" t="e">
        <v>#REF!</v>
      </c>
      <c r="J1292" s="50"/>
    </row>
    <row r="1293" outlineLevel="1" spans="1:10">
      <c r="A1293" s="50">
        <v>353</v>
      </c>
      <c r="B1293" s="51" t="str">
        <v>3回路分/集水器</v>
      </c>
      <c r="C1293" s="51" t="e">
        <v>#REF!</v>
      </c>
      <c r="D1293" s="51" t="str">
        <v/>
      </c>
      <c r="E1293" s="51" t="str">
        <v/>
      </c>
      <c r="F1293" s="52" t="e">
        <v>#REF!</v>
      </c>
      <c r="G1293" s="48" t="e">
        <v>#REF!</v>
      </c>
      <c r="H1293" s="49">
        <v>4</v>
      </c>
      <c r="I1293" s="49" t="e">
        <v>#REF!</v>
      </c>
      <c r="J1293" s="50"/>
    </row>
    <row r="1294" outlineLevel="1" spans="1:10">
      <c r="A1294" s="50">
        <v>354</v>
      </c>
      <c r="B1294" s="51" t="str">
        <v>4回路分/集水器</v>
      </c>
      <c r="C1294" s="51" t="e">
        <v>#REF!</v>
      </c>
      <c r="D1294" s="51" t="str">
        <v/>
      </c>
      <c r="E1294" s="51" t="str">
        <v/>
      </c>
      <c r="F1294" s="52" t="e">
        <v>#REF!</v>
      </c>
      <c r="G1294" s="48" t="e">
        <v>#REF!</v>
      </c>
      <c r="H1294" s="49">
        <v>104</v>
      </c>
      <c r="I1294" s="49" t="e">
        <v>#REF!</v>
      </c>
      <c r="J1294" s="50"/>
    </row>
    <row r="1295" outlineLevel="1" spans="1:10">
      <c r="A1295" s="50">
        <v>355</v>
      </c>
      <c r="B1295" s="51" t="str">
        <v>5回路分/集水器</v>
      </c>
      <c r="C1295" s="51" t="e">
        <v>#REF!</v>
      </c>
      <c r="D1295" s="51" t="str">
        <v/>
      </c>
      <c r="E1295" s="51" t="str">
        <v/>
      </c>
      <c r="F1295" s="52" t="e">
        <v>#REF!</v>
      </c>
      <c r="G1295" s="48" t="e">
        <v>#REF!</v>
      </c>
      <c r="H1295" s="49">
        <v>0</v>
      </c>
      <c r="I1295" s="49" t="e">
        <v>#REF!</v>
      </c>
      <c r="J1295" s="50"/>
    </row>
    <row r="1296" outlineLevel="1" spans="1:10">
      <c r="A1296" s="50">
        <v>356</v>
      </c>
      <c r="B1296" s="51" t="str">
        <v>6回路分/集水器</v>
      </c>
      <c r="C1296" s="51" t="e">
        <v>#REF!</v>
      </c>
      <c r="D1296" s="51" t="str">
        <v/>
      </c>
      <c r="E1296" s="51" t="str">
        <v/>
      </c>
      <c r="F1296" s="52" t="e">
        <v>#REF!</v>
      </c>
      <c r="G1296" s="48" t="e">
        <v>#REF!</v>
      </c>
      <c r="H1296" s="49">
        <v>0</v>
      </c>
      <c r="I1296" s="49" t="e">
        <v>#REF!</v>
      </c>
      <c r="J1296" s="50"/>
    </row>
    <row r="1297" outlineLevel="1" spans="1:10">
      <c r="A1297" s="50">
        <v>357</v>
      </c>
      <c r="B1297" s="51" t="str">
        <v>7回路分/集水器</v>
      </c>
      <c r="C1297" s="51" t="e">
        <v>#REF!</v>
      </c>
      <c r="D1297" s="51" t="str">
        <v/>
      </c>
      <c r="E1297" s="51" t="str">
        <v/>
      </c>
      <c r="F1297" s="52" t="e">
        <v>#REF!</v>
      </c>
      <c r="G1297" s="48" t="e">
        <v>#REF!</v>
      </c>
      <c r="H1297" s="49">
        <v>0</v>
      </c>
      <c r="I1297" s="49" t="e">
        <v>#REF!</v>
      </c>
      <c r="J1297" s="50"/>
    </row>
    <row r="1298" outlineLevel="1" spans="1:10">
      <c r="A1298" s="50">
        <v>358</v>
      </c>
      <c r="B1298" s="51" t="str">
        <v>8回路分/集水器</v>
      </c>
      <c r="C1298" s="51" t="e">
        <v>#REF!</v>
      </c>
      <c r="D1298" s="51" t="str">
        <v/>
      </c>
      <c r="E1298" s="51" t="str">
        <v/>
      </c>
      <c r="F1298" s="52" t="e">
        <v>#REF!</v>
      </c>
      <c r="G1298" s="48" t="e">
        <v>#REF!</v>
      </c>
      <c r="H1298" s="49">
        <v>0</v>
      </c>
      <c r="I1298" s="49" t="e">
        <v>#REF!</v>
      </c>
      <c r="J1298" s="50"/>
    </row>
    <row r="1299" outlineLevel="1" spans="1:10">
      <c r="A1299" s="50">
        <v>359</v>
      </c>
      <c r="B1299" s="51" t="str">
        <v>螺纹阀门-全铜截止阀-De32</v>
      </c>
      <c r="C1299" s="51" t="e">
        <v>#REF!</v>
      </c>
      <c r="D1299" s="51" t="str">
        <v/>
      </c>
      <c r="E1299" s="51" t="str">
        <v/>
      </c>
      <c r="F1299" s="52" t="e">
        <v>#REF!</v>
      </c>
      <c r="G1299" s="48" t="e">
        <v>#REF!</v>
      </c>
      <c r="H1299" s="49">
        <v>324</v>
      </c>
      <c r="I1299" s="49" t="e">
        <v>#REF!</v>
      </c>
      <c r="J1299" s="50"/>
    </row>
    <row r="1300" outlineLevel="1" spans="1:10">
      <c r="A1300" s="50" t="str">
        <v/>
      </c>
      <c r="B1300" s="51" t="str">
        <v>B.14采暖管道</v>
      </c>
      <c r="C1300" s="51" t="str">
        <v/>
      </c>
      <c r="D1300" s="51" t="str">
        <v/>
      </c>
      <c r="E1300" s="51" t="str">
        <v/>
      </c>
      <c r="F1300" s="52" t="str">
        <v/>
      </c>
      <c r="G1300" s="48" t="str">
        <v/>
      </c>
      <c r="H1300" s="49">
        <v>0</v>
      </c>
      <c r="I1300" s="49" t="e">
        <v>#REF!</v>
      </c>
      <c r="J1300" s="50"/>
    </row>
    <row r="1301" outlineLevel="1" spans="1:10">
      <c r="A1301" s="50">
        <v>360</v>
      </c>
      <c r="B1301" s="51" t="str">
        <v>室内供暖镀锌钢管-DN15</v>
      </c>
      <c r="C1301" s="51" t="e">
        <v>#REF!</v>
      </c>
      <c r="D1301" s="51" t="str">
        <v/>
      </c>
      <c r="E1301" s="51" t="str">
        <v/>
      </c>
      <c r="F1301" s="52" t="e">
        <v>#REF!</v>
      </c>
      <c r="G1301" s="48" t="e">
        <v>#REF!</v>
      </c>
      <c r="H1301" s="49">
        <v>1</v>
      </c>
      <c r="I1301" s="49" t="e">
        <v>#REF!</v>
      </c>
      <c r="J1301" s="50"/>
    </row>
    <row r="1302" outlineLevel="1" spans="1:10">
      <c r="A1302" s="50">
        <v>361</v>
      </c>
      <c r="B1302" s="51" t="str">
        <v>室内供暖镀锌钢管-DN20</v>
      </c>
      <c r="C1302" s="51" t="e">
        <v>#REF!</v>
      </c>
      <c r="D1302" s="51" t="str">
        <v/>
      </c>
      <c r="E1302" s="51" t="str">
        <v/>
      </c>
      <c r="F1302" s="52" t="e">
        <v>#REF!</v>
      </c>
      <c r="G1302" s="48" t="e">
        <v>#REF!</v>
      </c>
      <c r="H1302" s="49">
        <v>1</v>
      </c>
      <c r="I1302" s="49" t="e">
        <v>#REF!</v>
      </c>
      <c r="J1302" s="50"/>
    </row>
    <row r="1303" outlineLevel="1" spans="1:10">
      <c r="A1303" s="50">
        <v>362</v>
      </c>
      <c r="B1303" s="51" t="str">
        <v>室内供暖镀锌钢管-DN25</v>
      </c>
      <c r="C1303" s="51" t="e">
        <v>#REF!</v>
      </c>
      <c r="D1303" s="51" t="str">
        <v/>
      </c>
      <c r="E1303" s="51" t="str">
        <v/>
      </c>
      <c r="F1303" s="52" t="e">
        <v>#REF!</v>
      </c>
      <c r="G1303" s="48" t="e">
        <v>#REF!</v>
      </c>
      <c r="H1303" s="49">
        <v>169.85</v>
      </c>
      <c r="I1303" s="49" t="e">
        <v>#REF!</v>
      </c>
      <c r="J1303" s="50"/>
    </row>
    <row r="1304" outlineLevel="1" spans="1:10">
      <c r="A1304" s="50">
        <v>363</v>
      </c>
      <c r="B1304" s="51" t="str">
        <v>室内供暖镀锌钢管-DN32</v>
      </c>
      <c r="C1304" s="51" t="e">
        <v>#REF!</v>
      </c>
      <c r="D1304" s="51" t="str">
        <v/>
      </c>
      <c r="E1304" s="51" t="str">
        <v/>
      </c>
      <c r="F1304" s="52" t="e">
        <v>#REF!</v>
      </c>
      <c r="G1304" s="48" t="e">
        <v>#REF!</v>
      </c>
      <c r="H1304" s="49">
        <v>34.8</v>
      </c>
      <c r="I1304" s="49" t="e">
        <v>#REF!</v>
      </c>
      <c r="J1304" s="50"/>
    </row>
    <row r="1305" outlineLevel="1" spans="1:10">
      <c r="A1305" s="50">
        <v>364</v>
      </c>
      <c r="B1305" s="51" t="str">
        <v>室内供暖镀锌钢管-DN40</v>
      </c>
      <c r="C1305" s="51" t="e">
        <v>#REF!</v>
      </c>
      <c r="D1305" s="51" t="str">
        <v/>
      </c>
      <c r="E1305" s="51" t="str">
        <v/>
      </c>
      <c r="F1305" s="52" t="e">
        <v>#REF!</v>
      </c>
      <c r="G1305" s="48" t="e">
        <v>#REF!</v>
      </c>
      <c r="H1305" s="49">
        <v>34.8</v>
      </c>
      <c r="I1305" s="49" t="e">
        <v>#REF!</v>
      </c>
      <c r="J1305" s="50"/>
    </row>
    <row r="1306" outlineLevel="1" spans="1:10">
      <c r="A1306" s="50">
        <v>365</v>
      </c>
      <c r="B1306" s="51" t="str">
        <v>室内供暖镀锌钢管-DN50</v>
      </c>
      <c r="C1306" s="51" t="e">
        <v>#REF!</v>
      </c>
      <c r="D1306" s="51" t="str">
        <v/>
      </c>
      <c r="E1306" s="51" t="str">
        <v/>
      </c>
      <c r="F1306" s="52" t="e">
        <v>#REF!</v>
      </c>
      <c r="G1306" s="48" t="e">
        <v>#REF!</v>
      </c>
      <c r="H1306" s="49">
        <v>69.6</v>
      </c>
      <c r="I1306" s="49" t="e">
        <v>#REF!</v>
      </c>
      <c r="J1306" s="50"/>
    </row>
    <row r="1307" outlineLevel="1" spans="1:10">
      <c r="A1307" s="50">
        <v>366</v>
      </c>
      <c r="B1307" s="51" t="str">
        <v>室内供暖镀锌钢管-DN65</v>
      </c>
      <c r="C1307" s="51" t="e">
        <v>#REF!</v>
      </c>
      <c r="D1307" s="51" t="str">
        <v/>
      </c>
      <c r="E1307" s="51" t="str">
        <v/>
      </c>
      <c r="F1307" s="52" t="e">
        <v>#REF!</v>
      </c>
      <c r="G1307" s="48" t="e">
        <v>#REF!</v>
      </c>
      <c r="H1307" s="49">
        <v>288.83</v>
      </c>
      <c r="I1307" s="49" t="e">
        <v>#REF!</v>
      </c>
      <c r="J1307" s="50"/>
    </row>
    <row r="1308" outlineLevel="1" spans="1:10">
      <c r="A1308" s="50">
        <v>367</v>
      </c>
      <c r="B1308" s="51" t="str">
        <v>室内供暖镀锌钢管-DN80</v>
      </c>
      <c r="C1308" s="51" t="e">
        <v>#REF!</v>
      </c>
      <c r="D1308" s="51" t="str">
        <v/>
      </c>
      <c r="E1308" s="51" t="str">
        <v/>
      </c>
      <c r="F1308" s="52" t="e">
        <v>#REF!</v>
      </c>
      <c r="G1308" s="48" t="e">
        <v>#REF!</v>
      </c>
      <c r="H1308" s="49">
        <v>60</v>
      </c>
      <c r="I1308" s="49" t="e">
        <v>#REF!</v>
      </c>
      <c r="J1308" s="50"/>
    </row>
    <row r="1309" ht="28.8" outlineLevel="1" spans="1:10">
      <c r="A1309" s="50">
        <v>368</v>
      </c>
      <c r="B1309" s="51" t="str">
        <v>室内供暖无缝镀锌钢管-DN100</v>
      </c>
      <c r="C1309" s="51" t="e">
        <v>#REF!</v>
      </c>
      <c r="D1309" s="51" t="str">
        <v/>
      </c>
      <c r="E1309" s="51" t="str">
        <v/>
      </c>
      <c r="F1309" s="52" t="e">
        <v>#REF!</v>
      </c>
      <c r="G1309" s="48" t="e">
        <v>#REF!</v>
      </c>
      <c r="H1309" s="49">
        <v>0</v>
      </c>
      <c r="I1309" s="49" t="e">
        <v>#REF!</v>
      </c>
      <c r="J1309" s="50"/>
    </row>
    <row r="1310" outlineLevel="1" spans="1:10">
      <c r="A1310" s="50">
        <v>369</v>
      </c>
      <c r="B1310" s="51" t="str">
        <v>室内采暖塑料管-PPR-De25</v>
      </c>
      <c r="C1310" s="51" t="e">
        <v>#REF!</v>
      </c>
      <c r="D1310" s="51" t="str">
        <v/>
      </c>
      <c r="E1310" s="51" t="str">
        <v/>
      </c>
      <c r="F1310" s="52" t="e">
        <v>#REF!</v>
      </c>
      <c r="G1310" s="48" t="e">
        <v>#REF!</v>
      </c>
      <c r="H1310" s="49">
        <v>0</v>
      </c>
      <c r="I1310" s="49" t="e">
        <v>#REF!</v>
      </c>
      <c r="J1310" s="50"/>
    </row>
    <row r="1311" outlineLevel="1" spans="1:10">
      <c r="A1311" s="50">
        <v>370</v>
      </c>
      <c r="B1311" s="51" t="str">
        <v>室内采暖塑料管-PPR-De32</v>
      </c>
      <c r="C1311" s="51" t="e">
        <v>#REF!</v>
      </c>
      <c r="D1311" s="51" t="str">
        <v/>
      </c>
      <c r="E1311" s="51" t="str">
        <v/>
      </c>
      <c r="F1311" s="52" t="e">
        <v>#REF!</v>
      </c>
      <c r="G1311" s="48" t="e">
        <v>#REF!</v>
      </c>
      <c r="H1311" s="49">
        <v>471.94</v>
      </c>
      <c r="I1311" s="49" t="e">
        <v>#REF!</v>
      </c>
      <c r="J1311" s="50"/>
    </row>
    <row r="1312" outlineLevel="1" spans="1:10">
      <c r="A1312" s="50" t="str">
        <v/>
      </c>
      <c r="B1312" s="51" t="str">
        <v>B.15阀部件</v>
      </c>
      <c r="C1312" s="51" t="str">
        <v/>
      </c>
      <c r="D1312" s="51" t="str">
        <v/>
      </c>
      <c r="E1312" s="51" t="str">
        <v/>
      </c>
      <c r="F1312" s="52" t="str">
        <v/>
      </c>
      <c r="G1312" s="48" t="str">
        <v/>
      </c>
      <c r="H1312" s="49">
        <v>0</v>
      </c>
      <c r="I1312" s="49" t="e">
        <v>#REF!</v>
      </c>
      <c r="J1312" s="50"/>
    </row>
    <row r="1313" outlineLevel="1" spans="1:10">
      <c r="A1313" s="50">
        <v>371</v>
      </c>
      <c r="B1313" s="51" t="str">
        <v>螺纹阀门-自动放气阀-DN15</v>
      </c>
      <c r="C1313" s="51" t="e">
        <v>#REF!</v>
      </c>
      <c r="D1313" s="51" t="str">
        <v/>
      </c>
      <c r="E1313" s="51" t="str">
        <v/>
      </c>
      <c r="F1313" s="52" t="e">
        <v>#REF!</v>
      </c>
      <c r="G1313" s="48" t="e">
        <v>#REF!</v>
      </c>
      <c r="H1313" s="49">
        <v>12</v>
      </c>
      <c r="I1313" s="49" t="e">
        <v>#REF!</v>
      </c>
      <c r="J1313" s="50"/>
    </row>
    <row r="1314" outlineLevel="1" spans="1:10">
      <c r="A1314" s="50">
        <v>372</v>
      </c>
      <c r="B1314" s="51" t="str">
        <v>自动放气阀下截止阀-DN15</v>
      </c>
      <c r="C1314" s="51" t="e">
        <v>#REF!</v>
      </c>
      <c r="D1314" s="51" t="str">
        <v/>
      </c>
      <c r="E1314" s="51" t="str">
        <v/>
      </c>
      <c r="F1314" s="52" t="e">
        <v>#REF!</v>
      </c>
      <c r="G1314" s="48" t="e">
        <v>#REF!</v>
      </c>
      <c r="H1314" s="49">
        <v>12</v>
      </c>
      <c r="I1314" s="49" t="e">
        <v>#REF!</v>
      </c>
      <c r="J1314" s="50"/>
    </row>
    <row r="1315" outlineLevel="1" spans="1:10">
      <c r="A1315" s="50">
        <v>373</v>
      </c>
      <c r="B1315" s="51" t="str">
        <v>螺纹阀门-手动调节阀-DN25</v>
      </c>
      <c r="C1315" s="51" t="e">
        <v>#REF!</v>
      </c>
      <c r="D1315" s="51" t="str">
        <v/>
      </c>
      <c r="E1315" s="51" t="str">
        <v/>
      </c>
      <c r="F1315" s="52" t="e">
        <v>#REF!</v>
      </c>
      <c r="G1315" s="48" t="e">
        <v>#REF!</v>
      </c>
      <c r="H1315" s="49">
        <v>108</v>
      </c>
      <c r="I1315" s="49" t="e">
        <v>#REF!</v>
      </c>
      <c r="J1315" s="50"/>
    </row>
    <row r="1316" outlineLevel="1" spans="1:10">
      <c r="A1316" s="50">
        <v>374</v>
      </c>
      <c r="B1316" s="51" t="str">
        <v>螺纹阀门-手动调节阀-DN32</v>
      </c>
      <c r="C1316" s="51" t="e">
        <v>#REF!</v>
      </c>
      <c r="D1316" s="51" t="str">
        <v/>
      </c>
      <c r="E1316" s="51" t="str">
        <v/>
      </c>
      <c r="F1316" s="52" t="e">
        <v>#REF!</v>
      </c>
      <c r="G1316" s="48" t="e">
        <v>#REF!</v>
      </c>
      <c r="H1316" s="49">
        <v>0</v>
      </c>
      <c r="I1316" s="49" t="e">
        <v>#REF!</v>
      </c>
      <c r="J1316" s="50"/>
    </row>
    <row r="1317" outlineLevel="1" spans="1:10">
      <c r="A1317" s="50">
        <v>375</v>
      </c>
      <c r="B1317" s="51" t="str">
        <v>螺纹阀门-手动调节阀-DN50</v>
      </c>
      <c r="C1317" s="51" t="e">
        <v>#REF!</v>
      </c>
      <c r="D1317" s="51" t="str">
        <v/>
      </c>
      <c r="E1317" s="51" t="str">
        <v/>
      </c>
      <c r="F1317" s="52" t="e">
        <v>#REF!</v>
      </c>
      <c r="G1317" s="48" t="e">
        <v>#REF!</v>
      </c>
      <c r="H1317" s="49">
        <v>0</v>
      </c>
      <c r="I1317" s="49" t="e">
        <v>#REF!</v>
      </c>
      <c r="J1317" s="50"/>
    </row>
    <row r="1318" outlineLevel="1" spans="1:10">
      <c r="A1318" s="50">
        <v>376</v>
      </c>
      <c r="B1318" s="51" t="str">
        <v>螺纹阀门-截止阀-DN20</v>
      </c>
      <c r="C1318" s="51" t="e">
        <v>#REF!</v>
      </c>
      <c r="D1318" s="51" t="str">
        <v/>
      </c>
      <c r="E1318" s="51" t="str">
        <v/>
      </c>
      <c r="F1318" s="52" t="e">
        <v>#REF!</v>
      </c>
      <c r="G1318" s="48" t="e">
        <v>#REF!</v>
      </c>
      <c r="H1318" s="49">
        <v>0</v>
      </c>
      <c r="I1318" s="49" t="e">
        <v>#REF!</v>
      </c>
      <c r="J1318" s="50"/>
    </row>
    <row r="1319" outlineLevel="1" spans="1:10">
      <c r="A1319" s="50">
        <v>377</v>
      </c>
      <c r="B1319" s="51" t="str">
        <v>螺纹阀门-截止阀-DN32</v>
      </c>
      <c r="C1319" s="51" t="e">
        <v>#REF!</v>
      </c>
      <c r="D1319" s="51" t="str">
        <v/>
      </c>
      <c r="E1319" s="51" t="str">
        <v/>
      </c>
      <c r="F1319" s="52" t="e">
        <v>#REF!</v>
      </c>
      <c r="G1319" s="48" t="e">
        <v>#REF!</v>
      </c>
      <c r="H1319" s="49">
        <v>0</v>
      </c>
      <c r="I1319" s="49" t="e">
        <v>#REF!</v>
      </c>
      <c r="J1319" s="50"/>
    </row>
    <row r="1320" outlineLevel="1" spans="1:10">
      <c r="A1320" s="50">
        <v>378</v>
      </c>
      <c r="B1320" s="51" t="str">
        <v>螺纹阀门-截止阀-DN50</v>
      </c>
      <c r="C1320" s="51" t="e">
        <v>#REF!</v>
      </c>
      <c r="D1320" s="51" t="str">
        <v/>
      </c>
      <c r="E1320" s="51" t="str">
        <v/>
      </c>
      <c r="F1320" s="52" t="e">
        <v>#REF!</v>
      </c>
      <c r="G1320" s="48" t="e">
        <v>#REF!</v>
      </c>
      <c r="H1320" s="49">
        <v>0</v>
      </c>
      <c r="I1320" s="49" t="e">
        <v>#REF!</v>
      </c>
      <c r="J1320" s="50"/>
    </row>
    <row r="1321" outlineLevel="1" spans="1:10">
      <c r="A1321" s="50">
        <v>379</v>
      </c>
      <c r="B1321" s="51" t="str">
        <v>螺纹阀门-锁闭阀-DN20</v>
      </c>
      <c r="C1321" s="51" t="e">
        <v>#REF!</v>
      </c>
      <c r="D1321" s="51" t="str">
        <v/>
      </c>
      <c r="E1321" s="51" t="str">
        <v/>
      </c>
      <c r="F1321" s="52" t="e">
        <v>#REF!</v>
      </c>
      <c r="G1321" s="48" t="e">
        <v>#REF!</v>
      </c>
      <c r="H1321" s="49">
        <v>1</v>
      </c>
      <c r="I1321" s="49" t="e">
        <v>#REF!</v>
      </c>
      <c r="J1321" s="50"/>
    </row>
    <row r="1322" outlineLevel="1" spans="1:10">
      <c r="A1322" s="50">
        <v>380</v>
      </c>
      <c r="B1322" s="51" t="str">
        <v>螺纹阀门-锁闭阀-DN25</v>
      </c>
      <c r="C1322" s="51" t="e">
        <v>#REF!</v>
      </c>
      <c r="D1322" s="51" t="str">
        <v/>
      </c>
      <c r="E1322" s="51" t="str">
        <v/>
      </c>
      <c r="F1322" s="52" t="e">
        <v>#REF!</v>
      </c>
      <c r="G1322" s="48" t="e">
        <v>#REF!</v>
      </c>
      <c r="H1322" s="49">
        <v>108</v>
      </c>
      <c r="I1322" s="49" t="e">
        <v>#REF!</v>
      </c>
      <c r="J1322" s="50"/>
    </row>
    <row r="1323" outlineLevel="1" spans="1:10">
      <c r="A1323" s="50">
        <v>381</v>
      </c>
      <c r="B1323" s="51" t="str">
        <v>螺纹阀门-铜测温球阀-DN20</v>
      </c>
      <c r="C1323" s="51" t="e">
        <v>#REF!</v>
      </c>
      <c r="D1323" s="51" t="str">
        <v/>
      </c>
      <c r="E1323" s="51" t="str">
        <v/>
      </c>
      <c r="F1323" s="52" t="e">
        <v>#REF!</v>
      </c>
      <c r="G1323" s="48" t="e">
        <v>#REF!</v>
      </c>
      <c r="H1323" s="49">
        <v>0</v>
      </c>
      <c r="I1323" s="49" t="e">
        <v>#REF!</v>
      </c>
      <c r="J1323" s="50"/>
    </row>
    <row r="1324" outlineLevel="1" spans="1:10">
      <c r="A1324" s="50">
        <v>382</v>
      </c>
      <c r="B1324" s="51" t="str">
        <v>螺纹阀门-铜测温球阀-DN25</v>
      </c>
      <c r="C1324" s="51" t="e">
        <v>#REF!</v>
      </c>
      <c r="D1324" s="51" t="str">
        <v/>
      </c>
      <c r="E1324" s="51" t="str">
        <v/>
      </c>
      <c r="F1324" s="52" t="e">
        <v>#REF!</v>
      </c>
      <c r="G1324" s="48" t="e">
        <v>#REF!</v>
      </c>
      <c r="H1324" s="49">
        <v>216</v>
      </c>
      <c r="I1324" s="49" t="e">
        <v>#REF!</v>
      </c>
      <c r="J1324" s="50"/>
    </row>
    <row r="1325" outlineLevel="1" spans="1:10">
      <c r="A1325" s="50">
        <v>383</v>
      </c>
      <c r="B1325" s="51" t="str">
        <v>螺纹阀门-Y型过滤器-DN20</v>
      </c>
      <c r="C1325" s="51" t="e">
        <v>#REF!</v>
      </c>
      <c r="D1325" s="51" t="str">
        <v/>
      </c>
      <c r="E1325" s="51" t="str">
        <v/>
      </c>
      <c r="F1325" s="52" t="e">
        <v>#REF!</v>
      </c>
      <c r="G1325" s="48" t="e">
        <v>#REF!</v>
      </c>
      <c r="H1325" s="49">
        <v>0</v>
      </c>
      <c r="I1325" s="49" t="e">
        <v>#REF!</v>
      </c>
      <c r="J1325" s="50"/>
    </row>
    <row r="1326" outlineLevel="1" spans="1:10">
      <c r="A1326" s="50">
        <v>384</v>
      </c>
      <c r="B1326" s="51" t="str">
        <v>螺纹阀门-Y型过滤器-DN25</v>
      </c>
      <c r="C1326" s="51" t="e">
        <v>#REF!</v>
      </c>
      <c r="D1326" s="51" t="str">
        <v/>
      </c>
      <c r="E1326" s="51" t="str">
        <v/>
      </c>
      <c r="F1326" s="52" t="e">
        <v>#REF!</v>
      </c>
      <c r="G1326" s="48" t="e">
        <v>#REF!</v>
      </c>
      <c r="H1326" s="49">
        <v>108</v>
      </c>
      <c r="I1326" s="49" t="e">
        <v>#REF!</v>
      </c>
      <c r="J1326" s="50"/>
    </row>
    <row r="1327" outlineLevel="1" spans="1:10">
      <c r="A1327" s="50">
        <v>385</v>
      </c>
      <c r="B1327" s="51" t="str">
        <v>法兰阀门-Y型过滤器-DN65</v>
      </c>
      <c r="C1327" s="51" t="e">
        <v>#REF!</v>
      </c>
      <c r="D1327" s="51" t="str">
        <v/>
      </c>
      <c r="E1327" s="51" t="str">
        <v/>
      </c>
      <c r="F1327" s="52" t="e">
        <v>#REF!</v>
      </c>
      <c r="G1327" s="48" t="e">
        <v>#REF!</v>
      </c>
      <c r="H1327" s="49">
        <v>0</v>
      </c>
      <c r="I1327" s="49" t="e">
        <v>#REF!</v>
      </c>
      <c r="J1327" s="50"/>
    </row>
    <row r="1328" ht="28.8" outlineLevel="1" spans="1:10">
      <c r="A1328" s="50">
        <v>386</v>
      </c>
      <c r="B1328" s="51" t="str">
        <v>螺纹阀门-静态水力平衡阀-DN20</v>
      </c>
      <c r="C1328" s="51" t="e">
        <v>#REF!</v>
      </c>
      <c r="D1328" s="51" t="str">
        <v/>
      </c>
      <c r="E1328" s="51" t="str">
        <v/>
      </c>
      <c r="F1328" s="52" t="e">
        <v>#REF!</v>
      </c>
      <c r="G1328" s="48" t="e">
        <v>#REF!</v>
      </c>
      <c r="H1328" s="49">
        <v>0</v>
      </c>
      <c r="I1328" s="49" t="e">
        <v>#REF!</v>
      </c>
      <c r="J1328" s="50"/>
    </row>
    <row r="1329" ht="28.8" outlineLevel="1" spans="1:10">
      <c r="A1329" s="50">
        <v>387</v>
      </c>
      <c r="B1329" s="51" t="str">
        <v>螺纹阀门-静态水力平衡阀-DN25</v>
      </c>
      <c r="C1329" s="51" t="e">
        <v>#REF!</v>
      </c>
      <c r="D1329" s="51" t="str">
        <v/>
      </c>
      <c r="E1329" s="51" t="str">
        <v/>
      </c>
      <c r="F1329" s="52" t="e">
        <v>#REF!</v>
      </c>
      <c r="G1329" s="48" t="e">
        <v>#REF!</v>
      </c>
      <c r="H1329" s="49">
        <v>108</v>
      </c>
      <c r="I1329" s="49" t="e">
        <v>#REF!</v>
      </c>
      <c r="J1329" s="50"/>
    </row>
    <row r="1330" ht="28.8" outlineLevel="1" spans="1:10">
      <c r="A1330" s="50">
        <v>388</v>
      </c>
      <c r="B1330" s="51" t="str">
        <v>法兰阀门-静态水力平衡阀-DN65</v>
      </c>
      <c r="C1330" s="51" t="e">
        <v>#REF!</v>
      </c>
      <c r="D1330" s="51" t="str">
        <v/>
      </c>
      <c r="E1330" s="51" t="str">
        <v/>
      </c>
      <c r="F1330" s="52" t="e">
        <v>#REF!</v>
      </c>
      <c r="G1330" s="48" t="e">
        <v>#REF!</v>
      </c>
      <c r="H1330" s="49">
        <v>0</v>
      </c>
      <c r="I1330" s="49" t="e">
        <v>#REF!</v>
      </c>
      <c r="J1330" s="50"/>
    </row>
    <row r="1331" outlineLevel="1" spans="1:10">
      <c r="A1331" s="50">
        <v>389</v>
      </c>
      <c r="B1331" s="51" t="str">
        <v>螺纹阀门-电动温控阀-DN20</v>
      </c>
      <c r="C1331" s="51" t="e">
        <v>#REF!</v>
      </c>
      <c r="D1331" s="51" t="str">
        <v/>
      </c>
      <c r="E1331" s="51" t="str">
        <v/>
      </c>
      <c r="F1331" s="52" t="e">
        <v>#REF!</v>
      </c>
      <c r="G1331" s="48" t="e">
        <v>#REF!</v>
      </c>
      <c r="H1331" s="49">
        <v>1</v>
      </c>
      <c r="I1331" s="49" t="e">
        <v>#REF!</v>
      </c>
      <c r="J1331" s="50"/>
    </row>
    <row r="1332" outlineLevel="1" spans="1:10">
      <c r="A1332" s="50">
        <v>390</v>
      </c>
      <c r="B1332" s="51" t="str">
        <v>螺纹阀门-电动温控阀-DN25</v>
      </c>
      <c r="C1332" s="51" t="e">
        <v>#REF!</v>
      </c>
      <c r="D1332" s="51" t="str">
        <v/>
      </c>
      <c r="E1332" s="51" t="str">
        <v/>
      </c>
      <c r="F1332" s="52" t="e">
        <v>#REF!</v>
      </c>
      <c r="G1332" s="48" t="e">
        <v>#REF!</v>
      </c>
      <c r="H1332" s="49">
        <v>108</v>
      </c>
      <c r="I1332" s="49" t="e">
        <v>#REF!</v>
      </c>
      <c r="J1332" s="50"/>
    </row>
    <row r="1333" outlineLevel="1" spans="1:10">
      <c r="A1333" s="50">
        <v>391</v>
      </c>
      <c r="B1333" s="51" t="str">
        <v>螺纹阀门-泄水球阀-DN25</v>
      </c>
      <c r="C1333" s="51" t="e">
        <v>#REF!</v>
      </c>
      <c r="D1333" s="51" t="str">
        <v/>
      </c>
      <c r="E1333" s="51" t="str">
        <v/>
      </c>
      <c r="F1333" s="52" t="e">
        <v>#REF!</v>
      </c>
      <c r="G1333" s="48" t="e">
        <v>#REF!</v>
      </c>
      <c r="H1333" s="49">
        <v>0</v>
      </c>
      <c r="I1333" s="49" t="e">
        <v>#REF!</v>
      </c>
      <c r="J1333" s="50"/>
    </row>
    <row r="1334" outlineLevel="1" spans="1:10">
      <c r="A1334" s="50">
        <v>392</v>
      </c>
      <c r="B1334" s="51" t="str">
        <v>螺纹阀门-连通阀-DN25</v>
      </c>
      <c r="C1334" s="51" t="e">
        <v>#REF!</v>
      </c>
      <c r="D1334" s="51" t="str">
        <v/>
      </c>
      <c r="E1334" s="51" t="str">
        <v/>
      </c>
      <c r="F1334" s="52" t="e">
        <v>#REF!</v>
      </c>
      <c r="G1334" s="48" t="e">
        <v>#REF!</v>
      </c>
      <c r="H1334" s="49">
        <v>0</v>
      </c>
      <c r="I1334" s="49" t="e">
        <v>#REF!</v>
      </c>
      <c r="J1334" s="50"/>
    </row>
    <row r="1335" outlineLevel="1" spans="1:10">
      <c r="A1335" s="50">
        <v>393</v>
      </c>
      <c r="B1335" s="51" t="str">
        <v>波纹补偿器-DN65</v>
      </c>
      <c r="C1335" s="51" t="e">
        <v>#REF!</v>
      </c>
      <c r="D1335" s="51" t="str">
        <v/>
      </c>
      <c r="E1335" s="51" t="str">
        <v/>
      </c>
      <c r="F1335" s="52" t="e">
        <v>#REF!</v>
      </c>
      <c r="G1335" s="48" t="e">
        <v>#REF!</v>
      </c>
      <c r="H1335" s="49">
        <v>6</v>
      </c>
      <c r="I1335" s="49" t="e">
        <v>#REF!</v>
      </c>
      <c r="J1335" s="50"/>
    </row>
    <row r="1336" outlineLevel="1" spans="1:10">
      <c r="A1336" s="50">
        <v>394</v>
      </c>
      <c r="B1336" s="51" t="str">
        <v>波纹补偿器-DN80</v>
      </c>
      <c r="C1336" s="51" t="e">
        <v>#REF!</v>
      </c>
      <c r="D1336" s="51" t="str">
        <v/>
      </c>
      <c r="E1336" s="51" t="str">
        <v/>
      </c>
      <c r="F1336" s="52" t="e">
        <v>#REF!</v>
      </c>
      <c r="G1336" s="48" t="e">
        <v>#REF!</v>
      </c>
      <c r="H1336" s="49">
        <v>0</v>
      </c>
      <c r="I1336" s="49" t="e">
        <v>#REF!</v>
      </c>
      <c r="J1336" s="50"/>
    </row>
    <row r="1337" outlineLevel="1" spans="1:10">
      <c r="A1337" s="50">
        <v>395</v>
      </c>
      <c r="B1337" s="51" t="str">
        <v>波纹补偿器-DN100</v>
      </c>
      <c r="C1337" s="51" t="e">
        <v>#REF!</v>
      </c>
      <c r="D1337" s="51" t="str">
        <v/>
      </c>
      <c r="E1337" s="51" t="str">
        <v/>
      </c>
      <c r="F1337" s="52" t="e">
        <v>#REF!</v>
      </c>
      <c r="G1337" s="48" t="e">
        <v>#REF!</v>
      </c>
      <c r="H1337" s="49">
        <v>0</v>
      </c>
      <c r="I1337" s="49" t="e">
        <v>#REF!</v>
      </c>
      <c r="J1337" s="50"/>
    </row>
    <row r="1338" outlineLevel="1" spans="1:10">
      <c r="A1338" s="50">
        <v>396</v>
      </c>
      <c r="B1338" s="51" t="str">
        <v>法兰阀门-闸阀-DN65</v>
      </c>
      <c r="C1338" s="51" t="e">
        <v>#REF!</v>
      </c>
      <c r="D1338" s="51" t="str">
        <v/>
      </c>
      <c r="E1338" s="51" t="str">
        <v/>
      </c>
      <c r="F1338" s="52" t="e">
        <v>#REF!</v>
      </c>
      <c r="G1338" s="48" t="e">
        <v>#REF!</v>
      </c>
      <c r="H1338" s="49">
        <v>0</v>
      </c>
      <c r="I1338" s="49" t="e">
        <v>#REF!</v>
      </c>
      <c r="J1338" s="50"/>
    </row>
    <row r="1339" outlineLevel="1" spans="1:10">
      <c r="A1339" s="50">
        <v>397</v>
      </c>
      <c r="B1339" s="51" t="str">
        <v>热量表-DN15</v>
      </c>
      <c r="C1339" s="51" t="e">
        <v>#REF!</v>
      </c>
      <c r="D1339" s="51" t="str">
        <v/>
      </c>
      <c r="E1339" s="51" t="str">
        <v/>
      </c>
      <c r="F1339" s="52" t="e">
        <v>#REF!</v>
      </c>
      <c r="G1339" s="48" t="e">
        <v>#REF!</v>
      </c>
      <c r="H1339" s="49">
        <v>108</v>
      </c>
      <c r="I1339" s="49" t="e">
        <v>#REF!</v>
      </c>
      <c r="J1339" s="50"/>
    </row>
    <row r="1340" outlineLevel="1" spans="1:10">
      <c r="A1340" s="50">
        <v>398</v>
      </c>
      <c r="B1340" s="51" t="str">
        <v>热量表-DN15（甲供）</v>
      </c>
      <c r="C1340" s="51" t="e">
        <v>#REF!</v>
      </c>
      <c r="D1340" s="51" t="str">
        <v/>
      </c>
      <c r="E1340" s="51" t="str">
        <v/>
      </c>
      <c r="F1340" s="52" t="e">
        <v>#REF!</v>
      </c>
      <c r="G1340" s="48" t="e">
        <v>#REF!</v>
      </c>
      <c r="H1340" s="49">
        <v>1</v>
      </c>
      <c r="I1340" s="49" t="e">
        <v>#REF!</v>
      </c>
      <c r="J1340" s="50"/>
    </row>
    <row r="1341" outlineLevel="1" spans="1:10">
      <c r="A1341" s="50">
        <v>399</v>
      </c>
      <c r="B1341" s="51" t="str">
        <v>温度仪表</v>
      </c>
      <c r="C1341" s="51" t="e">
        <v>#REF!</v>
      </c>
      <c r="D1341" s="51" t="str">
        <v/>
      </c>
      <c r="E1341" s="51" t="str">
        <v/>
      </c>
      <c r="F1341" s="52" t="e">
        <v>#REF!</v>
      </c>
      <c r="G1341" s="48" t="e">
        <v>#REF!</v>
      </c>
      <c r="H1341" s="49">
        <v>0</v>
      </c>
      <c r="I1341" s="49" t="e">
        <v>#REF!</v>
      </c>
      <c r="J1341" s="50"/>
    </row>
    <row r="1342" outlineLevel="1" spans="1:10">
      <c r="A1342" s="50">
        <v>400</v>
      </c>
      <c r="B1342" s="51" t="str">
        <v>采暖压力仪表</v>
      </c>
      <c r="C1342" s="51" t="e">
        <v>#REF!</v>
      </c>
      <c r="D1342" s="51" t="str">
        <v/>
      </c>
      <c r="E1342" s="51" t="str">
        <v/>
      </c>
      <c r="F1342" s="52" t="e">
        <v>#REF!</v>
      </c>
      <c r="G1342" s="48" t="e">
        <v>#REF!</v>
      </c>
      <c r="H1342" s="49">
        <v>0</v>
      </c>
      <c r="I1342" s="49" t="e">
        <v>#REF!</v>
      </c>
      <c r="J1342" s="50"/>
    </row>
    <row r="1343" outlineLevel="1" spans="1:10">
      <c r="A1343" s="50">
        <v>401</v>
      </c>
      <c r="B1343" s="51" t="str">
        <v>风扇</v>
      </c>
      <c r="C1343" s="51" t="e">
        <v>#REF!</v>
      </c>
      <c r="D1343" s="51" t="str">
        <v/>
      </c>
      <c r="E1343" s="51" t="str">
        <v/>
      </c>
      <c r="F1343" s="52" t="e">
        <v>#REF!</v>
      </c>
      <c r="G1343" s="48" t="e">
        <v>#REF!</v>
      </c>
      <c r="H1343" s="49">
        <v>3</v>
      </c>
      <c r="I1343" s="49" t="e">
        <v>#REF!</v>
      </c>
      <c r="J1343" s="50"/>
    </row>
    <row r="1344" outlineLevel="1" spans="1:10">
      <c r="A1344" s="50">
        <v>402</v>
      </c>
      <c r="B1344" s="51" t="str">
        <v>刚性防水套管-DN65</v>
      </c>
      <c r="C1344" s="51" t="e">
        <v>#REF!</v>
      </c>
      <c r="D1344" s="51" t="str">
        <v/>
      </c>
      <c r="E1344" s="51" t="str">
        <v/>
      </c>
      <c r="F1344" s="52" t="e">
        <v>#REF!</v>
      </c>
      <c r="G1344" s="48" t="e">
        <v>#REF!</v>
      </c>
      <c r="H1344" s="49">
        <v>0</v>
      </c>
      <c r="I1344" s="49" t="e">
        <v>#REF!</v>
      </c>
      <c r="J1344" s="50"/>
    </row>
    <row r="1345" outlineLevel="1" spans="1:10">
      <c r="A1345" s="50">
        <v>403</v>
      </c>
      <c r="B1345" s="51" t="str">
        <v>刚性防水套管-DN80</v>
      </c>
      <c r="C1345" s="51" t="e">
        <v>#REF!</v>
      </c>
      <c r="D1345" s="51" t="str">
        <v/>
      </c>
      <c r="E1345" s="51" t="str">
        <v/>
      </c>
      <c r="F1345" s="52" t="e">
        <v>#REF!</v>
      </c>
      <c r="G1345" s="48" t="e">
        <v>#REF!</v>
      </c>
      <c r="H1345" s="49">
        <v>0</v>
      </c>
      <c r="I1345" s="49" t="e">
        <v>#REF!</v>
      </c>
      <c r="J1345" s="50"/>
    </row>
    <row r="1346" outlineLevel="1" spans="1:10">
      <c r="A1346" s="50" t="str">
        <v/>
      </c>
      <c r="B1346" s="51" t="str">
        <v>B.16绝热</v>
      </c>
      <c r="C1346" s="51" t="str">
        <v/>
      </c>
      <c r="D1346" s="51" t="str">
        <v/>
      </c>
      <c r="E1346" s="51" t="str">
        <v/>
      </c>
      <c r="F1346" s="52" t="str">
        <v/>
      </c>
      <c r="G1346" s="48" t="str">
        <v/>
      </c>
      <c r="H1346" s="49">
        <v>0</v>
      </c>
      <c r="I1346" s="49" t="e">
        <v>#REF!</v>
      </c>
      <c r="J1346" s="50"/>
    </row>
    <row r="1347" outlineLevel="1" spans="1:10">
      <c r="A1347" s="50">
        <v>404</v>
      </c>
      <c r="B1347" s="51" t="str">
        <v>管道绝热</v>
      </c>
      <c r="C1347" s="51" t="e">
        <v>#REF!</v>
      </c>
      <c r="D1347" s="51" t="str">
        <v/>
      </c>
      <c r="E1347" s="51" t="str">
        <v/>
      </c>
      <c r="F1347" s="52" t="e">
        <v>#REF!</v>
      </c>
      <c r="G1347" s="48" t="e">
        <v>#REF!</v>
      </c>
      <c r="H1347" s="49">
        <v>8.14</v>
      </c>
      <c r="I1347" s="49" t="e">
        <v>#REF!</v>
      </c>
      <c r="J1347" s="50"/>
    </row>
    <row r="1348" outlineLevel="1" spans="1:10">
      <c r="A1348" s="50">
        <v>405</v>
      </c>
      <c r="B1348" s="51" t="str">
        <v>防火胶带保护层</v>
      </c>
      <c r="C1348" s="51" t="e">
        <v>#REF!</v>
      </c>
      <c r="D1348" s="51" t="str">
        <v/>
      </c>
      <c r="E1348" s="51" t="str">
        <v/>
      </c>
      <c r="F1348" s="52" t="e">
        <v>#REF!</v>
      </c>
      <c r="G1348" s="48" t="e">
        <v>#REF!</v>
      </c>
      <c r="H1348" s="49">
        <v>227.45</v>
      </c>
      <c r="I1348" s="49" t="e">
        <v>#REF!</v>
      </c>
      <c r="J1348" s="50"/>
    </row>
    <row r="1349" outlineLevel="1" spans="1:10">
      <c r="A1349" s="50" t="str">
        <v/>
      </c>
      <c r="B1349" s="51" t="str">
        <v>B.17系统调试</v>
      </c>
      <c r="C1349" s="51" t="str">
        <v/>
      </c>
      <c r="D1349" s="51" t="str">
        <v/>
      </c>
      <c r="E1349" s="51" t="str">
        <v/>
      </c>
      <c r="F1349" s="52" t="str">
        <v/>
      </c>
      <c r="G1349" s="48" t="str">
        <v/>
      </c>
      <c r="H1349" s="49">
        <v>0</v>
      </c>
      <c r="I1349" s="49" t="e">
        <v>#REF!</v>
      </c>
      <c r="J1349" s="50"/>
    </row>
    <row r="1350" outlineLevel="1" spans="1:10">
      <c r="A1350" s="50">
        <v>406</v>
      </c>
      <c r="B1350" s="51" t="str">
        <v>采暖工程系统调试</v>
      </c>
      <c r="C1350" s="51" t="e">
        <v>#REF!</v>
      </c>
      <c r="D1350" s="51" t="str">
        <v/>
      </c>
      <c r="E1350" s="51" t="str">
        <v/>
      </c>
      <c r="F1350" s="52" t="e">
        <v>#REF!</v>
      </c>
      <c r="G1350" s="48" t="e">
        <v>#REF!</v>
      </c>
      <c r="H1350" s="49">
        <v>13926.21</v>
      </c>
      <c r="I1350" s="49" t="e">
        <v>#REF!</v>
      </c>
      <c r="J1350" s="50"/>
    </row>
    <row r="1351" outlineLevel="1" spans="1:10">
      <c r="A1351" s="50" t="str">
        <v/>
      </c>
      <c r="B1351" s="51" t="str">
        <v>地下电气</v>
      </c>
      <c r="C1351" s="51" t="str">
        <v/>
      </c>
      <c r="D1351" s="51" t="str">
        <v/>
      </c>
      <c r="E1351" s="51" t="str">
        <v/>
      </c>
      <c r="F1351" s="52" t="str">
        <v/>
      </c>
      <c r="G1351" s="48" t="str">
        <v/>
      </c>
      <c r="H1351" s="49">
        <v>0</v>
      </c>
      <c r="I1351" s="49" t="e">
        <v>#REF!</v>
      </c>
      <c r="J1351" s="50"/>
    </row>
    <row r="1352" outlineLevel="1" spans="1:10">
      <c r="A1352" s="50" t="str">
        <v/>
      </c>
      <c r="B1352" s="51" t="str">
        <v>B.18强电工程</v>
      </c>
      <c r="C1352" s="51" t="str">
        <v/>
      </c>
      <c r="D1352" s="51" t="str">
        <v/>
      </c>
      <c r="E1352" s="51" t="str">
        <v/>
      </c>
      <c r="F1352" s="52" t="str">
        <v/>
      </c>
      <c r="G1352" s="48" t="str">
        <v/>
      </c>
      <c r="H1352" s="49">
        <v>0</v>
      </c>
      <c r="I1352" s="49" t="e">
        <v>#REF!</v>
      </c>
      <c r="J1352" s="50"/>
    </row>
    <row r="1353" outlineLevel="1" spans="1:10">
      <c r="A1353" s="50" t="str">
        <v/>
      </c>
      <c r="B1353" s="51" t="str">
        <v>B.18.1配电箱</v>
      </c>
      <c r="C1353" s="51" t="str">
        <v/>
      </c>
      <c r="D1353" s="51" t="str">
        <v/>
      </c>
      <c r="E1353" s="51" t="str">
        <v/>
      </c>
      <c r="F1353" s="52" t="str">
        <v/>
      </c>
      <c r="G1353" s="48" t="str">
        <v/>
      </c>
      <c r="H1353" s="49">
        <v>0</v>
      </c>
      <c r="I1353" s="49" t="e">
        <v>#REF!</v>
      </c>
      <c r="J1353" s="50"/>
    </row>
    <row r="1354" outlineLevel="1" spans="1:10">
      <c r="A1354" s="50">
        <v>407</v>
      </c>
      <c r="B1354" s="51" t="str">
        <v>落地配电柜</v>
      </c>
      <c r="C1354" s="51" t="e">
        <v>#REF!</v>
      </c>
      <c r="D1354" s="51" t="str">
        <v/>
      </c>
      <c r="E1354" s="51" t="str">
        <v/>
      </c>
      <c r="F1354" s="52" t="e">
        <v>#REF!</v>
      </c>
      <c r="G1354" s="48" t="e">
        <v>#REF!</v>
      </c>
      <c r="H1354" s="49">
        <v>1</v>
      </c>
      <c r="I1354" s="49" t="e">
        <v>#REF!</v>
      </c>
      <c r="J1354" s="50"/>
    </row>
    <row r="1355" ht="28.8" outlineLevel="1" spans="1:10">
      <c r="A1355" s="50">
        <v>408</v>
      </c>
      <c r="B1355" s="51" t="str">
        <v>公区电源箱（半周长0.5m以内）</v>
      </c>
      <c r="C1355" s="51" t="e">
        <v>#REF!</v>
      </c>
      <c r="D1355" s="51" t="str">
        <v/>
      </c>
      <c r="E1355" s="51" t="str">
        <v/>
      </c>
      <c r="F1355" s="52" t="e">
        <v>#REF!</v>
      </c>
      <c r="G1355" s="48" t="e">
        <v>#REF!</v>
      </c>
      <c r="H1355" s="49">
        <v>1</v>
      </c>
      <c r="I1355" s="49" t="e">
        <v>#REF!</v>
      </c>
      <c r="J1355" s="50"/>
    </row>
    <row r="1356" ht="28.8" outlineLevel="1" spans="1:10">
      <c r="A1356" s="50">
        <v>409</v>
      </c>
      <c r="B1356" s="51" t="str">
        <v>公区电源箱（半周长1.0m以内）</v>
      </c>
      <c r="C1356" s="51" t="e">
        <v>#REF!</v>
      </c>
      <c r="D1356" s="51" t="str">
        <v/>
      </c>
      <c r="E1356" s="51" t="str">
        <v/>
      </c>
      <c r="F1356" s="52" t="e">
        <v>#REF!</v>
      </c>
      <c r="G1356" s="48" t="e">
        <v>#REF!</v>
      </c>
      <c r="H1356" s="49">
        <v>1</v>
      </c>
      <c r="I1356" s="49" t="e">
        <v>#REF!</v>
      </c>
      <c r="J1356" s="50"/>
    </row>
    <row r="1357" ht="28.8" outlineLevel="1" spans="1:10">
      <c r="A1357" s="50">
        <v>410</v>
      </c>
      <c r="B1357" s="51" t="str">
        <v>公区电源箱（半周长1.5m以内）</v>
      </c>
      <c r="C1357" s="51" t="e">
        <v>#REF!</v>
      </c>
      <c r="D1357" s="51" t="str">
        <v/>
      </c>
      <c r="E1357" s="51" t="str">
        <v/>
      </c>
      <c r="F1357" s="52" t="e">
        <v>#REF!</v>
      </c>
      <c r="G1357" s="48" t="e">
        <v>#REF!</v>
      </c>
      <c r="H1357" s="49">
        <v>0</v>
      </c>
      <c r="I1357" s="49" t="e">
        <v>#REF!</v>
      </c>
      <c r="J1357" s="50"/>
    </row>
    <row r="1358" ht="28.8" outlineLevel="1" spans="1:10">
      <c r="A1358" s="50">
        <v>411</v>
      </c>
      <c r="B1358" s="51" t="str">
        <v>公区电源箱（半周长2m以内）</v>
      </c>
      <c r="C1358" s="51" t="e">
        <v>#REF!</v>
      </c>
      <c r="D1358" s="51" t="str">
        <v/>
      </c>
      <c r="E1358" s="51" t="str">
        <v/>
      </c>
      <c r="F1358" s="52" t="e">
        <v>#REF!</v>
      </c>
      <c r="G1358" s="48" t="e">
        <v>#REF!</v>
      </c>
      <c r="H1358" s="49">
        <v>0</v>
      </c>
      <c r="I1358" s="49" t="e">
        <v>#REF!</v>
      </c>
      <c r="J1358" s="50"/>
    </row>
    <row r="1359" outlineLevel="1" spans="1:10">
      <c r="A1359" s="50">
        <v>412</v>
      </c>
      <c r="B1359" s="51" t="str">
        <v>应急电源配电箱</v>
      </c>
      <c r="C1359" s="51" t="e">
        <v>#REF!</v>
      </c>
      <c r="D1359" s="51" t="str">
        <v/>
      </c>
      <c r="E1359" s="51" t="str">
        <v/>
      </c>
      <c r="F1359" s="52" t="e">
        <v>#REF!</v>
      </c>
      <c r="G1359" s="48" t="e">
        <v>#REF!</v>
      </c>
      <c r="H1359" s="49">
        <v>2</v>
      </c>
      <c r="I1359" s="49" t="e">
        <v>#REF!</v>
      </c>
      <c r="J1359" s="50"/>
    </row>
    <row r="1360" ht="28.8" outlineLevel="1" spans="1:10">
      <c r="A1360" s="50">
        <v>413</v>
      </c>
      <c r="B1360" s="51" t="str">
        <v>应急照明配电箱-0.15KW DC36V</v>
      </c>
      <c r="C1360" s="51" t="e">
        <v>#REF!</v>
      </c>
      <c r="D1360" s="51" t="str">
        <v/>
      </c>
      <c r="E1360" s="51" t="str">
        <v/>
      </c>
      <c r="F1360" s="52" t="e">
        <v>#REF!</v>
      </c>
      <c r="G1360" s="48" t="e">
        <v>#REF!</v>
      </c>
      <c r="H1360" s="49">
        <v>6</v>
      </c>
      <c r="I1360" s="49" t="e">
        <v>#REF!</v>
      </c>
      <c r="J1360" s="50"/>
    </row>
    <row r="1361" ht="28.8" outlineLevel="1" spans="1:10">
      <c r="A1361" s="50">
        <v>414</v>
      </c>
      <c r="B1361" s="51" t="str">
        <v>应急照明配电箱-0.3KW DC36V</v>
      </c>
      <c r="C1361" s="51" t="e">
        <v>#REF!</v>
      </c>
      <c r="D1361" s="51" t="str">
        <v/>
      </c>
      <c r="E1361" s="51" t="str">
        <v/>
      </c>
      <c r="F1361" s="52" t="e">
        <v>#REF!</v>
      </c>
      <c r="G1361" s="48" t="e">
        <v>#REF!</v>
      </c>
      <c r="H1361" s="49">
        <v>1</v>
      </c>
      <c r="I1361" s="49" t="e">
        <v>#REF!</v>
      </c>
      <c r="J1361" s="50"/>
    </row>
    <row r="1362" ht="28.8" outlineLevel="1" spans="1:10">
      <c r="A1362" s="50">
        <v>415</v>
      </c>
      <c r="B1362" s="51" t="str">
        <v>应急照明配电箱-0.6KW DC36V</v>
      </c>
      <c r="C1362" s="51" t="e">
        <v>#REF!</v>
      </c>
      <c r="D1362" s="51" t="str">
        <v/>
      </c>
      <c r="E1362" s="51" t="str">
        <v/>
      </c>
      <c r="F1362" s="52" t="e">
        <v>#REF!</v>
      </c>
      <c r="G1362" s="48" t="e">
        <v>#REF!</v>
      </c>
      <c r="H1362" s="49">
        <v>1</v>
      </c>
      <c r="I1362" s="49" t="e">
        <v>#REF!</v>
      </c>
      <c r="J1362" s="50"/>
    </row>
    <row r="1363" ht="28.8" outlineLevel="1" spans="1:10">
      <c r="A1363" s="50">
        <v>416</v>
      </c>
      <c r="B1363" s="51" t="str">
        <v>应急照明配电箱-0.9KW DC36V</v>
      </c>
      <c r="C1363" s="51" t="e">
        <v>#REF!</v>
      </c>
      <c r="D1363" s="51" t="str">
        <v/>
      </c>
      <c r="E1363" s="51" t="str">
        <v/>
      </c>
      <c r="F1363" s="52" t="e">
        <v>#REF!</v>
      </c>
      <c r="G1363" s="48" t="e">
        <v>#REF!</v>
      </c>
      <c r="H1363" s="49">
        <v>1</v>
      </c>
      <c r="I1363" s="49" t="e">
        <v>#REF!</v>
      </c>
      <c r="J1363" s="50"/>
    </row>
    <row r="1364" ht="28.8" outlineLevel="1" spans="1:10">
      <c r="A1364" s="50">
        <v>417</v>
      </c>
      <c r="B1364" s="51" t="str">
        <v>消防应急主机（2000点以下）</v>
      </c>
      <c r="C1364" s="51" t="e">
        <v>#REF!</v>
      </c>
      <c r="D1364" s="51" t="str">
        <v/>
      </c>
      <c r="E1364" s="51" t="str">
        <v/>
      </c>
      <c r="F1364" s="52" t="e">
        <v>#REF!</v>
      </c>
      <c r="G1364" s="48" t="e">
        <v>#REF!</v>
      </c>
      <c r="H1364" s="49">
        <v>0</v>
      </c>
      <c r="I1364" s="49" t="e">
        <v>#REF!</v>
      </c>
      <c r="J1364" s="50"/>
    </row>
    <row r="1365" outlineLevel="1" spans="1:10">
      <c r="A1365" s="50">
        <v>418</v>
      </c>
      <c r="B1365" s="51" t="str">
        <v>接线箱（半周长700mm以内）</v>
      </c>
      <c r="C1365" s="51" t="e">
        <v>#REF!</v>
      </c>
      <c r="D1365" s="51" t="str">
        <v/>
      </c>
      <c r="E1365" s="51" t="str">
        <v/>
      </c>
      <c r="F1365" s="52" t="e">
        <v>#REF!</v>
      </c>
      <c r="G1365" s="48" t="e">
        <v>#REF!</v>
      </c>
      <c r="H1365" s="49">
        <v>1</v>
      </c>
      <c r="I1365" s="49" t="e">
        <v>#REF!</v>
      </c>
      <c r="J1365" s="50"/>
    </row>
    <row r="1366" outlineLevel="1" spans="1:10">
      <c r="A1366" s="50">
        <v>419</v>
      </c>
      <c r="B1366" s="51" t="str">
        <v>低压交流异步电动机6kw以内</v>
      </c>
      <c r="C1366" s="51" t="e">
        <v>#REF!</v>
      </c>
      <c r="D1366" s="51" t="str">
        <v/>
      </c>
      <c r="E1366" s="51" t="str">
        <v/>
      </c>
      <c r="F1366" s="52" t="e">
        <v>#REF!</v>
      </c>
      <c r="G1366" s="48" t="e">
        <v>#REF!</v>
      </c>
      <c r="H1366" s="49">
        <v>7</v>
      </c>
      <c r="I1366" s="49" t="e">
        <v>#REF!</v>
      </c>
      <c r="J1366" s="50"/>
    </row>
    <row r="1367" outlineLevel="1" spans="1:10">
      <c r="A1367" s="50">
        <v>420</v>
      </c>
      <c r="B1367" s="51" t="str">
        <v>送配电装置系统调试</v>
      </c>
      <c r="C1367" s="51" t="e">
        <v>#REF!</v>
      </c>
      <c r="D1367" s="51" t="str">
        <v/>
      </c>
      <c r="E1367" s="51" t="str">
        <v/>
      </c>
      <c r="F1367" s="52" t="e">
        <v>#REF!</v>
      </c>
      <c r="G1367" s="48" t="e">
        <v>#REF!</v>
      </c>
      <c r="H1367" s="49">
        <v>1</v>
      </c>
      <c r="I1367" s="49" t="e">
        <v>#REF!</v>
      </c>
      <c r="J1367" s="50"/>
    </row>
    <row r="1368" outlineLevel="1" spans="1:10">
      <c r="A1368" s="50" t="str">
        <v/>
      </c>
      <c r="B1368" s="51" t="str">
        <v>B.18.2电力桥架</v>
      </c>
      <c r="C1368" s="51" t="str">
        <v/>
      </c>
      <c r="D1368" s="51" t="str">
        <v/>
      </c>
      <c r="E1368" s="51" t="str">
        <v/>
      </c>
      <c r="F1368" s="52" t="str">
        <v/>
      </c>
      <c r="G1368" s="48" t="str">
        <v/>
      </c>
      <c r="H1368" s="49">
        <v>0</v>
      </c>
      <c r="I1368" s="49" t="e">
        <v>#REF!</v>
      </c>
      <c r="J1368" s="50"/>
    </row>
    <row r="1369" outlineLevel="1" spans="1:10">
      <c r="A1369" s="50">
        <v>421</v>
      </c>
      <c r="B1369" s="51" t="str">
        <v>防火桥架-700*200</v>
      </c>
      <c r="C1369" s="51" t="e">
        <v>#REF!</v>
      </c>
      <c r="D1369" s="51" t="str">
        <v/>
      </c>
      <c r="E1369" s="51" t="str">
        <v/>
      </c>
      <c r="F1369" s="52" t="e">
        <v>#REF!</v>
      </c>
      <c r="G1369" s="48" t="e">
        <v>#REF!</v>
      </c>
      <c r="H1369" s="49">
        <v>0</v>
      </c>
      <c r="I1369" s="49" t="e">
        <v>#REF!</v>
      </c>
      <c r="J1369" s="50"/>
    </row>
    <row r="1370" outlineLevel="1" spans="1:10">
      <c r="A1370" s="50">
        <v>422</v>
      </c>
      <c r="B1370" s="51" t="str">
        <v>防火桥架-500*250</v>
      </c>
      <c r="C1370" s="51" t="e">
        <v>#REF!</v>
      </c>
      <c r="D1370" s="51" t="str">
        <v/>
      </c>
      <c r="E1370" s="51" t="str">
        <v/>
      </c>
      <c r="F1370" s="52" t="e">
        <v>#REF!</v>
      </c>
      <c r="G1370" s="48" t="e">
        <v>#REF!</v>
      </c>
      <c r="H1370" s="49">
        <v>0</v>
      </c>
      <c r="I1370" s="49" t="e">
        <v>#REF!</v>
      </c>
      <c r="J1370" s="50"/>
    </row>
    <row r="1371" outlineLevel="1" spans="1:10">
      <c r="A1371" s="50">
        <v>423</v>
      </c>
      <c r="B1371" s="51" t="str">
        <v>防火桥架-550*200</v>
      </c>
      <c r="C1371" s="51" t="e">
        <v>#REF!</v>
      </c>
      <c r="D1371" s="51" t="str">
        <v/>
      </c>
      <c r="E1371" s="51" t="str">
        <v/>
      </c>
      <c r="F1371" s="52" t="e">
        <v>#REF!</v>
      </c>
      <c r="G1371" s="48" t="e">
        <v>#REF!</v>
      </c>
      <c r="H1371" s="49">
        <v>0</v>
      </c>
      <c r="I1371" s="49" t="e">
        <v>#REF!</v>
      </c>
      <c r="J1371" s="50"/>
    </row>
    <row r="1372" outlineLevel="1" spans="1:10">
      <c r="A1372" s="50">
        <v>424</v>
      </c>
      <c r="B1372" s="51" t="str">
        <v>防火桥架-450*200</v>
      </c>
      <c r="C1372" s="51" t="e">
        <v>#REF!</v>
      </c>
      <c r="D1372" s="51" t="str">
        <v/>
      </c>
      <c r="E1372" s="51" t="str">
        <v/>
      </c>
      <c r="F1372" s="52" t="e">
        <v>#REF!</v>
      </c>
      <c r="G1372" s="48" t="e">
        <v>#REF!</v>
      </c>
      <c r="H1372" s="49">
        <v>0</v>
      </c>
      <c r="I1372" s="49" t="e">
        <v>#REF!</v>
      </c>
      <c r="J1372" s="50"/>
    </row>
    <row r="1373" outlineLevel="1" spans="1:10">
      <c r="A1373" s="50">
        <v>425</v>
      </c>
      <c r="B1373" s="51" t="str">
        <v>防火桥架-400*200</v>
      </c>
      <c r="C1373" s="51" t="e">
        <v>#REF!</v>
      </c>
      <c r="D1373" s="51" t="str">
        <v/>
      </c>
      <c r="E1373" s="51" t="str">
        <v/>
      </c>
      <c r="F1373" s="52" t="e">
        <v>#REF!</v>
      </c>
      <c r="G1373" s="48" t="e">
        <v>#REF!</v>
      </c>
      <c r="H1373" s="49">
        <v>12.99</v>
      </c>
      <c r="I1373" s="49" t="e">
        <v>#REF!</v>
      </c>
      <c r="J1373" s="50"/>
    </row>
    <row r="1374" outlineLevel="1" spans="1:10">
      <c r="A1374" s="50">
        <v>426</v>
      </c>
      <c r="B1374" s="51" t="str">
        <v>防火桥架-350*200</v>
      </c>
      <c r="C1374" s="51" t="e">
        <v>#REF!</v>
      </c>
      <c r="D1374" s="51" t="str">
        <v/>
      </c>
      <c r="E1374" s="51" t="str">
        <v/>
      </c>
      <c r="F1374" s="52" t="e">
        <v>#REF!</v>
      </c>
      <c r="G1374" s="48" t="e">
        <v>#REF!</v>
      </c>
      <c r="H1374" s="49">
        <v>0</v>
      </c>
      <c r="I1374" s="49" t="e">
        <v>#REF!</v>
      </c>
      <c r="J1374" s="50"/>
    </row>
    <row r="1375" outlineLevel="1" spans="1:10">
      <c r="A1375" s="50">
        <v>427</v>
      </c>
      <c r="B1375" s="51" t="str">
        <v>防火桥架-300*200</v>
      </c>
      <c r="C1375" s="51" t="e">
        <v>#REF!</v>
      </c>
      <c r="D1375" s="51" t="str">
        <v/>
      </c>
      <c r="E1375" s="51" t="str">
        <v/>
      </c>
      <c r="F1375" s="52" t="e">
        <v>#REF!</v>
      </c>
      <c r="G1375" s="48" t="e">
        <v>#REF!</v>
      </c>
      <c r="H1375" s="49">
        <v>14.05</v>
      </c>
      <c r="I1375" s="49" t="e">
        <v>#REF!</v>
      </c>
      <c r="J1375" s="50"/>
    </row>
    <row r="1376" outlineLevel="1" spans="1:10">
      <c r="A1376" s="50">
        <v>428</v>
      </c>
      <c r="B1376" s="51" t="str">
        <v>防火桥架-300*150</v>
      </c>
      <c r="C1376" s="51" t="e">
        <v>#REF!</v>
      </c>
      <c r="D1376" s="51" t="str">
        <v/>
      </c>
      <c r="E1376" s="51" t="str">
        <v/>
      </c>
      <c r="F1376" s="52" t="e">
        <v>#REF!</v>
      </c>
      <c r="G1376" s="48" t="e">
        <v>#REF!</v>
      </c>
      <c r="H1376" s="49">
        <v>6.35</v>
      </c>
      <c r="I1376" s="49" t="e">
        <v>#REF!</v>
      </c>
      <c r="J1376" s="50"/>
    </row>
    <row r="1377" outlineLevel="1" spans="1:10">
      <c r="A1377" s="50">
        <v>429</v>
      </c>
      <c r="B1377" s="51" t="str">
        <v>防火桥架-300*100</v>
      </c>
      <c r="C1377" s="51" t="e">
        <v>#REF!</v>
      </c>
      <c r="D1377" s="51" t="str">
        <v/>
      </c>
      <c r="E1377" s="51" t="str">
        <v/>
      </c>
      <c r="F1377" s="52" t="e">
        <v>#REF!</v>
      </c>
      <c r="G1377" s="48" t="e">
        <v>#REF!</v>
      </c>
      <c r="H1377" s="49">
        <v>0</v>
      </c>
      <c r="I1377" s="49" t="e">
        <v>#REF!</v>
      </c>
      <c r="J1377" s="50"/>
    </row>
    <row r="1378" outlineLevel="1" spans="1:10">
      <c r="A1378" s="50">
        <v>430</v>
      </c>
      <c r="B1378" s="51" t="str">
        <v>防火桥架-250*200</v>
      </c>
      <c r="C1378" s="51" t="e">
        <v>#REF!</v>
      </c>
      <c r="D1378" s="51" t="str">
        <v/>
      </c>
      <c r="E1378" s="51" t="str">
        <v/>
      </c>
      <c r="F1378" s="52" t="e">
        <v>#REF!</v>
      </c>
      <c r="G1378" s="48" t="e">
        <v>#REF!</v>
      </c>
      <c r="H1378" s="49">
        <v>0</v>
      </c>
      <c r="I1378" s="49" t="e">
        <v>#REF!</v>
      </c>
      <c r="J1378" s="50"/>
    </row>
    <row r="1379" outlineLevel="1" spans="1:10">
      <c r="A1379" s="50">
        <v>431</v>
      </c>
      <c r="B1379" s="51" t="str">
        <v>防火桥架-200*150</v>
      </c>
      <c r="C1379" s="51" t="e">
        <v>#REF!</v>
      </c>
      <c r="D1379" s="51" t="str">
        <v/>
      </c>
      <c r="E1379" s="51" t="str">
        <v/>
      </c>
      <c r="F1379" s="52" t="e">
        <v>#REF!</v>
      </c>
      <c r="G1379" s="48" t="e">
        <v>#REF!</v>
      </c>
      <c r="H1379" s="49">
        <v>0</v>
      </c>
      <c r="I1379" s="49" t="e">
        <v>#REF!</v>
      </c>
      <c r="J1379" s="50"/>
    </row>
    <row r="1380" outlineLevel="1" spans="1:10">
      <c r="A1380" s="50">
        <v>432</v>
      </c>
      <c r="B1380" s="51" t="str">
        <v>防火桥架-250*100</v>
      </c>
      <c r="C1380" s="51" t="e">
        <v>#REF!</v>
      </c>
      <c r="D1380" s="51" t="str">
        <v/>
      </c>
      <c r="E1380" s="51" t="str">
        <v/>
      </c>
      <c r="F1380" s="52" t="e">
        <v>#REF!</v>
      </c>
      <c r="G1380" s="48" t="e">
        <v>#REF!</v>
      </c>
      <c r="H1380" s="49">
        <v>0</v>
      </c>
      <c r="I1380" s="49" t="e">
        <v>#REF!</v>
      </c>
      <c r="J1380" s="50"/>
    </row>
    <row r="1381" outlineLevel="1" spans="1:10">
      <c r="A1381" s="50">
        <v>433</v>
      </c>
      <c r="B1381" s="51" t="str">
        <v>防火桥架-200*200</v>
      </c>
      <c r="C1381" s="51" t="e">
        <v>#REF!</v>
      </c>
      <c r="D1381" s="51" t="str">
        <v/>
      </c>
      <c r="E1381" s="51" t="str">
        <v/>
      </c>
      <c r="F1381" s="52" t="e">
        <v>#REF!</v>
      </c>
      <c r="G1381" s="48" t="e">
        <v>#REF!</v>
      </c>
      <c r="H1381" s="49">
        <v>0</v>
      </c>
      <c r="I1381" s="49" t="e">
        <v>#REF!</v>
      </c>
      <c r="J1381" s="50"/>
    </row>
    <row r="1382" outlineLevel="1" spans="1:10">
      <c r="A1382" s="50">
        <v>434</v>
      </c>
      <c r="B1382" s="51" t="str">
        <v>防火桥架-200*100</v>
      </c>
      <c r="C1382" s="51" t="e">
        <v>#REF!</v>
      </c>
      <c r="D1382" s="51" t="str">
        <v/>
      </c>
      <c r="E1382" s="51" t="str">
        <v/>
      </c>
      <c r="F1382" s="52" t="e">
        <v>#REF!</v>
      </c>
      <c r="G1382" s="48" t="e">
        <v>#REF!</v>
      </c>
      <c r="H1382" s="49">
        <v>0</v>
      </c>
      <c r="I1382" s="49" t="e">
        <v>#REF!</v>
      </c>
      <c r="J1382" s="50"/>
    </row>
    <row r="1383" outlineLevel="1" spans="1:10">
      <c r="A1383" s="50">
        <v>435</v>
      </c>
      <c r="B1383" s="51" t="str">
        <v>防火桥架-150*100</v>
      </c>
      <c r="C1383" s="51" t="e">
        <v>#REF!</v>
      </c>
      <c r="D1383" s="51" t="str">
        <v/>
      </c>
      <c r="E1383" s="51" t="str">
        <v/>
      </c>
      <c r="F1383" s="52" t="e">
        <v>#REF!</v>
      </c>
      <c r="G1383" s="48" t="e">
        <v>#REF!</v>
      </c>
      <c r="H1383" s="49">
        <v>6.05</v>
      </c>
      <c r="I1383" s="49" t="e">
        <v>#REF!</v>
      </c>
      <c r="J1383" s="50"/>
    </row>
    <row r="1384" outlineLevel="1" spans="1:10">
      <c r="A1384" s="50">
        <v>436</v>
      </c>
      <c r="B1384" s="51" t="str">
        <v>防火桥架-100*100</v>
      </c>
      <c r="C1384" s="51" t="e">
        <v>#REF!</v>
      </c>
      <c r="D1384" s="51" t="str">
        <v/>
      </c>
      <c r="E1384" s="51" t="str">
        <v/>
      </c>
      <c r="F1384" s="52" t="e">
        <v>#REF!</v>
      </c>
      <c r="G1384" s="48" t="e">
        <v>#REF!</v>
      </c>
      <c r="H1384" s="49">
        <v>0</v>
      </c>
      <c r="I1384" s="49" t="e">
        <v>#REF!</v>
      </c>
      <c r="J1384" s="50"/>
    </row>
    <row r="1385" outlineLevel="1" spans="1:10">
      <c r="A1385" s="50">
        <v>437</v>
      </c>
      <c r="B1385" s="51" t="str">
        <v>金属桥架-800*150</v>
      </c>
      <c r="C1385" s="51" t="e">
        <v>#REF!</v>
      </c>
      <c r="D1385" s="51" t="str">
        <v/>
      </c>
      <c r="E1385" s="51" t="str">
        <v/>
      </c>
      <c r="F1385" s="52" t="e">
        <v>#REF!</v>
      </c>
      <c r="G1385" s="48" t="e">
        <v>#REF!</v>
      </c>
      <c r="H1385" s="49">
        <v>0</v>
      </c>
      <c r="I1385" s="49" t="e">
        <v>#REF!</v>
      </c>
      <c r="J1385" s="50"/>
    </row>
    <row r="1386" outlineLevel="1" spans="1:10">
      <c r="A1386" s="50">
        <v>438</v>
      </c>
      <c r="B1386" s="51" t="str">
        <v>金属桥架-600*200</v>
      </c>
      <c r="C1386" s="51" t="e">
        <v>#REF!</v>
      </c>
      <c r="D1386" s="51" t="str">
        <v/>
      </c>
      <c r="E1386" s="51" t="str">
        <v/>
      </c>
      <c r="F1386" s="52" t="e">
        <v>#REF!</v>
      </c>
      <c r="G1386" s="48" t="e">
        <v>#REF!</v>
      </c>
      <c r="H1386" s="49">
        <v>0</v>
      </c>
      <c r="I1386" s="49" t="e">
        <v>#REF!</v>
      </c>
      <c r="J1386" s="50"/>
    </row>
    <row r="1387" outlineLevel="1" spans="1:10">
      <c r="A1387" s="50">
        <v>439</v>
      </c>
      <c r="B1387" s="51" t="str">
        <v>金属桥架-600*150</v>
      </c>
      <c r="C1387" s="51" t="e">
        <v>#REF!</v>
      </c>
      <c r="D1387" s="51" t="str">
        <v/>
      </c>
      <c r="E1387" s="51" t="str">
        <v/>
      </c>
      <c r="F1387" s="52" t="e">
        <v>#REF!</v>
      </c>
      <c r="G1387" s="48" t="e">
        <v>#REF!</v>
      </c>
      <c r="H1387" s="49">
        <v>0</v>
      </c>
      <c r="I1387" s="49" t="e">
        <v>#REF!</v>
      </c>
      <c r="J1387" s="50"/>
    </row>
    <row r="1388" outlineLevel="1" spans="1:10">
      <c r="A1388" s="50">
        <v>440</v>
      </c>
      <c r="B1388" s="51" t="str">
        <v>金属桥架-500*150</v>
      </c>
      <c r="C1388" s="51" t="e">
        <v>#REF!</v>
      </c>
      <c r="D1388" s="51" t="str">
        <v/>
      </c>
      <c r="E1388" s="51" t="str">
        <v/>
      </c>
      <c r="F1388" s="52" t="e">
        <v>#REF!</v>
      </c>
      <c r="G1388" s="48" t="e">
        <v>#REF!</v>
      </c>
      <c r="H1388" s="49">
        <v>0</v>
      </c>
      <c r="I1388" s="49" t="e">
        <v>#REF!</v>
      </c>
      <c r="J1388" s="50"/>
    </row>
    <row r="1389" outlineLevel="1" spans="1:10">
      <c r="A1389" s="50">
        <v>441</v>
      </c>
      <c r="B1389" s="51" t="str">
        <v>金属桥架-400*150</v>
      </c>
      <c r="C1389" s="51" t="e">
        <v>#REF!</v>
      </c>
      <c r="D1389" s="51" t="str">
        <v/>
      </c>
      <c r="E1389" s="51" t="str">
        <v/>
      </c>
      <c r="F1389" s="52" t="e">
        <v>#REF!</v>
      </c>
      <c r="G1389" s="48" t="e">
        <v>#REF!</v>
      </c>
      <c r="H1389" s="49">
        <v>0</v>
      </c>
      <c r="I1389" s="49" t="e">
        <v>#REF!</v>
      </c>
      <c r="J1389" s="50"/>
    </row>
    <row r="1390" outlineLevel="1" spans="1:10">
      <c r="A1390" s="50">
        <v>442</v>
      </c>
      <c r="B1390" s="51" t="str">
        <v>金属桥架-400*100</v>
      </c>
      <c r="C1390" s="51" t="e">
        <v>#REF!</v>
      </c>
      <c r="D1390" s="51" t="str">
        <v/>
      </c>
      <c r="E1390" s="51" t="str">
        <v/>
      </c>
      <c r="F1390" s="52" t="e">
        <v>#REF!</v>
      </c>
      <c r="G1390" s="48" t="e">
        <v>#REF!</v>
      </c>
      <c r="H1390" s="49">
        <v>0</v>
      </c>
      <c r="I1390" s="49" t="e">
        <v>#REF!</v>
      </c>
      <c r="J1390" s="50"/>
    </row>
    <row r="1391" outlineLevel="1" spans="1:10">
      <c r="A1391" s="50">
        <v>443</v>
      </c>
      <c r="B1391" s="51" t="str">
        <v>金属桥架-350*200</v>
      </c>
      <c r="C1391" s="51" t="e">
        <v>#REF!</v>
      </c>
      <c r="D1391" s="51" t="str">
        <v/>
      </c>
      <c r="E1391" s="51" t="str">
        <v/>
      </c>
      <c r="F1391" s="52" t="e">
        <v>#REF!</v>
      </c>
      <c r="G1391" s="48" t="e">
        <v>#REF!</v>
      </c>
      <c r="H1391" s="49">
        <v>0</v>
      </c>
      <c r="I1391" s="49" t="e">
        <v>#REF!</v>
      </c>
      <c r="J1391" s="50"/>
    </row>
    <row r="1392" outlineLevel="1" spans="1:10">
      <c r="A1392" s="50">
        <v>444</v>
      </c>
      <c r="B1392" s="51" t="str">
        <v>金属桥架-300*200</v>
      </c>
      <c r="C1392" s="51" t="e">
        <v>#REF!</v>
      </c>
      <c r="D1392" s="51" t="str">
        <v/>
      </c>
      <c r="E1392" s="51" t="str">
        <v/>
      </c>
      <c r="F1392" s="52" t="e">
        <v>#REF!</v>
      </c>
      <c r="G1392" s="48" t="e">
        <v>#REF!</v>
      </c>
      <c r="H1392" s="49">
        <v>0</v>
      </c>
      <c r="I1392" s="49" t="e">
        <v>#REF!</v>
      </c>
      <c r="J1392" s="50"/>
    </row>
    <row r="1393" outlineLevel="1" spans="1:10">
      <c r="A1393" s="50">
        <v>445</v>
      </c>
      <c r="B1393" s="51" t="str">
        <v>金属桥架-300*100</v>
      </c>
      <c r="C1393" s="51" t="e">
        <v>#REF!</v>
      </c>
      <c r="D1393" s="51" t="str">
        <v/>
      </c>
      <c r="E1393" s="51" t="str">
        <v/>
      </c>
      <c r="F1393" s="52" t="e">
        <v>#REF!</v>
      </c>
      <c r="G1393" s="48" t="e">
        <v>#REF!</v>
      </c>
      <c r="H1393" s="49">
        <v>0</v>
      </c>
      <c r="I1393" s="49" t="e">
        <v>#REF!</v>
      </c>
      <c r="J1393" s="50"/>
    </row>
    <row r="1394" outlineLevel="1" spans="1:10">
      <c r="A1394" s="50">
        <v>446</v>
      </c>
      <c r="B1394" s="51" t="str">
        <v>金属桥架-200*100</v>
      </c>
      <c r="C1394" s="51" t="e">
        <v>#REF!</v>
      </c>
      <c r="D1394" s="51" t="str">
        <v/>
      </c>
      <c r="E1394" s="51" t="str">
        <v/>
      </c>
      <c r="F1394" s="52" t="e">
        <v>#REF!</v>
      </c>
      <c r="G1394" s="48" t="e">
        <v>#REF!</v>
      </c>
      <c r="H1394" s="49">
        <v>0</v>
      </c>
      <c r="I1394" s="49" t="e">
        <v>#REF!</v>
      </c>
      <c r="J1394" s="50"/>
    </row>
    <row r="1395" outlineLevel="1" spans="1:10">
      <c r="A1395" s="50">
        <v>447</v>
      </c>
      <c r="B1395" s="51" t="str">
        <v>金属桥架-150*100</v>
      </c>
      <c r="C1395" s="51" t="e">
        <v>#REF!</v>
      </c>
      <c r="D1395" s="51" t="str">
        <v/>
      </c>
      <c r="E1395" s="51" t="str">
        <v/>
      </c>
      <c r="F1395" s="52" t="e">
        <v>#REF!</v>
      </c>
      <c r="G1395" s="48" t="e">
        <v>#REF!</v>
      </c>
      <c r="H1395" s="49">
        <v>0</v>
      </c>
      <c r="I1395" s="49" t="e">
        <v>#REF!</v>
      </c>
      <c r="J1395" s="50"/>
    </row>
    <row r="1396" outlineLevel="1" spans="1:10">
      <c r="A1396" s="50">
        <v>448</v>
      </c>
      <c r="B1396" s="51" t="str">
        <v>金属桥架-100*100</v>
      </c>
      <c r="C1396" s="51" t="e">
        <v>#REF!</v>
      </c>
      <c r="D1396" s="51" t="str">
        <v/>
      </c>
      <c r="E1396" s="51" t="str">
        <v/>
      </c>
      <c r="F1396" s="52" t="e">
        <v>#REF!</v>
      </c>
      <c r="G1396" s="48" t="e">
        <v>#REF!</v>
      </c>
      <c r="H1396" s="49">
        <v>0</v>
      </c>
      <c r="I1396" s="49" t="e">
        <v>#REF!</v>
      </c>
      <c r="J1396" s="50"/>
    </row>
    <row r="1397" outlineLevel="1" spans="1:10">
      <c r="A1397" s="50">
        <v>449</v>
      </c>
      <c r="B1397" s="51" t="str">
        <v>电业桥架-750*200</v>
      </c>
      <c r="C1397" s="51" t="e">
        <v>#REF!</v>
      </c>
      <c r="D1397" s="51" t="str">
        <v/>
      </c>
      <c r="E1397" s="51" t="str">
        <v/>
      </c>
      <c r="F1397" s="52" t="e">
        <v>#REF!</v>
      </c>
      <c r="G1397" s="48" t="e">
        <v>#REF!</v>
      </c>
      <c r="H1397" s="49">
        <v>0</v>
      </c>
      <c r="I1397" s="49" t="e">
        <v>#REF!</v>
      </c>
      <c r="J1397" s="50"/>
    </row>
    <row r="1398" outlineLevel="1" spans="1:10">
      <c r="A1398" s="50">
        <v>450</v>
      </c>
      <c r="B1398" s="51" t="str">
        <v>电业桥架-500*200</v>
      </c>
      <c r="C1398" s="51" t="e">
        <v>#REF!</v>
      </c>
      <c r="D1398" s="51" t="str">
        <v/>
      </c>
      <c r="E1398" s="51" t="str">
        <v/>
      </c>
      <c r="F1398" s="52" t="e">
        <v>#REF!</v>
      </c>
      <c r="G1398" s="48" t="e">
        <v>#REF!</v>
      </c>
      <c r="H1398" s="49">
        <v>0</v>
      </c>
      <c r="I1398" s="49" t="e">
        <v>#REF!</v>
      </c>
      <c r="J1398" s="50"/>
    </row>
    <row r="1399" outlineLevel="1" spans="1:10">
      <c r="A1399" s="50">
        <v>451</v>
      </c>
      <c r="B1399" s="51" t="str">
        <v>电业桥架-450*200</v>
      </c>
      <c r="C1399" s="51" t="e">
        <v>#REF!</v>
      </c>
      <c r="D1399" s="51" t="str">
        <v/>
      </c>
      <c r="E1399" s="51" t="str">
        <v/>
      </c>
      <c r="F1399" s="52" t="e">
        <v>#REF!</v>
      </c>
      <c r="G1399" s="48" t="e">
        <v>#REF!</v>
      </c>
      <c r="H1399" s="49">
        <v>0</v>
      </c>
      <c r="I1399" s="49" t="e">
        <v>#REF!</v>
      </c>
      <c r="J1399" s="50"/>
    </row>
    <row r="1400" outlineLevel="1" spans="1:10">
      <c r="A1400" s="50">
        <v>452</v>
      </c>
      <c r="B1400" s="51" t="str">
        <v>电业桥架-400*200</v>
      </c>
      <c r="C1400" s="51" t="e">
        <v>#REF!</v>
      </c>
      <c r="D1400" s="51" t="str">
        <v/>
      </c>
      <c r="E1400" s="51" t="str">
        <v/>
      </c>
      <c r="F1400" s="52" t="e">
        <v>#REF!</v>
      </c>
      <c r="G1400" s="48" t="e">
        <v>#REF!</v>
      </c>
      <c r="H1400" s="49">
        <v>0</v>
      </c>
      <c r="I1400" s="49" t="e">
        <v>#REF!</v>
      </c>
      <c r="J1400" s="50"/>
    </row>
    <row r="1401" outlineLevel="1" spans="1:10">
      <c r="A1401" s="50">
        <v>453</v>
      </c>
      <c r="B1401" s="51" t="str">
        <v>电业桥架-350*200</v>
      </c>
      <c r="C1401" s="51" t="e">
        <v>#REF!</v>
      </c>
      <c r="D1401" s="51" t="str">
        <v/>
      </c>
      <c r="E1401" s="51" t="str">
        <v/>
      </c>
      <c r="F1401" s="52" t="e">
        <v>#REF!</v>
      </c>
      <c r="G1401" s="48" t="e">
        <v>#REF!</v>
      </c>
      <c r="H1401" s="49">
        <v>0</v>
      </c>
      <c r="I1401" s="49" t="e">
        <v>#REF!</v>
      </c>
      <c r="J1401" s="50"/>
    </row>
    <row r="1402" outlineLevel="1" spans="1:10">
      <c r="A1402" s="50">
        <v>454</v>
      </c>
      <c r="B1402" s="51" t="str">
        <v>电业桥架-300*200</v>
      </c>
      <c r="C1402" s="51" t="e">
        <v>#REF!</v>
      </c>
      <c r="D1402" s="51" t="str">
        <v/>
      </c>
      <c r="E1402" s="51" t="str">
        <v/>
      </c>
      <c r="F1402" s="52" t="e">
        <v>#REF!</v>
      </c>
      <c r="G1402" s="48" t="e">
        <v>#REF!</v>
      </c>
      <c r="H1402" s="49">
        <v>0</v>
      </c>
      <c r="I1402" s="49" t="e">
        <v>#REF!</v>
      </c>
      <c r="J1402" s="50"/>
    </row>
    <row r="1403" outlineLevel="1" spans="1:10">
      <c r="A1403" s="50">
        <v>455</v>
      </c>
      <c r="B1403" s="51" t="str">
        <v>电业桥架-200*200</v>
      </c>
      <c r="C1403" s="51" t="e">
        <v>#REF!</v>
      </c>
      <c r="D1403" s="51" t="str">
        <v/>
      </c>
      <c r="E1403" s="51" t="str">
        <v/>
      </c>
      <c r="F1403" s="52" t="e">
        <v>#REF!</v>
      </c>
      <c r="G1403" s="48" t="e">
        <v>#REF!</v>
      </c>
      <c r="H1403" s="49">
        <v>0</v>
      </c>
      <c r="I1403" s="49" t="e">
        <v>#REF!</v>
      </c>
      <c r="J1403" s="50"/>
    </row>
    <row r="1404" outlineLevel="1" spans="1:10">
      <c r="A1404" s="50">
        <v>456</v>
      </c>
      <c r="B1404" s="51" t="str">
        <v>电业桥架-200*150</v>
      </c>
      <c r="C1404" s="51" t="e">
        <v>#REF!</v>
      </c>
      <c r="D1404" s="51" t="str">
        <v/>
      </c>
      <c r="E1404" s="51" t="str">
        <v/>
      </c>
      <c r="F1404" s="52" t="e">
        <v>#REF!</v>
      </c>
      <c r="G1404" s="48" t="e">
        <v>#REF!</v>
      </c>
      <c r="H1404" s="49">
        <v>0</v>
      </c>
      <c r="I1404" s="49" t="e">
        <v>#REF!</v>
      </c>
      <c r="J1404" s="50"/>
    </row>
    <row r="1405" outlineLevel="1" spans="1:10">
      <c r="A1405" s="50">
        <v>457</v>
      </c>
      <c r="B1405" s="51" t="str">
        <v>电业桥架-150*100</v>
      </c>
      <c r="C1405" s="51" t="e">
        <v>#REF!</v>
      </c>
      <c r="D1405" s="51" t="str">
        <v/>
      </c>
      <c r="E1405" s="51" t="str">
        <v/>
      </c>
      <c r="F1405" s="52" t="e">
        <v>#REF!</v>
      </c>
      <c r="G1405" s="48" t="e">
        <v>#REF!</v>
      </c>
      <c r="H1405" s="49">
        <v>0</v>
      </c>
      <c r="I1405" s="49" t="e">
        <v>#REF!</v>
      </c>
      <c r="J1405" s="50"/>
    </row>
    <row r="1406" outlineLevel="1" spans="1:10">
      <c r="A1406" s="50">
        <v>458</v>
      </c>
      <c r="B1406" s="51" t="str">
        <v>防火堵洞</v>
      </c>
      <c r="C1406" s="51" t="e">
        <v>#REF!</v>
      </c>
      <c r="D1406" s="51" t="str">
        <v/>
      </c>
      <c r="E1406" s="51" t="str">
        <v/>
      </c>
      <c r="F1406" s="52" t="e">
        <v>#REF!</v>
      </c>
      <c r="G1406" s="48" t="e">
        <v>#REF!</v>
      </c>
      <c r="H1406" s="49">
        <v>9</v>
      </c>
      <c r="I1406" s="49" t="e">
        <v>#REF!</v>
      </c>
      <c r="J1406" s="50"/>
    </row>
    <row r="1407" outlineLevel="1" spans="1:10">
      <c r="A1407" s="50" t="str">
        <v/>
      </c>
      <c r="B1407" s="51" t="str">
        <v>B.18.3配管配线</v>
      </c>
      <c r="C1407" s="51" t="str">
        <v/>
      </c>
      <c r="D1407" s="51" t="str">
        <v/>
      </c>
      <c r="E1407" s="51" t="str">
        <v/>
      </c>
      <c r="F1407" s="52" t="str">
        <v/>
      </c>
      <c r="G1407" s="48" t="str">
        <v/>
      </c>
      <c r="H1407" s="49">
        <v>0</v>
      </c>
      <c r="I1407" s="49" t="e">
        <v>#REF!</v>
      </c>
      <c r="J1407" s="50"/>
    </row>
    <row r="1408" outlineLevel="1" spans="1:10">
      <c r="A1408" s="50">
        <v>459</v>
      </c>
      <c r="B1408" s="51" t="str">
        <v>阻燃塑料管配管-PC16-暗配</v>
      </c>
      <c r="C1408" s="51" t="e">
        <v>#REF!</v>
      </c>
      <c r="D1408" s="51" t="str">
        <v/>
      </c>
      <c r="E1408" s="51" t="str">
        <v/>
      </c>
      <c r="F1408" s="52" t="e">
        <v>#REF!</v>
      </c>
      <c r="G1408" s="48" t="e">
        <v>#REF!</v>
      </c>
      <c r="H1408" s="49">
        <v>1</v>
      </c>
      <c r="I1408" s="49" t="e">
        <v>#REF!</v>
      </c>
      <c r="J1408" s="50"/>
    </row>
    <row r="1409" outlineLevel="1" spans="1:10">
      <c r="A1409" s="50">
        <v>460</v>
      </c>
      <c r="B1409" s="51" t="str">
        <v>阻燃塑料管配管-PC20-暗配</v>
      </c>
      <c r="C1409" s="51" t="e">
        <v>#REF!</v>
      </c>
      <c r="D1409" s="51" t="str">
        <v/>
      </c>
      <c r="E1409" s="51" t="str">
        <v/>
      </c>
      <c r="F1409" s="52" t="e">
        <v>#REF!</v>
      </c>
      <c r="G1409" s="48" t="e">
        <v>#REF!</v>
      </c>
      <c r="H1409" s="49">
        <v>206.42</v>
      </c>
      <c r="I1409" s="49" t="e">
        <v>#REF!</v>
      </c>
      <c r="J1409" s="50"/>
    </row>
    <row r="1410" outlineLevel="1" spans="1:10">
      <c r="A1410" s="50">
        <v>461</v>
      </c>
      <c r="B1410" s="51" t="str">
        <v>阻燃塑料管配管-PC25-暗配</v>
      </c>
      <c r="C1410" s="51" t="e">
        <v>#REF!</v>
      </c>
      <c r="D1410" s="51" t="str">
        <v/>
      </c>
      <c r="E1410" s="51" t="str">
        <v/>
      </c>
      <c r="F1410" s="52" t="e">
        <v>#REF!</v>
      </c>
      <c r="G1410" s="48" t="e">
        <v>#REF!</v>
      </c>
      <c r="H1410" s="49">
        <v>56.32</v>
      </c>
      <c r="I1410" s="49" t="e">
        <v>#REF!</v>
      </c>
      <c r="J1410" s="50"/>
    </row>
    <row r="1411" outlineLevel="1" spans="1:10">
      <c r="A1411" s="50">
        <v>462</v>
      </c>
      <c r="B1411" s="51" t="str">
        <v>阻燃塑料管配管-PC32-暗配</v>
      </c>
      <c r="C1411" s="51" t="e">
        <v>#REF!</v>
      </c>
      <c r="D1411" s="51" t="str">
        <v/>
      </c>
      <c r="E1411" s="51" t="str">
        <v/>
      </c>
      <c r="F1411" s="52" t="e">
        <v>#REF!</v>
      </c>
      <c r="G1411" s="48" t="e">
        <v>#REF!</v>
      </c>
      <c r="H1411" s="49">
        <v>1</v>
      </c>
      <c r="I1411" s="49" t="e">
        <v>#REF!</v>
      </c>
      <c r="J1411" s="50"/>
    </row>
    <row r="1412" outlineLevel="1" spans="1:10">
      <c r="A1412" s="50">
        <v>463</v>
      </c>
      <c r="B1412" s="51" t="str">
        <v>阻燃塑料管配管-PC40-暗配</v>
      </c>
      <c r="C1412" s="51" t="e">
        <v>#REF!</v>
      </c>
      <c r="D1412" s="51" t="str">
        <v/>
      </c>
      <c r="E1412" s="51" t="str">
        <v/>
      </c>
      <c r="F1412" s="52" t="e">
        <v>#REF!</v>
      </c>
      <c r="G1412" s="48" t="e">
        <v>#REF!</v>
      </c>
      <c r="H1412" s="49">
        <v>1</v>
      </c>
      <c r="I1412" s="49" t="e">
        <v>#REF!</v>
      </c>
      <c r="J1412" s="50"/>
    </row>
    <row r="1413" outlineLevel="1" spans="1:10">
      <c r="A1413" s="50">
        <v>464</v>
      </c>
      <c r="B1413" s="51" t="str">
        <v>阻燃塑料管配管-PC16-明配</v>
      </c>
      <c r="C1413" s="51" t="e">
        <v>#REF!</v>
      </c>
      <c r="D1413" s="51" t="str">
        <v/>
      </c>
      <c r="E1413" s="51" t="str">
        <v/>
      </c>
      <c r="F1413" s="52" t="e">
        <v>#REF!</v>
      </c>
      <c r="G1413" s="48" t="e">
        <v>#REF!</v>
      </c>
      <c r="H1413" s="49">
        <v>1</v>
      </c>
      <c r="I1413" s="49" t="e">
        <v>#REF!</v>
      </c>
      <c r="J1413" s="50"/>
    </row>
    <row r="1414" outlineLevel="1" spans="1:10">
      <c r="A1414" s="50">
        <v>465</v>
      </c>
      <c r="B1414" s="51" t="str">
        <v>阻燃塑料管配管-PC20-明配</v>
      </c>
      <c r="C1414" s="51" t="e">
        <v>#REF!</v>
      </c>
      <c r="D1414" s="51" t="str">
        <v/>
      </c>
      <c r="E1414" s="51" t="str">
        <v/>
      </c>
      <c r="F1414" s="52" t="e">
        <v>#REF!</v>
      </c>
      <c r="G1414" s="48" t="e">
        <v>#REF!</v>
      </c>
      <c r="H1414" s="49">
        <v>1</v>
      </c>
      <c r="I1414" s="49" t="e">
        <v>#REF!</v>
      </c>
      <c r="J1414" s="50"/>
    </row>
    <row r="1415" outlineLevel="1" spans="1:10">
      <c r="A1415" s="50">
        <v>466</v>
      </c>
      <c r="B1415" s="51" t="str">
        <v>阻燃塑料管配管-PC25-明配</v>
      </c>
      <c r="C1415" s="51" t="e">
        <v>#REF!</v>
      </c>
      <c r="D1415" s="51" t="str">
        <v/>
      </c>
      <c r="E1415" s="51" t="str">
        <v/>
      </c>
      <c r="F1415" s="52" t="e">
        <v>#REF!</v>
      </c>
      <c r="G1415" s="48" t="e">
        <v>#REF!</v>
      </c>
      <c r="H1415" s="49">
        <v>1</v>
      </c>
      <c r="I1415" s="49" t="e">
        <v>#REF!</v>
      </c>
      <c r="J1415" s="50"/>
    </row>
    <row r="1416" outlineLevel="1" spans="1:10">
      <c r="A1416" s="50">
        <v>467</v>
      </c>
      <c r="B1416" s="51" t="str">
        <v>阻燃塑料管配管-PC32-明配</v>
      </c>
      <c r="C1416" s="51" t="e">
        <v>#REF!</v>
      </c>
      <c r="D1416" s="51" t="str">
        <v/>
      </c>
      <c r="E1416" s="51" t="str">
        <v/>
      </c>
      <c r="F1416" s="52" t="e">
        <v>#REF!</v>
      </c>
      <c r="G1416" s="48" t="e">
        <v>#REF!</v>
      </c>
      <c r="H1416" s="49">
        <v>1</v>
      </c>
      <c r="I1416" s="49" t="e">
        <v>#REF!</v>
      </c>
      <c r="J1416" s="50"/>
    </row>
    <row r="1417" outlineLevel="1" spans="1:10">
      <c r="A1417" s="50">
        <v>468</v>
      </c>
      <c r="B1417" s="51" t="str">
        <v>阻燃塑料管配管-PC40-明配</v>
      </c>
      <c r="C1417" s="51" t="e">
        <v>#REF!</v>
      </c>
      <c r="D1417" s="51" t="str">
        <v/>
      </c>
      <c r="E1417" s="51" t="str">
        <v/>
      </c>
      <c r="F1417" s="52" t="e">
        <v>#REF!</v>
      </c>
      <c r="G1417" s="48" t="e">
        <v>#REF!</v>
      </c>
      <c r="H1417" s="49">
        <v>1</v>
      </c>
      <c r="I1417" s="49" t="e">
        <v>#REF!</v>
      </c>
      <c r="J1417" s="50"/>
    </row>
    <row r="1418" outlineLevel="1" spans="1:10">
      <c r="A1418" s="50">
        <v>469</v>
      </c>
      <c r="B1418" s="51" t="str">
        <v>薄壁钢导管配管-JDG15-暗配</v>
      </c>
      <c r="C1418" s="51" t="e">
        <v>#REF!</v>
      </c>
      <c r="D1418" s="51" t="str">
        <v/>
      </c>
      <c r="E1418" s="51" t="str">
        <v/>
      </c>
      <c r="F1418" s="52" t="e">
        <v>#REF!</v>
      </c>
      <c r="G1418" s="48" t="e">
        <v>#REF!</v>
      </c>
      <c r="H1418" s="49">
        <v>0</v>
      </c>
      <c r="I1418" s="49" t="e">
        <v>#REF!</v>
      </c>
      <c r="J1418" s="50"/>
    </row>
    <row r="1419" outlineLevel="1" spans="1:10">
      <c r="A1419" s="50">
        <v>470</v>
      </c>
      <c r="B1419" s="51" t="str">
        <v>薄壁钢导管配管-JDG20-暗配</v>
      </c>
      <c r="C1419" s="51" t="e">
        <v>#REF!</v>
      </c>
      <c r="D1419" s="51" t="str">
        <v/>
      </c>
      <c r="E1419" s="51" t="str">
        <v/>
      </c>
      <c r="F1419" s="52" t="e">
        <v>#REF!</v>
      </c>
      <c r="G1419" s="48" t="e">
        <v>#REF!</v>
      </c>
      <c r="H1419" s="49">
        <v>0</v>
      </c>
      <c r="I1419" s="49" t="e">
        <v>#REF!</v>
      </c>
      <c r="J1419" s="50"/>
    </row>
    <row r="1420" outlineLevel="1" spans="1:10">
      <c r="A1420" s="50">
        <v>471</v>
      </c>
      <c r="B1420" s="51" t="str">
        <v>薄壁钢导管配管-JDG25-暗配</v>
      </c>
      <c r="C1420" s="51" t="e">
        <v>#REF!</v>
      </c>
      <c r="D1420" s="51" t="str">
        <v/>
      </c>
      <c r="E1420" s="51" t="str">
        <v/>
      </c>
      <c r="F1420" s="52" t="e">
        <v>#REF!</v>
      </c>
      <c r="G1420" s="48" t="e">
        <v>#REF!</v>
      </c>
      <c r="H1420" s="49">
        <v>0</v>
      </c>
      <c r="I1420" s="49" t="e">
        <v>#REF!</v>
      </c>
      <c r="J1420" s="50"/>
    </row>
    <row r="1421" outlineLevel="1" spans="1:10">
      <c r="A1421" s="50">
        <v>472</v>
      </c>
      <c r="B1421" s="51" t="str">
        <v>薄壁钢导管配管-JDG32-暗配</v>
      </c>
      <c r="C1421" s="51" t="e">
        <v>#REF!</v>
      </c>
      <c r="D1421" s="51" t="str">
        <v/>
      </c>
      <c r="E1421" s="51" t="str">
        <v/>
      </c>
      <c r="F1421" s="52" t="e">
        <v>#REF!</v>
      </c>
      <c r="G1421" s="48" t="e">
        <v>#REF!</v>
      </c>
      <c r="H1421" s="49">
        <v>0</v>
      </c>
      <c r="I1421" s="49" t="e">
        <v>#REF!</v>
      </c>
      <c r="J1421" s="50"/>
    </row>
    <row r="1422" outlineLevel="1" spans="1:10">
      <c r="A1422" s="50">
        <v>473</v>
      </c>
      <c r="B1422" s="51" t="str">
        <v>薄壁钢导管配管-JDG40-暗配</v>
      </c>
      <c r="C1422" s="51" t="e">
        <v>#REF!</v>
      </c>
      <c r="D1422" s="51" t="str">
        <v/>
      </c>
      <c r="E1422" s="51" t="str">
        <v/>
      </c>
      <c r="F1422" s="52" t="e">
        <v>#REF!</v>
      </c>
      <c r="G1422" s="48" t="e">
        <v>#REF!</v>
      </c>
      <c r="H1422" s="49">
        <v>0</v>
      </c>
      <c r="I1422" s="49" t="e">
        <v>#REF!</v>
      </c>
      <c r="J1422" s="50"/>
    </row>
    <row r="1423" outlineLevel="1" spans="1:10">
      <c r="A1423" s="50">
        <v>474</v>
      </c>
      <c r="B1423" s="51" t="str">
        <v>SC15-暗配</v>
      </c>
      <c r="C1423" s="51" t="e">
        <v>#REF!</v>
      </c>
      <c r="D1423" s="51" t="str">
        <v/>
      </c>
      <c r="E1423" s="51" t="str">
        <v/>
      </c>
      <c r="F1423" s="52" t="e">
        <v>#REF!</v>
      </c>
      <c r="G1423" s="48" t="e">
        <v>#REF!</v>
      </c>
      <c r="H1423" s="49">
        <v>1</v>
      </c>
      <c r="I1423" s="49" t="e">
        <v>#REF!</v>
      </c>
      <c r="J1423" s="50"/>
    </row>
    <row r="1424" outlineLevel="1" spans="1:10">
      <c r="A1424" s="50">
        <v>475</v>
      </c>
      <c r="B1424" s="51" t="str">
        <v>SC20-暗配</v>
      </c>
      <c r="C1424" s="51" t="e">
        <v>#REF!</v>
      </c>
      <c r="D1424" s="51" t="str">
        <v/>
      </c>
      <c r="E1424" s="51" t="str">
        <v/>
      </c>
      <c r="F1424" s="52" t="e">
        <v>#REF!</v>
      </c>
      <c r="G1424" s="48" t="e">
        <v>#REF!</v>
      </c>
      <c r="H1424" s="49">
        <v>724.67</v>
      </c>
      <c r="I1424" s="49" t="e">
        <v>#REF!</v>
      </c>
      <c r="J1424" s="50"/>
    </row>
    <row r="1425" outlineLevel="1" spans="1:10">
      <c r="A1425" s="50">
        <v>476</v>
      </c>
      <c r="B1425" s="51" t="str">
        <v>SC25-暗配</v>
      </c>
      <c r="C1425" s="51" t="e">
        <v>#REF!</v>
      </c>
      <c r="D1425" s="51" t="str">
        <v/>
      </c>
      <c r="E1425" s="51" t="str">
        <v/>
      </c>
      <c r="F1425" s="52" t="e">
        <v>#REF!</v>
      </c>
      <c r="G1425" s="48" t="e">
        <v>#REF!</v>
      </c>
      <c r="H1425" s="49">
        <v>46.12</v>
      </c>
      <c r="I1425" s="49" t="e">
        <v>#REF!</v>
      </c>
      <c r="J1425" s="50"/>
    </row>
    <row r="1426" outlineLevel="1" spans="1:10">
      <c r="A1426" s="50">
        <v>477</v>
      </c>
      <c r="B1426" s="51" t="str">
        <v>SC32-暗配</v>
      </c>
      <c r="C1426" s="51" t="e">
        <v>#REF!</v>
      </c>
      <c r="D1426" s="51" t="str">
        <v/>
      </c>
      <c r="E1426" s="51" t="str">
        <v/>
      </c>
      <c r="F1426" s="52" t="e">
        <v>#REF!</v>
      </c>
      <c r="G1426" s="48" t="e">
        <v>#REF!</v>
      </c>
      <c r="H1426" s="49">
        <v>43.14</v>
      </c>
      <c r="I1426" s="49" t="e">
        <v>#REF!</v>
      </c>
      <c r="J1426" s="50"/>
    </row>
    <row r="1427" outlineLevel="1" spans="1:10">
      <c r="A1427" s="50">
        <v>478</v>
      </c>
      <c r="B1427" s="51" t="str">
        <v>SC40-暗配</v>
      </c>
      <c r="C1427" s="51" t="e">
        <v>#REF!</v>
      </c>
      <c r="D1427" s="51" t="str">
        <v/>
      </c>
      <c r="E1427" s="51" t="str">
        <v/>
      </c>
      <c r="F1427" s="52" t="e">
        <v>#REF!</v>
      </c>
      <c r="G1427" s="48" t="e">
        <v>#REF!</v>
      </c>
      <c r="H1427" s="49">
        <v>48.82</v>
      </c>
      <c r="I1427" s="49" t="e">
        <v>#REF!</v>
      </c>
      <c r="J1427" s="50"/>
    </row>
    <row r="1428" outlineLevel="1" spans="1:10">
      <c r="A1428" s="50">
        <v>479</v>
      </c>
      <c r="B1428" s="51" t="str">
        <v>SC50-暗配</v>
      </c>
      <c r="C1428" s="51" t="e">
        <v>#REF!</v>
      </c>
      <c r="D1428" s="51" t="str">
        <v/>
      </c>
      <c r="E1428" s="51" t="str">
        <v/>
      </c>
      <c r="F1428" s="52" t="e">
        <v>#REF!</v>
      </c>
      <c r="G1428" s="48" t="e">
        <v>#REF!</v>
      </c>
      <c r="H1428" s="49">
        <v>25.99</v>
      </c>
      <c r="I1428" s="49" t="e">
        <v>#REF!</v>
      </c>
      <c r="J1428" s="50"/>
    </row>
    <row r="1429" outlineLevel="1" spans="1:10">
      <c r="A1429" s="50">
        <v>480</v>
      </c>
      <c r="B1429" s="51" t="str">
        <v>SC70-暗配</v>
      </c>
      <c r="C1429" s="51" t="e">
        <v>#REF!</v>
      </c>
      <c r="D1429" s="51" t="str">
        <v/>
      </c>
      <c r="E1429" s="51" t="str">
        <v/>
      </c>
      <c r="F1429" s="52" t="e">
        <v>#REF!</v>
      </c>
      <c r="G1429" s="48" t="e">
        <v>#REF!</v>
      </c>
      <c r="H1429" s="49">
        <v>9.94</v>
      </c>
      <c r="I1429" s="49" t="e">
        <v>#REF!</v>
      </c>
      <c r="J1429" s="50"/>
    </row>
    <row r="1430" outlineLevel="1" spans="1:10">
      <c r="A1430" s="50">
        <v>481</v>
      </c>
      <c r="B1430" s="51" t="str">
        <v>SC100-暗配</v>
      </c>
      <c r="C1430" s="51" t="e">
        <v>#REF!</v>
      </c>
      <c r="D1430" s="51" t="str">
        <v/>
      </c>
      <c r="E1430" s="51" t="str">
        <v/>
      </c>
      <c r="F1430" s="52" t="e">
        <v>#REF!</v>
      </c>
      <c r="G1430" s="48" t="e">
        <v>#REF!</v>
      </c>
      <c r="H1430" s="49">
        <v>0</v>
      </c>
      <c r="I1430" s="49" t="e">
        <v>#REF!</v>
      </c>
      <c r="J1430" s="50"/>
    </row>
    <row r="1431" outlineLevel="1" spans="1:10">
      <c r="A1431" s="50">
        <v>482</v>
      </c>
      <c r="B1431" s="51" t="str">
        <v>SC150-暗配</v>
      </c>
      <c r="C1431" s="51" t="e">
        <v>#REF!</v>
      </c>
      <c r="D1431" s="51" t="str">
        <v/>
      </c>
      <c r="E1431" s="51" t="str">
        <v/>
      </c>
      <c r="F1431" s="52" t="e">
        <v>#REF!</v>
      </c>
      <c r="G1431" s="48" t="e">
        <v>#REF!</v>
      </c>
      <c r="H1431" s="49">
        <v>0</v>
      </c>
      <c r="I1431" s="49" t="e">
        <v>#REF!</v>
      </c>
      <c r="J1431" s="50"/>
    </row>
    <row r="1432" outlineLevel="1" spans="1:10">
      <c r="A1432" s="50">
        <v>483</v>
      </c>
      <c r="B1432" s="51" t="str">
        <v>SC32-明配</v>
      </c>
      <c r="C1432" s="51" t="e">
        <v>#REF!</v>
      </c>
      <c r="D1432" s="51" t="str">
        <v/>
      </c>
      <c r="E1432" s="51" t="str">
        <v/>
      </c>
      <c r="F1432" s="52" t="e">
        <v>#REF!</v>
      </c>
      <c r="G1432" s="48" t="e">
        <v>#REF!</v>
      </c>
      <c r="H1432" s="49">
        <v>0</v>
      </c>
      <c r="I1432" s="49" t="e">
        <v>#REF!</v>
      </c>
      <c r="J1432" s="50"/>
    </row>
    <row r="1433" outlineLevel="1" spans="1:10">
      <c r="A1433" s="50">
        <v>484</v>
      </c>
      <c r="B1433" s="51" t="str">
        <v>SC40-明配</v>
      </c>
      <c r="C1433" s="51" t="e">
        <v>#REF!</v>
      </c>
      <c r="D1433" s="51" t="str">
        <v/>
      </c>
      <c r="E1433" s="51" t="str">
        <v/>
      </c>
      <c r="F1433" s="52" t="e">
        <v>#REF!</v>
      </c>
      <c r="G1433" s="48" t="e">
        <v>#REF!</v>
      </c>
      <c r="H1433" s="49">
        <v>1</v>
      </c>
      <c r="I1433" s="49" t="e">
        <v>#REF!</v>
      </c>
      <c r="J1433" s="50"/>
    </row>
    <row r="1434" outlineLevel="1" spans="1:10">
      <c r="A1434" s="50">
        <v>485</v>
      </c>
      <c r="B1434" s="51" t="str">
        <v>SC50-明配</v>
      </c>
      <c r="C1434" s="51" t="e">
        <v>#REF!</v>
      </c>
      <c r="D1434" s="51" t="str">
        <v/>
      </c>
      <c r="E1434" s="51" t="str">
        <v/>
      </c>
      <c r="F1434" s="52" t="e">
        <v>#REF!</v>
      </c>
      <c r="G1434" s="48" t="e">
        <v>#REF!</v>
      </c>
      <c r="H1434" s="49">
        <v>1</v>
      </c>
      <c r="I1434" s="49" t="e">
        <v>#REF!</v>
      </c>
      <c r="J1434" s="50"/>
    </row>
    <row r="1435" outlineLevel="1" spans="1:10">
      <c r="A1435" s="50">
        <v>486</v>
      </c>
      <c r="B1435" s="51" t="str">
        <v>SC70-明配</v>
      </c>
      <c r="C1435" s="51" t="e">
        <v>#REF!</v>
      </c>
      <c r="D1435" s="51" t="str">
        <v/>
      </c>
      <c r="E1435" s="51" t="str">
        <v/>
      </c>
      <c r="F1435" s="52" t="e">
        <v>#REF!</v>
      </c>
      <c r="G1435" s="48" t="e">
        <v>#REF!</v>
      </c>
      <c r="H1435" s="49">
        <v>1</v>
      </c>
      <c r="I1435" s="49" t="e">
        <v>#REF!</v>
      </c>
      <c r="J1435" s="50"/>
    </row>
    <row r="1436" outlineLevel="1" spans="1:10">
      <c r="A1436" s="50">
        <v>487</v>
      </c>
      <c r="B1436" s="51" t="str">
        <v>RC15-暗配</v>
      </c>
      <c r="C1436" s="51" t="e">
        <v>#REF!</v>
      </c>
      <c r="D1436" s="51" t="str">
        <v/>
      </c>
      <c r="E1436" s="51" t="str">
        <v/>
      </c>
      <c r="F1436" s="52" t="e">
        <v>#REF!</v>
      </c>
      <c r="G1436" s="48" t="e">
        <v>#REF!</v>
      </c>
      <c r="H1436" s="49">
        <v>0</v>
      </c>
      <c r="I1436" s="49" t="e">
        <v>#REF!</v>
      </c>
      <c r="J1436" s="50"/>
    </row>
    <row r="1437" outlineLevel="1" spans="1:10">
      <c r="A1437" s="50">
        <v>488</v>
      </c>
      <c r="B1437" s="51" t="str">
        <v>RC20-暗配</v>
      </c>
      <c r="C1437" s="51" t="e">
        <v>#REF!</v>
      </c>
      <c r="D1437" s="51" t="str">
        <v/>
      </c>
      <c r="E1437" s="51" t="str">
        <v/>
      </c>
      <c r="F1437" s="52" t="e">
        <v>#REF!</v>
      </c>
      <c r="G1437" s="48" t="e">
        <v>#REF!</v>
      </c>
      <c r="H1437" s="49">
        <v>0</v>
      </c>
      <c r="I1437" s="49" t="e">
        <v>#REF!</v>
      </c>
      <c r="J1437" s="50"/>
    </row>
    <row r="1438" outlineLevel="1" spans="1:10">
      <c r="A1438" s="50">
        <v>489</v>
      </c>
      <c r="B1438" s="51" t="str">
        <v>RC25-暗配</v>
      </c>
      <c r="C1438" s="51" t="e">
        <v>#REF!</v>
      </c>
      <c r="D1438" s="51" t="str">
        <v/>
      </c>
      <c r="E1438" s="51" t="str">
        <v/>
      </c>
      <c r="F1438" s="52" t="e">
        <v>#REF!</v>
      </c>
      <c r="G1438" s="48" t="e">
        <v>#REF!</v>
      </c>
      <c r="H1438" s="49">
        <v>0</v>
      </c>
      <c r="I1438" s="49" t="e">
        <v>#REF!</v>
      </c>
      <c r="J1438" s="50"/>
    </row>
    <row r="1439" outlineLevel="1" spans="1:10">
      <c r="A1439" s="50">
        <v>490</v>
      </c>
      <c r="B1439" s="51" t="str">
        <v>RC32-暗配</v>
      </c>
      <c r="C1439" s="51" t="e">
        <v>#REF!</v>
      </c>
      <c r="D1439" s="51" t="str">
        <v/>
      </c>
      <c r="E1439" s="51" t="str">
        <v/>
      </c>
      <c r="F1439" s="52" t="e">
        <v>#REF!</v>
      </c>
      <c r="G1439" s="48" t="e">
        <v>#REF!</v>
      </c>
      <c r="H1439" s="49">
        <v>0</v>
      </c>
      <c r="I1439" s="49">
        <v>0</v>
      </c>
      <c r="J1439" s="50"/>
    </row>
    <row r="1440" outlineLevel="1" spans="1:10">
      <c r="A1440" s="50">
        <v>491</v>
      </c>
      <c r="B1440" s="51" t="str">
        <v>RC40-暗配</v>
      </c>
      <c r="C1440" s="51" t="e">
        <v>#REF!</v>
      </c>
      <c r="D1440" s="51" t="str">
        <v/>
      </c>
      <c r="E1440" s="51" t="str">
        <v/>
      </c>
      <c r="F1440" s="52" t="e">
        <v>#REF!</v>
      </c>
      <c r="G1440" s="48" t="e">
        <v>#REF!</v>
      </c>
      <c r="H1440" s="49">
        <v>0</v>
      </c>
      <c r="I1440" s="49" t="e">
        <v>#REF!</v>
      </c>
      <c r="J1440" s="50"/>
    </row>
    <row r="1441" outlineLevel="1" spans="1:10">
      <c r="A1441" s="50">
        <v>492</v>
      </c>
      <c r="B1441" s="51" t="str">
        <v>RC50-暗配</v>
      </c>
      <c r="C1441" s="51" t="e">
        <v>#REF!</v>
      </c>
      <c r="D1441" s="51" t="str">
        <v/>
      </c>
      <c r="E1441" s="51" t="str">
        <v/>
      </c>
      <c r="F1441" s="52" t="e">
        <v>#REF!</v>
      </c>
      <c r="G1441" s="48" t="e">
        <v>#REF!</v>
      </c>
      <c r="H1441" s="49">
        <v>0</v>
      </c>
      <c r="I1441" s="49" t="e">
        <v>#REF!</v>
      </c>
      <c r="J1441" s="50"/>
    </row>
    <row r="1442" outlineLevel="1" spans="1:10">
      <c r="A1442" s="50">
        <v>493</v>
      </c>
      <c r="B1442" s="51" t="str">
        <v>RC15-明配</v>
      </c>
      <c r="C1442" s="51" t="e">
        <v>#REF!</v>
      </c>
      <c r="D1442" s="51" t="str">
        <v/>
      </c>
      <c r="E1442" s="51" t="str">
        <v/>
      </c>
      <c r="F1442" s="52" t="e">
        <v>#REF!</v>
      </c>
      <c r="G1442" s="48" t="e">
        <v>#REF!</v>
      </c>
      <c r="H1442" s="49">
        <v>0</v>
      </c>
      <c r="I1442" s="49" t="e">
        <v>#REF!</v>
      </c>
      <c r="J1442" s="50"/>
    </row>
    <row r="1443" outlineLevel="1" spans="1:10">
      <c r="A1443" s="50">
        <v>494</v>
      </c>
      <c r="B1443" s="51" t="str">
        <v>RC20-明配</v>
      </c>
      <c r="C1443" s="51" t="e">
        <v>#REF!</v>
      </c>
      <c r="D1443" s="51" t="str">
        <v/>
      </c>
      <c r="E1443" s="51" t="str">
        <v/>
      </c>
      <c r="F1443" s="52" t="e">
        <v>#REF!</v>
      </c>
      <c r="G1443" s="48" t="e">
        <v>#REF!</v>
      </c>
      <c r="H1443" s="49">
        <v>0</v>
      </c>
      <c r="I1443" s="49" t="e">
        <v>#REF!</v>
      </c>
      <c r="J1443" s="50"/>
    </row>
    <row r="1444" outlineLevel="1" spans="1:10">
      <c r="A1444" s="50">
        <v>495</v>
      </c>
      <c r="B1444" s="51" t="str">
        <v>RC25-明配</v>
      </c>
      <c r="C1444" s="51" t="e">
        <v>#REF!</v>
      </c>
      <c r="D1444" s="51" t="str">
        <v/>
      </c>
      <c r="E1444" s="51" t="str">
        <v/>
      </c>
      <c r="F1444" s="52" t="e">
        <v>#REF!</v>
      </c>
      <c r="G1444" s="48" t="e">
        <v>#REF!</v>
      </c>
      <c r="H1444" s="49">
        <v>0</v>
      </c>
      <c r="I1444" s="49" t="e">
        <v>#REF!</v>
      </c>
      <c r="J1444" s="50"/>
    </row>
    <row r="1445" outlineLevel="1" spans="1:10">
      <c r="A1445" s="50">
        <v>496</v>
      </c>
      <c r="B1445" s="51" t="str">
        <v>RC32-明配</v>
      </c>
      <c r="C1445" s="51" t="e">
        <v>#REF!</v>
      </c>
      <c r="D1445" s="51" t="str">
        <v/>
      </c>
      <c r="E1445" s="51" t="str">
        <v/>
      </c>
      <c r="F1445" s="52" t="e">
        <v>#REF!</v>
      </c>
      <c r="G1445" s="48" t="e">
        <v>#REF!</v>
      </c>
      <c r="H1445" s="49">
        <v>0</v>
      </c>
      <c r="I1445" s="49" t="e">
        <v>#REF!</v>
      </c>
      <c r="J1445" s="50"/>
    </row>
    <row r="1446" outlineLevel="1" spans="1:10">
      <c r="A1446" s="50">
        <v>497</v>
      </c>
      <c r="B1446" s="51" t="str">
        <v>RC40-明配</v>
      </c>
      <c r="C1446" s="51" t="e">
        <v>#REF!</v>
      </c>
      <c r="D1446" s="51" t="str">
        <v/>
      </c>
      <c r="E1446" s="51" t="str">
        <v/>
      </c>
      <c r="F1446" s="52" t="e">
        <v>#REF!</v>
      </c>
      <c r="G1446" s="48" t="e">
        <v>#REF!</v>
      </c>
      <c r="H1446" s="49">
        <v>0</v>
      </c>
      <c r="I1446" s="49" t="e">
        <v>#REF!</v>
      </c>
      <c r="J1446" s="50"/>
    </row>
    <row r="1447" outlineLevel="1" spans="1:10">
      <c r="A1447" s="50">
        <v>498</v>
      </c>
      <c r="B1447" s="51" t="str">
        <v>RC50-明配</v>
      </c>
      <c r="C1447" s="51" t="e">
        <v>#REF!</v>
      </c>
      <c r="D1447" s="51" t="str">
        <v/>
      </c>
      <c r="E1447" s="51" t="str">
        <v/>
      </c>
      <c r="F1447" s="52" t="e">
        <v>#REF!</v>
      </c>
      <c r="G1447" s="48" t="e">
        <v>#REF!</v>
      </c>
      <c r="H1447" s="49">
        <v>0</v>
      </c>
      <c r="I1447" s="49" t="e">
        <v>#REF!</v>
      </c>
      <c r="J1447" s="50"/>
    </row>
    <row r="1448" outlineLevel="1" spans="1:10">
      <c r="A1448" s="50">
        <v>499</v>
      </c>
      <c r="B1448" s="51" t="str">
        <v>电缆保护管-阻水钢板1</v>
      </c>
      <c r="C1448" s="51" t="e">
        <v>#REF!</v>
      </c>
      <c r="D1448" s="51" t="str">
        <v/>
      </c>
      <c r="E1448" s="51" t="str">
        <v/>
      </c>
      <c r="F1448" s="52" t="e">
        <v>#REF!</v>
      </c>
      <c r="G1448" s="48" t="e">
        <v>#REF!</v>
      </c>
      <c r="H1448" s="49">
        <v>0</v>
      </c>
      <c r="I1448" s="49" t="e">
        <v>#REF!</v>
      </c>
      <c r="J1448" s="50"/>
    </row>
    <row r="1449" outlineLevel="1" spans="1:10">
      <c r="A1449" s="50">
        <v>500</v>
      </c>
      <c r="B1449" s="51" t="str">
        <v>电缆保护管-阻水钢板2</v>
      </c>
      <c r="C1449" s="51" t="e">
        <v>#REF!</v>
      </c>
      <c r="D1449" s="51" t="str">
        <v/>
      </c>
      <c r="E1449" s="51" t="str">
        <v/>
      </c>
      <c r="F1449" s="52" t="e">
        <v>#REF!</v>
      </c>
      <c r="G1449" s="48" t="e">
        <v>#REF!</v>
      </c>
      <c r="H1449" s="49">
        <v>0</v>
      </c>
      <c r="I1449" s="49" t="e">
        <v>#REF!</v>
      </c>
      <c r="J1449" s="50"/>
    </row>
    <row r="1450" outlineLevel="1" spans="1:10">
      <c r="A1450" s="50">
        <v>501</v>
      </c>
      <c r="B1450" s="51" t="str">
        <v>电缆保护管-阻水钢板3</v>
      </c>
      <c r="C1450" s="51" t="e">
        <v>#REF!</v>
      </c>
      <c r="D1450" s="51" t="str">
        <v/>
      </c>
      <c r="E1450" s="51" t="str">
        <v/>
      </c>
      <c r="F1450" s="52" t="e">
        <v>#REF!</v>
      </c>
      <c r="G1450" s="48" t="e">
        <v>#REF!</v>
      </c>
      <c r="H1450" s="49">
        <v>0</v>
      </c>
      <c r="I1450" s="49" t="e">
        <v>#REF!</v>
      </c>
      <c r="J1450" s="50"/>
    </row>
    <row r="1451" outlineLevel="1" spans="1:10">
      <c r="A1451" s="50">
        <v>502</v>
      </c>
      <c r="B1451" s="51" t="str">
        <v>电缆保护管-止水翼环1</v>
      </c>
      <c r="C1451" s="51" t="e">
        <v>#REF!</v>
      </c>
      <c r="D1451" s="51" t="str">
        <v/>
      </c>
      <c r="E1451" s="51" t="str">
        <v/>
      </c>
      <c r="F1451" s="52" t="e">
        <v>#REF!</v>
      </c>
      <c r="G1451" s="48" t="e">
        <v>#REF!</v>
      </c>
      <c r="H1451" s="49">
        <v>0</v>
      </c>
      <c r="I1451" s="49" t="e">
        <v>#REF!</v>
      </c>
      <c r="J1451" s="50"/>
    </row>
    <row r="1452" outlineLevel="1" spans="1:10">
      <c r="A1452" s="50">
        <v>503</v>
      </c>
      <c r="B1452" s="51" t="str">
        <v>电缆保护管-止水翼环2</v>
      </c>
      <c r="C1452" s="51" t="e">
        <v>#REF!</v>
      </c>
      <c r="D1452" s="51" t="str">
        <v/>
      </c>
      <c r="E1452" s="51" t="str">
        <v/>
      </c>
      <c r="F1452" s="52" t="e">
        <v>#REF!</v>
      </c>
      <c r="G1452" s="48" t="e">
        <v>#REF!</v>
      </c>
      <c r="H1452" s="49">
        <v>0</v>
      </c>
      <c r="I1452" s="49" t="e">
        <v>#REF!</v>
      </c>
      <c r="J1452" s="50"/>
    </row>
    <row r="1453" outlineLevel="1" spans="1:10">
      <c r="A1453" s="50">
        <v>504</v>
      </c>
      <c r="B1453" s="51" t="str">
        <v>电缆保护管-止水翼环3</v>
      </c>
      <c r="C1453" s="51" t="e">
        <v>#REF!</v>
      </c>
      <c r="D1453" s="51" t="str">
        <v/>
      </c>
      <c r="E1453" s="51" t="str">
        <v/>
      </c>
      <c r="F1453" s="52" t="e">
        <v>#REF!</v>
      </c>
      <c r="G1453" s="48" t="e">
        <v>#REF!</v>
      </c>
      <c r="H1453" s="49">
        <v>0</v>
      </c>
      <c r="I1453" s="49" t="e">
        <v>#REF!</v>
      </c>
      <c r="J1453" s="50"/>
    </row>
    <row r="1454" outlineLevel="1" spans="1:10">
      <c r="A1454" s="50">
        <v>505</v>
      </c>
      <c r="B1454" s="51" t="str">
        <v>电缆保护管-止水翼环4</v>
      </c>
      <c r="C1454" s="51" t="e">
        <v>#REF!</v>
      </c>
      <c r="D1454" s="51" t="str">
        <v/>
      </c>
      <c r="E1454" s="51" t="str">
        <v/>
      </c>
      <c r="F1454" s="52" t="e">
        <v>#REF!</v>
      </c>
      <c r="G1454" s="48" t="e">
        <v>#REF!</v>
      </c>
      <c r="H1454" s="49">
        <v>0</v>
      </c>
      <c r="I1454" s="49" t="e">
        <v>#REF!</v>
      </c>
      <c r="J1454" s="50"/>
    </row>
    <row r="1455" outlineLevel="1" spans="1:10">
      <c r="A1455" s="50">
        <v>506</v>
      </c>
      <c r="B1455" s="51" t="str">
        <v>电缆保护管-止水翼环5</v>
      </c>
      <c r="C1455" s="51" t="e">
        <v>#REF!</v>
      </c>
      <c r="D1455" s="51" t="str">
        <v/>
      </c>
      <c r="E1455" s="51" t="str">
        <v/>
      </c>
      <c r="F1455" s="52" t="e">
        <v>#REF!</v>
      </c>
      <c r="G1455" s="48" t="e">
        <v>#REF!</v>
      </c>
      <c r="H1455" s="49">
        <v>0</v>
      </c>
      <c r="I1455" s="49" t="e">
        <v>#REF!</v>
      </c>
      <c r="J1455" s="50"/>
    </row>
    <row r="1456" outlineLevel="1" spans="1:10">
      <c r="A1456" s="50">
        <v>507</v>
      </c>
      <c r="B1456" s="51" t="str">
        <v>电缆保护管-RC150</v>
      </c>
      <c r="C1456" s="51" t="e">
        <v>#REF!</v>
      </c>
      <c r="D1456" s="51" t="str">
        <v/>
      </c>
      <c r="E1456" s="51" t="str">
        <v/>
      </c>
      <c r="F1456" s="52" t="e">
        <v>#REF!</v>
      </c>
      <c r="G1456" s="48" t="e">
        <v>#REF!</v>
      </c>
      <c r="H1456" s="49">
        <v>0</v>
      </c>
      <c r="I1456" s="49" t="e">
        <v>#REF!</v>
      </c>
      <c r="J1456" s="50"/>
    </row>
    <row r="1457" outlineLevel="1" spans="1:10">
      <c r="A1457" s="50">
        <v>508</v>
      </c>
      <c r="B1457" s="51" t="str">
        <v>电缆保护管-RC100</v>
      </c>
      <c r="C1457" s="51" t="e">
        <v>#REF!</v>
      </c>
      <c r="D1457" s="51" t="str">
        <v/>
      </c>
      <c r="E1457" s="51" t="str">
        <v/>
      </c>
      <c r="F1457" s="52" t="e">
        <v>#REF!</v>
      </c>
      <c r="G1457" s="48" t="e">
        <v>#REF!</v>
      </c>
      <c r="H1457" s="49">
        <v>0</v>
      </c>
      <c r="I1457" s="49" t="e">
        <v>#REF!</v>
      </c>
      <c r="J1457" s="50"/>
    </row>
    <row r="1458" outlineLevel="1" spans="1:10">
      <c r="A1458" s="50">
        <v>509</v>
      </c>
      <c r="B1458" s="51" t="str">
        <v>电缆保护管-RC80</v>
      </c>
      <c r="C1458" s="51" t="e">
        <v>#REF!</v>
      </c>
      <c r="D1458" s="51" t="str">
        <v/>
      </c>
      <c r="E1458" s="51" t="str">
        <v/>
      </c>
      <c r="F1458" s="52" t="e">
        <v>#REF!</v>
      </c>
      <c r="G1458" s="48" t="e">
        <v>#REF!</v>
      </c>
      <c r="H1458" s="49">
        <v>0</v>
      </c>
      <c r="I1458" s="49" t="e">
        <v>#REF!</v>
      </c>
      <c r="J1458" s="50"/>
    </row>
    <row r="1459" outlineLevel="1" spans="1:10">
      <c r="A1459" s="50">
        <v>510</v>
      </c>
      <c r="B1459" s="51" t="str">
        <v>电缆保护管-RC50</v>
      </c>
      <c r="C1459" s="51" t="e">
        <v>#REF!</v>
      </c>
      <c r="D1459" s="51" t="str">
        <v/>
      </c>
      <c r="E1459" s="51" t="str">
        <v/>
      </c>
      <c r="F1459" s="52" t="e">
        <v>#REF!</v>
      </c>
      <c r="G1459" s="48" t="e">
        <v>#REF!</v>
      </c>
      <c r="H1459" s="49">
        <v>0</v>
      </c>
      <c r="I1459" s="49" t="e">
        <v>#REF!</v>
      </c>
      <c r="J1459" s="50"/>
    </row>
    <row r="1460" outlineLevel="1" spans="1:10">
      <c r="A1460" s="50">
        <v>511</v>
      </c>
      <c r="B1460" s="51" t="str">
        <v>密闭肋套管-DN15至32</v>
      </c>
      <c r="C1460" s="51" t="e">
        <v>#REF!</v>
      </c>
      <c r="D1460" s="51" t="str">
        <v/>
      </c>
      <c r="E1460" s="51" t="str">
        <v/>
      </c>
      <c r="F1460" s="52" t="e">
        <v>#REF!</v>
      </c>
      <c r="G1460" s="48" t="e">
        <v>#REF!</v>
      </c>
      <c r="H1460" s="49">
        <v>0</v>
      </c>
      <c r="I1460" s="49" t="e">
        <v>#REF!</v>
      </c>
      <c r="J1460" s="50"/>
    </row>
    <row r="1461" outlineLevel="1" spans="1:10">
      <c r="A1461" s="50">
        <v>512</v>
      </c>
      <c r="B1461" s="51" t="str">
        <v>密闭肋套管-DN50</v>
      </c>
      <c r="C1461" s="51" t="e">
        <v>#REF!</v>
      </c>
      <c r="D1461" s="51" t="str">
        <v/>
      </c>
      <c r="E1461" s="51" t="str">
        <v/>
      </c>
      <c r="F1461" s="52" t="e">
        <v>#REF!</v>
      </c>
      <c r="G1461" s="48" t="e">
        <v>#REF!</v>
      </c>
      <c r="H1461" s="49">
        <v>0</v>
      </c>
      <c r="I1461" s="49" t="e">
        <v>#REF!</v>
      </c>
      <c r="J1461" s="50"/>
    </row>
    <row r="1462" outlineLevel="1" spans="1:10">
      <c r="A1462" s="50">
        <v>513</v>
      </c>
      <c r="B1462" s="51" t="str">
        <v>密闭肋套管-DN65至70</v>
      </c>
      <c r="C1462" s="51" t="e">
        <v>#REF!</v>
      </c>
      <c r="D1462" s="51" t="str">
        <v/>
      </c>
      <c r="E1462" s="51" t="str">
        <v/>
      </c>
      <c r="F1462" s="52" t="e">
        <v>#REF!</v>
      </c>
      <c r="G1462" s="48" t="e">
        <v>#REF!</v>
      </c>
      <c r="H1462" s="49">
        <v>0</v>
      </c>
      <c r="I1462" s="49" t="e">
        <v>#REF!</v>
      </c>
      <c r="J1462" s="50"/>
    </row>
    <row r="1463" outlineLevel="1" spans="1:10">
      <c r="A1463" s="50">
        <v>514</v>
      </c>
      <c r="B1463" s="51" t="str">
        <v>密闭肋套管-DN80至100</v>
      </c>
      <c r="C1463" s="51" t="e">
        <v>#REF!</v>
      </c>
      <c r="D1463" s="51" t="str">
        <v/>
      </c>
      <c r="E1463" s="51" t="str">
        <v/>
      </c>
      <c r="F1463" s="52" t="e">
        <v>#REF!</v>
      </c>
      <c r="G1463" s="48" t="e">
        <v>#REF!</v>
      </c>
      <c r="H1463" s="49">
        <v>0</v>
      </c>
      <c r="I1463" s="49" t="e">
        <v>#REF!</v>
      </c>
      <c r="J1463" s="50"/>
    </row>
    <row r="1464" outlineLevel="1" spans="1:10">
      <c r="A1464" s="50">
        <v>515</v>
      </c>
      <c r="B1464" s="51" t="str">
        <v>排污泵防水电缆</v>
      </c>
      <c r="C1464" s="51" t="e">
        <v>#REF!</v>
      </c>
      <c r="D1464" s="51" t="str">
        <v/>
      </c>
      <c r="E1464" s="51" t="str">
        <v/>
      </c>
      <c r="F1464" s="52" t="e">
        <v>#REF!</v>
      </c>
      <c r="G1464" s="48" t="e">
        <v>#REF!</v>
      </c>
      <c r="H1464" s="49">
        <v>0</v>
      </c>
      <c r="I1464" s="49" t="e">
        <v>#REF!</v>
      </c>
      <c r="J1464" s="50"/>
    </row>
    <row r="1465" outlineLevel="1" spans="1:10">
      <c r="A1465" s="50">
        <v>516</v>
      </c>
      <c r="B1465" s="51" t="str">
        <v>综合配线-BV2.5</v>
      </c>
      <c r="C1465" s="51" t="e">
        <v>#REF!</v>
      </c>
      <c r="D1465" s="51" t="str">
        <v/>
      </c>
      <c r="E1465" s="51" t="str">
        <v/>
      </c>
      <c r="F1465" s="52" t="e">
        <v>#REF!</v>
      </c>
      <c r="G1465" s="48" t="e">
        <v>#REF!</v>
      </c>
      <c r="H1465" s="49">
        <v>695.13</v>
      </c>
      <c r="I1465" s="49" t="e">
        <v>#REF!</v>
      </c>
      <c r="J1465" s="50"/>
    </row>
    <row r="1466" outlineLevel="1" spans="1:10">
      <c r="A1466" s="50">
        <v>517</v>
      </c>
      <c r="B1466" s="51" t="str">
        <v>综合配线-BV4</v>
      </c>
      <c r="C1466" s="51" t="e">
        <v>#REF!</v>
      </c>
      <c r="D1466" s="51" t="str">
        <v/>
      </c>
      <c r="E1466" s="51" t="str">
        <v/>
      </c>
      <c r="F1466" s="52" t="e">
        <v>#REF!</v>
      </c>
      <c r="G1466" s="48" t="e">
        <v>#REF!</v>
      </c>
      <c r="H1466" s="49">
        <v>1</v>
      </c>
      <c r="I1466" s="49" t="e">
        <v>#REF!</v>
      </c>
      <c r="J1466" s="50"/>
    </row>
    <row r="1467" outlineLevel="1" spans="1:10">
      <c r="A1467" s="50">
        <v>518</v>
      </c>
      <c r="B1467" s="51" t="str">
        <v>综合配线-BV6</v>
      </c>
      <c r="C1467" s="51" t="e">
        <v>#REF!</v>
      </c>
      <c r="D1467" s="51" t="str">
        <v/>
      </c>
      <c r="E1467" s="51" t="str">
        <v/>
      </c>
      <c r="F1467" s="52" t="e">
        <v>#REF!</v>
      </c>
      <c r="G1467" s="48" t="e">
        <v>#REF!</v>
      </c>
      <c r="H1467" s="49">
        <v>0</v>
      </c>
      <c r="I1467" s="49" t="e">
        <v>#REF!</v>
      </c>
      <c r="J1467" s="50"/>
    </row>
    <row r="1468" outlineLevel="1" spans="1:10">
      <c r="A1468" s="50">
        <v>519</v>
      </c>
      <c r="B1468" s="51" t="str">
        <v>综合配线-BV10</v>
      </c>
      <c r="C1468" s="51" t="e">
        <v>#REF!</v>
      </c>
      <c r="D1468" s="51" t="str">
        <v/>
      </c>
      <c r="E1468" s="51" t="str">
        <v/>
      </c>
      <c r="F1468" s="52" t="e">
        <v>#REF!</v>
      </c>
      <c r="G1468" s="48" t="e">
        <v>#REF!</v>
      </c>
      <c r="H1468" s="49">
        <v>0</v>
      </c>
      <c r="I1468" s="49" t="e">
        <v>#REF!</v>
      </c>
      <c r="J1468" s="50"/>
    </row>
    <row r="1469" outlineLevel="1" spans="1:10">
      <c r="A1469" s="50">
        <v>520</v>
      </c>
      <c r="B1469" s="51" t="str">
        <v>综合配线-BV16</v>
      </c>
      <c r="C1469" s="51" t="e">
        <v>#REF!</v>
      </c>
      <c r="D1469" s="51" t="str">
        <v/>
      </c>
      <c r="E1469" s="51" t="str">
        <v/>
      </c>
      <c r="F1469" s="52" t="e">
        <v>#REF!</v>
      </c>
      <c r="G1469" s="48" t="e">
        <v>#REF!</v>
      </c>
      <c r="H1469" s="49">
        <v>0</v>
      </c>
      <c r="I1469" s="49" t="e">
        <v>#REF!</v>
      </c>
      <c r="J1469" s="50"/>
    </row>
    <row r="1470" outlineLevel="1" spans="1:10">
      <c r="A1470" s="50">
        <v>521</v>
      </c>
      <c r="B1470" s="51" t="str">
        <v>综合配线-BV25</v>
      </c>
      <c r="C1470" s="51" t="e">
        <v>#REF!</v>
      </c>
      <c r="D1470" s="51" t="str">
        <v/>
      </c>
      <c r="E1470" s="51" t="str">
        <v/>
      </c>
      <c r="F1470" s="52" t="e">
        <v>#REF!</v>
      </c>
      <c r="G1470" s="48" t="e">
        <v>#REF!</v>
      </c>
      <c r="H1470" s="49">
        <v>10</v>
      </c>
      <c r="I1470" s="49" t="e">
        <v>#REF!</v>
      </c>
      <c r="J1470" s="50"/>
    </row>
    <row r="1471" outlineLevel="1" spans="1:10">
      <c r="A1471" s="50">
        <v>522</v>
      </c>
      <c r="B1471" s="51" t="str">
        <v>综合配线-ZRBV2.5</v>
      </c>
      <c r="C1471" s="51" t="e">
        <v>#REF!</v>
      </c>
      <c r="D1471" s="51" t="str">
        <v/>
      </c>
      <c r="E1471" s="51" t="str">
        <v/>
      </c>
      <c r="F1471" s="52" t="e">
        <v>#REF!</v>
      </c>
      <c r="G1471" s="48" t="e">
        <v>#REF!</v>
      </c>
      <c r="H1471" s="49">
        <v>11</v>
      </c>
      <c r="I1471" s="49" t="e">
        <v>#REF!</v>
      </c>
      <c r="J1471" s="50"/>
    </row>
    <row r="1472" outlineLevel="1" spans="1:10">
      <c r="A1472" s="50">
        <v>523</v>
      </c>
      <c r="B1472" s="51" t="str">
        <v>综合配线-ZRBV4</v>
      </c>
      <c r="C1472" s="51" t="e">
        <v>#REF!</v>
      </c>
      <c r="D1472" s="51" t="str">
        <v/>
      </c>
      <c r="E1472" s="51" t="str">
        <v/>
      </c>
      <c r="F1472" s="52" t="e">
        <v>#REF!</v>
      </c>
      <c r="G1472" s="48" t="e">
        <v>#REF!</v>
      </c>
      <c r="H1472" s="49">
        <v>12</v>
      </c>
      <c r="I1472" s="49" t="e">
        <v>#REF!</v>
      </c>
      <c r="J1472" s="50"/>
    </row>
    <row r="1473" outlineLevel="1" spans="1:10">
      <c r="A1473" s="50">
        <v>524</v>
      </c>
      <c r="B1473" s="51" t="str">
        <v>综合配线-NHBV1.5</v>
      </c>
      <c r="C1473" s="51" t="e">
        <v>#REF!</v>
      </c>
      <c r="D1473" s="51" t="str">
        <v/>
      </c>
      <c r="E1473" s="51" t="str">
        <v/>
      </c>
      <c r="F1473" s="52" t="e">
        <v>#REF!</v>
      </c>
      <c r="G1473" s="48" t="e">
        <v>#REF!</v>
      </c>
      <c r="H1473" s="49">
        <v>149.72</v>
      </c>
      <c r="I1473" s="49" t="e">
        <v>#REF!</v>
      </c>
      <c r="J1473" s="50"/>
    </row>
    <row r="1474" outlineLevel="1" spans="1:10">
      <c r="A1474" s="50">
        <v>525</v>
      </c>
      <c r="B1474" s="51" t="str">
        <v>综合配线-NHBV2.5</v>
      </c>
      <c r="C1474" s="51" t="e">
        <v>#REF!</v>
      </c>
      <c r="D1474" s="51" t="str">
        <v/>
      </c>
      <c r="E1474" s="51" t="str">
        <v/>
      </c>
      <c r="F1474" s="52" t="e">
        <v>#REF!</v>
      </c>
      <c r="G1474" s="48" t="e">
        <v>#REF!</v>
      </c>
      <c r="H1474" s="49">
        <v>421.5</v>
      </c>
      <c r="I1474" s="49" t="e">
        <v>#REF!</v>
      </c>
      <c r="J1474" s="50"/>
    </row>
    <row r="1475" outlineLevel="1" spans="1:10">
      <c r="A1475" s="50">
        <v>526</v>
      </c>
      <c r="B1475" s="51" t="str">
        <v>综合配线-NHBV4</v>
      </c>
      <c r="C1475" s="51" t="e">
        <v>#REF!</v>
      </c>
      <c r="D1475" s="51" t="str">
        <v/>
      </c>
      <c r="E1475" s="51" t="str">
        <v/>
      </c>
      <c r="F1475" s="52" t="e">
        <v>#REF!</v>
      </c>
      <c r="G1475" s="48" t="e">
        <v>#REF!</v>
      </c>
      <c r="H1475" s="49">
        <v>278.59</v>
      </c>
      <c r="I1475" s="49" t="e">
        <v>#REF!</v>
      </c>
      <c r="J1475" s="50"/>
    </row>
    <row r="1476" outlineLevel="1" spans="1:10">
      <c r="A1476" s="50">
        <v>527</v>
      </c>
      <c r="B1476" s="51" t="str">
        <v>综合配线-WDZNBYJ2.5</v>
      </c>
      <c r="C1476" s="51" t="e">
        <v>#REF!</v>
      </c>
      <c r="D1476" s="51" t="str">
        <v/>
      </c>
      <c r="E1476" s="51" t="str">
        <v/>
      </c>
      <c r="F1476" s="52" t="e">
        <v>#REF!</v>
      </c>
      <c r="G1476" s="48" t="e">
        <v>#REF!</v>
      </c>
      <c r="H1476" s="49">
        <v>372.12</v>
      </c>
      <c r="I1476" s="49" t="e">
        <v>#REF!</v>
      </c>
      <c r="J1476" s="50"/>
    </row>
    <row r="1477" outlineLevel="1" spans="1:10">
      <c r="A1477" s="50">
        <v>528</v>
      </c>
      <c r="B1477" s="51" t="str">
        <v>综合配线-WDZNBYJ4</v>
      </c>
      <c r="C1477" s="51" t="e">
        <v>#REF!</v>
      </c>
      <c r="D1477" s="51" t="str">
        <v/>
      </c>
      <c r="E1477" s="51" t="str">
        <v/>
      </c>
      <c r="F1477" s="52" t="e">
        <v>#REF!</v>
      </c>
      <c r="G1477" s="48" t="e">
        <v>#REF!</v>
      </c>
      <c r="H1477" s="49">
        <v>132.29</v>
      </c>
      <c r="I1477" s="49" t="e">
        <v>#REF!</v>
      </c>
      <c r="J1477" s="50"/>
    </row>
    <row r="1478" outlineLevel="1" spans="1:10">
      <c r="A1478" s="50">
        <v>529</v>
      </c>
      <c r="B1478" s="51" t="str">
        <v>综合配线-WDZBYJ2.5</v>
      </c>
      <c r="C1478" s="51" t="e">
        <v>#REF!</v>
      </c>
      <c r="D1478" s="51" t="str">
        <v/>
      </c>
      <c r="E1478" s="51" t="str">
        <v/>
      </c>
      <c r="F1478" s="52" t="e">
        <v>#REF!</v>
      </c>
      <c r="G1478" s="48" t="e">
        <v>#REF!</v>
      </c>
      <c r="H1478" s="49">
        <v>10</v>
      </c>
      <c r="I1478" s="49" t="e">
        <v>#REF!</v>
      </c>
      <c r="J1478" s="50"/>
    </row>
    <row r="1479" outlineLevel="1" spans="1:10">
      <c r="A1479" s="50">
        <v>530</v>
      </c>
      <c r="B1479" s="51" t="str">
        <v>综合配线-WDZBYJ4</v>
      </c>
      <c r="C1479" s="51" t="e">
        <v>#REF!</v>
      </c>
      <c r="D1479" s="51" t="str">
        <v/>
      </c>
      <c r="E1479" s="51" t="str">
        <v/>
      </c>
      <c r="F1479" s="52" t="e">
        <v>#REF!</v>
      </c>
      <c r="G1479" s="48" t="e">
        <v>#REF!</v>
      </c>
      <c r="H1479" s="49">
        <v>298.61</v>
      </c>
      <c r="I1479" s="49" t="e">
        <v>#REF!</v>
      </c>
      <c r="J1479" s="50"/>
    </row>
    <row r="1480" outlineLevel="1" spans="1:10">
      <c r="A1480" s="50">
        <v>531</v>
      </c>
      <c r="B1480" s="51" t="str">
        <v>综合配线-WDZBYJ6</v>
      </c>
      <c r="C1480" s="51" t="e">
        <v>#REF!</v>
      </c>
      <c r="D1480" s="51" t="str">
        <v/>
      </c>
      <c r="E1480" s="51" t="str">
        <v/>
      </c>
      <c r="F1480" s="52" t="e">
        <v>#REF!</v>
      </c>
      <c r="G1480" s="48" t="e">
        <v>#REF!</v>
      </c>
      <c r="H1480" s="49">
        <v>59.07</v>
      </c>
      <c r="I1480" s="49" t="e">
        <v>#REF!</v>
      </c>
      <c r="J1480" s="50"/>
    </row>
    <row r="1481" outlineLevel="1" spans="1:10">
      <c r="A1481" s="50">
        <v>532</v>
      </c>
      <c r="B1481" s="51" t="str">
        <v>综合配线-WDZBYJ10</v>
      </c>
      <c r="C1481" s="51" t="e">
        <v>#REF!</v>
      </c>
      <c r="D1481" s="51" t="str">
        <v/>
      </c>
      <c r="E1481" s="51" t="str">
        <v/>
      </c>
      <c r="F1481" s="52" t="e">
        <v>#REF!</v>
      </c>
      <c r="G1481" s="48" t="e">
        <v>#REF!</v>
      </c>
      <c r="H1481" s="49">
        <v>461.31</v>
      </c>
      <c r="I1481" s="49" t="e">
        <v>#REF!</v>
      </c>
      <c r="J1481" s="50"/>
    </row>
    <row r="1482" outlineLevel="1" spans="1:10">
      <c r="A1482" s="50">
        <v>533</v>
      </c>
      <c r="B1482" s="51" t="str">
        <v>综合配线-WDZNRYJS2*2.5</v>
      </c>
      <c r="C1482" s="51" t="e">
        <v>#REF!</v>
      </c>
      <c r="D1482" s="51" t="str">
        <v/>
      </c>
      <c r="E1482" s="51" t="str">
        <v/>
      </c>
      <c r="F1482" s="52" t="e">
        <v>#REF!</v>
      </c>
      <c r="G1482" s="48" t="e">
        <v>#REF!</v>
      </c>
      <c r="H1482" s="49">
        <v>504.8</v>
      </c>
      <c r="I1482" s="49" t="e">
        <v>#REF!</v>
      </c>
      <c r="J1482" s="50"/>
    </row>
    <row r="1483" outlineLevel="1" spans="1:10">
      <c r="A1483" s="50">
        <v>534</v>
      </c>
      <c r="B1483" s="51" t="str">
        <v>综合配线-NHRVS2*2.5</v>
      </c>
      <c r="C1483" s="51" t="e">
        <v>#REF!</v>
      </c>
      <c r="D1483" s="51" t="str">
        <v/>
      </c>
      <c r="E1483" s="51" t="str">
        <v/>
      </c>
      <c r="F1483" s="52" t="e">
        <v>#REF!</v>
      </c>
      <c r="G1483" s="48" t="e">
        <v>#REF!</v>
      </c>
      <c r="H1483" s="49">
        <v>0</v>
      </c>
      <c r="I1483" s="49" t="e">
        <v>#REF!</v>
      </c>
      <c r="J1483" s="50"/>
    </row>
    <row r="1484" outlineLevel="1" spans="1:10">
      <c r="A1484" s="50" t="str">
        <v/>
      </c>
      <c r="B1484" s="51" t="str">
        <v>B.18.4照明器具</v>
      </c>
      <c r="C1484" s="51" t="str">
        <v/>
      </c>
      <c r="D1484" s="51" t="str">
        <v/>
      </c>
      <c r="E1484" s="51" t="str">
        <v/>
      </c>
      <c r="F1484" s="52" t="str">
        <v/>
      </c>
      <c r="G1484" s="48" t="str">
        <v/>
      </c>
      <c r="H1484" s="49">
        <v>0</v>
      </c>
      <c r="I1484" s="49" t="e">
        <v>#REF!</v>
      </c>
      <c r="J1484" s="50"/>
    </row>
    <row r="1485" outlineLevel="1" spans="1:10">
      <c r="A1485" s="50">
        <v>535</v>
      </c>
      <c r="B1485" s="51" t="str">
        <v>灯具-门上座灯</v>
      </c>
      <c r="C1485" s="51" t="e">
        <v>#REF!</v>
      </c>
      <c r="D1485" s="51" t="str">
        <v/>
      </c>
      <c r="E1485" s="51" t="str">
        <v/>
      </c>
      <c r="F1485" s="52" t="e">
        <v>#REF!</v>
      </c>
      <c r="G1485" s="48" t="e">
        <v>#REF!</v>
      </c>
      <c r="H1485" s="49">
        <v>9</v>
      </c>
      <c r="I1485" s="49" t="e">
        <v>#REF!</v>
      </c>
      <c r="J1485" s="50"/>
    </row>
    <row r="1486" outlineLevel="1" spans="1:10">
      <c r="A1486" s="50">
        <v>536</v>
      </c>
      <c r="B1486" s="51" t="str">
        <v>灯具-节能座灯头</v>
      </c>
      <c r="C1486" s="51" t="e">
        <v>#REF!</v>
      </c>
      <c r="D1486" s="51" t="str">
        <v/>
      </c>
      <c r="E1486" s="51" t="str">
        <v/>
      </c>
      <c r="F1486" s="52" t="e">
        <v>#REF!</v>
      </c>
      <c r="G1486" s="48" t="e">
        <v>#REF!</v>
      </c>
      <c r="H1486" s="49">
        <v>0</v>
      </c>
      <c r="I1486" s="49" t="e">
        <v>#REF!</v>
      </c>
      <c r="J1486" s="50"/>
    </row>
    <row r="1487" outlineLevel="1" spans="1:10">
      <c r="A1487" s="50">
        <v>537</v>
      </c>
      <c r="B1487" s="51" t="str">
        <v>灯具-普通座灯头</v>
      </c>
      <c r="C1487" s="51" t="e">
        <v>#REF!</v>
      </c>
      <c r="D1487" s="51" t="str">
        <v/>
      </c>
      <c r="E1487" s="51" t="str">
        <v/>
      </c>
      <c r="F1487" s="52" t="e">
        <v>#REF!</v>
      </c>
      <c r="G1487" s="48" t="e">
        <v>#REF!</v>
      </c>
      <c r="H1487" s="49">
        <v>0</v>
      </c>
      <c r="I1487" s="49" t="e">
        <v>#REF!</v>
      </c>
      <c r="J1487" s="50"/>
    </row>
    <row r="1488" outlineLevel="1" spans="1:10">
      <c r="A1488" s="50">
        <v>538</v>
      </c>
      <c r="B1488" s="51" t="str">
        <v>灯具-壁灯</v>
      </c>
      <c r="C1488" s="51" t="e">
        <v>#REF!</v>
      </c>
      <c r="D1488" s="51" t="str">
        <v/>
      </c>
      <c r="E1488" s="51" t="str">
        <v/>
      </c>
      <c r="F1488" s="52" t="e">
        <v>#REF!</v>
      </c>
      <c r="G1488" s="48" t="e">
        <v>#REF!</v>
      </c>
      <c r="H1488" s="49">
        <v>0</v>
      </c>
      <c r="I1488" s="49" t="e">
        <v>#REF!</v>
      </c>
      <c r="J1488" s="50"/>
    </row>
    <row r="1489" outlineLevel="1" spans="1:10">
      <c r="A1489" s="50">
        <v>539</v>
      </c>
      <c r="B1489" s="51" t="str">
        <v>灯具-吸顶灯</v>
      </c>
      <c r="C1489" s="51" t="e">
        <v>#REF!</v>
      </c>
      <c r="D1489" s="51" t="str">
        <v/>
      </c>
      <c r="E1489" s="51" t="str">
        <v/>
      </c>
      <c r="F1489" s="52" t="e">
        <v>#REF!</v>
      </c>
      <c r="G1489" s="48" t="e">
        <v>#REF!</v>
      </c>
      <c r="H1489" s="49">
        <v>0</v>
      </c>
      <c r="I1489" s="49" t="e">
        <v>#REF!</v>
      </c>
      <c r="J1489" s="50"/>
    </row>
    <row r="1490" ht="28.8" outlineLevel="1" spans="1:10">
      <c r="A1490" s="50">
        <v>540</v>
      </c>
      <c r="B1490" s="51" t="str">
        <v>灯具-吸顶灯(自带声光控开关) </v>
      </c>
      <c r="C1490" s="51" t="e">
        <v>#REF!</v>
      </c>
      <c r="D1490" s="51" t="str">
        <v/>
      </c>
      <c r="E1490" s="51" t="str">
        <v/>
      </c>
      <c r="F1490" s="52" t="e">
        <v>#REF!</v>
      </c>
      <c r="G1490" s="48" t="e">
        <v>#REF!</v>
      </c>
      <c r="H1490" s="49">
        <v>0</v>
      </c>
      <c r="I1490" s="49" t="e">
        <v>#REF!</v>
      </c>
      <c r="J1490" s="50"/>
    </row>
    <row r="1491" ht="28.8" outlineLevel="1" spans="1:10">
      <c r="A1491" s="50">
        <v>541</v>
      </c>
      <c r="B1491" s="51" t="str">
        <v>灯具-半圆球吸顶灯 灯罩直径(300mm以内)</v>
      </c>
      <c r="C1491" s="51" t="e">
        <v>#REF!</v>
      </c>
      <c r="D1491" s="51" t="str">
        <v/>
      </c>
      <c r="E1491" s="51" t="str">
        <v/>
      </c>
      <c r="F1491" s="52" t="e">
        <v>#REF!</v>
      </c>
      <c r="G1491" s="48" t="e">
        <v>#REF!</v>
      </c>
      <c r="H1491" s="49">
        <v>1</v>
      </c>
      <c r="I1491" s="49" t="e">
        <v>#REF!</v>
      </c>
      <c r="J1491" s="50"/>
    </row>
    <row r="1492" ht="28.8" outlineLevel="1" spans="1:10">
      <c r="A1492" s="50">
        <v>542</v>
      </c>
      <c r="B1492" s="51" t="str">
        <v>灯具-半圆球吸顶灯 灯罩直径(350mm以内)</v>
      </c>
      <c r="C1492" s="51" t="e">
        <v>#REF!</v>
      </c>
      <c r="D1492" s="51" t="str">
        <v/>
      </c>
      <c r="E1492" s="51" t="str">
        <v/>
      </c>
      <c r="F1492" s="52" t="e">
        <v>#REF!</v>
      </c>
      <c r="G1492" s="48" t="e">
        <v>#REF!</v>
      </c>
      <c r="H1492" s="49">
        <v>1</v>
      </c>
      <c r="I1492" s="49" t="e">
        <v>#REF!</v>
      </c>
      <c r="J1492" s="50"/>
    </row>
    <row r="1493" outlineLevel="1" spans="1:10">
      <c r="A1493" s="50">
        <v>543</v>
      </c>
      <c r="B1493" s="51" t="str">
        <v>灯具-紧凑型节能日光灯</v>
      </c>
      <c r="C1493" s="51" t="e">
        <v>#REF!</v>
      </c>
      <c r="D1493" s="51" t="str">
        <v/>
      </c>
      <c r="E1493" s="51" t="str">
        <v/>
      </c>
      <c r="F1493" s="52" t="e">
        <v>#REF!</v>
      </c>
      <c r="G1493" s="48" t="e">
        <v>#REF!</v>
      </c>
      <c r="H1493" s="49">
        <v>7</v>
      </c>
      <c r="I1493" s="49" t="e">
        <v>#REF!</v>
      </c>
      <c r="J1493" s="50"/>
    </row>
    <row r="1494" outlineLevel="1" spans="1:10">
      <c r="A1494" s="50">
        <v>544</v>
      </c>
      <c r="B1494" s="51" t="str">
        <v>灯具-单管荧光灯-吊链安装</v>
      </c>
      <c r="C1494" s="51" t="e">
        <v>#REF!</v>
      </c>
      <c r="D1494" s="51" t="str">
        <v/>
      </c>
      <c r="E1494" s="51" t="str">
        <v/>
      </c>
      <c r="F1494" s="52" t="e">
        <v>#REF!</v>
      </c>
      <c r="G1494" s="48" t="e">
        <v>#REF!</v>
      </c>
      <c r="H1494" s="49">
        <v>10</v>
      </c>
      <c r="I1494" s="49" t="e">
        <v>#REF!</v>
      </c>
      <c r="J1494" s="50"/>
    </row>
    <row r="1495" outlineLevel="1" spans="1:10">
      <c r="A1495" s="50">
        <v>545</v>
      </c>
      <c r="B1495" s="51" t="str">
        <v>灯具-单管荧光灯-壁装</v>
      </c>
      <c r="C1495" s="51" t="e">
        <v>#REF!</v>
      </c>
      <c r="D1495" s="51" t="str">
        <v/>
      </c>
      <c r="E1495" s="51" t="str">
        <v/>
      </c>
      <c r="F1495" s="52" t="e">
        <v>#REF!</v>
      </c>
      <c r="G1495" s="48" t="e">
        <v>#REF!</v>
      </c>
      <c r="H1495" s="49">
        <v>0</v>
      </c>
      <c r="I1495" s="49" t="e">
        <v>#REF!</v>
      </c>
      <c r="J1495" s="50"/>
    </row>
    <row r="1496" outlineLevel="1" spans="1:10">
      <c r="A1496" s="50">
        <v>546</v>
      </c>
      <c r="B1496" s="51" t="str">
        <v>灯具-单管荧光灯-吊杆安装</v>
      </c>
      <c r="C1496" s="51" t="e">
        <v>#REF!</v>
      </c>
      <c r="D1496" s="51" t="str">
        <v/>
      </c>
      <c r="E1496" s="51" t="str">
        <v/>
      </c>
      <c r="F1496" s="52" t="e">
        <v>#REF!</v>
      </c>
      <c r="G1496" s="48" t="e">
        <v>#REF!</v>
      </c>
      <c r="H1496" s="49">
        <v>2</v>
      </c>
      <c r="I1496" s="49" t="e">
        <v>#REF!</v>
      </c>
      <c r="J1496" s="50"/>
    </row>
    <row r="1497" outlineLevel="1" spans="1:10">
      <c r="A1497" s="50">
        <v>547</v>
      </c>
      <c r="B1497" s="51" t="str">
        <v>灯具-单管荧光灯-吸顶安装</v>
      </c>
      <c r="C1497" s="51" t="e">
        <v>#REF!</v>
      </c>
      <c r="D1497" s="51" t="str">
        <v/>
      </c>
      <c r="E1497" s="51" t="str">
        <v/>
      </c>
      <c r="F1497" s="52" t="e">
        <v>#REF!</v>
      </c>
      <c r="G1497" s="48" t="e">
        <v>#REF!</v>
      </c>
      <c r="H1497" s="49">
        <v>2</v>
      </c>
      <c r="I1497" s="49" t="e">
        <v>#REF!</v>
      </c>
      <c r="J1497" s="50"/>
    </row>
    <row r="1498" outlineLevel="1" spans="1:10">
      <c r="A1498" s="50">
        <v>548</v>
      </c>
      <c r="B1498" s="51" t="str">
        <v>疏散出口标志灯-带蓄电池</v>
      </c>
      <c r="C1498" s="51" t="e">
        <v>#REF!</v>
      </c>
      <c r="D1498" s="51" t="str">
        <v/>
      </c>
      <c r="E1498" s="51" t="str">
        <v/>
      </c>
      <c r="F1498" s="52" t="e">
        <v>#REF!</v>
      </c>
      <c r="G1498" s="48" t="e">
        <v>#REF!</v>
      </c>
      <c r="H1498" s="49">
        <v>0</v>
      </c>
      <c r="I1498" s="49" t="e">
        <v>#REF!</v>
      </c>
      <c r="J1498" s="50"/>
    </row>
    <row r="1499" ht="28.8" outlineLevel="1" spans="1:10">
      <c r="A1499" s="50">
        <v>549</v>
      </c>
      <c r="B1499" s="51" t="str">
        <v>疏散出口标志灯（防护等级IP67）带蓄电池</v>
      </c>
      <c r="C1499" s="51" t="e">
        <v>#REF!</v>
      </c>
      <c r="D1499" s="51" t="str">
        <v/>
      </c>
      <c r="E1499" s="51" t="str">
        <v/>
      </c>
      <c r="F1499" s="52" t="e">
        <v>#REF!</v>
      </c>
      <c r="G1499" s="48" t="e">
        <v>#REF!</v>
      </c>
      <c r="H1499" s="49">
        <v>0</v>
      </c>
      <c r="I1499" s="49" t="e">
        <v>#REF!</v>
      </c>
      <c r="J1499" s="50"/>
    </row>
    <row r="1500" outlineLevel="1" spans="1:10">
      <c r="A1500" s="50">
        <v>550</v>
      </c>
      <c r="B1500" s="51" t="str">
        <v>楼层指示标志灯-带蓄电池</v>
      </c>
      <c r="C1500" s="51" t="e">
        <v>#REF!</v>
      </c>
      <c r="D1500" s="51" t="str">
        <v/>
      </c>
      <c r="E1500" s="51" t="str">
        <v/>
      </c>
      <c r="F1500" s="52" t="e">
        <v>#REF!</v>
      </c>
      <c r="G1500" s="48" t="e">
        <v>#REF!</v>
      </c>
      <c r="H1500" s="49">
        <v>0</v>
      </c>
      <c r="I1500" s="49" t="e">
        <v>#REF!</v>
      </c>
      <c r="J1500" s="50"/>
    </row>
    <row r="1501" ht="28.8" outlineLevel="1" spans="1:10">
      <c r="A1501" s="50">
        <v>551</v>
      </c>
      <c r="B1501" s="51" t="str">
        <v>单向单面疏散指示标志灯-带蓄电池</v>
      </c>
      <c r="C1501" s="51" t="e">
        <v>#REF!</v>
      </c>
      <c r="D1501" s="51" t="str">
        <v/>
      </c>
      <c r="E1501" s="51" t="str">
        <v/>
      </c>
      <c r="F1501" s="52" t="e">
        <v>#REF!</v>
      </c>
      <c r="G1501" s="48" t="e">
        <v>#REF!</v>
      </c>
      <c r="H1501" s="49">
        <v>0</v>
      </c>
      <c r="I1501" s="49" t="e">
        <v>#REF!</v>
      </c>
      <c r="J1501" s="50"/>
    </row>
    <row r="1502" ht="28.8" outlineLevel="1" spans="1:10">
      <c r="A1502" s="50">
        <v>552</v>
      </c>
      <c r="B1502" s="51" t="str">
        <v>单向双面疏散指示标志灯-带蓄电池</v>
      </c>
      <c r="C1502" s="51" t="e">
        <v>#REF!</v>
      </c>
      <c r="D1502" s="51" t="str">
        <v/>
      </c>
      <c r="E1502" s="51" t="str">
        <v/>
      </c>
      <c r="F1502" s="52" t="e">
        <v>#REF!</v>
      </c>
      <c r="G1502" s="48" t="e">
        <v>#REF!</v>
      </c>
      <c r="H1502" s="49">
        <v>0</v>
      </c>
      <c r="I1502" s="49" t="e">
        <v>#REF!</v>
      </c>
      <c r="J1502" s="50"/>
    </row>
    <row r="1503" ht="28.8" outlineLevel="1" spans="1:10">
      <c r="A1503" s="50">
        <v>553</v>
      </c>
      <c r="B1503" s="51" t="str">
        <v>双向单面疏散指示标志灯-带蓄电池</v>
      </c>
      <c r="C1503" s="51" t="e">
        <v>#REF!</v>
      </c>
      <c r="D1503" s="51" t="str">
        <v/>
      </c>
      <c r="E1503" s="51" t="str">
        <v/>
      </c>
      <c r="F1503" s="52" t="e">
        <v>#REF!</v>
      </c>
      <c r="G1503" s="48" t="e">
        <v>#REF!</v>
      </c>
      <c r="H1503" s="49">
        <v>0</v>
      </c>
      <c r="I1503" s="49" t="e">
        <v>#REF!</v>
      </c>
      <c r="J1503" s="50"/>
    </row>
    <row r="1504" outlineLevel="1" spans="1:10">
      <c r="A1504" s="50">
        <v>554</v>
      </c>
      <c r="B1504" s="51" t="str">
        <v>安全出口标志灯-带蓄电池</v>
      </c>
      <c r="C1504" s="51" t="e">
        <v>#REF!</v>
      </c>
      <c r="D1504" s="51" t="str">
        <v/>
      </c>
      <c r="E1504" s="51" t="str">
        <v/>
      </c>
      <c r="F1504" s="52" t="e">
        <v>#REF!</v>
      </c>
      <c r="G1504" s="48" t="e">
        <v>#REF!</v>
      </c>
      <c r="H1504" s="49">
        <v>0</v>
      </c>
      <c r="I1504" s="49" t="e">
        <v>#REF!</v>
      </c>
      <c r="J1504" s="50"/>
    </row>
    <row r="1505" ht="28.8" outlineLevel="1" spans="1:10">
      <c r="A1505" s="50">
        <v>555</v>
      </c>
      <c r="B1505" s="51" t="str">
        <v>E-X带禁止入内的安全出口标志灯-带蓄电池</v>
      </c>
      <c r="C1505" s="51" t="e">
        <v>#REF!</v>
      </c>
      <c r="D1505" s="51" t="str">
        <v/>
      </c>
      <c r="E1505" s="51" t="str">
        <v/>
      </c>
      <c r="F1505" s="52" t="e">
        <v>#REF!</v>
      </c>
      <c r="G1505" s="48" t="e">
        <v>#REF!</v>
      </c>
      <c r="H1505" s="49">
        <v>0</v>
      </c>
      <c r="I1505" s="49" t="e">
        <v>#REF!</v>
      </c>
      <c r="J1505" s="50"/>
    </row>
    <row r="1506" outlineLevel="1" spans="1:10">
      <c r="A1506" s="50">
        <v>556</v>
      </c>
      <c r="B1506" s="51" t="str">
        <v>火灾禁入标志灯-带蓄电池</v>
      </c>
      <c r="C1506" s="51" t="e">
        <v>#REF!</v>
      </c>
      <c r="D1506" s="51" t="str">
        <v/>
      </c>
      <c r="E1506" s="51" t="str">
        <v/>
      </c>
      <c r="F1506" s="52" t="e">
        <v>#REF!</v>
      </c>
      <c r="G1506" s="48" t="e">
        <v>#REF!</v>
      </c>
      <c r="H1506" s="49">
        <v>0</v>
      </c>
      <c r="I1506" s="49" t="e">
        <v>#REF!</v>
      </c>
      <c r="J1506" s="50"/>
    </row>
    <row r="1507" outlineLevel="1" spans="1:10">
      <c r="A1507" s="50">
        <v>557</v>
      </c>
      <c r="B1507" s="51" t="str">
        <v>E1消防应急壁灯-带蓄电池</v>
      </c>
      <c r="C1507" s="51" t="e">
        <v>#REF!</v>
      </c>
      <c r="D1507" s="51" t="str">
        <v/>
      </c>
      <c r="E1507" s="51" t="str">
        <v/>
      </c>
      <c r="F1507" s="52" t="e">
        <v>#REF!</v>
      </c>
      <c r="G1507" s="48" t="e">
        <v>#REF!</v>
      </c>
      <c r="H1507" s="49">
        <v>0</v>
      </c>
      <c r="I1507" s="49" t="e">
        <v>#REF!</v>
      </c>
      <c r="J1507" s="50"/>
    </row>
    <row r="1508" outlineLevel="1" spans="1:10">
      <c r="A1508" s="50">
        <v>558</v>
      </c>
      <c r="B1508" s="51" t="str">
        <v>消防应急吸顶灯-带蓄电池</v>
      </c>
      <c r="C1508" s="51" t="e">
        <v>#REF!</v>
      </c>
      <c r="D1508" s="51" t="str">
        <v/>
      </c>
      <c r="E1508" s="51" t="str">
        <v/>
      </c>
      <c r="F1508" s="52" t="e">
        <v>#REF!</v>
      </c>
      <c r="G1508" s="48" t="e">
        <v>#REF!</v>
      </c>
      <c r="H1508" s="49">
        <v>0</v>
      </c>
      <c r="I1508" s="49" t="e">
        <v>#REF!</v>
      </c>
      <c r="J1508" s="50"/>
    </row>
    <row r="1509" ht="28.8" outlineLevel="1" spans="1:10">
      <c r="A1509" s="50">
        <v>559</v>
      </c>
      <c r="B1509" s="51" t="str">
        <v>消防应急吸顶灯（防护等级IP67）带蓄电池</v>
      </c>
      <c r="C1509" s="51" t="e">
        <v>#REF!</v>
      </c>
      <c r="D1509" s="51" t="str">
        <v/>
      </c>
      <c r="E1509" s="51" t="str">
        <v/>
      </c>
      <c r="F1509" s="52" t="e">
        <v>#REF!</v>
      </c>
      <c r="G1509" s="48" t="e">
        <v>#REF!</v>
      </c>
      <c r="H1509" s="49">
        <v>0</v>
      </c>
      <c r="I1509" s="49" t="e">
        <v>#REF!</v>
      </c>
      <c r="J1509" s="50"/>
    </row>
    <row r="1510" outlineLevel="1" spans="1:10">
      <c r="A1510" s="50">
        <v>560</v>
      </c>
      <c r="B1510" s="51" t="str">
        <v>灯具-安全出口标志灯</v>
      </c>
      <c r="C1510" s="51" t="e">
        <v>#REF!</v>
      </c>
      <c r="D1510" s="51" t="str">
        <v/>
      </c>
      <c r="E1510" s="51" t="str">
        <v/>
      </c>
      <c r="F1510" s="52" t="e">
        <v>#REF!</v>
      </c>
      <c r="G1510" s="48" t="e">
        <v>#REF!</v>
      </c>
      <c r="H1510" s="49">
        <v>0</v>
      </c>
      <c r="I1510" s="49" t="e">
        <v>#REF!</v>
      </c>
      <c r="J1510" s="50"/>
    </row>
    <row r="1511" outlineLevel="1" spans="1:10">
      <c r="A1511" s="50">
        <v>561</v>
      </c>
      <c r="B1511" s="51" t="str">
        <v>灯具-多信息复合标志灯</v>
      </c>
      <c r="C1511" s="51" t="e">
        <v>#REF!</v>
      </c>
      <c r="D1511" s="51" t="str">
        <v/>
      </c>
      <c r="E1511" s="51" t="str">
        <v/>
      </c>
      <c r="F1511" s="52" t="e">
        <v>#REF!</v>
      </c>
      <c r="G1511" s="48" t="e">
        <v>#REF!</v>
      </c>
      <c r="H1511" s="49">
        <v>0</v>
      </c>
      <c r="I1511" s="49" t="e">
        <v>#REF!</v>
      </c>
      <c r="J1511" s="50"/>
    </row>
    <row r="1512" outlineLevel="1" spans="1:10">
      <c r="A1512" s="50">
        <v>562</v>
      </c>
      <c r="B1512" s="51" t="str">
        <v>灯具-楼层指示标志灯</v>
      </c>
      <c r="C1512" s="51" t="e">
        <v>#REF!</v>
      </c>
      <c r="D1512" s="51" t="str">
        <v/>
      </c>
      <c r="E1512" s="51" t="str">
        <v/>
      </c>
      <c r="F1512" s="52" t="e">
        <v>#REF!</v>
      </c>
      <c r="G1512" s="48" t="e">
        <v>#REF!</v>
      </c>
      <c r="H1512" s="49">
        <v>3</v>
      </c>
      <c r="I1512" s="49" t="e">
        <v>#REF!</v>
      </c>
      <c r="J1512" s="50"/>
    </row>
    <row r="1513" outlineLevel="1" spans="1:10">
      <c r="A1513" s="50">
        <v>563</v>
      </c>
      <c r="B1513" s="51" t="str">
        <v>灯具-疏散出口标志灯</v>
      </c>
      <c r="C1513" s="51" t="e">
        <v>#REF!</v>
      </c>
      <c r="D1513" s="51" t="str">
        <v/>
      </c>
      <c r="E1513" s="51" t="str">
        <v/>
      </c>
      <c r="F1513" s="52" t="e">
        <v>#REF!</v>
      </c>
      <c r="G1513" s="48" t="e">
        <v>#REF!</v>
      </c>
      <c r="H1513" s="49">
        <v>9</v>
      </c>
      <c r="I1513" s="49" t="e">
        <v>#REF!</v>
      </c>
      <c r="J1513" s="50"/>
    </row>
    <row r="1514" ht="28.8" outlineLevel="1" spans="1:10">
      <c r="A1514" s="50">
        <v>564</v>
      </c>
      <c r="B1514" s="51" t="str">
        <v>灯具-单向双面疏散指示标志灯</v>
      </c>
      <c r="C1514" s="51" t="e">
        <v>#REF!</v>
      </c>
      <c r="D1514" s="51" t="str">
        <v/>
      </c>
      <c r="E1514" s="51" t="str">
        <v/>
      </c>
      <c r="F1514" s="52" t="e">
        <v>#REF!</v>
      </c>
      <c r="G1514" s="48" t="e">
        <v>#REF!</v>
      </c>
      <c r="H1514" s="49">
        <v>3</v>
      </c>
      <c r="I1514" s="49" t="e">
        <v>#REF!</v>
      </c>
      <c r="J1514" s="50"/>
    </row>
    <row r="1515" ht="28.8" outlineLevel="1" spans="1:10">
      <c r="A1515" s="50">
        <v>565</v>
      </c>
      <c r="B1515" s="51" t="str">
        <v>灯具-消防应急壁灯（微波感应）带蓄电池</v>
      </c>
      <c r="C1515" s="51" t="e">
        <v>#REF!</v>
      </c>
      <c r="D1515" s="51" t="str">
        <v/>
      </c>
      <c r="E1515" s="51" t="str">
        <v/>
      </c>
      <c r="F1515" s="52" t="e">
        <v>#REF!</v>
      </c>
      <c r="G1515" s="48" t="e">
        <v>#REF!</v>
      </c>
      <c r="H1515" s="49">
        <v>12</v>
      </c>
      <c r="I1515" s="49" t="e">
        <v>#REF!</v>
      </c>
      <c r="J1515" s="50"/>
    </row>
    <row r="1516" ht="28.8" outlineLevel="1" spans="1:10">
      <c r="A1516" s="50">
        <v>566</v>
      </c>
      <c r="B1516" s="51" t="str">
        <v>灯具-消防应急吸顶灯-附微波感应带蓄电池</v>
      </c>
      <c r="C1516" s="51" t="e">
        <v>#REF!</v>
      </c>
      <c r="D1516" s="51" t="str">
        <v/>
      </c>
      <c r="E1516" s="51" t="str">
        <v/>
      </c>
      <c r="F1516" s="52" t="e">
        <v>#REF!</v>
      </c>
      <c r="G1516" s="48" t="e">
        <v>#REF!</v>
      </c>
      <c r="H1516" s="49">
        <v>18</v>
      </c>
      <c r="I1516" s="49" t="e">
        <v>#REF!</v>
      </c>
      <c r="J1516" s="50"/>
    </row>
    <row r="1517" ht="28.8" outlineLevel="1" spans="1:10">
      <c r="A1517" s="50">
        <v>567</v>
      </c>
      <c r="B1517" s="51" t="str">
        <v>灯具-单向单面疏散指示标志灯</v>
      </c>
      <c r="C1517" s="51" t="e">
        <v>#REF!</v>
      </c>
      <c r="D1517" s="51" t="str">
        <v/>
      </c>
      <c r="E1517" s="51" t="str">
        <v/>
      </c>
      <c r="F1517" s="52" t="e">
        <v>#REF!</v>
      </c>
      <c r="G1517" s="48" t="e">
        <v>#REF!</v>
      </c>
      <c r="H1517" s="49">
        <v>4</v>
      </c>
      <c r="I1517" s="49" t="e">
        <v>#REF!</v>
      </c>
      <c r="J1517" s="50"/>
    </row>
    <row r="1518" outlineLevel="1" spans="1:10">
      <c r="A1518" s="50">
        <v>568</v>
      </c>
      <c r="B1518" s="51" t="str">
        <v>灯具-消防应急壁灯</v>
      </c>
      <c r="C1518" s="51" t="e">
        <v>#REF!</v>
      </c>
      <c r="D1518" s="51" t="str">
        <v/>
      </c>
      <c r="E1518" s="51" t="str">
        <v/>
      </c>
      <c r="F1518" s="52" t="e">
        <v>#REF!</v>
      </c>
      <c r="G1518" s="48" t="e">
        <v>#REF!</v>
      </c>
      <c r="H1518" s="49">
        <v>0</v>
      </c>
      <c r="I1518" s="49" t="e">
        <v>#REF!</v>
      </c>
      <c r="J1518" s="50"/>
    </row>
    <row r="1519" outlineLevel="1" spans="1:10">
      <c r="A1519" s="50">
        <v>569</v>
      </c>
      <c r="B1519" s="51" t="str">
        <v>灯具-应急单管荧光灯</v>
      </c>
      <c r="C1519" s="51" t="e">
        <v>#REF!</v>
      </c>
      <c r="D1519" s="51" t="str">
        <v/>
      </c>
      <c r="E1519" s="51" t="str">
        <v/>
      </c>
      <c r="F1519" s="52" t="e">
        <v>#REF!</v>
      </c>
      <c r="G1519" s="48" t="e">
        <v>#REF!</v>
      </c>
      <c r="H1519" s="49">
        <v>0</v>
      </c>
      <c r="I1519" s="49" t="e">
        <v>#REF!</v>
      </c>
      <c r="J1519" s="50"/>
    </row>
    <row r="1520" outlineLevel="1" spans="1:10">
      <c r="A1520" s="50" t="str">
        <v/>
      </c>
      <c r="B1520" s="51" t="str">
        <v>B.18.5开关插座</v>
      </c>
      <c r="C1520" s="51" t="str">
        <v/>
      </c>
      <c r="D1520" s="51" t="str">
        <v/>
      </c>
      <c r="E1520" s="51" t="str">
        <v/>
      </c>
      <c r="F1520" s="52" t="str">
        <v/>
      </c>
      <c r="G1520" s="48" t="str">
        <v/>
      </c>
      <c r="H1520" s="49">
        <v>0</v>
      </c>
      <c r="I1520" s="49" t="e">
        <v>#REF!</v>
      </c>
      <c r="J1520" s="50"/>
    </row>
    <row r="1521" outlineLevel="1" spans="1:10">
      <c r="A1521" s="50">
        <v>570</v>
      </c>
      <c r="B1521" s="51" t="str">
        <v>单联单控开关</v>
      </c>
      <c r="C1521" s="51" t="e">
        <v>#REF!</v>
      </c>
      <c r="D1521" s="51" t="str">
        <v/>
      </c>
      <c r="E1521" s="51" t="str">
        <v/>
      </c>
      <c r="F1521" s="52" t="e">
        <v>#REF!</v>
      </c>
      <c r="G1521" s="48" t="e">
        <v>#REF!</v>
      </c>
      <c r="H1521" s="49">
        <v>16</v>
      </c>
      <c r="I1521" s="49" t="e">
        <v>#REF!</v>
      </c>
      <c r="J1521" s="50"/>
    </row>
    <row r="1522" outlineLevel="1" spans="1:10">
      <c r="A1522" s="50">
        <v>571</v>
      </c>
      <c r="B1522" s="51" t="str">
        <v>单联双控开关</v>
      </c>
      <c r="C1522" s="51" t="e">
        <v>#REF!</v>
      </c>
      <c r="D1522" s="51" t="str">
        <v/>
      </c>
      <c r="E1522" s="51" t="str">
        <v/>
      </c>
      <c r="F1522" s="52" t="e">
        <v>#REF!</v>
      </c>
      <c r="G1522" s="48" t="e">
        <v>#REF!</v>
      </c>
      <c r="H1522" s="49">
        <v>3</v>
      </c>
      <c r="I1522" s="49" t="e">
        <v>#REF!</v>
      </c>
      <c r="J1522" s="50"/>
    </row>
    <row r="1523" outlineLevel="1" spans="1:10">
      <c r="A1523" s="50">
        <v>572</v>
      </c>
      <c r="B1523" s="51" t="str">
        <v>双联单控开关</v>
      </c>
      <c r="C1523" s="51" t="e">
        <v>#REF!</v>
      </c>
      <c r="D1523" s="51" t="str">
        <v/>
      </c>
      <c r="E1523" s="51" t="str">
        <v/>
      </c>
      <c r="F1523" s="52" t="e">
        <v>#REF!</v>
      </c>
      <c r="G1523" s="48" t="e">
        <v>#REF!</v>
      </c>
      <c r="H1523" s="49">
        <v>4</v>
      </c>
      <c r="I1523" s="49" t="e">
        <v>#REF!</v>
      </c>
      <c r="J1523" s="50"/>
    </row>
    <row r="1524" outlineLevel="1" spans="1:10">
      <c r="A1524" s="50">
        <v>573</v>
      </c>
      <c r="B1524" s="51" t="str">
        <v>三联单控开关</v>
      </c>
      <c r="C1524" s="51" t="e">
        <v>#REF!</v>
      </c>
      <c r="D1524" s="51" t="str">
        <v/>
      </c>
      <c r="E1524" s="51" t="str">
        <v/>
      </c>
      <c r="F1524" s="52" t="e">
        <v>#REF!</v>
      </c>
      <c r="G1524" s="48" t="e">
        <v>#REF!</v>
      </c>
      <c r="H1524" s="49">
        <v>1</v>
      </c>
      <c r="I1524" s="49" t="e">
        <v>#REF!</v>
      </c>
      <c r="J1524" s="50"/>
    </row>
    <row r="1525" outlineLevel="1" spans="1:10">
      <c r="A1525" s="50">
        <v>574</v>
      </c>
      <c r="B1525" s="51" t="str">
        <v>四联单控开关</v>
      </c>
      <c r="C1525" s="51" t="e">
        <v>#REF!</v>
      </c>
      <c r="D1525" s="51" t="str">
        <v/>
      </c>
      <c r="E1525" s="51" t="str">
        <v/>
      </c>
      <c r="F1525" s="52" t="e">
        <v>#REF!</v>
      </c>
      <c r="G1525" s="48" t="e">
        <v>#REF!</v>
      </c>
      <c r="H1525" s="49">
        <v>0</v>
      </c>
      <c r="I1525" s="49" t="e">
        <v>#REF!</v>
      </c>
      <c r="J1525" s="50"/>
    </row>
    <row r="1526" outlineLevel="1" spans="1:10">
      <c r="A1526" s="50">
        <v>575</v>
      </c>
      <c r="B1526" s="51" t="str">
        <v>五孔插座</v>
      </c>
      <c r="C1526" s="51" t="e">
        <v>#REF!</v>
      </c>
      <c r="D1526" s="51" t="str">
        <v/>
      </c>
      <c r="E1526" s="51" t="str">
        <v/>
      </c>
      <c r="F1526" s="52" t="e">
        <v>#REF!</v>
      </c>
      <c r="G1526" s="48" t="e">
        <v>#REF!</v>
      </c>
      <c r="H1526" s="49">
        <v>18</v>
      </c>
      <c r="I1526" s="49" t="e">
        <v>#REF!</v>
      </c>
      <c r="J1526" s="50"/>
    </row>
    <row r="1527" outlineLevel="1" spans="1:10">
      <c r="A1527" s="50">
        <v>576</v>
      </c>
      <c r="B1527" s="51" t="str">
        <v>电梯检修插座</v>
      </c>
      <c r="C1527" s="51" t="e">
        <v>#REF!</v>
      </c>
      <c r="D1527" s="51" t="str">
        <v/>
      </c>
      <c r="E1527" s="51" t="str">
        <v/>
      </c>
      <c r="F1527" s="52" t="e">
        <v>#REF!</v>
      </c>
      <c r="G1527" s="48" t="e">
        <v>#REF!</v>
      </c>
      <c r="H1527" s="49">
        <v>3</v>
      </c>
      <c r="I1527" s="49" t="e">
        <v>#REF!</v>
      </c>
      <c r="J1527" s="50"/>
    </row>
    <row r="1528" outlineLevel="1" spans="1:10">
      <c r="A1528" s="50">
        <v>577</v>
      </c>
      <c r="B1528" s="51" t="str">
        <v>卫生间五孔插座（IP54）</v>
      </c>
      <c r="C1528" s="51" t="e">
        <v>#REF!</v>
      </c>
      <c r="D1528" s="51" t="str">
        <v/>
      </c>
      <c r="E1528" s="51" t="str">
        <v/>
      </c>
      <c r="F1528" s="52" t="e">
        <v>#REF!</v>
      </c>
      <c r="G1528" s="48" t="e">
        <v>#REF!</v>
      </c>
      <c r="H1528" s="49">
        <v>0</v>
      </c>
      <c r="I1528" s="49" t="e">
        <v>#REF!</v>
      </c>
      <c r="J1528" s="50"/>
    </row>
    <row r="1529" outlineLevel="1" spans="1:10">
      <c r="A1529" s="50">
        <v>578</v>
      </c>
      <c r="B1529" s="51" t="str">
        <v>电磁阀五孔插座（IP54）</v>
      </c>
      <c r="C1529" s="51" t="e">
        <v>#REF!</v>
      </c>
      <c r="D1529" s="51" t="str">
        <v/>
      </c>
      <c r="E1529" s="51" t="str">
        <v/>
      </c>
      <c r="F1529" s="52" t="e">
        <v>#REF!</v>
      </c>
      <c r="G1529" s="48" t="e">
        <v>#REF!</v>
      </c>
      <c r="H1529" s="49">
        <v>0</v>
      </c>
      <c r="I1529" s="49" t="e">
        <v>#REF!</v>
      </c>
      <c r="J1529" s="50"/>
    </row>
    <row r="1530" ht="28.8" outlineLevel="1" spans="1:10">
      <c r="A1530" s="50">
        <v>579</v>
      </c>
      <c r="B1530" s="51" t="str">
        <v>空调挂机、柜机三孔插座-（带开关）</v>
      </c>
      <c r="C1530" s="51" t="e">
        <v>#REF!</v>
      </c>
      <c r="D1530" s="51" t="str">
        <v/>
      </c>
      <c r="E1530" s="51" t="str">
        <v/>
      </c>
      <c r="F1530" s="52" t="e">
        <v>#REF!</v>
      </c>
      <c r="G1530" s="48" t="e">
        <v>#REF!</v>
      </c>
      <c r="H1530" s="49">
        <v>0</v>
      </c>
      <c r="I1530" s="49" t="e">
        <v>#REF!</v>
      </c>
      <c r="J1530" s="50"/>
    </row>
    <row r="1531" outlineLevel="1" spans="1:10">
      <c r="A1531" s="50">
        <v>580</v>
      </c>
      <c r="B1531" s="51" t="str">
        <v>电动门五孔插座</v>
      </c>
      <c r="C1531" s="51" t="e">
        <v>#REF!</v>
      </c>
      <c r="D1531" s="51" t="str">
        <v/>
      </c>
      <c r="E1531" s="51" t="str">
        <v/>
      </c>
      <c r="F1531" s="52" t="e">
        <v>#REF!</v>
      </c>
      <c r="G1531" s="48" t="e">
        <v>#REF!</v>
      </c>
      <c r="H1531" s="49">
        <v>0</v>
      </c>
      <c r="I1531" s="49" t="e">
        <v>#REF!</v>
      </c>
      <c r="J1531" s="50"/>
    </row>
    <row r="1532" outlineLevel="1" spans="1:10">
      <c r="A1532" s="50">
        <v>581</v>
      </c>
      <c r="B1532" s="51" t="str">
        <v>五孔插座</v>
      </c>
      <c r="C1532" s="51" t="e">
        <v>#REF!</v>
      </c>
      <c r="D1532" s="51" t="str">
        <v/>
      </c>
      <c r="E1532" s="51" t="str">
        <v/>
      </c>
      <c r="F1532" s="52" t="e">
        <v>#REF!</v>
      </c>
      <c r="G1532" s="48" t="e">
        <v>#REF!</v>
      </c>
      <c r="H1532" s="49">
        <v>0</v>
      </c>
      <c r="I1532" s="49" t="e">
        <v>#REF!</v>
      </c>
      <c r="J1532" s="50"/>
    </row>
    <row r="1533" outlineLevel="1" spans="1:10">
      <c r="A1533" s="50">
        <v>582</v>
      </c>
      <c r="B1533" s="51" t="str">
        <v>电伴热插座</v>
      </c>
      <c r="C1533" s="51" t="e">
        <v>#REF!</v>
      </c>
      <c r="D1533" s="51" t="str">
        <v/>
      </c>
      <c r="E1533" s="51" t="str">
        <v/>
      </c>
      <c r="F1533" s="52" t="e">
        <v>#REF!</v>
      </c>
      <c r="G1533" s="48" t="e">
        <v>#REF!</v>
      </c>
      <c r="H1533" s="49">
        <v>0</v>
      </c>
      <c r="I1533" s="49" t="e">
        <v>#REF!</v>
      </c>
      <c r="J1533" s="50"/>
    </row>
    <row r="1534" outlineLevel="1" spans="1:10">
      <c r="A1534" s="50">
        <v>583</v>
      </c>
      <c r="B1534" s="51" t="str">
        <v>警报插座</v>
      </c>
      <c r="C1534" s="51" t="e">
        <v>#REF!</v>
      </c>
      <c r="D1534" s="51" t="str">
        <v/>
      </c>
      <c r="E1534" s="51" t="str">
        <v/>
      </c>
      <c r="F1534" s="52" t="e">
        <v>#REF!</v>
      </c>
      <c r="G1534" s="48" t="e">
        <v>#REF!</v>
      </c>
      <c r="H1534" s="49">
        <v>0</v>
      </c>
      <c r="I1534" s="49" t="e">
        <v>#REF!</v>
      </c>
      <c r="J1534" s="50"/>
    </row>
    <row r="1535" outlineLevel="1" spans="1:10">
      <c r="A1535" s="50">
        <v>584</v>
      </c>
      <c r="B1535" s="51" t="str">
        <v>滤毒室插座</v>
      </c>
      <c r="C1535" s="51" t="e">
        <v>#REF!</v>
      </c>
      <c r="D1535" s="51" t="str">
        <v/>
      </c>
      <c r="E1535" s="51" t="str">
        <v/>
      </c>
      <c r="F1535" s="52" t="e">
        <v>#REF!</v>
      </c>
      <c r="G1535" s="48" t="e">
        <v>#REF!</v>
      </c>
      <c r="H1535" s="49">
        <v>0</v>
      </c>
      <c r="I1535" s="49" t="e">
        <v>#REF!</v>
      </c>
      <c r="J1535" s="50"/>
    </row>
    <row r="1536" outlineLevel="1" spans="1:10">
      <c r="A1536" s="50">
        <v>585</v>
      </c>
      <c r="B1536" s="51" t="str">
        <v>人防呼唤按钮</v>
      </c>
      <c r="C1536" s="51" t="e">
        <v>#REF!</v>
      </c>
      <c r="D1536" s="51" t="str">
        <v/>
      </c>
      <c r="E1536" s="51" t="str">
        <v/>
      </c>
      <c r="F1536" s="52" t="e">
        <v>#REF!</v>
      </c>
      <c r="G1536" s="48" t="e">
        <v>#REF!</v>
      </c>
      <c r="H1536" s="49">
        <v>0</v>
      </c>
      <c r="I1536" s="49" t="e">
        <v>#REF!</v>
      </c>
      <c r="J1536" s="50"/>
    </row>
    <row r="1537" outlineLevel="1" spans="1:10">
      <c r="A1537" s="50">
        <v>586</v>
      </c>
      <c r="B1537" s="51" t="str">
        <v>电话插孔</v>
      </c>
      <c r="C1537" s="51" t="e">
        <v>#REF!</v>
      </c>
      <c r="D1537" s="51" t="str">
        <v/>
      </c>
      <c r="E1537" s="51" t="str">
        <v/>
      </c>
      <c r="F1537" s="52" t="e">
        <v>#REF!</v>
      </c>
      <c r="G1537" s="48" t="e">
        <v>#REF!</v>
      </c>
      <c r="H1537" s="49">
        <v>0</v>
      </c>
      <c r="I1537" s="49" t="e">
        <v>#REF!</v>
      </c>
      <c r="J1537" s="50"/>
    </row>
    <row r="1538" ht="28.8" outlineLevel="1" spans="1:10">
      <c r="A1538" s="50">
        <v>587</v>
      </c>
      <c r="B1538" s="51" t="str">
        <v>暗装排气扇接线盒（含面板）</v>
      </c>
      <c r="C1538" s="51" t="e">
        <v>#REF!</v>
      </c>
      <c r="D1538" s="51" t="str">
        <v/>
      </c>
      <c r="E1538" s="51" t="str">
        <v/>
      </c>
      <c r="F1538" s="52" t="e">
        <v>#REF!</v>
      </c>
      <c r="G1538" s="48" t="e">
        <v>#REF!</v>
      </c>
      <c r="H1538" s="49">
        <v>0</v>
      </c>
      <c r="I1538" s="49" t="e">
        <v>#REF!</v>
      </c>
      <c r="J1538" s="50"/>
    </row>
    <row r="1539" outlineLevel="1" spans="1:10">
      <c r="A1539" s="50">
        <v>588</v>
      </c>
      <c r="B1539" s="51" t="str">
        <v>空白面板</v>
      </c>
      <c r="C1539" s="51" t="e">
        <v>#REF!</v>
      </c>
      <c r="D1539" s="51" t="str">
        <v/>
      </c>
      <c r="E1539" s="51" t="str">
        <v/>
      </c>
      <c r="F1539" s="52" t="e">
        <v>#REF!</v>
      </c>
      <c r="G1539" s="48" t="e">
        <v>#REF!</v>
      </c>
      <c r="H1539" s="49">
        <v>0</v>
      </c>
      <c r="I1539" s="49" t="e">
        <v>#REF!</v>
      </c>
      <c r="J1539" s="50"/>
    </row>
    <row r="1540" outlineLevel="1" spans="1:10">
      <c r="A1540" s="50">
        <v>589</v>
      </c>
      <c r="B1540" s="51" t="str">
        <v>暗装塑料接线盒</v>
      </c>
      <c r="C1540" s="51" t="e">
        <v>#REF!</v>
      </c>
      <c r="D1540" s="51" t="str">
        <v/>
      </c>
      <c r="E1540" s="51" t="str">
        <v/>
      </c>
      <c r="F1540" s="52" t="e">
        <v>#REF!</v>
      </c>
      <c r="G1540" s="48" t="e">
        <v>#REF!</v>
      </c>
      <c r="H1540" s="49">
        <v>75</v>
      </c>
      <c r="I1540" s="49" t="e">
        <v>#REF!</v>
      </c>
      <c r="J1540" s="50"/>
    </row>
    <row r="1541" outlineLevel="1" spans="1:10">
      <c r="A1541" s="50">
        <v>590</v>
      </c>
      <c r="B1541" s="51" t="str">
        <v>暗装钢制接线盒</v>
      </c>
      <c r="C1541" s="51" t="e">
        <v>#REF!</v>
      </c>
      <c r="D1541" s="51" t="str">
        <v/>
      </c>
      <c r="E1541" s="51" t="str">
        <v/>
      </c>
      <c r="F1541" s="52" t="e">
        <v>#REF!</v>
      </c>
      <c r="G1541" s="48" t="e">
        <v>#REF!</v>
      </c>
      <c r="H1541" s="49">
        <v>49</v>
      </c>
      <c r="I1541" s="49" t="e">
        <v>#REF!</v>
      </c>
      <c r="J1541" s="50"/>
    </row>
    <row r="1542" outlineLevel="1" spans="1:10">
      <c r="A1542" s="50">
        <v>591</v>
      </c>
      <c r="B1542" s="51" t="str">
        <v>低压熔断器</v>
      </c>
      <c r="C1542" s="51" t="e">
        <v>#REF!</v>
      </c>
      <c r="D1542" s="51" t="str">
        <v/>
      </c>
      <c r="E1542" s="51" t="str">
        <v/>
      </c>
      <c r="F1542" s="52" t="e">
        <v>#REF!</v>
      </c>
      <c r="G1542" s="48" t="e">
        <v>#REF!</v>
      </c>
      <c r="H1542" s="49">
        <v>0</v>
      </c>
      <c r="I1542" s="49" t="e">
        <v>#REF!</v>
      </c>
      <c r="J1542" s="50"/>
    </row>
    <row r="1543" outlineLevel="1" spans="1:10">
      <c r="A1543" s="50" t="str">
        <v/>
      </c>
      <c r="B1543" s="51" t="str">
        <v>B.18.6防雷接地</v>
      </c>
      <c r="C1543" s="51" t="str">
        <v/>
      </c>
      <c r="D1543" s="51" t="str">
        <v/>
      </c>
      <c r="E1543" s="51" t="str">
        <v/>
      </c>
      <c r="F1543" s="52" t="str">
        <v/>
      </c>
      <c r="G1543" s="48" t="str">
        <v/>
      </c>
      <c r="H1543" s="49">
        <v>0</v>
      </c>
      <c r="I1543" s="49" t="e">
        <v>#REF!</v>
      </c>
      <c r="J1543" s="50"/>
    </row>
    <row r="1544" outlineLevel="1" spans="1:10">
      <c r="A1544" s="50">
        <v>592</v>
      </c>
      <c r="B1544" s="51" t="str">
        <v>接地极</v>
      </c>
      <c r="C1544" s="51" t="e">
        <v>#REF!</v>
      </c>
      <c r="D1544" s="51" t="str">
        <v/>
      </c>
      <c r="E1544" s="51" t="str">
        <v/>
      </c>
      <c r="F1544" s="52" t="e">
        <v>#REF!</v>
      </c>
      <c r="G1544" s="48" t="e">
        <v>#REF!</v>
      </c>
      <c r="H1544" s="49">
        <v>926.25</v>
      </c>
      <c r="I1544" s="49" t="e">
        <v>#REF!</v>
      </c>
      <c r="J1544" s="50"/>
    </row>
    <row r="1545" outlineLevel="1" spans="1:10">
      <c r="A1545" s="50">
        <v>593</v>
      </c>
      <c r="B1545" s="51" t="str">
        <v>避雷引下线1</v>
      </c>
      <c r="C1545" s="51" t="e">
        <v>#REF!</v>
      </c>
      <c r="D1545" s="51" t="str">
        <v/>
      </c>
      <c r="E1545" s="51" t="str">
        <v/>
      </c>
      <c r="F1545" s="52" t="e">
        <v>#REF!</v>
      </c>
      <c r="G1545" s="48" t="e">
        <v>#REF!</v>
      </c>
      <c r="H1545" s="49">
        <v>88.94</v>
      </c>
      <c r="I1545" s="49" t="e">
        <v>#REF!</v>
      </c>
      <c r="J1545" s="50"/>
    </row>
    <row r="1546" outlineLevel="1" spans="1:10">
      <c r="A1546" s="50">
        <v>594</v>
      </c>
      <c r="B1546" s="51" t="str">
        <v>局部等电位端子箱</v>
      </c>
      <c r="C1546" s="51" t="e">
        <v>#REF!</v>
      </c>
      <c r="D1546" s="51" t="str">
        <v/>
      </c>
      <c r="E1546" s="51" t="str">
        <v/>
      </c>
      <c r="F1546" s="52" t="e">
        <v>#REF!</v>
      </c>
      <c r="G1546" s="48" t="e">
        <v>#REF!</v>
      </c>
      <c r="H1546" s="49">
        <v>3</v>
      </c>
      <c r="I1546" s="49" t="e">
        <v>#REF!</v>
      </c>
      <c r="J1546" s="50"/>
    </row>
    <row r="1547" outlineLevel="1" spans="1:10">
      <c r="A1547" s="50">
        <v>595</v>
      </c>
      <c r="B1547" s="51" t="str">
        <v>总等电位连接端子箱</v>
      </c>
      <c r="C1547" s="51" t="e">
        <v>#REF!</v>
      </c>
      <c r="D1547" s="51" t="str">
        <v/>
      </c>
      <c r="E1547" s="51" t="str">
        <v/>
      </c>
      <c r="F1547" s="52" t="e">
        <v>#REF!</v>
      </c>
      <c r="G1547" s="48" t="e">
        <v>#REF!</v>
      </c>
      <c r="H1547" s="49">
        <v>4</v>
      </c>
      <c r="I1547" s="49" t="e">
        <v>#REF!</v>
      </c>
      <c r="J1547" s="50"/>
    </row>
    <row r="1548" ht="28.8" outlineLevel="1" spans="1:10">
      <c r="A1548" s="50">
        <v>596</v>
      </c>
      <c r="B1548" s="51" t="str">
        <v>进出户管道、突出金属物接地</v>
      </c>
      <c r="C1548" s="51" t="e">
        <v>#REF!</v>
      </c>
      <c r="D1548" s="51" t="str">
        <v/>
      </c>
      <c r="E1548" s="51" t="str">
        <v/>
      </c>
      <c r="F1548" s="52" t="e">
        <v>#REF!</v>
      </c>
      <c r="G1548" s="48" t="e">
        <v>#REF!</v>
      </c>
      <c r="H1548" s="49">
        <v>10</v>
      </c>
      <c r="I1548" s="49" t="e">
        <v>#REF!</v>
      </c>
      <c r="J1548" s="50"/>
    </row>
    <row r="1549" outlineLevel="1" spans="1:10">
      <c r="A1549" s="50">
        <v>597</v>
      </c>
      <c r="B1549" s="51" t="str">
        <v>钢铝窗接地</v>
      </c>
      <c r="C1549" s="51" t="e">
        <v>#REF!</v>
      </c>
      <c r="D1549" s="51" t="str">
        <v/>
      </c>
      <c r="E1549" s="51" t="str">
        <v/>
      </c>
      <c r="F1549" s="52" t="e">
        <v>#REF!</v>
      </c>
      <c r="G1549" s="48" t="e">
        <v>#REF!</v>
      </c>
      <c r="H1549" s="49">
        <v>0</v>
      </c>
      <c r="I1549" s="49" t="e">
        <v>#REF!</v>
      </c>
      <c r="J1549" s="50"/>
    </row>
    <row r="1550" outlineLevel="1" spans="1:10">
      <c r="A1550" s="50">
        <v>598</v>
      </c>
      <c r="B1550" s="51" t="str">
        <v>接地跨接线</v>
      </c>
      <c r="C1550" s="51" t="e">
        <v>#REF!</v>
      </c>
      <c r="D1550" s="51" t="str">
        <v/>
      </c>
      <c r="E1550" s="51" t="str">
        <v/>
      </c>
      <c r="F1550" s="52" t="e">
        <v>#REF!</v>
      </c>
      <c r="G1550" s="48" t="e">
        <v>#REF!</v>
      </c>
      <c r="H1550" s="49">
        <v>20</v>
      </c>
      <c r="I1550" s="49" t="e">
        <v>#REF!</v>
      </c>
      <c r="J1550" s="50"/>
    </row>
    <row r="1551" outlineLevel="1" spans="1:10">
      <c r="A1551" s="50">
        <v>599</v>
      </c>
      <c r="B1551" s="51" t="str">
        <v>接地端子板</v>
      </c>
      <c r="C1551" s="51" t="e">
        <v>#REF!</v>
      </c>
      <c r="D1551" s="51" t="str">
        <v/>
      </c>
      <c r="E1551" s="51" t="str">
        <v/>
      </c>
      <c r="F1551" s="52" t="e">
        <v>#REF!</v>
      </c>
      <c r="G1551" s="48" t="e">
        <v>#REF!</v>
      </c>
      <c r="H1551" s="49">
        <v>0</v>
      </c>
      <c r="I1551" s="49" t="e">
        <v>#REF!</v>
      </c>
      <c r="J1551" s="50"/>
    </row>
    <row r="1552" outlineLevel="1" spans="1:10">
      <c r="A1552" s="50">
        <v>600</v>
      </c>
      <c r="B1552" s="51" t="str">
        <v>接地连接板</v>
      </c>
      <c r="C1552" s="51" t="e">
        <v>#REF!</v>
      </c>
      <c r="D1552" s="51" t="str">
        <v/>
      </c>
      <c r="E1552" s="51" t="str">
        <v/>
      </c>
      <c r="F1552" s="52" t="e">
        <v>#REF!</v>
      </c>
      <c r="G1552" s="48" t="e">
        <v>#REF!</v>
      </c>
      <c r="H1552" s="49">
        <v>1</v>
      </c>
      <c r="I1552" s="49" t="e">
        <v>#REF!</v>
      </c>
      <c r="J1552" s="50"/>
    </row>
    <row r="1553" outlineLevel="1" spans="1:10">
      <c r="A1553" s="50">
        <v>601</v>
      </c>
      <c r="B1553" s="51" t="str">
        <v>镀锌钢板接地极</v>
      </c>
      <c r="C1553" s="51" t="e">
        <v>#REF!</v>
      </c>
      <c r="D1553" s="51" t="str">
        <v/>
      </c>
      <c r="E1553" s="51" t="str">
        <v/>
      </c>
      <c r="F1553" s="52" t="e">
        <v>#REF!</v>
      </c>
      <c r="G1553" s="48" t="e">
        <v>#REF!</v>
      </c>
      <c r="H1553" s="49">
        <v>0</v>
      </c>
      <c r="I1553" s="49" t="e">
        <v>#REF!</v>
      </c>
      <c r="J1553" s="50"/>
    </row>
    <row r="1554" outlineLevel="1" spans="1:10">
      <c r="A1554" s="50">
        <v>602</v>
      </c>
      <c r="B1554" s="51" t="str">
        <v>接地母线-40*4（室外）</v>
      </c>
      <c r="C1554" s="51" t="e">
        <v>#REF!</v>
      </c>
      <c r="D1554" s="51" t="str">
        <v/>
      </c>
      <c r="E1554" s="51" t="str">
        <v/>
      </c>
      <c r="F1554" s="52" t="e">
        <v>#REF!</v>
      </c>
      <c r="G1554" s="48" t="e">
        <v>#REF!</v>
      </c>
      <c r="H1554" s="49">
        <v>2.6</v>
      </c>
      <c r="I1554" s="49" t="e">
        <v>#REF!</v>
      </c>
      <c r="J1554" s="50"/>
    </row>
    <row r="1555" outlineLevel="1" spans="1:10">
      <c r="A1555" s="50">
        <v>603</v>
      </c>
      <c r="B1555" s="51" t="str">
        <v>接地母线-50*5</v>
      </c>
      <c r="C1555" s="51" t="e">
        <v>#REF!</v>
      </c>
      <c r="D1555" s="51" t="str">
        <v/>
      </c>
      <c r="E1555" s="51" t="str">
        <v/>
      </c>
      <c r="F1555" s="52" t="e">
        <v>#REF!</v>
      </c>
      <c r="G1555" s="48" t="e">
        <v>#REF!</v>
      </c>
      <c r="H1555" s="49">
        <v>0</v>
      </c>
      <c r="I1555" s="49" t="e">
        <v>#REF!</v>
      </c>
      <c r="J1555" s="50"/>
    </row>
    <row r="1556" outlineLevel="1" spans="1:10">
      <c r="A1556" s="50">
        <v>604</v>
      </c>
      <c r="B1556" s="51" t="str">
        <v>接地母线-40*4</v>
      </c>
      <c r="C1556" s="51" t="e">
        <v>#REF!</v>
      </c>
      <c r="D1556" s="51" t="str">
        <v/>
      </c>
      <c r="E1556" s="51" t="str">
        <v/>
      </c>
      <c r="F1556" s="52" t="e">
        <v>#REF!</v>
      </c>
      <c r="G1556" s="48" t="e">
        <v>#REF!</v>
      </c>
      <c r="H1556" s="49">
        <v>310.07</v>
      </c>
      <c r="I1556" s="49" t="e">
        <v>#REF!</v>
      </c>
      <c r="J1556" s="50"/>
    </row>
    <row r="1557" outlineLevel="1" spans="1:10">
      <c r="A1557" s="50">
        <v>605</v>
      </c>
      <c r="B1557" s="51" t="str">
        <v>阻燃塑料管配管-PC32-暗配</v>
      </c>
      <c r="C1557" s="51" t="e">
        <v>#REF!</v>
      </c>
      <c r="D1557" s="51" t="str">
        <v/>
      </c>
      <c r="E1557" s="51" t="str">
        <v/>
      </c>
      <c r="F1557" s="52" t="e">
        <v>#REF!</v>
      </c>
      <c r="G1557" s="48" t="e">
        <v>#REF!</v>
      </c>
      <c r="H1557" s="49">
        <v>1.35</v>
      </c>
      <c r="I1557" s="49" t="e">
        <v>#REF!</v>
      </c>
      <c r="J1557" s="50"/>
    </row>
    <row r="1558" outlineLevel="1" spans="1:10">
      <c r="A1558" s="50">
        <v>606</v>
      </c>
      <c r="B1558" s="51" t="str">
        <v>综合配线-BV25</v>
      </c>
      <c r="C1558" s="51" t="e">
        <v>#REF!</v>
      </c>
      <c r="D1558" s="51" t="str">
        <v/>
      </c>
      <c r="E1558" s="51" t="str">
        <v/>
      </c>
      <c r="F1558" s="52" t="e">
        <v>#REF!</v>
      </c>
      <c r="G1558" s="48" t="e">
        <v>#REF!</v>
      </c>
      <c r="H1558" s="49">
        <v>1.35</v>
      </c>
      <c r="I1558" s="49" t="e">
        <v>#REF!</v>
      </c>
      <c r="J1558" s="50"/>
    </row>
    <row r="1559" outlineLevel="1" spans="1:10">
      <c r="A1559" s="50">
        <v>607</v>
      </c>
      <c r="B1559" s="51" t="str">
        <v>接地装置</v>
      </c>
      <c r="C1559" s="51" t="e">
        <v>#REF!</v>
      </c>
      <c r="D1559" s="51" t="str">
        <v/>
      </c>
      <c r="E1559" s="51" t="str">
        <v/>
      </c>
      <c r="F1559" s="52" t="e">
        <v>#REF!</v>
      </c>
      <c r="G1559" s="48" t="e">
        <v>#REF!</v>
      </c>
      <c r="H1559" s="49">
        <v>1</v>
      </c>
      <c r="I1559" s="49" t="e">
        <v>#REF!</v>
      </c>
      <c r="J1559" s="50"/>
    </row>
    <row r="1560" outlineLevel="1" spans="1:10">
      <c r="A1560" s="50" t="str">
        <v/>
      </c>
      <c r="B1560" s="51" t="str">
        <v>B.19弱电工程</v>
      </c>
      <c r="C1560" s="51" t="str">
        <v/>
      </c>
      <c r="D1560" s="51" t="str">
        <v/>
      </c>
      <c r="E1560" s="51" t="str">
        <v/>
      </c>
      <c r="F1560" s="52" t="str">
        <v/>
      </c>
      <c r="G1560" s="48" t="str">
        <v/>
      </c>
      <c r="H1560" s="49">
        <v>0</v>
      </c>
      <c r="I1560" s="49" t="e">
        <v>#REF!</v>
      </c>
      <c r="J1560" s="50"/>
    </row>
    <row r="1561" outlineLevel="1" spans="1:10">
      <c r="A1561" s="50">
        <v>608</v>
      </c>
      <c r="B1561" s="51" t="str">
        <v>金属桥架-100*100</v>
      </c>
      <c r="C1561" s="51" t="e">
        <v>#REF!</v>
      </c>
      <c r="D1561" s="51" t="str">
        <v/>
      </c>
      <c r="E1561" s="51" t="str">
        <v/>
      </c>
      <c r="F1561" s="52" t="e">
        <v>#REF!</v>
      </c>
      <c r="G1561" s="48" t="e">
        <v>#REF!</v>
      </c>
      <c r="H1561" s="49">
        <v>0</v>
      </c>
      <c r="I1561" s="49" t="e">
        <v>#REF!</v>
      </c>
      <c r="J1561" s="50"/>
    </row>
    <row r="1562" outlineLevel="1" spans="1:10">
      <c r="A1562" s="50">
        <v>609</v>
      </c>
      <c r="B1562" s="51" t="str">
        <v>金属桥架-300*200</v>
      </c>
      <c r="C1562" s="51" t="e">
        <v>#REF!</v>
      </c>
      <c r="D1562" s="51" t="str">
        <v/>
      </c>
      <c r="E1562" s="51" t="str">
        <v/>
      </c>
      <c r="F1562" s="52" t="e">
        <v>#REF!</v>
      </c>
      <c r="G1562" s="48" t="e">
        <v>#REF!</v>
      </c>
      <c r="H1562" s="49">
        <v>0</v>
      </c>
      <c r="I1562" s="49" t="e">
        <v>#REF!</v>
      </c>
      <c r="J1562" s="50"/>
    </row>
    <row r="1563" outlineLevel="1" spans="1:10">
      <c r="A1563" s="50">
        <v>610</v>
      </c>
      <c r="B1563" s="51" t="str">
        <v>金属桥架-200*200</v>
      </c>
      <c r="C1563" s="51" t="e">
        <v>#REF!</v>
      </c>
      <c r="D1563" s="51" t="str">
        <v/>
      </c>
      <c r="E1563" s="51" t="str">
        <v/>
      </c>
      <c r="F1563" s="52" t="e">
        <v>#REF!</v>
      </c>
      <c r="G1563" s="48" t="e">
        <v>#REF!</v>
      </c>
      <c r="H1563" s="49">
        <v>0</v>
      </c>
      <c r="I1563" s="49" t="e">
        <v>#REF!</v>
      </c>
      <c r="J1563" s="50"/>
    </row>
    <row r="1564" outlineLevel="1" spans="1:10">
      <c r="A1564" s="50">
        <v>611</v>
      </c>
      <c r="B1564" s="51" t="str">
        <v>金属桥架-200*100</v>
      </c>
      <c r="C1564" s="51" t="e">
        <v>#REF!</v>
      </c>
      <c r="D1564" s="51" t="str">
        <v/>
      </c>
      <c r="E1564" s="51" t="str">
        <v/>
      </c>
      <c r="F1564" s="52" t="e">
        <v>#REF!</v>
      </c>
      <c r="G1564" s="48" t="e">
        <v>#REF!</v>
      </c>
      <c r="H1564" s="49">
        <v>24.55</v>
      </c>
      <c r="I1564" s="49" t="e">
        <v>#REF!</v>
      </c>
      <c r="J1564" s="50"/>
    </row>
    <row r="1565" outlineLevel="1" spans="1:10">
      <c r="A1565" s="50">
        <v>612</v>
      </c>
      <c r="B1565" s="51" t="str">
        <v>金属桥架-150*100</v>
      </c>
      <c r="C1565" s="51" t="e">
        <v>#REF!</v>
      </c>
      <c r="D1565" s="51" t="str">
        <v/>
      </c>
      <c r="E1565" s="51" t="str">
        <v/>
      </c>
      <c r="F1565" s="52" t="e">
        <v>#REF!</v>
      </c>
      <c r="G1565" s="48" t="e">
        <v>#REF!</v>
      </c>
      <c r="H1565" s="49">
        <v>23.19</v>
      </c>
      <c r="I1565" s="49" t="e">
        <v>#REF!</v>
      </c>
      <c r="J1565" s="50"/>
    </row>
    <row r="1566" outlineLevel="1" spans="1:10">
      <c r="A1566" s="50">
        <v>613</v>
      </c>
      <c r="B1566" s="51" t="str">
        <v>金属桥架-150*100</v>
      </c>
      <c r="C1566" s="51" t="e">
        <v>#REF!</v>
      </c>
      <c r="D1566" s="51" t="str">
        <v/>
      </c>
      <c r="E1566" s="51" t="str">
        <v/>
      </c>
      <c r="F1566" s="52" t="e">
        <v>#REF!</v>
      </c>
      <c r="G1566" s="48" t="e">
        <v>#REF!</v>
      </c>
      <c r="H1566" s="49">
        <v>0</v>
      </c>
      <c r="I1566" s="49" t="e">
        <v>#REF!</v>
      </c>
      <c r="J1566" s="50"/>
    </row>
    <row r="1567" outlineLevel="1" spans="1:10">
      <c r="A1567" s="50">
        <v>614</v>
      </c>
      <c r="B1567" s="51" t="str">
        <v>金属桥架-200*100</v>
      </c>
      <c r="C1567" s="51" t="e">
        <v>#REF!</v>
      </c>
      <c r="D1567" s="51" t="str">
        <v/>
      </c>
      <c r="E1567" s="51" t="str">
        <v/>
      </c>
      <c r="F1567" s="52" t="e">
        <v>#REF!</v>
      </c>
      <c r="G1567" s="48" t="e">
        <v>#REF!</v>
      </c>
      <c r="H1567" s="49">
        <v>0</v>
      </c>
      <c r="I1567" s="49" t="e">
        <v>#REF!</v>
      </c>
      <c r="J1567" s="50"/>
    </row>
    <row r="1568" outlineLevel="1" spans="1:10">
      <c r="A1568" s="50">
        <v>615</v>
      </c>
      <c r="B1568" s="51" t="str">
        <v>金属桥架-80*50</v>
      </c>
      <c r="C1568" s="51" t="e">
        <v>#REF!</v>
      </c>
      <c r="D1568" s="51" t="str">
        <v/>
      </c>
      <c r="E1568" s="51" t="str">
        <v/>
      </c>
      <c r="F1568" s="52" t="e">
        <v>#REF!</v>
      </c>
      <c r="G1568" s="48" t="e">
        <v>#REF!</v>
      </c>
      <c r="H1568" s="49">
        <v>0</v>
      </c>
      <c r="I1568" s="49" t="e">
        <v>#REF!</v>
      </c>
      <c r="J1568" s="50"/>
    </row>
    <row r="1569" outlineLevel="1" spans="1:10">
      <c r="A1569" s="50">
        <v>616</v>
      </c>
      <c r="B1569" s="51" t="str">
        <v>金属桥架-100*50</v>
      </c>
      <c r="C1569" s="51" t="e">
        <v>#REF!</v>
      </c>
      <c r="D1569" s="51" t="str">
        <v/>
      </c>
      <c r="E1569" s="51" t="str">
        <v/>
      </c>
      <c r="F1569" s="52" t="e">
        <v>#REF!</v>
      </c>
      <c r="G1569" s="48" t="e">
        <v>#REF!</v>
      </c>
      <c r="H1569" s="49">
        <v>0</v>
      </c>
      <c r="I1569" s="49" t="e">
        <v>#REF!</v>
      </c>
      <c r="J1569" s="50"/>
    </row>
    <row r="1570" outlineLevel="1" spans="1:10">
      <c r="A1570" s="50">
        <v>617</v>
      </c>
      <c r="B1570" s="51" t="str">
        <v>防火堵洞</v>
      </c>
      <c r="C1570" s="51" t="e">
        <v>#REF!</v>
      </c>
      <c r="D1570" s="51" t="str">
        <v/>
      </c>
      <c r="E1570" s="51" t="str">
        <v/>
      </c>
      <c r="F1570" s="52" t="e">
        <v>#REF!</v>
      </c>
      <c r="G1570" s="48" t="e">
        <v>#REF!</v>
      </c>
      <c r="H1570" s="49">
        <v>6</v>
      </c>
      <c r="I1570" s="49" t="e">
        <v>#REF!</v>
      </c>
      <c r="J1570" s="50"/>
    </row>
    <row r="1571" outlineLevel="1" spans="1:10">
      <c r="A1571" s="50">
        <v>618</v>
      </c>
      <c r="B1571" s="51" t="str">
        <v>阻燃塑料管配管-PC20-暗配</v>
      </c>
      <c r="C1571" s="51" t="e">
        <v>#REF!</v>
      </c>
      <c r="D1571" s="51" t="str">
        <v/>
      </c>
      <c r="E1571" s="51" t="str">
        <v/>
      </c>
      <c r="F1571" s="52" t="e">
        <v>#REF!</v>
      </c>
      <c r="G1571" s="48" t="e">
        <v>#REF!</v>
      </c>
      <c r="H1571" s="49">
        <v>53.81</v>
      </c>
      <c r="I1571" s="49" t="e">
        <v>#REF!</v>
      </c>
      <c r="J1571" s="50"/>
    </row>
    <row r="1572" outlineLevel="1" spans="1:10">
      <c r="A1572" s="50">
        <v>619</v>
      </c>
      <c r="B1572" s="51" t="str">
        <v>阻燃塑料管配管-PC25-暗配</v>
      </c>
      <c r="C1572" s="51" t="e">
        <v>#REF!</v>
      </c>
      <c r="D1572" s="51" t="str">
        <v/>
      </c>
      <c r="E1572" s="51" t="str">
        <v/>
      </c>
      <c r="F1572" s="52" t="e">
        <v>#REF!</v>
      </c>
      <c r="G1572" s="48" t="e">
        <v>#REF!</v>
      </c>
      <c r="H1572" s="49">
        <v>28.53</v>
      </c>
      <c r="I1572" s="49" t="e">
        <v>#REF!</v>
      </c>
      <c r="J1572" s="50"/>
    </row>
    <row r="1573" outlineLevel="1" spans="1:10">
      <c r="A1573" s="50">
        <v>620</v>
      </c>
      <c r="B1573" s="51" t="str">
        <v>薄壁钢导管配管-JDG20-暗配</v>
      </c>
      <c r="C1573" s="51" t="e">
        <v>#REF!</v>
      </c>
      <c r="D1573" s="51" t="str">
        <v/>
      </c>
      <c r="E1573" s="51" t="str">
        <v/>
      </c>
      <c r="F1573" s="52" t="e">
        <v>#REF!</v>
      </c>
      <c r="G1573" s="48" t="e">
        <v>#REF!</v>
      </c>
      <c r="H1573" s="49">
        <v>0</v>
      </c>
      <c r="I1573" s="49" t="e">
        <v>#REF!</v>
      </c>
      <c r="J1573" s="50"/>
    </row>
    <row r="1574" outlineLevel="1" spans="1:10">
      <c r="A1574" s="50">
        <v>621</v>
      </c>
      <c r="B1574" s="51" t="str">
        <v>薄壁钢导管配管-JDG25-暗配</v>
      </c>
      <c r="C1574" s="51" t="e">
        <v>#REF!</v>
      </c>
      <c r="D1574" s="51" t="str">
        <v/>
      </c>
      <c r="E1574" s="51" t="str">
        <v/>
      </c>
      <c r="F1574" s="52" t="e">
        <v>#REF!</v>
      </c>
      <c r="G1574" s="48" t="e">
        <v>#REF!</v>
      </c>
      <c r="H1574" s="49">
        <v>0</v>
      </c>
      <c r="I1574" s="49" t="e">
        <v>#REF!</v>
      </c>
      <c r="J1574" s="50"/>
    </row>
    <row r="1575" outlineLevel="1" spans="1:10">
      <c r="A1575" s="50">
        <v>622</v>
      </c>
      <c r="B1575" s="51" t="str">
        <v>SC20-暗配</v>
      </c>
      <c r="C1575" s="51" t="e">
        <v>#REF!</v>
      </c>
      <c r="D1575" s="51" t="str">
        <v/>
      </c>
      <c r="E1575" s="51" t="str">
        <v/>
      </c>
      <c r="F1575" s="52" t="e">
        <v>#REF!</v>
      </c>
      <c r="G1575" s="48" t="e">
        <v>#REF!</v>
      </c>
      <c r="H1575" s="49">
        <v>37.54</v>
      </c>
      <c r="I1575" s="49" t="e">
        <v>#REF!</v>
      </c>
      <c r="J1575" s="50"/>
    </row>
    <row r="1576" outlineLevel="1" spans="1:10">
      <c r="A1576" s="50">
        <v>623</v>
      </c>
      <c r="B1576" s="51" t="str">
        <v>SC40-暗配</v>
      </c>
      <c r="C1576" s="51" t="e">
        <v>#REF!</v>
      </c>
      <c r="D1576" s="51" t="str">
        <v/>
      </c>
      <c r="E1576" s="51" t="str">
        <v/>
      </c>
      <c r="F1576" s="52" t="e">
        <v>#REF!</v>
      </c>
      <c r="G1576" s="48" t="e">
        <v>#REF!</v>
      </c>
      <c r="H1576" s="49">
        <v>0</v>
      </c>
      <c r="I1576" s="49" t="e">
        <v>#REF!</v>
      </c>
      <c r="J1576" s="50"/>
    </row>
    <row r="1577" outlineLevel="1" spans="1:10">
      <c r="A1577" s="50">
        <v>624</v>
      </c>
      <c r="B1577" s="51" t="str">
        <v>SC80-暗配</v>
      </c>
      <c r="C1577" s="51" t="e">
        <v>#REF!</v>
      </c>
      <c r="D1577" s="51" t="str">
        <v/>
      </c>
      <c r="E1577" s="51" t="str">
        <v/>
      </c>
      <c r="F1577" s="52" t="e">
        <v>#REF!</v>
      </c>
      <c r="G1577" s="48" t="e">
        <v>#REF!</v>
      </c>
      <c r="H1577" s="49">
        <v>0</v>
      </c>
      <c r="I1577" s="49" t="e">
        <v>#REF!</v>
      </c>
      <c r="J1577" s="50"/>
    </row>
    <row r="1578" outlineLevel="1" spans="1:10">
      <c r="A1578" s="50">
        <v>625</v>
      </c>
      <c r="B1578" s="51" t="str">
        <v>暗装塑料接线盒</v>
      </c>
      <c r="C1578" s="51" t="e">
        <v>#REF!</v>
      </c>
      <c r="D1578" s="51" t="str">
        <v/>
      </c>
      <c r="E1578" s="51" t="str">
        <v/>
      </c>
      <c r="F1578" s="52" t="e">
        <v>#REF!</v>
      </c>
      <c r="G1578" s="48" t="e">
        <v>#REF!</v>
      </c>
      <c r="H1578" s="49">
        <v>8</v>
      </c>
      <c r="I1578" s="49" t="e">
        <v>#REF!</v>
      </c>
      <c r="J1578" s="50"/>
    </row>
    <row r="1579" outlineLevel="1" spans="1:10">
      <c r="A1579" s="50">
        <v>626</v>
      </c>
      <c r="B1579" s="51" t="str">
        <v>暗装钢制接线盒</v>
      </c>
      <c r="C1579" s="51" t="e">
        <v>#REF!</v>
      </c>
      <c r="D1579" s="51" t="str">
        <v/>
      </c>
      <c r="E1579" s="51" t="str">
        <v/>
      </c>
      <c r="F1579" s="52" t="e">
        <v>#REF!</v>
      </c>
      <c r="G1579" s="48" t="e">
        <v>#REF!</v>
      </c>
      <c r="H1579" s="49">
        <v>3</v>
      </c>
      <c r="I1579" s="49" t="e">
        <v>#REF!</v>
      </c>
      <c r="J1579" s="50"/>
    </row>
    <row r="1580" outlineLevel="1" spans="1:10">
      <c r="A1580" s="50">
        <v>627</v>
      </c>
      <c r="B1580" s="51" t="str">
        <v>空白面板</v>
      </c>
      <c r="C1580" s="51" t="e">
        <v>#REF!</v>
      </c>
      <c r="D1580" s="51" t="str">
        <v/>
      </c>
      <c r="E1580" s="51" t="str">
        <v/>
      </c>
      <c r="F1580" s="52" t="e">
        <v>#REF!</v>
      </c>
      <c r="G1580" s="48" t="e">
        <v>#REF!</v>
      </c>
      <c r="H1580" s="49">
        <v>11</v>
      </c>
      <c r="I1580" s="49" t="e">
        <v>#REF!</v>
      </c>
      <c r="J1580" s="50"/>
    </row>
    <row r="1581" outlineLevel="1" spans="1:10">
      <c r="A1581" s="50">
        <v>628</v>
      </c>
      <c r="B1581" s="51" t="str">
        <v>管内穿铁丝</v>
      </c>
      <c r="C1581" s="51" t="e">
        <v>#REF!</v>
      </c>
      <c r="D1581" s="51" t="str">
        <v/>
      </c>
      <c r="E1581" s="51" t="str">
        <v/>
      </c>
      <c r="F1581" s="52" t="e">
        <v>#REF!</v>
      </c>
      <c r="G1581" s="48" t="e">
        <v>#REF!</v>
      </c>
      <c r="H1581" s="49">
        <v>119.88</v>
      </c>
      <c r="I1581" s="49" t="e">
        <v>#REF!</v>
      </c>
      <c r="J1581" s="50"/>
    </row>
    <row r="1582" outlineLevel="1" spans="1:10">
      <c r="A1582" s="50">
        <v>629</v>
      </c>
      <c r="B1582" s="51" t="str">
        <v>电缆保护管-RC80</v>
      </c>
      <c r="C1582" s="51" t="e">
        <v>#REF!</v>
      </c>
      <c r="D1582" s="51" t="str">
        <v/>
      </c>
      <c r="E1582" s="51" t="str">
        <v/>
      </c>
      <c r="F1582" s="52" t="e">
        <v>#REF!</v>
      </c>
      <c r="G1582" s="48" t="e">
        <v>#REF!</v>
      </c>
      <c r="H1582" s="49">
        <v>0</v>
      </c>
      <c r="I1582" s="49" t="e">
        <v>#REF!</v>
      </c>
      <c r="J1582" s="50"/>
    </row>
    <row r="1583" outlineLevel="1" spans="1:10">
      <c r="A1583" s="50" t="str">
        <v/>
      </c>
      <c r="B1583" s="51" t="str">
        <v>B.20消防工程</v>
      </c>
      <c r="C1583" s="51" t="str">
        <v/>
      </c>
      <c r="D1583" s="51" t="str">
        <v/>
      </c>
      <c r="E1583" s="51" t="str">
        <v/>
      </c>
      <c r="F1583" s="52" t="str">
        <v/>
      </c>
      <c r="G1583" s="48" t="str">
        <v/>
      </c>
      <c r="H1583" s="49">
        <v>0</v>
      </c>
      <c r="I1583" s="49" t="e">
        <v>#REF!</v>
      </c>
      <c r="J1583" s="50"/>
    </row>
    <row r="1584" outlineLevel="1" spans="1:10">
      <c r="A1584" s="50">
        <v>630</v>
      </c>
      <c r="B1584" s="51" t="str">
        <v>防火桥架-100*100</v>
      </c>
      <c r="C1584" s="51" t="e">
        <v>#REF!</v>
      </c>
      <c r="D1584" s="51" t="str">
        <v/>
      </c>
      <c r="E1584" s="51" t="str">
        <v/>
      </c>
      <c r="F1584" s="52" t="e">
        <v>#REF!</v>
      </c>
      <c r="G1584" s="48" t="e">
        <v>#REF!</v>
      </c>
      <c r="H1584" s="49">
        <v>62.18</v>
      </c>
      <c r="I1584" s="49" t="e">
        <v>#REF!</v>
      </c>
      <c r="J1584" s="50"/>
    </row>
    <row r="1585" outlineLevel="1" spans="1:10">
      <c r="A1585" s="50">
        <v>631</v>
      </c>
      <c r="B1585" s="51" t="str">
        <v>防火桥架-200*100</v>
      </c>
      <c r="C1585" s="51" t="e">
        <v>#REF!</v>
      </c>
      <c r="D1585" s="51" t="str">
        <v/>
      </c>
      <c r="E1585" s="51" t="str">
        <v/>
      </c>
      <c r="F1585" s="52" t="e">
        <v>#REF!</v>
      </c>
      <c r="G1585" s="48" t="e">
        <v>#REF!</v>
      </c>
      <c r="H1585" s="49">
        <v>0</v>
      </c>
      <c r="I1585" s="49" t="e">
        <v>#REF!</v>
      </c>
      <c r="J1585" s="50"/>
    </row>
    <row r="1586" outlineLevel="1" spans="1:10">
      <c r="A1586" s="50">
        <v>632</v>
      </c>
      <c r="B1586" s="51" t="str">
        <v>防火桥架-200*150</v>
      </c>
      <c r="C1586" s="51" t="e">
        <v>#REF!</v>
      </c>
      <c r="D1586" s="51" t="str">
        <v/>
      </c>
      <c r="E1586" s="51" t="str">
        <v/>
      </c>
      <c r="F1586" s="52" t="e">
        <v>#REF!</v>
      </c>
      <c r="G1586" s="48" t="e">
        <v>#REF!</v>
      </c>
      <c r="H1586" s="49">
        <v>0</v>
      </c>
      <c r="I1586" s="49" t="e">
        <v>#REF!</v>
      </c>
      <c r="J1586" s="50"/>
    </row>
    <row r="1587" outlineLevel="1" spans="1:10">
      <c r="A1587" s="50">
        <v>633</v>
      </c>
      <c r="B1587" s="51" t="str">
        <v>防火桥架-200*200</v>
      </c>
      <c r="C1587" s="51" t="e">
        <v>#REF!</v>
      </c>
      <c r="D1587" s="51" t="str">
        <v/>
      </c>
      <c r="E1587" s="51" t="str">
        <v/>
      </c>
      <c r="F1587" s="52" t="e">
        <v>#REF!</v>
      </c>
      <c r="G1587" s="48" t="e">
        <v>#REF!</v>
      </c>
      <c r="H1587" s="49">
        <v>0</v>
      </c>
      <c r="I1587" s="49" t="e">
        <v>#REF!</v>
      </c>
      <c r="J1587" s="50"/>
    </row>
    <row r="1588" outlineLevel="1" spans="1:10">
      <c r="A1588" s="50">
        <v>634</v>
      </c>
      <c r="B1588" s="51" t="str">
        <v>防火桥架-300*150</v>
      </c>
      <c r="C1588" s="51" t="e">
        <v>#REF!</v>
      </c>
      <c r="D1588" s="51" t="str">
        <v/>
      </c>
      <c r="E1588" s="51" t="str">
        <v/>
      </c>
      <c r="F1588" s="52" t="e">
        <v>#REF!</v>
      </c>
      <c r="G1588" s="48" t="e">
        <v>#REF!</v>
      </c>
      <c r="H1588" s="49">
        <v>0</v>
      </c>
      <c r="I1588" s="49" t="e">
        <v>#REF!</v>
      </c>
      <c r="J1588" s="50"/>
    </row>
    <row r="1589" outlineLevel="1" spans="1:10">
      <c r="A1589" s="50">
        <v>635</v>
      </c>
      <c r="B1589" s="51" t="str">
        <v>防火桥架-300*200</v>
      </c>
      <c r="C1589" s="51" t="e">
        <v>#REF!</v>
      </c>
      <c r="D1589" s="51" t="str">
        <v/>
      </c>
      <c r="E1589" s="51" t="str">
        <v/>
      </c>
      <c r="F1589" s="52" t="e">
        <v>#REF!</v>
      </c>
      <c r="G1589" s="48" t="e">
        <v>#REF!</v>
      </c>
      <c r="H1589" s="49">
        <v>0</v>
      </c>
      <c r="I1589" s="49" t="e">
        <v>#REF!</v>
      </c>
      <c r="J1589" s="50"/>
    </row>
    <row r="1590" outlineLevel="1" spans="1:10">
      <c r="A1590" s="50">
        <v>636</v>
      </c>
      <c r="B1590" s="51" t="str">
        <v>防火桥架-400*150</v>
      </c>
      <c r="C1590" s="51" t="e">
        <v>#REF!</v>
      </c>
      <c r="D1590" s="51" t="str">
        <v/>
      </c>
      <c r="E1590" s="51" t="str">
        <v/>
      </c>
      <c r="F1590" s="52" t="e">
        <v>#REF!</v>
      </c>
      <c r="G1590" s="48" t="e">
        <v>#REF!</v>
      </c>
      <c r="H1590" s="49">
        <v>0</v>
      </c>
      <c r="I1590" s="49" t="e">
        <v>#REF!</v>
      </c>
      <c r="J1590" s="50"/>
    </row>
    <row r="1591" outlineLevel="1" spans="1:10">
      <c r="A1591" s="50">
        <v>637</v>
      </c>
      <c r="B1591" s="51" t="str">
        <v>防火桥架-400*200</v>
      </c>
      <c r="C1591" s="51" t="e">
        <v>#REF!</v>
      </c>
      <c r="D1591" s="51" t="str">
        <v/>
      </c>
      <c r="E1591" s="51" t="str">
        <v/>
      </c>
      <c r="F1591" s="52" t="e">
        <v>#REF!</v>
      </c>
      <c r="G1591" s="48" t="e">
        <v>#REF!</v>
      </c>
      <c r="H1591" s="49">
        <v>0</v>
      </c>
      <c r="I1591" s="49" t="e">
        <v>#REF!</v>
      </c>
      <c r="J1591" s="50"/>
    </row>
    <row r="1592" outlineLevel="1" spans="1:10">
      <c r="A1592" s="50">
        <v>636</v>
      </c>
      <c r="B1592" s="51" t="str">
        <v>防火堵洞</v>
      </c>
      <c r="C1592" s="51" t="e">
        <v>#REF!</v>
      </c>
      <c r="D1592" s="51" t="str">
        <v/>
      </c>
      <c r="E1592" s="51" t="str">
        <v/>
      </c>
      <c r="F1592" s="52" t="e">
        <v>#REF!</v>
      </c>
      <c r="G1592" s="48" t="e">
        <v>#REF!</v>
      </c>
      <c r="H1592" s="49">
        <v>6</v>
      </c>
      <c r="I1592" s="49" t="e">
        <v>#REF!</v>
      </c>
      <c r="J1592" s="50"/>
    </row>
    <row r="1593" outlineLevel="1" spans="1:10">
      <c r="A1593" s="50">
        <v>638</v>
      </c>
      <c r="B1593" s="51" t="str">
        <v>薄壁钢导管配管-JDG20-暗配</v>
      </c>
      <c r="C1593" s="51" t="e">
        <v>#REF!</v>
      </c>
      <c r="D1593" s="51" t="str">
        <v/>
      </c>
      <c r="E1593" s="51" t="str">
        <v/>
      </c>
      <c r="F1593" s="52" t="e">
        <v>#REF!</v>
      </c>
      <c r="G1593" s="48" t="e">
        <v>#REF!</v>
      </c>
      <c r="H1593" s="49">
        <v>0</v>
      </c>
      <c r="I1593" s="49" t="e">
        <v>#REF!</v>
      </c>
      <c r="J1593" s="50"/>
    </row>
    <row r="1594" outlineLevel="1" spans="1:10">
      <c r="A1594" s="50">
        <v>639</v>
      </c>
      <c r="B1594" s="51" t="str">
        <v>薄壁钢导管配管-JDG25-暗配</v>
      </c>
      <c r="C1594" s="51" t="e">
        <v>#REF!</v>
      </c>
      <c r="D1594" s="51" t="str">
        <v/>
      </c>
      <c r="E1594" s="51" t="str">
        <v/>
      </c>
      <c r="F1594" s="52" t="e">
        <v>#REF!</v>
      </c>
      <c r="G1594" s="48" t="e">
        <v>#REF!</v>
      </c>
      <c r="H1594" s="49">
        <v>0</v>
      </c>
      <c r="I1594" s="49" t="e">
        <v>#REF!</v>
      </c>
      <c r="J1594" s="50"/>
    </row>
    <row r="1595" outlineLevel="1" spans="1:10">
      <c r="A1595" s="50">
        <v>640</v>
      </c>
      <c r="B1595" s="51" t="str">
        <v>SC15-暗配</v>
      </c>
      <c r="C1595" s="51" t="e">
        <v>#REF!</v>
      </c>
      <c r="D1595" s="51" t="str">
        <v/>
      </c>
      <c r="E1595" s="51" t="str">
        <v/>
      </c>
      <c r="F1595" s="52" t="e">
        <v>#REF!</v>
      </c>
      <c r="G1595" s="48" t="e">
        <v>#REF!</v>
      </c>
      <c r="H1595" s="49">
        <v>3.34</v>
      </c>
      <c r="I1595" s="49" t="e">
        <v>#REF!</v>
      </c>
      <c r="J1595" s="50"/>
    </row>
    <row r="1596" outlineLevel="1" spans="1:10">
      <c r="A1596" s="50">
        <v>641</v>
      </c>
      <c r="B1596" s="51" t="str">
        <v>SC20-暗配</v>
      </c>
      <c r="C1596" s="51" t="e">
        <v>#REF!</v>
      </c>
      <c r="D1596" s="51" t="str">
        <v/>
      </c>
      <c r="E1596" s="51" t="str">
        <v/>
      </c>
      <c r="F1596" s="52" t="e">
        <v>#REF!</v>
      </c>
      <c r="G1596" s="48" t="e">
        <v>#REF!</v>
      </c>
      <c r="H1596" s="49">
        <v>702.55</v>
      </c>
      <c r="I1596" s="49" t="e">
        <v>#REF!</v>
      </c>
      <c r="J1596" s="50"/>
    </row>
    <row r="1597" outlineLevel="1" spans="1:10">
      <c r="A1597" s="50">
        <v>642</v>
      </c>
      <c r="B1597" s="51" t="str">
        <v>SC25-暗配</v>
      </c>
      <c r="C1597" s="51" t="e">
        <v>#REF!</v>
      </c>
      <c r="D1597" s="51" t="str">
        <v/>
      </c>
      <c r="E1597" s="51" t="str">
        <v/>
      </c>
      <c r="F1597" s="52" t="e">
        <v>#REF!</v>
      </c>
      <c r="G1597" s="48" t="e">
        <v>#REF!</v>
      </c>
      <c r="H1597" s="49">
        <v>52.98</v>
      </c>
      <c r="I1597" s="49" t="e">
        <v>#REF!</v>
      </c>
      <c r="J1597" s="50"/>
    </row>
    <row r="1598" outlineLevel="1" spans="1:10">
      <c r="A1598" s="50">
        <v>643</v>
      </c>
      <c r="B1598" s="51" t="str">
        <v>管内穿铁丝</v>
      </c>
      <c r="C1598" s="51" t="e">
        <v>#REF!</v>
      </c>
      <c r="D1598" s="51" t="str">
        <v/>
      </c>
      <c r="E1598" s="51" t="str">
        <v/>
      </c>
      <c r="F1598" s="52" t="e">
        <v>#REF!</v>
      </c>
      <c r="G1598" s="48" t="e">
        <v>#REF!</v>
      </c>
      <c r="H1598" s="49">
        <v>758.87</v>
      </c>
      <c r="I1598" s="49" t="e">
        <v>#REF!</v>
      </c>
      <c r="J1598" s="50"/>
    </row>
    <row r="1599" outlineLevel="1" spans="1:10">
      <c r="A1599" s="50">
        <v>644</v>
      </c>
      <c r="B1599" s="51" t="str">
        <v>暗装钢制接线盒</v>
      </c>
      <c r="C1599" s="51" t="e">
        <v>#REF!</v>
      </c>
      <c r="D1599" s="51" t="str">
        <v/>
      </c>
      <c r="E1599" s="51" t="str">
        <v/>
      </c>
      <c r="F1599" s="52" t="e">
        <v>#REF!</v>
      </c>
      <c r="G1599" s="48" t="e">
        <v>#REF!</v>
      </c>
      <c r="H1599" s="49">
        <v>106</v>
      </c>
      <c r="I1599" s="49" t="e">
        <v>#REF!</v>
      </c>
      <c r="J1599" s="50"/>
    </row>
    <row r="1600" outlineLevel="1" spans="1:10">
      <c r="A1600" s="50" t="str">
        <v/>
      </c>
      <c r="B1600" s="51" t="str">
        <v>地上电气</v>
      </c>
      <c r="C1600" s="51" t="str">
        <v/>
      </c>
      <c r="D1600" s="51" t="str">
        <v/>
      </c>
      <c r="E1600" s="51" t="str">
        <v/>
      </c>
      <c r="F1600" s="52" t="str">
        <v/>
      </c>
      <c r="G1600" s="48" t="str">
        <v/>
      </c>
      <c r="H1600" s="49">
        <v>0</v>
      </c>
      <c r="I1600" s="49" t="e">
        <v>#REF!</v>
      </c>
      <c r="J1600" s="50"/>
    </row>
    <row r="1601" outlineLevel="1" spans="1:10">
      <c r="A1601" s="50" t="str">
        <v/>
      </c>
      <c r="B1601" s="51" t="str">
        <v>B.21强电工程</v>
      </c>
      <c r="C1601" s="51" t="str">
        <v/>
      </c>
      <c r="D1601" s="51" t="str">
        <v/>
      </c>
      <c r="E1601" s="51" t="str">
        <v/>
      </c>
      <c r="F1601" s="52" t="str">
        <v/>
      </c>
      <c r="G1601" s="48" t="str">
        <v/>
      </c>
      <c r="H1601" s="49">
        <v>0</v>
      </c>
      <c r="I1601" s="49" t="e">
        <v>#REF!</v>
      </c>
      <c r="J1601" s="50"/>
    </row>
    <row r="1602" outlineLevel="1" spans="1:10">
      <c r="A1602" s="50" t="str">
        <v/>
      </c>
      <c r="B1602" s="51" t="str">
        <v>B.21.1配电箱</v>
      </c>
      <c r="C1602" s="51" t="str">
        <v/>
      </c>
      <c r="D1602" s="51" t="str">
        <v/>
      </c>
      <c r="E1602" s="51" t="str">
        <v/>
      </c>
      <c r="F1602" s="52" t="str">
        <v/>
      </c>
      <c r="G1602" s="48" t="str">
        <v/>
      </c>
      <c r="H1602" s="49">
        <v>0</v>
      </c>
      <c r="I1602" s="49" t="e">
        <v>#REF!</v>
      </c>
      <c r="J1602" s="50"/>
    </row>
    <row r="1603" outlineLevel="1" spans="1:10">
      <c r="A1603" s="50">
        <v>645</v>
      </c>
      <c r="B1603" s="51" t="str">
        <v>AL1配电箱</v>
      </c>
      <c r="C1603" s="51" t="e">
        <v>#REF!</v>
      </c>
      <c r="D1603" s="51" t="str">
        <v/>
      </c>
      <c r="E1603" s="51" t="str">
        <v/>
      </c>
      <c r="F1603" s="52" t="e">
        <v>#REF!</v>
      </c>
      <c r="G1603" s="48" t="e">
        <v>#REF!</v>
      </c>
      <c r="H1603" s="49">
        <v>104</v>
      </c>
      <c r="I1603" s="49" t="e">
        <v>#REF!</v>
      </c>
      <c r="J1603" s="50"/>
    </row>
    <row r="1604" outlineLevel="1" spans="1:10">
      <c r="A1604" s="50">
        <v>646</v>
      </c>
      <c r="B1604" s="51" t="str">
        <v>AL2配电箱</v>
      </c>
      <c r="C1604" s="51" t="e">
        <v>#REF!</v>
      </c>
      <c r="D1604" s="51" t="str">
        <v/>
      </c>
      <c r="E1604" s="51" t="str">
        <v/>
      </c>
      <c r="F1604" s="52" t="e">
        <v>#REF!</v>
      </c>
      <c r="G1604" s="48" t="e">
        <v>#REF!</v>
      </c>
      <c r="H1604" s="49">
        <v>4</v>
      </c>
      <c r="I1604" s="49" t="e">
        <v>#REF!</v>
      </c>
      <c r="J1604" s="50"/>
    </row>
    <row r="1605" ht="28.8" outlineLevel="1" spans="1:10">
      <c r="A1605" s="50">
        <v>647</v>
      </c>
      <c r="B1605" s="51" t="str">
        <v>应急照明配电箱-0.3KW DC36V</v>
      </c>
      <c r="C1605" s="51" t="e">
        <v>#REF!</v>
      </c>
      <c r="D1605" s="51" t="str">
        <v/>
      </c>
      <c r="E1605" s="51" t="str">
        <v/>
      </c>
      <c r="F1605" s="52" t="e">
        <v>#REF!</v>
      </c>
      <c r="G1605" s="48" t="e">
        <v>#REF!</v>
      </c>
      <c r="H1605" s="49">
        <v>3</v>
      </c>
      <c r="I1605" s="49" t="e">
        <v>#REF!</v>
      </c>
      <c r="J1605" s="50"/>
    </row>
    <row r="1606" ht="28.8" outlineLevel="1" spans="1:10">
      <c r="A1606" s="50">
        <v>648</v>
      </c>
      <c r="B1606" s="51" t="str">
        <v>应急照明配电箱-0.6KW DC36V</v>
      </c>
      <c r="C1606" s="51" t="e">
        <v>#REF!</v>
      </c>
      <c r="D1606" s="51" t="str">
        <v/>
      </c>
      <c r="E1606" s="51" t="str">
        <v/>
      </c>
      <c r="F1606" s="52" t="e">
        <v>#REF!</v>
      </c>
      <c r="G1606" s="48" t="e">
        <v>#REF!</v>
      </c>
      <c r="H1606" s="49">
        <v>0</v>
      </c>
      <c r="I1606" s="49" t="e">
        <v>#REF!</v>
      </c>
      <c r="J1606" s="50"/>
    </row>
    <row r="1607" ht="28.8" outlineLevel="1" spans="1:10">
      <c r="A1607" s="50">
        <v>649</v>
      </c>
      <c r="B1607" s="51" t="str">
        <v>应急照明配电箱-0.9KW DC36V</v>
      </c>
      <c r="C1607" s="51" t="e">
        <v>#REF!</v>
      </c>
      <c r="D1607" s="51" t="str">
        <v/>
      </c>
      <c r="E1607" s="51" t="str">
        <v/>
      </c>
      <c r="F1607" s="52" t="e">
        <v>#REF!</v>
      </c>
      <c r="G1607" s="48" t="e">
        <v>#REF!</v>
      </c>
      <c r="H1607" s="49">
        <v>0</v>
      </c>
      <c r="I1607" s="49" t="e">
        <v>#REF!</v>
      </c>
      <c r="J1607" s="50"/>
    </row>
    <row r="1608" ht="28.8" outlineLevel="1" spans="1:10">
      <c r="A1608" s="50">
        <v>650</v>
      </c>
      <c r="B1608" s="51" t="str">
        <v>公区电源箱（半周长1.0m以内）</v>
      </c>
      <c r="C1608" s="51" t="e">
        <v>#REF!</v>
      </c>
      <c r="D1608" s="51" t="str">
        <v/>
      </c>
      <c r="E1608" s="51" t="str">
        <v/>
      </c>
      <c r="F1608" s="52" t="e">
        <v>#REF!</v>
      </c>
      <c r="G1608" s="48" t="e">
        <v>#REF!</v>
      </c>
      <c r="H1608" s="49">
        <v>0</v>
      </c>
      <c r="I1608" s="49" t="e">
        <v>#REF!</v>
      </c>
      <c r="J1608" s="50"/>
    </row>
    <row r="1609" ht="28.8" outlineLevel="1" spans="1:10">
      <c r="A1609" s="50">
        <v>651</v>
      </c>
      <c r="B1609" s="51" t="str">
        <v>公区电源箱（半周长1.5m以内）</v>
      </c>
      <c r="C1609" s="51" t="e">
        <v>#REF!</v>
      </c>
      <c r="D1609" s="51" t="str">
        <v/>
      </c>
      <c r="E1609" s="51" t="str">
        <v/>
      </c>
      <c r="F1609" s="52" t="e">
        <v>#REF!</v>
      </c>
      <c r="G1609" s="48" t="e">
        <v>#REF!</v>
      </c>
      <c r="H1609" s="49">
        <v>0</v>
      </c>
      <c r="I1609" s="49" t="e">
        <v>#REF!</v>
      </c>
      <c r="J1609" s="50"/>
    </row>
    <row r="1610" ht="28.8" outlineLevel="1" spans="1:10">
      <c r="A1610" s="50">
        <v>652</v>
      </c>
      <c r="B1610" s="51" t="str">
        <v>公区电源箱（半周长2m以内）</v>
      </c>
      <c r="C1610" s="51" t="e">
        <v>#REF!</v>
      </c>
      <c r="D1610" s="51" t="str">
        <v/>
      </c>
      <c r="E1610" s="51" t="str">
        <v/>
      </c>
      <c r="F1610" s="52" t="e">
        <v>#REF!</v>
      </c>
      <c r="G1610" s="48" t="e">
        <v>#REF!</v>
      </c>
      <c r="H1610" s="49">
        <v>0</v>
      </c>
      <c r="I1610" s="49" t="e">
        <v>#REF!</v>
      </c>
      <c r="J1610" s="50"/>
    </row>
    <row r="1611" outlineLevel="1" spans="1:10">
      <c r="A1611" s="50">
        <v>653</v>
      </c>
      <c r="B1611" s="51" t="str">
        <v>应急电源配电箱</v>
      </c>
      <c r="C1611" s="51" t="e">
        <v>#REF!</v>
      </c>
      <c r="D1611" s="51" t="str">
        <v/>
      </c>
      <c r="E1611" s="51" t="str">
        <v/>
      </c>
      <c r="F1611" s="52" t="e">
        <v>#REF!</v>
      </c>
      <c r="G1611" s="48" t="e">
        <v>#REF!</v>
      </c>
      <c r="H1611" s="49">
        <v>2</v>
      </c>
      <c r="I1611" s="49" t="e">
        <v>#REF!</v>
      </c>
      <c r="J1611" s="50"/>
    </row>
    <row r="1612" outlineLevel="1" spans="1:10">
      <c r="A1612" s="50" t="str">
        <v/>
      </c>
      <c r="B1612" s="51" t="str">
        <v>B.21.2电力桥架</v>
      </c>
      <c r="C1612" s="51" t="str">
        <v/>
      </c>
      <c r="D1612" s="51" t="str">
        <v/>
      </c>
      <c r="E1612" s="51" t="str">
        <v/>
      </c>
      <c r="F1612" s="52" t="str">
        <v/>
      </c>
      <c r="G1612" s="48" t="str">
        <v/>
      </c>
      <c r="H1612" s="49">
        <v>0</v>
      </c>
      <c r="I1612" s="49" t="e">
        <v>#REF!</v>
      </c>
      <c r="J1612" s="50"/>
    </row>
    <row r="1613" outlineLevel="1" spans="1:10">
      <c r="A1613" s="50">
        <v>654</v>
      </c>
      <c r="B1613" s="51" t="str">
        <v>防火桥架-100*100</v>
      </c>
      <c r="C1613" s="51" t="e">
        <v>#REF!</v>
      </c>
      <c r="D1613" s="51" t="str">
        <v/>
      </c>
      <c r="E1613" s="51" t="str">
        <v/>
      </c>
      <c r="F1613" s="52" t="e">
        <v>#REF!</v>
      </c>
      <c r="G1613" s="48" t="e">
        <v>#REF!</v>
      </c>
      <c r="H1613" s="49">
        <v>0</v>
      </c>
      <c r="I1613" s="49" t="e">
        <v>#REF!</v>
      </c>
      <c r="J1613" s="50"/>
    </row>
    <row r="1614" outlineLevel="1" spans="1:10">
      <c r="A1614" s="50">
        <v>655</v>
      </c>
      <c r="B1614" s="51" t="str">
        <v>防火桥架-200*100</v>
      </c>
      <c r="C1614" s="51" t="e">
        <v>#REF!</v>
      </c>
      <c r="D1614" s="51" t="str">
        <v/>
      </c>
      <c r="E1614" s="51" t="str">
        <v/>
      </c>
      <c r="F1614" s="52" t="e">
        <v>#REF!</v>
      </c>
      <c r="G1614" s="48" t="e">
        <v>#REF!</v>
      </c>
      <c r="H1614" s="49">
        <v>0</v>
      </c>
      <c r="I1614" s="49" t="e">
        <v>#REF!</v>
      </c>
      <c r="J1614" s="50"/>
    </row>
    <row r="1615" outlineLevel="1" spans="1:10">
      <c r="A1615" s="50">
        <v>656</v>
      </c>
      <c r="B1615" s="51" t="str">
        <v>防火桥架-300*150</v>
      </c>
      <c r="C1615" s="51" t="e">
        <v>#REF!</v>
      </c>
      <c r="D1615" s="51" t="str">
        <v/>
      </c>
      <c r="E1615" s="51" t="str">
        <v/>
      </c>
      <c r="F1615" s="52" t="e">
        <v>#REF!</v>
      </c>
      <c r="G1615" s="48" t="e">
        <v>#REF!</v>
      </c>
      <c r="H1615" s="49">
        <v>156.27</v>
      </c>
      <c r="I1615" s="49" t="e">
        <v>#REF!</v>
      </c>
      <c r="J1615" s="50"/>
    </row>
    <row r="1616" outlineLevel="1" spans="1:10">
      <c r="A1616" s="50">
        <v>657</v>
      </c>
      <c r="B1616" s="51" t="str">
        <v>电业桥架-200*150</v>
      </c>
      <c r="C1616" s="51" t="e">
        <v>#REF!</v>
      </c>
      <c r="D1616" s="51" t="str">
        <v/>
      </c>
      <c r="E1616" s="51" t="str">
        <v/>
      </c>
      <c r="F1616" s="52" t="e">
        <v>#REF!</v>
      </c>
      <c r="G1616" s="48" t="e">
        <v>#REF!</v>
      </c>
      <c r="H1616" s="49">
        <v>0</v>
      </c>
      <c r="I1616" s="49" t="e">
        <v>#REF!</v>
      </c>
      <c r="J1616" s="50"/>
    </row>
    <row r="1617" outlineLevel="1" spans="1:10">
      <c r="A1617" s="50">
        <v>658</v>
      </c>
      <c r="B1617" s="51" t="str">
        <v>电业桥架-200*200</v>
      </c>
      <c r="C1617" s="51" t="e">
        <v>#REF!</v>
      </c>
      <c r="D1617" s="51" t="str">
        <v/>
      </c>
      <c r="E1617" s="51" t="str">
        <v/>
      </c>
      <c r="F1617" s="52" t="e">
        <v>#REF!</v>
      </c>
      <c r="G1617" s="48" t="e">
        <v>#REF!</v>
      </c>
      <c r="H1617" s="49">
        <v>0</v>
      </c>
      <c r="I1617" s="49" t="e">
        <v>#REF!</v>
      </c>
      <c r="J1617" s="50"/>
    </row>
    <row r="1618" outlineLevel="1" spans="1:10">
      <c r="A1618" s="50">
        <v>659</v>
      </c>
      <c r="B1618" s="51" t="str">
        <v>电业桥架-300*150</v>
      </c>
      <c r="C1618" s="51" t="e">
        <v>#REF!</v>
      </c>
      <c r="D1618" s="51" t="str">
        <v/>
      </c>
      <c r="E1618" s="51" t="str">
        <v/>
      </c>
      <c r="F1618" s="52" t="e">
        <v>#REF!</v>
      </c>
      <c r="G1618" s="48" t="e">
        <v>#REF!</v>
      </c>
      <c r="H1618" s="49">
        <v>0</v>
      </c>
      <c r="I1618" s="49" t="e">
        <v>#REF!</v>
      </c>
      <c r="J1618" s="50"/>
    </row>
    <row r="1619" outlineLevel="1" spans="1:10">
      <c r="A1619" s="50">
        <v>660</v>
      </c>
      <c r="B1619" s="51" t="str">
        <v>电业桥架-300*200</v>
      </c>
      <c r="C1619" s="51" t="e">
        <v>#REF!</v>
      </c>
      <c r="D1619" s="51" t="str">
        <v/>
      </c>
      <c r="E1619" s="51" t="str">
        <v/>
      </c>
      <c r="F1619" s="52" t="e">
        <v>#REF!</v>
      </c>
      <c r="G1619" s="48" t="e">
        <v>#REF!</v>
      </c>
      <c r="H1619" s="49">
        <v>0</v>
      </c>
      <c r="I1619" s="49" t="e">
        <v>#REF!</v>
      </c>
      <c r="J1619" s="50"/>
    </row>
    <row r="1620" outlineLevel="1" spans="1:10">
      <c r="A1620" s="50">
        <v>661</v>
      </c>
      <c r="B1620" s="51" t="str">
        <v>电业桥架-400*200</v>
      </c>
      <c r="C1620" s="51" t="e">
        <v>#REF!</v>
      </c>
      <c r="D1620" s="51" t="str">
        <v/>
      </c>
      <c r="E1620" s="51" t="str">
        <v/>
      </c>
      <c r="F1620" s="52" t="e">
        <v>#REF!</v>
      </c>
      <c r="G1620" s="48" t="e">
        <v>#REF!</v>
      </c>
      <c r="H1620" s="49">
        <v>0</v>
      </c>
      <c r="I1620" s="49" t="e">
        <v>#REF!</v>
      </c>
      <c r="J1620" s="50"/>
    </row>
    <row r="1621" outlineLevel="1" spans="1:10">
      <c r="A1621" s="50">
        <v>662</v>
      </c>
      <c r="B1621" s="51" t="str">
        <v>防火堵洞</v>
      </c>
      <c r="C1621" s="51" t="e">
        <v>#REF!</v>
      </c>
      <c r="D1621" s="51" t="str">
        <v/>
      </c>
      <c r="E1621" s="51" t="str">
        <v/>
      </c>
      <c r="F1621" s="52" t="e">
        <v>#REF!</v>
      </c>
      <c r="G1621" s="48" t="e">
        <v>#REF!</v>
      </c>
      <c r="H1621" s="49">
        <v>54</v>
      </c>
      <c r="I1621" s="49" t="e">
        <v>#REF!</v>
      </c>
      <c r="J1621" s="50"/>
    </row>
    <row r="1622" outlineLevel="1" spans="1:10">
      <c r="A1622" s="50" t="str">
        <v/>
      </c>
      <c r="B1622" s="51" t="str">
        <v>B.21.3配管配线</v>
      </c>
      <c r="C1622" s="51" t="str">
        <v/>
      </c>
      <c r="D1622" s="51" t="str">
        <v/>
      </c>
      <c r="E1622" s="51" t="str">
        <v/>
      </c>
      <c r="F1622" s="52" t="str">
        <v/>
      </c>
      <c r="G1622" s="48" t="str">
        <v/>
      </c>
      <c r="H1622" s="49">
        <v>0</v>
      </c>
      <c r="I1622" s="49" t="e">
        <v>#REF!</v>
      </c>
      <c r="J1622" s="50"/>
    </row>
    <row r="1623" outlineLevel="1" spans="1:10">
      <c r="A1623" s="50">
        <v>663</v>
      </c>
      <c r="B1623" s="51" t="str">
        <v>阻燃塑料管配管-PC20-暗配</v>
      </c>
      <c r="C1623" s="51" t="e">
        <v>#REF!</v>
      </c>
      <c r="D1623" s="51" t="str">
        <v/>
      </c>
      <c r="E1623" s="51" t="str">
        <v/>
      </c>
      <c r="F1623" s="52" t="e">
        <v>#REF!</v>
      </c>
      <c r="G1623" s="48" t="e">
        <v>#REF!</v>
      </c>
      <c r="H1623" s="49">
        <v>11424.48</v>
      </c>
      <c r="I1623" s="49" t="e">
        <v>#REF!</v>
      </c>
      <c r="J1623" s="50"/>
    </row>
    <row r="1624" outlineLevel="1" spans="1:10">
      <c r="A1624" s="50">
        <v>664</v>
      </c>
      <c r="B1624" s="51" t="str">
        <v>阻燃塑料管配管-PC25-暗配</v>
      </c>
      <c r="C1624" s="51" t="e">
        <v>#REF!</v>
      </c>
      <c r="D1624" s="51" t="str">
        <v/>
      </c>
      <c r="E1624" s="51" t="str">
        <v/>
      </c>
      <c r="F1624" s="52" t="e">
        <v>#REF!</v>
      </c>
      <c r="G1624" s="48" t="e">
        <v>#REF!</v>
      </c>
      <c r="H1624" s="49">
        <v>8359.68</v>
      </c>
      <c r="I1624" s="49" t="e">
        <v>#REF!</v>
      </c>
      <c r="J1624" s="50"/>
    </row>
    <row r="1625" outlineLevel="1" spans="1:10">
      <c r="A1625" s="50">
        <v>665</v>
      </c>
      <c r="B1625" s="51" t="str">
        <v>阻燃塑料管配管-PC32-暗配</v>
      </c>
      <c r="C1625" s="51" t="e">
        <v>#REF!</v>
      </c>
      <c r="D1625" s="51" t="str">
        <v/>
      </c>
      <c r="E1625" s="51" t="str">
        <v/>
      </c>
      <c r="F1625" s="52" t="e">
        <v>#REF!</v>
      </c>
      <c r="G1625" s="48" t="e">
        <v>#REF!</v>
      </c>
      <c r="H1625" s="49">
        <v>233.99</v>
      </c>
      <c r="I1625" s="49" t="e">
        <v>#REF!</v>
      </c>
      <c r="J1625" s="50"/>
    </row>
    <row r="1626" outlineLevel="1" spans="1:10">
      <c r="A1626" s="50">
        <v>666</v>
      </c>
      <c r="B1626" s="51" t="str">
        <v>薄壁钢导管配管-JDG15-暗配</v>
      </c>
      <c r="C1626" s="51" t="e">
        <v>#REF!</v>
      </c>
      <c r="D1626" s="51" t="str">
        <v/>
      </c>
      <c r="E1626" s="51" t="str">
        <v/>
      </c>
      <c r="F1626" s="52" t="e">
        <v>#REF!</v>
      </c>
      <c r="G1626" s="48" t="e">
        <v>#REF!</v>
      </c>
      <c r="H1626" s="49">
        <v>1</v>
      </c>
      <c r="I1626" s="49" t="e">
        <v>#REF!</v>
      </c>
      <c r="J1626" s="50"/>
    </row>
    <row r="1627" outlineLevel="1" spans="1:10">
      <c r="A1627" s="50">
        <v>667</v>
      </c>
      <c r="B1627" s="51" t="str">
        <v>薄壁钢导管配管-JDG20-暗配</v>
      </c>
      <c r="C1627" s="51" t="e">
        <v>#REF!</v>
      </c>
      <c r="D1627" s="51" t="str">
        <v/>
      </c>
      <c r="E1627" s="51" t="str">
        <v/>
      </c>
      <c r="F1627" s="52" t="e">
        <v>#REF!</v>
      </c>
      <c r="G1627" s="48" t="e">
        <v>#REF!</v>
      </c>
      <c r="H1627" s="49">
        <v>1</v>
      </c>
      <c r="I1627" s="49" t="e">
        <v>#REF!</v>
      </c>
      <c r="J1627" s="50"/>
    </row>
    <row r="1628" outlineLevel="1" spans="1:10">
      <c r="A1628" s="50">
        <v>668</v>
      </c>
      <c r="B1628" s="51" t="str">
        <v>薄壁钢导管配管-JDG25-暗配</v>
      </c>
      <c r="C1628" s="51" t="e">
        <v>#REF!</v>
      </c>
      <c r="D1628" s="51" t="str">
        <v/>
      </c>
      <c r="E1628" s="51" t="str">
        <v/>
      </c>
      <c r="F1628" s="52" t="e">
        <v>#REF!</v>
      </c>
      <c r="G1628" s="48" t="e">
        <v>#REF!</v>
      </c>
      <c r="H1628" s="49">
        <v>1</v>
      </c>
      <c r="I1628" s="49" t="e">
        <v>#REF!</v>
      </c>
      <c r="J1628" s="50"/>
    </row>
    <row r="1629" outlineLevel="1" spans="1:10">
      <c r="A1629" s="50">
        <v>669</v>
      </c>
      <c r="B1629" s="51" t="str">
        <v>薄壁钢导管配管-JDG32-暗配</v>
      </c>
      <c r="C1629" s="51" t="e">
        <v>#REF!</v>
      </c>
      <c r="D1629" s="51" t="str">
        <v/>
      </c>
      <c r="E1629" s="51" t="str">
        <v/>
      </c>
      <c r="F1629" s="52" t="e">
        <v>#REF!</v>
      </c>
      <c r="G1629" s="48" t="e">
        <v>#REF!</v>
      </c>
      <c r="H1629" s="49">
        <v>1</v>
      </c>
      <c r="I1629" s="49" t="e">
        <v>#REF!</v>
      </c>
      <c r="J1629" s="50"/>
    </row>
    <row r="1630" outlineLevel="1" spans="1:10">
      <c r="A1630" s="50">
        <v>670</v>
      </c>
      <c r="B1630" s="51" t="str">
        <v>薄壁钢导管配管-JDG40-暗配</v>
      </c>
      <c r="C1630" s="51" t="e">
        <v>#REF!</v>
      </c>
      <c r="D1630" s="51" t="str">
        <v/>
      </c>
      <c r="E1630" s="51" t="str">
        <v/>
      </c>
      <c r="F1630" s="52" t="e">
        <v>#REF!</v>
      </c>
      <c r="G1630" s="48" t="e">
        <v>#REF!</v>
      </c>
      <c r="H1630" s="49">
        <v>1</v>
      </c>
      <c r="I1630" s="49" t="e">
        <v>#REF!</v>
      </c>
      <c r="J1630" s="50"/>
    </row>
    <row r="1631" outlineLevel="1" spans="1:10">
      <c r="A1631" s="50">
        <v>671</v>
      </c>
      <c r="B1631" s="51" t="str">
        <v>薄壁钢导管配管-JDG15-明配</v>
      </c>
      <c r="C1631" s="51" t="e">
        <v>#REF!</v>
      </c>
      <c r="D1631" s="51" t="str">
        <v/>
      </c>
      <c r="E1631" s="51" t="str">
        <v/>
      </c>
      <c r="F1631" s="52" t="e">
        <v>#REF!</v>
      </c>
      <c r="G1631" s="48" t="e">
        <v>#REF!</v>
      </c>
      <c r="H1631" s="49">
        <v>1</v>
      </c>
      <c r="I1631" s="49" t="e">
        <v>#REF!</v>
      </c>
      <c r="J1631" s="50"/>
    </row>
    <row r="1632" outlineLevel="1" spans="1:10">
      <c r="A1632" s="50">
        <v>672</v>
      </c>
      <c r="B1632" s="51" t="str">
        <v>薄壁钢导管配管-JDG20-明配</v>
      </c>
      <c r="C1632" s="51" t="e">
        <v>#REF!</v>
      </c>
      <c r="D1632" s="51" t="str">
        <v/>
      </c>
      <c r="E1632" s="51" t="str">
        <v/>
      </c>
      <c r="F1632" s="52" t="e">
        <v>#REF!</v>
      </c>
      <c r="G1632" s="48" t="e">
        <v>#REF!</v>
      </c>
      <c r="H1632" s="49">
        <v>1231.71</v>
      </c>
      <c r="I1632" s="49" t="e">
        <v>#REF!</v>
      </c>
      <c r="J1632" s="50"/>
    </row>
    <row r="1633" outlineLevel="1" spans="1:10">
      <c r="A1633" s="50">
        <v>673</v>
      </c>
      <c r="B1633" s="51" t="str">
        <v>薄壁钢导管配管-JDG25-明配</v>
      </c>
      <c r="C1633" s="51" t="e">
        <v>#REF!</v>
      </c>
      <c r="D1633" s="51" t="str">
        <v/>
      </c>
      <c r="E1633" s="51" t="str">
        <v/>
      </c>
      <c r="F1633" s="52" t="e">
        <v>#REF!</v>
      </c>
      <c r="G1633" s="48" t="e">
        <v>#REF!</v>
      </c>
      <c r="H1633" s="49">
        <v>4108.57</v>
      </c>
      <c r="I1633" s="49" t="e">
        <v>#REF!</v>
      </c>
      <c r="J1633" s="50"/>
    </row>
    <row r="1634" outlineLevel="1" spans="1:10">
      <c r="A1634" s="50">
        <v>674</v>
      </c>
      <c r="B1634" s="51" t="str">
        <v>薄壁钢导管配管-JDG32-明配</v>
      </c>
      <c r="C1634" s="51" t="e">
        <v>#REF!</v>
      </c>
      <c r="D1634" s="51" t="str">
        <v/>
      </c>
      <c r="E1634" s="51" t="str">
        <v/>
      </c>
      <c r="F1634" s="52" t="e">
        <v>#REF!</v>
      </c>
      <c r="G1634" s="48" t="e">
        <v>#REF!</v>
      </c>
      <c r="H1634" s="49">
        <v>427.74</v>
      </c>
      <c r="I1634" s="49" t="e">
        <v>#REF!</v>
      </c>
      <c r="J1634" s="50"/>
    </row>
    <row r="1635" outlineLevel="1" spans="1:10">
      <c r="A1635" s="50">
        <v>675</v>
      </c>
      <c r="B1635" s="51" t="str">
        <v>薄壁钢导管配管-JDG40-明配</v>
      </c>
      <c r="C1635" s="51" t="e">
        <v>#REF!</v>
      </c>
      <c r="D1635" s="51" t="str">
        <v/>
      </c>
      <c r="E1635" s="51" t="str">
        <v/>
      </c>
      <c r="F1635" s="52" t="e">
        <v>#REF!</v>
      </c>
      <c r="G1635" s="48" t="e">
        <v>#REF!</v>
      </c>
      <c r="H1635" s="49">
        <v>1</v>
      </c>
      <c r="I1635" s="49" t="e">
        <v>#REF!</v>
      </c>
      <c r="J1635" s="50"/>
    </row>
    <row r="1636" outlineLevel="1" spans="1:10">
      <c r="A1636" s="50">
        <v>676</v>
      </c>
      <c r="B1636" s="51" t="str">
        <v>SC15-暗配</v>
      </c>
      <c r="C1636" s="51" t="e">
        <v>#REF!</v>
      </c>
      <c r="D1636" s="51" t="str">
        <v/>
      </c>
      <c r="E1636" s="51" t="str">
        <v/>
      </c>
      <c r="F1636" s="52" t="e">
        <v>#REF!</v>
      </c>
      <c r="G1636" s="48" t="e">
        <v>#REF!</v>
      </c>
      <c r="H1636" s="49">
        <v>0</v>
      </c>
      <c r="I1636" s="49" t="e">
        <v>#REF!</v>
      </c>
      <c r="J1636" s="50"/>
    </row>
    <row r="1637" outlineLevel="1" spans="1:10">
      <c r="A1637" s="50">
        <v>677</v>
      </c>
      <c r="B1637" s="51" t="str">
        <v>SC20-暗配</v>
      </c>
      <c r="C1637" s="51" t="e">
        <v>#REF!</v>
      </c>
      <c r="D1637" s="51" t="str">
        <v/>
      </c>
      <c r="E1637" s="51" t="str">
        <v/>
      </c>
      <c r="F1637" s="52" t="e">
        <v>#REF!</v>
      </c>
      <c r="G1637" s="48" t="e">
        <v>#REF!</v>
      </c>
      <c r="H1637" s="49">
        <v>2221.28</v>
      </c>
      <c r="I1637" s="49" t="e">
        <v>#REF!</v>
      </c>
      <c r="J1637" s="50"/>
    </row>
    <row r="1638" outlineLevel="1" spans="1:10">
      <c r="A1638" s="50">
        <v>678</v>
      </c>
      <c r="B1638" s="51" t="str">
        <v>SC25-暗配</v>
      </c>
      <c r="C1638" s="51" t="e">
        <v>#REF!</v>
      </c>
      <c r="D1638" s="51" t="str">
        <v/>
      </c>
      <c r="E1638" s="51" t="str">
        <v/>
      </c>
      <c r="F1638" s="52" t="e">
        <v>#REF!</v>
      </c>
      <c r="G1638" s="48" t="e">
        <v>#REF!</v>
      </c>
      <c r="H1638" s="49">
        <v>0</v>
      </c>
      <c r="I1638" s="49" t="e">
        <v>#REF!</v>
      </c>
      <c r="J1638" s="50"/>
    </row>
    <row r="1639" outlineLevel="1" spans="1:10">
      <c r="A1639" s="50">
        <v>679</v>
      </c>
      <c r="B1639" s="51" t="str">
        <v>SC32-暗配</v>
      </c>
      <c r="C1639" s="51" t="e">
        <v>#REF!</v>
      </c>
      <c r="D1639" s="51" t="str">
        <v/>
      </c>
      <c r="E1639" s="51" t="str">
        <v/>
      </c>
      <c r="F1639" s="52" t="e">
        <v>#REF!</v>
      </c>
      <c r="G1639" s="48" t="e">
        <v>#REF!</v>
      </c>
      <c r="H1639" s="49">
        <v>132.62</v>
      </c>
      <c r="I1639" s="49" t="e">
        <v>#REF!</v>
      </c>
      <c r="J1639" s="50"/>
    </row>
    <row r="1640" outlineLevel="1" spans="1:10">
      <c r="A1640" s="50">
        <v>680</v>
      </c>
      <c r="B1640" s="51" t="str">
        <v>SC40-暗配</v>
      </c>
      <c r="C1640" s="51" t="e">
        <v>#REF!</v>
      </c>
      <c r="D1640" s="51" t="str">
        <v/>
      </c>
      <c r="E1640" s="51" t="str">
        <v/>
      </c>
      <c r="F1640" s="52" t="e">
        <v>#REF!</v>
      </c>
      <c r="G1640" s="48" t="e">
        <v>#REF!</v>
      </c>
      <c r="H1640" s="49">
        <v>0</v>
      </c>
      <c r="I1640" s="49" t="e">
        <v>#REF!</v>
      </c>
      <c r="J1640" s="50"/>
    </row>
    <row r="1641" outlineLevel="1" spans="1:10">
      <c r="A1641" s="50">
        <v>681</v>
      </c>
      <c r="B1641" s="51" t="str">
        <v>SC50-暗配</v>
      </c>
      <c r="C1641" s="51" t="e">
        <v>#REF!</v>
      </c>
      <c r="D1641" s="51" t="str">
        <v/>
      </c>
      <c r="E1641" s="51" t="str">
        <v/>
      </c>
      <c r="F1641" s="52" t="e">
        <v>#REF!</v>
      </c>
      <c r="G1641" s="48" t="e">
        <v>#REF!</v>
      </c>
      <c r="H1641" s="49">
        <v>13.03</v>
      </c>
      <c r="I1641" s="49" t="e">
        <v>#REF!</v>
      </c>
      <c r="J1641" s="50"/>
    </row>
    <row r="1642" outlineLevel="1" spans="1:10">
      <c r="A1642" s="50">
        <v>682</v>
      </c>
      <c r="B1642" s="51" t="str">
        <v>SC70-暗配</v>
      </c>
      <c r="C1642" s="51" t="e">
        <v>#REF!</v>
      </c>
      <c r="D1642" s="51" t="str">
        <v/>
      </c>
      <c r="E1642" s="51" t="str">
        <v/>
      </c>
      <c r="F1642" s="52" t="e">
        <v>#REF!</v>
      </c>
      <c r="G1642" s="48" t="e">
        <v>#REF!</v>
      </c>
      <c r="H1642" s="49">
        <v>57.61</v>
      </c>
      <c r="I1642" s="49" t="e">
        <v>#REF!</v>
      </c>
      <c r="J1642" s="50"/>
    </row>
    <row r="1643" outlineLevel="1" spans="1:10">
      <c r="A1643" s="50">
        <v>683</v>
      </c>
      <c r="B1643" s="51" t="str">
        <v>金属软管配管-DN20</v>
      </c>
      <c r="C1643" s="51" t="e">
        <v>#REF!</v>
      </c>
      <c r="D1643" s="51" t="str">
        <v/>
      </c>
      <c r="E1643" s="51" t="str">
        <v/>
      </c>
      <c r="F1643" s="52" t="e">
        <v>#REF!</v>
      </c>
      <c r="G1643" s="48" t="e">
        <v>#REF!</v>
      </c>
      <c r="H1643" s="49">
        <v>420</v>
      </c>
      <c r="I1643" s="49" t="e">
        <v>#REF!</v>
      </c>
      <c r="J1643" s="50"/>
    </row>
    <row r="1644" outlineLevel="1" spans="1:10">
      <c r="A1644" s="50">
        <v>684</v>
      </c>
      <c r="B1644" s="51" t="str">
        <v>金属软管配管-DN25</v>
      </c>
      <c r="C1644" s="51" t="e">
        <v>#REF!</v>
      </c>
      <c r="D1644" s="51" t="str">
        <v/>
      </c>
      <c r="E1644" s="51" t="str">
        <v/>
      </c>
      <c r="F1644" s="52" t="e">
        <v>#REF!</v>
      </c>
      <c r="G1644" s="48" t="e">
        <v>#REF!</v>
      </c>
      <c r="H1644" s="49">
        <v>2</v>
      </c>
      <c r="I1644" s="49" t="e">
        <v>#REF!</v>
      </c>
      <c r="J1644" s="50"/>
    </row>
    <row r="1645" outlineLevel="1" spans="1:10">
      <c r="A1645" s="50">
        <v>685</v>
      </c>
      <c r="B1645" s="51" t="str">
        <v>金属软管配管-DN32</v>
      </c>
      <c r="C1645" s="51" t="e">
        <v>#REF!</v>
      </c>
      <c r="D1645" s="51" t="str">
        <v/>
      </c>
      <c r="E1645" s="51" t="str">
        <v/>
      </c>
      <c r="F1645" s="52" t="e">
        <v>#REF!</v>
      </c>
      <c r="G1645" s="48" t="e">
        <v>#REF!</v>
      </c>
      <c r="H1645" s="49">
        <v>54</v>
      </c>
      <c r="I1645" s="49" t="e">
        <v>#REF!</v>
      </c>
      <c r="J1645" s="50"/>
    </row>
    <row r="1646" outlineLevel="1" spans="1:10">
      <c r="A1646" s="50">
        <v>686</v>
      </c>
      <c r="B1646" s="51" t="str">
        <v>综合配线-BV2.5</v>
      </c>
      <c r="C1646" s="51" t="e">
        <v>#REF!</v>
      </c>
      <c r="D1646" s="51" t="str">
        <v/>
      </c>
      <c r="E1646" s="51" t="str">
        <v/>
      </c>
      <c r="F1646" s="52" t="e">
        <v>#REF!</v>
      </c>
      <c r="G1646" s="48" t="e">
        <v>#REF!</v>
      </c>
      <c r="H1646" s="49">
        <v>38025</v>
      </c>
      <c r="I1646" s="49" t="e">
        <v>#REF!</v>
      </c>
      <c r="J1646" s="50"/>
    </row>
    <row r="1647" outlineLevel="1" spans="1:10">
      <c r="A1647" s="50">
        <v>687</v>
      </c>
      <c r="B1647" s="51" t="str">
        <v>综合配线-BV4</v>
      </c>
      <c r="C1647" s="51" t="e">
        <v>#REF!</v>
      </c>
      <c r="D1647" s="51" t="str">
        <v/>
      </c>
      <c r="E1647" s="51" t="str">
        <v/>
      </c>
      <c r="F1647" s="52" t="e">
        <v>#REF!</v>
      </c>
      <c r="G1647" s="48" t="e">
        <v>#REF!</v>
      </c>
      <c r="H1647" s="49">
        <v>37067.46</v>
      </c>
      <c r="I1647" s="49" t="e">
        <v>#REF!</v>
      </c>
      <c r="J1647" s="50"/>
    </row>
    <row r="1648" outlineLevel="1" spans="1:10">
      <c r="A1648" s="50">
        <v>688</v>
      </c>
      <c r="B1648" s="51" t="str">
        <v>综合配线-BV6</v>
      </c>
      <c r="C1648" s="51" t="e">
        <v>#REF!</v>
      </c>
      <c r="D1648" s="51" t="str">
        <v/>
      </c>
      <c r="E1648" s="51" t="str">
        <v/>
      </c>
      <c r="F1648" s="52" t="e">
        <v>#REF!</v>
      </c>
      <c r="G1648" s="48" t="e">
        <v>#REF!</v>
      </c>
      <c r="H1648" s="49">
        <v>10</v>
      </c>
      <c r="I1648" s="49" t="e">
        <v>#REF!</v>
      </c>
      <c r="J1648" s="50"/>
    </row>
    <row r="1649" outlineLevel="1" spans="1:10">
      <c r="A1649" s="50">
        <v>689</v>
      </c>
      <c r="B1649" s="51" t="str">
        <v>综合配线-BV10</v>
      </c>
      <c r="C1649" s="51" t="e">
        <v>#REF!</v>
      </c>
      <c r="D1649" s="51" t="str">
        <v/>
      </c>
      <c r="E1649" s="51" t="str">
        <v/>
      </c>
      <c r="F1649" s="52" t="e">
        <v>#REF!</v>
      </c>
      <c r="G1649" s="48" t="e">
        <v>#REF!</v>
      </c>
      <c r="H1649" s="49">
        <v>2507.34</v>
      </c>
      <c r="I1649" s="49" t="e">
        <v>#REF!</v>
      </c>
      <c r="J1649" s="50"/>
    </row>
    <row r="1650" outlineLevel="1" spans="1:10">
      <c r="A1650" s="50">
        <v>690</v>
      </c>
      <c r="B1650" s="51" t="str">
        <v>综合配线-BV16</v>
      </c>
      <c r="C1650" s="51" t="e">
        <v>#REF!</v>
      </c>
      <c r="D1650" s="51" t="str">
        <v/>
      </c>
      <c r="E1650" s="51" t="str">
        <v/>
      </c>
      <c r="F1650" s="52" t="e">
        <v>#REF!</v>
      </c>
      <c r="G1650" s="48" t="e">
        <v>#REF!</v>
      </c>
      <c r="H1650" s="49">
        <v>0</v>
      </c>
      <c r="I1650" s="49" t="e">
        <v>#REF!</v>
      </c>
      <c r="J1650" s="50"/>
    </row>
    <row r="1651" outlineLevel="1" spans="1:10">
      <c r="A1651" s="50">
        <v>691</v>
      </c>
      <c r="B1651" s="51" t="str">
        <v>综合配线-BV25</v>
      </c>
      <c r="C1651" s="51" t="e">
        <v>#REF!</v>
      </c>
      <c r="D1651" s="51" t="str">
        <v/>
      </c>
      <c r="E1651" s="51" t="str">
        <v/>
      </c>
      <c r="F1651" s="52" t="e">
        <v>#REF!</v>
      </c>
      <c r="G1651" s="48" t="e">
        <v>#REF!</v>
      </c>
      <c r="H1651" s="49">
        <v>0</v>
      </c>
      <c r="I1651" s="49" t="e">
        <v>#REF!</v>
      </c>
      <c r="J1651" s="50"/>
    </row>
    <row r="1652" outlineLevel="1" spans="1:10">
      <c r="A1652" s="50">
        <v>692</v>
      </c>
      <c r="B1652" s="51" t="str">
        <v>综合配线-BVR4</v>
      </c>
      <c r="C1652" s="51" t="e">
        <v>#REF!</v>
      </c>
      <c r="D1652" s="51" t="str">
        <v/>
      </c>
      <c r="E1652" s="51" t="str">
        <v/>
      </c>
      <c r="F1652" s="52" t="e">
        <v>#REF!</v>
      </c>
      <c r="G1652" s="48" t="e">
        <v>#REF!</v>
      </c>
      <c r="H1652" s="49">
        <v>183.55</v>
      </c>
      <c r="I1652" s="49" t="e">
        <v>#REF!</v>
      </c>
      <c r="J1652" s="50"/>
    </row>
    <row r="1653" outlineLevel="1" spans="1:10">
      <c r="A1653" s="50">
        <v>693</v>
      </c>
      <c r="B1653" s="51" t="str">
        <v>综合配线-NHBV2.5</v>
      </c>
      <c r="C1653" s="51" t="e">
        <v>#REF!</v>
      </c>
      <c r="D1653" s="51" t="str">
        <v/>
      </c>
      <c r="E1653" s="51" t="str">
        <v/>
      </c>
      <c r="F1653" s="52" t="e">
        <v>#REF!</v>
      </c>
      <c r="G1653" s="48" t="e">
        <v>#REF!</v>
      </c>
      <c r="H1653" s="49">
        <v>719.12</v>
      </c>
      <c r="I1653" s="49" t="e">
        <v>#REF!</v>
      </c>
      <c r="J1653" s="50"/>
    </row>
    <row r="1654" outlineLevel="1" spans="1:10">
      <c r="A1654" s="50">
        <v>694</v>
      </c>
      <c r="B1654" s="51" t="str">
        <v>综合配线-NHBV4</v>
      </c>
      <c r="C1654" s="51" t="e">
        <v>#REF!</v>
      </c>
      <c r="D1654" s="51" t="str">
        <v/>
      </c>
      <c r="E1654" s="51" t="str">
        <v/>
      </c>
      <c r="F1654" s="52" t="e">
        <v>#REF!</v>
      </c>
      <c r="G1654" s="48" t="e">
        <v>#REF!</v>
      </c>
      <c r="H1654" s="49">
        <v>157.39</v>
      </c>
      <c r="I1654" s="49" t="e">
        <v>#REF!</v>
      </c>
      <c r="J1654" s="50"/>
    </row>
    <row r="1655" outlineLevel="1" spans="1:10">
      <c r="A1655" s="50">
        <v>695</v>
      </c>
      <c r="B1655" s="51" t="str">
        <v>综合配线-WDZNBYJ2.5</v>
      </c>
      <c r="C1655" s="51" t="e">
        <v>#REF!</v>
      </c>
      <c r="D1655" s="51" t="str">
        <v/>
      </c>
      <c r="E1655" s="51" t="str">
        <v/>
      </c>
      <c r="F1655" s="52" t="e">
        <v>#REF!</v>
      </c>
      <c r="G1655" s="48" t="e">
        <v>#REF!</v>
      </c>
      <c r="H1655" s="49">
        <v>916.49</v>
      </c>
      <c r="I1655" s="49" t="e">
        <v>#REF!</v>
      </c>
      <c r="J1655" s="50"/>
    </row>
    <row r="1656" outlineLevel="1" spans="1:10">
      <c r="A1656" s="50">
        <v>696</v>
      </c>
      <c r="B1656" s="51" t="str">
        <v>综合配线-WDZBYJ2.5</v>
      </c>
      <c r="C1656" s="51" t="e">
        <v>#REF!</v>
      </c>
      <c r="D1656" s="51" t="str">
        <v/>
      </c>
      <c r="E1656" s="51" t="str">
        <v/>
      </c>
      <c r="F1656" s="52" t="e">
        <v>#REF!</v>
      </c>
      <c r="G1656" s="48" t="e">
        <v>#REF!</v>
      </c>
      <c r="H1656" s="49">
        <v>10</v>
      </c>
      <c r="I1656" s="49" t="e">
        <v>#REF!</v>
      </c>
      <c r="J1656" s="50"/>
    </row>
    <row r="1657" outlineLevel="1" spans="1:10">
      <c r="A1657" s="50">
        <v>697</v>
      </c>
      <c r="B1657" s="51" t="str">
        <v>综合配线-WDZNBYJ4</v>
      </c>
      <c r="C1657" s="51" t="e">
        <v>#REF!</v>
      </c>
      <c r="D1657" s="51" t="str">
        <v/>
      </c>
      <c r="E1657" s="51" t="str">
        <v/>
      </c>
      <c r="F1657" s="52" t="e">
        <v>#REF!</v>
      </c>
      <c r="G1657" s="48" t="e">
        <v>#REF!</v>
      </c>
      <c r="H1657" s="49">
        <v>257.03</v>
      </c>
      <c r="I1657" s="49" t="e">
        <v>#REF!</v>
      </c>
      <c r="J1657" s="50"/>
    </row>
    <row r="1658" outlineLevel="1" spans="1:10">
      <c r="A1658" s="50">
        <v>698</v>
      </c>
      <c r="B1658" s="51" t="str">
        <v>综合配线-WDZBYJ10</v>
      </c>
      <c r="C1658" s="51" t="e">
        <v>#REF!</v>
      </c>
      <c r="D1658" s="51" t="str">
        <v/>
      </c>
      <c r="E1658" s="51" t="str">
        <v/>
      </c>
      <c r="F1658" s="52" t="e">
        <v>#REF!</v>
      </c>
      <c r="G1658" s="48" t="e">
        <v>#REF!</v>
      </c>
      <c r="H1658" s="49">
        <v>2482.59</v>
      </c>
      <c r="I1658" s="49" t="e">
        <v>#REF!</v>
      </c>
      <c r="J1658" s="50"/>
    </row>
    <row r="1659" outlineLevel="1" spans="1:10">
      <c r="A1659" s="50">
        <v>699</v>
      </c>
      <c r="B1659" s="51" t="str">
        <v>综合配线-WDZNRYJS2*2.5</v>
      </c>
      <c r="C1659" s="51" t="e">
        <v>#REF!</v>
      </c>
      <c r="D1659" s="51" t="str">
        <v/>
      </c>
      <c r="E1659" s="51" t="str">
        <v/>
      </c>
      <c r="F1659" s="52" t="e">
        <v>#REF!</v>
      </c>
      <c r="G1659" s="48" t="e">
        <v>#REF!</v>
      </c>
      <c r="H1659" s="49">
        <v>0</v>
      </c>
      <c r="I1659" s="49" t="e">
        <v>#REF!</v>
      </c>
      <c r="J1659" s="50"/>
    </row>
    <row r="1660" outlineLevel="1" spans="1:10">
      <c r="A1660" s="50">
        <v>700</v>
      </c>
      <c r="B1660" s="51" t="str">
        <v>综合配线-RVV-3*1.0</v>
      </c>
      <c r="C1660" s="51" t="e">
        <v>#REF!</v>
      </c>
      <c r="D1660" s="51" t="str">
        <v/>
      </c>
      <c r="E1660" s="51" t="str">
        <v/>
      </c>
      <c r="F1660" s="52" t="e">
        <v>#REF!</v>
      </c>
      <c r="G1660" s="48" t="e">
        <v>#REF!</v>
      </c>
      <c r="H1660" s="49">
        <v>0</v>
      </c>
      <c r="I1660" s="49" t="e">
        <v>#REF!</v>
      </c>
      <c r="J1660" s="50"/>
    </row>
    <row r="1661" outlineLevel="1" spans="1:10">
      <c r="A1661" s="50">
        <v>701</v>
      </c>
      <c r="B1661" s="51" t="str">
        <v>综合配线-RVV-4*1.0</v>
      </c>
      <c r="C1661" s="51" t="e">
        <v>#REF!</v>
      </c>
      <c r="D1661" s="51" t="str">
        <v/>
      </c>
      <c r="E1661" s="51" t="str">
        <v/>
      </c>
      <c r="F1661" s="52" t="e">
        <v>#REF!</v>
      </c>
      <c r="G1661" s="48" t="e">
        <v>#REF!</v>
      </c>
      <c r="H1661" s="49">
        <v>0</v>
      </c>
      <c r="I1661" s="49" t="e">
        <v>#REF!</v>
      </c>
      <c r="J1661" s="50"/>
    </row>
    <row r="1662" outlineLevel="1" spans="1:10">
      <c r="A1662" s="50">
        <v>702</v>
      </c>
      <c r="B1662" s="51" t="str">
        <v>综合配线-RVV-5*1.0</v>
      </c>
      <c r="C1662" s="51" t="e">
        <v>#REF!</v>
      </c>
      <c r="D1662" s="51" t="str">
        <v/>
      </c>
      <c r="E1662" s="51" t="str">
        <v/>
      </c>
      <c r="F1662" s="52" t="e">
        <v>#REF!</v>
      </c>
      <c r="G1662" s="48" t="e">
        <v>#REF!</v>
      </c>
      <c r="H1662" s="49">
        <v>0</v>
      </c>
      <c r="I1662" s="49" t="e">
        <v>#REF!</v>
      </c>
      <c r="J1662" s="50"/>
    </row>
    <row r="1663" outlineLevel="1" spans="1:10">
      <c r="A1663" s="50">
        <v>703</v>
      </c>
      <c r="B1663" s="51" t="str">
        <v>钢套管DN15-32</v>
      </c>
      <c r="C1663" s="51" t="e">
        <v>#REF!</v>
      </c>
      <c r="D1663" s="51" t="str">
        <v/>
      </c>
      <c r="E1663" s="51" t="str">
        <v/>
      </c>
      <c r="F1663" s="52" t="e">
        <v>#REF!</v>
      </c>
      <c r="G1663" s="48" t="e">
        <v>#REF!</v>
      </c>
      <c r="H1663" s="49">
        <v>1137</v>
      </c>
      <c r="I1663" s="49" t="e">
        <v>#REF!</v>
      </c>
      <c r="J1663" s="50"/>
    </row>
    <row r="1664" outlineLevel="1" spans="1:10">
      <c r="A1664" s="50">
        <v>704</v>
      </c>
      <c r="B1664" s="51" t="str">
        <v>钢套管DN40-50</v>
      </c>
      <c r="C1664" s="51" t="e">
        <v>#REF!</v>
      </c>
      <c r="D1664" s="51" t="str">
        <v/>
      </c>
      <c r="E1664" s="51" t="str">
        <v/>
      </c>
      <c r="F1664" s="52" t="e">
        <v>#REF!</v>
      </c>
      <c r="G1664" s="48" t="e">
        <v>#REF!</v>
      </c>
      <c r="H1664" s="49">
        <v>39</v>
      </c>
      <c r="I1664" s="49" t="e">
        <v>#REF!</v>
      </c>
      <c r="J1664" s="50"/>
    </row>
    <row r="1665" outlineLevel="1" spans="1:10">
      <c r="A1665" s="50">
        <v>705</v>
      </c>
      <c r="B1665" s="51" t="str">
        <v>钢套管DN65-70</v>
      </c>
      <c r="C1665" s="51" t="e">
        <v>#REF!</v>
      </c>
      <c r="D1665" s="51" t="str">
        <v/>
      </c>
      <c r="E1665" s="51" t="str">
        <v/>
      </c>
      <c r="F1665" s="52" t="e">
        <v>#REF!</v>
      </c>
      <c r="G1665" s="48" t="e">
        <v>#REF!</v>
      </c>
      <c r="H1665" s="49">
        <v>379</v>
      </c>
      <c r="I1665" s="49" t="e">
        <v>#REF!</v>
      </c>
      <c r="J1665" s="50"/>
    </row>
    <row r="1666" outlineLevel="1" spans="1:10">
      <c r="A1666" s="50">
        <v>706</v>
      </c>
      <c r="B1666" s="51" t="str">
        <v>钢套管DN80-100</v>
      </c>
      <c r="C1666" s="51" t="e">
        <v>#REF!</v>
      </c>
      <c r="D1666" s="51" t="str">
        <v/>
      </c>
      <c r="E1666" s="51" t="str">
        <v/>
      </c>
      <c r="F1666" s="52" t="e">
        <v>#REF!</v>
      </c>
      <c r="G1666" s="48" t="e">
        <v>#REF!</v>
      </c>
      <c r="H1666" s="49">
        <v>9</v>
      </c>
      <c r="I1666" s="49" t="e">
        <v>#REF!</v>
      </c>
      <c r="J1666" s="50"/>
    </row>
    <row r="1667" outlineLevel="1" spans="1:10">
      <c r="A1667" s="50" t="str">
        <v/>
      </c>
      <c r="B1667" s="51" t="str">
        <v>B.21.4照明器具</v>
      </c>
      <c r="C1667" s="51" t="str">
        <v/>
      </c>
      <c r="D1667" s="51" t="str">
        <v/>
      </c>
      <c r="E1667" s="51" t="str">
        <v/>
      </c>
      <c r="F1667" s="52" t="str">
        <v/>
      </c>
      <c r="G1667" s="48" t="str">
        <v/>
      </c>
      <c r="H1667" s="49">
        <v>0</v>
      </c>
      <c r="I1667" s="49" t="e">
        <v>#REF!</v>
      </c>
      <c r="J1667" s="50"/>
    </row>
    <row r="1668" outlineLevel="1" spans="1:10">
      <c r="A1668" s="50">
        <v>707</v>
      </c>
      <c r="B1668" s="51" t="str">
        <v>灯具-门上座灯</v>
      </c>
      <c r="C1668" s="51" t="e">
        <v>#REF!</v>
      </c>
      <c r="D1668" s="51" t="str">
        <v/>
      </c>
      <c r="E1668" s="51" t="str">
        <v/>
      </c>
      <c r="F1668" s="52" t="e">
        <v>#REF!</v>
      </c>
      <c r="G1668" s="48" t="e">
        <v>#REF!</v>
      </c>
      <c r="H1668" s="49">
        <v>144</v>
      </c>
      <c r="I1668" s="49" t="e">
        <v>#REF!</v>
      </c>
      <c r="J1668" s="50"/>
    </row>
    <row r="1669" outlineLevel="1" spans="1:10">
      <c r="A1669" s="50">
        <v>708</v>
      </c>
      <c r="B1669" s="51" t="str">
        <v>灯具-普通座灯头</v>
      </c>
      <c r="C1669" s="51" t="e">
        <v>#REF!</v>
      </c>
      <c r="D1669" s="51" t="str">
        <v/>
      </c>
      <c r="E1669" s="51" t="str">
        <v/>
      </c>
      <c r="F1669" s="52" t="e">
        <v>#REF!</v>
      </c>
      <c r="G1669" s="48" t="e">
        <v>#REF!</v>
      </c>
      <c r="H1669" s="49">
        <v>757</v>
      </c>
      <c r="I1669" s="49" t="e">
        <v>#REF!</v>
      </c>
      <c r="J1669" s="50"/>
    </row>
    <row r="1670" outlineLevel="1" spans="1:10">
      <c r="A1670" s="50">
        <v>709</v>
      </c>
      <c r="B1670" s="51" t="str">
        <v>灯具-单管荧光灯-吊链安装</v>
      </c>
      <c r="C1670" s="51" t="e">
        <v>#REF!</v>
      </c>
      <c r="D1670" s="51" t="str">
        <v/>
      </c>
      <c r="E1670" s="51" t="str">
        <v/>
      </c>
      <c r="F1670" s="52" t="e">
        <v>#REF!</v>
      </c>
      <c r="G1670" s="48" t="e">
        <v>#REF!</v>
      </c>
      <c r="H1670" s="49">
        <v>9</v>
      </c>
      <c r="I1670" s="49" t="e">
        <v>#REF!</v>
      </c>
      <c r="J1670" s="50"/>
    </row>
    <row r="1671" outlineLevel="1" spans="1:10">
      <c r="A1671" s="50">
        <v>710</v>
      </c>
      <c r="B1671" s="51" t="str">
        <v>疏散出口标志灯-带蓄电池</v>
      </c>
      <c r="C1671" s="51" t="e">
        <v>#REF!</v>
      </c>
      <c r="D1671" s="51" t="str">
        <v/>
      </c>
      <c r="E1671" s="51" t="str">
        <v/>
      </c>
      <c r="F1671" s="52" t="e">
        <v>#REF!</v>
      </c>
      <c r="G1671" s="48" t="e">
        <v>#REF!</v>
      </c>
      <c r="H1671" s="49">
        <v>0</v>
      </c>
      <c r="I1671" s="49" t="e">
        <v>#REF!</v>
      </c>
      <c r="J1671" s="50"/>
    </row>
    <row r="1672" ht="28.8" outlineLevel="1" spans="1:10">
      <c r="A1672" s="50">
        <v>711</v>
      </c>
      <c r="B1672" s="51" t="str">
        <v>疏散出口标志灯（防护等级IP67）带蓄电池</v>
      </c>
      <c r="C1672" s="51" t="e">
        <v>#REF!</v>
      </c>
      <c r="D1672" s="51" t="str">
        <v/>
      </c>
      <c r="E1672" s="51" t="str">
        <v/>
      </c>
      <c r="F1672" s="52" t="e">
        <v>#REF!</v>
      </c>
      <c r="G1672" s="48" t="e">
        <v>#REF!</v>
      </c>
      <c r="H1672" s="49">
        <v>0</v>
      </c>
      <c r="I1672" s="49" t="e">
        <v>#REF!</v>
      </c>
      <c r="J1672" s="50"/>
    </row>
    <row r="1673" outlineLevel="1" spans="1:10">
      <c r="A1673" s="50">
        <v>712</v>
      </c>
      <c r="B1673" s="51" t="str">
        <v>楼层指示标志灯-带蓄电池</v>
      </c>
      <c r="C1673" s="51" t="e">
        <v>#REF!</v>
      </c>
      <c r="D1673" s="51" t="str">
        <v/>
      </c>
      <c r="E1673" s="51" t="str">
        <v/>
      </c>
      <c r="F1673" s="52" t="e">
        <v>#REF!</v>
      </c>
      <c r="G1673" s="48" t="e">
        <v>#REF!</v>
      </c>
      <c r="H1673" s="49">
        <v>0</v>
      </c>
      <c r="I1673" s="49" t="e">
        <v>#REF!</v>
      </c>
      <c r="J1673" s="50"/>
    </row>
    <row r="1674" ht="28.8" outlineLevel="1" spans="1:10">
      <c r="A1674" s="50">
        <v>713</v>
      </c>
      <c r="B1674" s="51" t="str">
        <v>单向单面疏散指示标志灯-带蓄电池</v>
      </c>
      <c r="C1674" s="51" t="e">
        <v>#REF!</v>
      </c>
      <c r="D1674" s="51" t="str">
        <v/>
      </c>
      <c r="E1674" s="51" t="str">
        <v/>
      </c>
      <c r="F1674" s="52" t="e">
        <v>#REF!</v>
      </c>
      <c r="G1674" s="48" t="e">
        <v>#REF!</v>
      </c>
      <c r="H1674" s="49">
        <v>0</v>
      </c>
      <c r="I1674" s="49" t="e">
        <v>#REF!</v>
      </c>
      <c r="J1674" s="50"/>
    </row>
    <row r="1675" ht="28.8" outlineLevel="1" spans="1:10">
      <c r="A1675" s="50">
        <v>714</v>
      </c>
      <c r="B1675" s="51" t="str">
        <v>单向双面疏散指示标志灯-带蓄电池</v>
      </c>
      <c r="C1675" s="51" t="e">
        <v>#REF!</v>
      </c>
      <c r="D1675" s="51" t="str">
        <v/>
      </c>
      <c r="E1675" s="51" t="str">
        <v/>
      </c>
      <c r="F1675" s="52" t="e">
        <v>#REF!</v>
      </c>
      <c r="G1675" s="48" t="e">
        <v>#REF!</v>
      </c>
      <c r="H1675" s="49">
        <v>0</v>
      </c>
      <c r="I1675" s="49" t="e">
        <v>#REF!</v>
      </c>
      <c r="J1675" s="50"/>
    </row>
    <row r="1676" ht="28.8" outlineLevel="1" spans="1:10">
      <c r="A1676" s="50">
        <v>715</v>
      </c>
      <c r="B1676" s="51" t="str">
        <v>双向单面疏散指示标志灯-带蓄电池</v>
      </c>
      <c r="C1676" s="51" t="e">
        <v>#REF!</v>
      </c>
      <c r="D1676" s="51" t="str">
        <v/>
      </c>
      <c r="E1676" s="51" t="str">
        <v/>
      </c>
      <c r="F1676" s="52" t="e">
        <v>#REF!</v>
      </c>
      <c r="G1676" s="48" t="e">
        <v>#REF!</v>
      </c>
      <c r="H1676" s="49">
        <v>0</v>
      </c>
      <c r="I1676" s="49" t="e">
        <v>#REF!</v>
      </c>
      <c r="J1676" s="50"/>
    </row>
    <row r="1677" outlineLevel="1" spans="1:10">
      <c r="A1677" s="50">
        <v>716</v>
      </c>
      <c r="B1677" s="51" t="str">
        <v>安全出口标志灯-带蓄电池</v>
      </c>
      <c r="C1677" s="51" t="e">
        <v>#REF!</v>
      </c>
      <c r="D1677" s="51" t="str">
        <v/>
      </c>
      <c r="E1677" s="51" t="str">
        <v/>
      </c>
      <c r="F1677" s="52" t="e">
        <v>#REF!</v>
      </c>
      <c r="G1677" s="48" t="e">
        <v>#REF!</v>
      </c>
      <c r="H1677" s="49">
        <v>0</v>
      </c>
      <c r="I1677" s="49" t="e">
        <v>#REF!</v>
      </c>
      <c r="J1677" s="50"/>
    </row>
    <row r="1678" ht="28.8" outlineLevel="1" spans="1:10">
      <c r="A1678" s="50">
        <v>717</v>
      </c>
      <c r="B1678" s="51" t="str">
        <v>E-X带禁止入内的安全出口标志灯-带蓄电池</v>
      </c>
      <c r="C1678" s="51" t="e">
        <v>#REF!</v>
      </c>
      <c r="D1678" s="51" t="str">
        <v/>
      </c>
      <c r="E1678" s="51" t="str">
        <v/>
      </c>
      <c r="F1678" s="52" t="e">
        <v>#REF!</v>
      </c>
      <c r="G1678" s="48" t="e">
        <v>#REF!</v>
      </c>
      <c r="H1678" s="49">
        <v>0</v>
      </c>
      <c r="I1678" s="49" t="e">
        <v>#REF!</v>
      </c>
      <c r="J1678" s="50"/>
    </row>
    <row r="1679" outlineLevel="1" spans="1:10">
      <c r="A1679" s="50">
        <v>718</v>
      </c>
      <c r="B1679" s="51" t="str">
        <v>火灾禁入标志灯-带蓄电池</v>
      </c>
      <c r="C1679" s="51" t="e">
        <v>#REF!</v>
      </c>
      <c r="D1679" s="51" t="str">
        <v/>
      </c>
      <c r="E1679" s="51" t="str">
        <v/>
      </c>
      <c r="F1679" s="52" t="e">
        <v>#REF!</v>
      </c>
      <c r="G1679" s="48" t="e">
        <v>#REF!</v>
      </c>
      <c r="H1679" s="49">
        <v>0</v>
      </c>
      <c r="I1679" s="49" t="e">
        <v>#REF!</v>
      </c>
      <c r="J1679" s="50"/>
    </row>
    <row r="1680" outlineLevel="1" spans="1:10">
      <c r="A1680" s="50">
        <v>719</v>
      </c>
      <c r="B1680" s="51" t="str">
        <v>E1消防应急壁灯-带蓄电池</v>
      </c>
      <c r="C1680" s="51" t="e">
        <v>#REF!</v>
      </c>
      <c r="D1680" s="51" t="str">
        <v/>
      </c>
      <c r="E1680" s="51" t="str">
        <v/>
      </c>
      <c r="F1680" s="52" t="e">
        <v>#REF!</v>
      </c>
      <c r="G1680" s="48" t="e">
        <v>#REF!</v>
      </c>
      <c r="H1680" s="49">
        <v>0</v>
      </c>
      <c r="I1680" s="49" t="e">
        <v>#REF!</v>
      </c>
      <c r="J1680" s="50"/>
    </row>
    <row r="1681" outlineLevel="1" spans="1:10">
      <c r="A1681" s="50">
        <v>720</v>
      </c>
      <c r="B1681" s="51" t="str">
        <v>消防应急吸顶灯-带蓄电池</v>
      </c>
      <c r="C1681" s="51" t="e">
        <v>#REF!</v>
      </c>
      <c r="D1681" s="51" t="str">
        <v/>
      </c>
      <c r="E1681" s="51" t="str">
        <v/>
      </c>
      <c r="F1681" s="52" t="e">
        <v>#REF!</v>
      </c>
      <c r="G1681" s="48" t="e">
        <v>#REF!</v>
      </c>
      <c r="H1681" s="49">
        <v>0</v>
      </c>
      <c r="I1681" s="49" t="e">
        <v>#REF!</v>
      </c>
      <c r="J1681" s="50"/>
    </row>
    <row r="1682" ht="28.8" outlineLevel="1" spans="1:10">
      <c r="A1682" s="50">
        <v>721</v>
      </c>
      <c r="B1682" s="51" t="str">
        <v>消防应急吸顶灯（防护等级IP67）带蓄电池</v>
      </c>
      <c r="C1682" s="51" t="e">
        <v>#REF!</v>
      </c>
      <c r="D1682" s="51" t="str">
        <v/>
      </c>
      <c r="E1682" s="51" t="str">
        <v/>
      </c>
      <c r="F1682" s="52" t="e">
        <v>#REF!</v>
      </c>
      <c r="G1682" s="48" t="e">
        <v>#REF!</v>
      </c>
      <c r="H1682" s="49">
        <v>0</v>
      </c>
      <c r="I1682" s="49" t="e">
        <v>#REF!</v>
      </c>
      <c r="J1682" s="50"/>
    </row>
    <row r="1683" outlineLevel="1" spans="1:10">
      <c r="A1683" s="50">
        <v>722</v>
      </c>
      <c r="B1683" s="51" t="str">
        <v>灯具-安全出口标志灯</v>
      </c>
      <c r="C1683" s="51" t="e">
        <v>#REF!</v>
      </c>
      <c r="D1683" s="51" t="str">
        <v/>
      </c>
      <c r="E1683" s="51" t="str">
        <v/>
      </c>
      <c r="F1683" s="52" t="e">
        <v>#REF!</v>
      </c>
      <c r="G1683" s="48" t="e">
        <v>#REF!</v>
      </c>
      <c r="H1683" s="49">
        <v>3</v>
      </c>
      <c r="I1683" s="49" t="e">
        <v>#REF!</v>
      </c>
      <c r="J1683" s="50"/>
    </row>
    <row r="1684" outlineLevel="1" spans="1:10">
      <c r="A1684" s="50">
        <v>723</v>
      </c>
      <c r="B1684" s="51" t="str">
        <v>灯具-疏散出口标志灯</v>
      </c>
      <c r="C1684" s="51" t="e">
        <v>#REF!</v>
      </c>
      <c r="D1684" s="51" t="str">
        <v/>
      </c>
      <c r="E1684" s="51" t="str">
        <v/>
      </c>
      <c r="F1684" s="52" t="e">
        <v>#REF!</v>
      </c>
      <c r="G1684" s="48" t="e">
        <v>#REF!</v>
      </c>
      <c r="H1684" s="49">
        <v>65</v>
      </c>
      <c r="I1684" s="49" t="e">
        <v>#REF!</v>
      </c>
      <c r="J1684" s="50"/>
    </row>
    <row r="1685" outlineLevel="1" spans="1:10">
      <c r="A1685" s="50">
        <v>724</v>
      </c>
      <c r="B1685" s="51" t="str">
        <v>灯具-火灾禁入标志灯</v>
      </c>
      <c r="C1685" s="51" t="e">
        <v>#REF!</v>
      </c>
      <c r="D1685" s="51" t="str">
        <v/>
      </c>
      <c r="E1685" s="51" t="str">
        <v/>
      </c>
      <c r="F1685" s="52" t="e">
        <v>#REF!</v>
      </c>
      <c r="G1685" s="48" t="e">
        <v>#REF!</v>
      </c>
      <c r="H1685" s="49">
        <v>3</v>
      </c>
      <c r="I1685" s="49" t="e">
        <v>#REF!</v>
      </c>
      <c r="J1685" s="50"/>
    </row>
    <row r="1686" outlineLevel="1" spans="1:10">
      <c r="A1686" s="50">
        <v>725</v>
      </c>
      <c r="B1686" s="51" t="str">
        <v>灯具-楼层指示标志灯</v>
      </c>
      <c r="C1686" s="51" t="e">
        <v>#REF!</v>
      </c>
      <c r="D1686" s="51" t="str">
        <v/>
      </c>
      <c r="E1686" s="51" t="str">
        <v/>
      </c>
      <c r="F1686" s="52" t="e">
        <v>#REF!</v>
      </c>
      <c r="G1686" s="48" t="e">
        <v>#REF!</v>
      </c>
      <c r="H1686" s="49">
        <v>60</v>
      </c>
      <c r="I1686" s="49" t="e">
        <v>#REF!</v>
      </c>
      <c r="J1686" s="50"/>
    </row>
    <row r="1687" ht="28.8" outlineLevel="1" spans="1:10">
      <c r="A1687" s="50">
        <v>726</v>
      </c>
      <c r="B1687" s="51" t="str">
        <v>灯具-消防应急壁灯（微波感应）带蓄电池</v>
      </c>
      <c r="C1687" s="51" t="e">
        <v>#REF!</v>
      </c>
      <c r="D1687" s="51" t="str">
        <v/>
      </c>
      <c r="E1687" s="51" t="str">
        <v/>
      </c>
      <c r="F1687" s="52" t="e">
        <v>#REF!</v>
      </c>
      <c r="G1687" s="48" t="e">
        <v>#REF!</v>
      </c>
      <c r="H1687" s="49">
        <v>3</v>
      </c>
      <c r="I1687" s="49" t="e">
        <v>#REF!</v>
      </c>
      <c r="J1687" s="50"/>
    </row>
    <row r="1688" ht="28.8" outlineLevel="1" spans="1:10">
      <c r="A1688" s="50">
        <v>727</v>
      </c>
      <c r="B1688" s="51" t="str">
        <v>灯具-消防应急吸顶灯-附微波感应带蓄电池</v>
      </c>
      <c r="C1688" s="51" t="e">
        <v>#REF!</v>
      </c>
      <c r="D1688" s="51" t="str">
        <v/>
      </c>
      <c r="E1688" s="51" t="str">
        <v/>
      </c>
      <c r="F1688" s="52" t="e">
        <v>#REF!</v>
      </c>
      <c r="G1688" s="48" t="e">
        <v>#REF!</v>
      </c>
      <c r="H1688" s="49">
        <v>246</v>
      </c>
      <c r="I1688" s="49" t="e">
        <v>#REF!</v>
      </c>
      <c r="J1688" s="50"/>
    </row>
    <row r="1689" ht="28.8" outlineLevel="1" spans="1:10">
      <c r="A1689" s="50">
        <v>728</v>
      </c>
      <c r="B1689" s="51" t="str">
        <v>灯具-单向单面疏散指示标志灯</v>
      </c>
      <c r="C1689" s="51" t="e">
        <v>#REF!</v>
      </c>
      <c r="D1689" s="51" t="str">
        <v/>
      </c>
      <c r="E1689" s="51" t="str">
        <v/>
      </c>
      <c r="F1689" s="52" t="e">
        <v>#REF!</v>
      </c>
      <c r="G1689" s="48" t="e">
        <v>#REF!</v>
      </c>
      <c r="H1689" s="49">
        <v>55</v>
      </c>
      <c r="I1689" s="49" t="e">
        <v>#REF!</v>
      </c>
      <c r="J1689" s="50"/>
    </row>
    <row r="1690" outlineLevel="1" spans="1:10">
      <c r="A1690" s="50" t="str">
        <v/>
      </c>
      <c r="B1690" s="51" t="str">
        <v>B.21.5开关插座</v>
      </c>
      <c r="C1690" s="51" t="str">
        <v/>
      </c>
      <c r="D1690" s="51" t="str">
        <v/>
      </c>
      <c r="E1690" s="51" t="str">
        <v/>
      </c>
      <c r="F1690" s="52" t="str">
        <v/>
      </c>
      <c r="G1690" s="48" t="str">
        <v/>
      </c>
      <c r="H1690" s="49">
        <v>0</v>
      </c>
      <c r="I1690" s="49" t="e">
        <v>#REF!</v>
      </c>
      <c r="J1690" s="50"/>
    </row>
    <row r="1691" outlineLevel="1" spans="1:10">
      <c r="A1691" s="50">
        <v>729</v>
      </c>
      <c r="B1691" s="51" t="str">
        <v>五孔插座</v>
      </c>
      <c r="C1691" s="51" t="e">
        <v>#REF!</v>
      </c>
      <c r="D1691" s="51" t="str">
        <v/>
      </c>
      <c r="E1691" s="51" t="str">
        <v/>
      </c>
      <c r="F1691" s="52" t="e">
        <v>#REF!</v>
      </c>
      <c r="G1691" s="48" t="e">
        <v>#REF!</v>
      </c>
      <c r="H1691" s="49">
        <v>1248</v>
      </c>
      <c r="I1691" s="49" t="e">
        <v>#REF!</v>
      </c>
      <c r="J1691" s="50"/>
    </row>
    <row r="1692" outlineLevel="1" spans="1:10">
      <c r="A1692" s="50">
        <v>730</v>
      </c>
      <c r="B1692" s="51" t="str">
        <v>电伴热插座</v>
      </c>
      <c r="C1692" s="51" t="e">
        <v>#REF!</v>
      </c>
      <c r="D1692" s="51" t="str">
        <v/>
      </c>
      <c r="E1692" s="51" t="str">
        <v/>
      </c>
      <c r="F1692" s="52" t="e">
        <v>#REF!</v>
      </c>
      <c r="G1692" s="48" t="e">
        <v>#REF!</v>
      </c>
      <c r="H1692" s="49">
        <v>3</v>
      </c>
      <c r="I1692" s="49" t="e">
        <v>#REF!</v>
      </c>
      <c r="J1692" s="50"/>
    </row>
    <row r="1693" outlineLevel="1" spans="1:10">
      <c r="A1693" s="50">
        <v>731</v>
      </c>
      <c r="B1693" s="51" t="str">
        <v>洗衣机插座</v>
      </c>
      <c r="C1693" s="51" t="e">
        <v>#REF!</v>
      </c>
      <c r="D1693" s="51" t="str">
        <v/>
      </c>
      <c r="E1693" s="51" t="str">
        <v/>
      </c>
      <c r="F1693" s="52" t="e">
        <v>#REF!</v>
      </c>
      <c r="G1693" s="48" t="e">
        <v>#REF!</v>
      </c>
      <c r="H1693" s="49">
        <v>108</v>
      </c>
      <c r="I1693" s="49" t="e">
        <v>#REF!</v>
      </c>
      <c r="J1693" s="50"/>
    </row>
    <row r="1694" outlineLevel="1" spans="1:10">
      <c r="A1694" s="50">
        <v>732</v>
      </c>
      <c r="B1694" s="51" t="str">
        <v>安全型燃气插座</v>
      </c>
      <c r="C1694" s="51" t="e">
        <v>#REF!</v>
      </c>
      <c r="D1694" s="51" t="str">
        <v/>
      </c>
      <c r="E1694" s="51" t="str">
        <v/>
      </c>
      <c r="F1694" s="52" t="e">
        <v>#REF!</v>
      </c>
      <c r="G1694" s="48" t="e">
        <v>#REF!</v>
      </c>
      <c r="H1694" s="49">
        <v>108</v>
      </c>
      <c r="I1694" s="49" t="e">
        <v>#REF!</v>
      </c>
      <c r="J1694" s="50"/>
    </row>
    <row r="1695" outlineLevel="1" spans="1:10">
      <c r="A1695" s="50">
        <v>733</v>
      </c>
      <c r="B1695" s="51" t="str">
        <v>电辅热插座</v>
      </c>
      <c r="C1695" s="51" t="e">
        <v>#REF!</v>
      </c>
      <c r="D1695" s="51" t="str">
        <v/>
      </c>
      <c r="E1695" s="51" t="str">
        <v/>
      </c>
      <c r="F1695" s="52" t="e">
        <v>#REF!</v>
      </c>
      <c r="G1695" s="48" t="e">
        <v>#REF!</v>
      </c>
      <c r="H1695" s="49">
        <v>108</v>
      </c>
      <c r="I1695" s="49" t="e">
        <v>#REF!</v>
      </c>
      <c r="J1695" s="50"/>
    </row>
    <row r="1696" outlineLevel="1" spans="1:10">
      <c r="A1696" s="50">
        <v>734</v>
      </c>
      <c r="B1696" s="51" t="str">
        <v>油烟机插座</v>
      </c>
      <c r="C1696" s="51" t="e">
        <v>#REF!</v>
      </c>
      <c r="D1696" s="51" t="str">
        <v/>
      </c>
      <c r="E1696" s="51" t="str">
        <v/>
      </c>
      <c r="F1696" s="52" t="e">
        <v>#REF!</v>
      </c>
      <c r="G1696" s="48" t="e">
        <v>#REF!</v>
      </c>
      <c r="H1696" s="49">
        <v>108</v>
      </c>
      <c r="I1696" s="49" t="e">
        <v>#REF!</v>
      </c>
      <c r="J1696" s="50"/>
    </row>
    <row r="1697" outlineLevel="1" spans="1:10">
      <c r="A1697" s="50">
        <v>735</v>
      </c>
      <c r="B1697" s="51" t="str">
        <v>厨房五孔插座</v>
      </c>
      <c r="C1697" s="51" t="e">
        <v>#REF!</v>
      </c>
      <c r="D1697" s="51" t="str">
        <v/>
      </c>
      <c r="E1697" s="51" t="str">
        <v/>
      </c>
      <c r="F1697" s="52" t="e">
        <v>#REF!</v>
      </c>
      <c r="G1697" s="48" t="e">
        <v>#REF!</v>
      </c>
      <c r="H1697" s="49">
        <v>428</v>
      </c>
      <c r="I1697" s="49" t="e">
        <v>#REF!</v>
      </c>
      <c r="J1697" s="50"/>
    </row>
    <row r="1698" outlineLevel="1" spans="1:10">
      <c r="A1698" s="50">
        <v>736</v>
      </c>
      <c r="B1698" s="51" t="str">
        <v>剃须刀插座</v>
      </c>
      <c r="C1698" s="51" t="e">
        <v>#REF!</v>
      </c>
      <c r="D1698" s="51" t="str">
        <v/>
      </c>
      <c r="E1698" s="51" t="str">
        <v/>
      </c>
      <c r="F1698" s="52" t="e">
        <v>#REF!</v>
      </c>
      <c r="G1698" s="48" t="e">
        <v>#REF!</v>
      </c>
      <c r="H1698" s="49">
        <v>212</v>
      </c>
      <c r="I1698" s="49" t="e">
        <v>#REF!</v>
      </c>
      <c r="J1698" s="50"/>
    </row>
    <row r="1699" outlineLevel="1" spans="1:10">
      <c r="A1699" s="50">
        <v>737</v>
      </c>
      <c r="B1699" s="51" t="str">
        <v>七孔插座</v>
      </c>
      <c r="C1699" s="51" t="e">
        <v>#REF!</v>
      </c>
      <c r="D1699" s="51" t="str">
        <v/>
      </c>
      <c r="E1699" s="51" t="str">
        <v/>
      </c>
      <c r="F1699" s="52" t="e">
        <v>#REF!</v>
      </c>
      <c r="G1699" s="48" t="e">
        <v>#REF!</v>
      </c>
      <c r="H1699" s="49">
        <v>108</v>
      </c>
      <c r="I1699" s="49" t="e">
        <v>#REF!</v>
      </c>
      <c r="J1699" s="50"/>
    </row>
    <row r="1700" outlineLevel="1" spans="1:10">
      <c r="A1700" s="50">
        <v>738</v>
      </c>
      <c r="B1700" s="51" t="str">
        <v>防溅盒</v>
      </c>
      <c r="C1700" s="51" t="e">
        <v>#REF!</v>
      </c>
      <c r="D1700" s="51" t="str">
        <v/>
      </c>
      <c r="E1700" s="51" t="str">
        <v/>
      </c>
      <c r="F1700" s="52" t="e">
        <v>#REF!</v>
      </c>
      <c r="G1700" s="48" t="e">
        <v>#REF!</v>
      </c>
      <c r="H1700" s="49">
        <v>0</v>
      </c>
      <c r="I1700" s="49" t="e">
        <v>#REF!</v>
      </c>
      <c r="J1700" s="50"/>
    </row>
    <row r="1701" outlineLevel="1" spans="1:10">
      <c r="A1701" s="50">
        <v>739</v>
      </c>
      <c r="B1701" s="51" t="str">
        <v>智能马桶插座</v>
      </c>
      <c r="C1701" s="51" t="e">
        <v>#REF!</v>
      </c>
      <c r="D1701" s="51" t="str">
        <v/>
      </c>
      <c r="E1701" s="51" t="str">
        <v/>
      </c>
      <c r="F1701" s="52" t="e">
        <v>#REF!</v>
      </c>
      <c r="G1701" s="48" t="e">
        <v>#REF!</v>
      </c>
      <c r="H1701" s="49">
        <v>212</v>
      </c>
      <c r="I1701" s="49" t="e">
        <v>#REF!</v>
      </c>
      <c r="J1701" s="50"/>
    </row>
    <row r="1702" outlineLevel="1" spans="1:10">
      <c r="A1702" s="50">
        <v>740</v>
      </c>
      <c r="B1702" s="51" t="str">
        <v>冰箱插座</v>
      </c>
      <c r="C1702" s="51" t="e">
        <v>#REF!</v>
      </c>
      <c r="D1702" s="51" t="str">
        <v/>
      </c>
      <c r="E1702" s="51" t="str">
        <v/>
      </c>
      <c r="F1702" s="52" t="e">
        <v>#REF!</v>
      </c>
      <c r="G1702" s="48" t="e">
        <v>#REF!</v>
      </c>
      <c r="H1702" s="49">
        <v>108</v>
      </c>
      <c r="I1702" s="49" t="e">
        <v>#REF!</v>
      </c>
      <c r="J1702" s="50"/>
    </row>
    <row r="1703" ht="28.8" outlineLevel="1" spans="1:10">
      <c r="A1703" s="50">
        <v>741</v>
      </c>
      <c r="B1703" s="51" t="str">
        <v>空调挂机、柜机三孔插座-（带开关）</v>
      </c>
      <c r="C1703" s="51" t="e">
        <v>#REF!</v>
      </c>
      <c r="D1703" s="51" t="str">
        <v/>
      </c>
      <c r="E1703" s="51" t="str">
        <v/>
      </c>
      <c r="F1703" s="52" t="e">
        <v>#REF!</v>
      </c>
      <c r="G1703" s="48" t="e">
        <v>#REF!</v>
      </c>
      <c r="H1703" s="49">
        <v>435</v>
      </c>
      <c r="I1703" s="49" t="e">
        <v>#REF!</v>
      </c>
      <c r="J1703" s="50"/>
    </row>
    <row r="1704" outlineLevel="1" spans="1:10">
      <c r="A1704" s="50">
        <v>742</v>
      </c>
      <c r="B1704" s="51" t="str">
        <v>热水器插座</v>
      </c>
      <c r="C1704" s="51" t="e">
        <v>#REF!</v>
      </c>
      <c r="D1704" s="51" t="str">
        <v/>
      </c>
      <c r="E1704" s="51" t="str">
        <v/>
      </c>
      <c r="F1704" s="52" t="e">
        <v>#REF!</v>
      </c>
      <c r="G1704" s="48" t="e">
        <v>#REF!</v>
      </c>
      <c r="H1704" s="49">
        <v>4</v>
      </c>
      <c r="I1704" s="49" t="e">
        <v>#REF!</v>
      </c>
      <c r="J1704" s="50"/>
    </row>
    <row r="1705" outlineLevel="1" spans="1:10">
      <c r="A1705" s="50">
        <v>743</v>
      </c>
      <c r="B1705" s="51" t="str">
        <v>单联双控开关</v>
      </c>
      <c r="C1705" s="51" t="e">
        <v>#REF!</v>
      </c>
      <c r="D1705" s="51" t="str">
        <v/>
      </c>
      <c r="E1705" s="51" t="str">
        <v/>
      </c>
      <c r="F1705" s="52" t="e">
        <v>#REF!</v>
      </c>
      <c r="G1705" s="48" t="e">
        <v>#REF!</v>
      </c>
      <c r="H1705" s="49">
        <v>435</v>
      </c>
      <c r="I1705" s="49" t="e">
        <v>#REF!</v>
      </c>
      <c r="J1705" s="50"/>
    </row>
    <row r="1706" outlineLevel="1" spans="1:10">
      <c r="A1706" s="50">
        <v>744</v>
      </c>
      <c r="B1706" s="51" t="str">
        <v>单联单控开关</v>
      </c>
      <c r="C1706" s="51" t="e">
        <v>#REF!</v>
      </c>
      <c r="D1706" s="51" t="str">
        <v/>
      </c>
      <c r="E1706" s="51" t="str">
        <v/>
      </c>
      <c r="F1706" s="52" t="e">
        <v>#REF!</v>
      </c>
      <c r="G1706" s="48" t="e">
        <v>#REF!</v>
      </c>
      <c r="H1706" s="49">
        <v>544</v>
      </c>
      <c r="I1706" s="49" t="e">
        <v>#REF!</v>
      </c>
      <c r="J1706" s="50"/>
    </row>
    <row r="1707" outlineLevel="1" spans="1:10">
      <c r="A1707" s="50">
        <v>745</v>
      </c>
      <c r="B1707" s="51" t="str">
        <v>双联单控开关</v>
      </c>
      <c r="C1707" s="51" t="e">
        <v>#REF!</v>
      </c>
      <c r="D1707" s="51" t="str">
        <v/>
      </c>
      <c r="E1707" s="51" t="str">
        <v/>
      </c>
      <c r="F1707" s="52" t="e">
        <v>#REF!</v>
      </c>
      <c r="G1707" s="48" t="e">
        <v>#REF!</v>
      </c>
      <c r="H1707" s="49">
        <v>429</v>
      </c>
      <c r="I1707" s="49" t="e">
        <v>#REF!</v>
      </c>
      <c r="J1707" s="50"/>
    </row>
    <row r="1708" outlineLevel="1" spans="1:10">
      <c r="A1708" s="50">
        <v>746</v>
      </c>
      <c r="B1708" s="51" t="str">
        <v>三联单控开关</v>
      </c>
      <c r="C1708" s="51" t="e">
        <v>#REF!</v>
      </c>
      <c r="D1708" s="51" t="str">
        <v/>
      </c>
      <c r="E1708" s="51" t="str">
        <v/>
      </c>
      <c r="F1708" s="52" t="e">
        <v>#REF!</v>
      </c>
      <c r="G1708" s="48" t="e">
        <v>#REF!</v>
      </c>
      <c r="H1708" s="49">
        <v>108</v>
      </c>
      <c r="I1708" s="49" t="e">
        <v>#REF!</v>
      </c>
      <c r="J1708" s="50"/>
    </row>
    <row r="1709" outlineLevel="1" spans="1:10">
      <c r="A1709" s="50">
        <v>747</v>
      </c>
      <c r="B1709" s="51" t="str">
        <v>热力温控开关</v>
      </c>
      <c r="C1709" s="51" t="e">
        <v>#REF!</v>
      </c>
      <c r="D1709" s="51" t="str">
        <v/>
      </c>
      <c r="E1709" s="51" t="str">
        <v/>
      </c>
      <c r="F1709" s="52" t="e">
        <v>#REF!</v>
      </c>
      <c r="G1709" s="48" t="e">
        <v>#REF!</v>
      </c>
      <c r="H1709" s="49">
        <v>108</v>
      </c>
      <c r="I1709" s="49" t="e">
        <v>#REF!</v>
      </c>
      <c r="J1709" s="50"/>
    </row>
    <row r="1710" ht="28.8" outlineLevel="1" spans="1:10">
      <c r="A1710" s="50">
        <v>748</v>
      </c>
      <c r="B1710" s="51" t="str">
        <v>暗装排气扇接线盒（含面板）</v>
      </c>
      <c r="C1710" s="51" t="e">
        <v>#REF!</v>
      </c>
      <c r="D1710" s="51" t="str">
        <v/>
      </c>
      <c r="E1710" s="51" t="str">
        <v/>
      </c>
      <c r="F1710" s="52" t="e">
        <v>#REF!</v>
      </c>
      <c r="G1710" s="48" t="e">
        <v>#REF!</v>
      </c>
      <c r="H1710" s="49">
        <v>212</v>
      </c>
      <c r="I1710" s="49" t="e">
        <v>#REF!</v>
      </c>
      <c r="J1710" s="50"/>
    </row>
    <row r="1711" outlineLevel="1" spans="1:10">
      <c r="A1711" s="50">
        <v>749</v>
      </c>
      <c r="B1711" s="51" t="str">
        <v>密闭接线盒</v>
      </c>
      <c r="C1711" s="51" t="e">
        <v>#REF!</v>
      </c>
      <c r="D1711" s="51" t="str">
        <v/>
      </c>
      <c r="E1711" s="51" t="str">
        <v/>
      </c>
      <c r="F1711" s="52" t="e">
        <v>#REF!</v>
      </c>
      <c r="G1711" s="48" t="e">
        <v>#REF!</v>
      </c>
      <c r="H1711" s="49">
        <v>0</v>
      </c>
      <c r="I1711" s="49" t="e">
        <v>#REF!</v>
      </c>
      <c r="J1711" s="50"/>
    </row>
    <row r="1712" outlineLevel="1" spans="1:10">
      <c r="A1712" s="50">
        <v>750</v>
      </c>
      <c r="B1712" s="51" t="str">
        <v>暗装塑料接线盒</v>
      </c>
      <c r="C1712" s="51" t="e">
        <v>#REF!</v>
      </c>
      <c r="D1712" s="51" t="str">
        <v/>
      </c>
      <c r="E1712" s="51" t="str">
        <v/>
      </c>
      <c r="F1712" s="52" t="e">
        <v>#REF!</v>
      </c>
      <c r="G1712" s="48" t="e">
        <v>#REF!</v>
      </c>
      <c r="H1712" s="49">
        <v>5504</v>
      </c>
      <c r="I1712" s="49" t="e">
        <v>#REF!</v>
      </c>
      <c r="J1712" s="50"/>
    </row>
    <row r="1713" outlineLevel="1" spans="1:10">
      <c r="A1713" s="50">
        <v>751</v>
      </c>
      <c r="B1713" s="51" t="str">
        <v>暗装钢制接线盒</v>
      </c>
      <c r="C1713" s="51" t="e">
        <v>#REF!</v>
      </c>
      <c r="D1713" s="51" t="str">
        <v/>
      </c>
      <c r="E1713" s="51" t="str">
        <v/>
      </c>
      <c r="F1713" s="52" t="e">
        <v>#REF!</v>
      </c>
      <c r="G1713" s="48" t="e">
        <v>#REF!</v>
      </c>
      <c r="H1713" s="49">
        <v>1055</v>
      </c>
      <c r="I1713" s="49" t="e">
        <v>#REF!</v>
      </c>
      <c r="J1713" s="50"/>
    </row>
    <row r="1714" outlineLevel="1" spans="1:10">
      <c r="A1714" s="50" t="str">
        <v/>
      </c>
      <c r="B1714" s="51" t="str">
        <v>B.21.6防雷接地</v>
      </c>
      <c r="C1714" s="51" t="str">
        <v/>
      </c>
      <c r="D1714" s="51" t="str">
        <v/>
      </c>
      <c r="E1714" s="51" t="str">
        <v/>
      </c>
      <c r="F1714" s="52" t="str">
        <v/>
      </c>
      <c r="G1714" s="48" t="str">
        <v/>
      </c>
      <c r="H1714" s="49">
        <v>0</v>
      </c>
      <c r="I1714" s="49" t="e">
        <v>#REF!</v>
      </c>
      <c r="J1714" s="50"/>
    </row>
    <row r="1715" outlineLevel="1" spans="1:10">
      <c r="A1715" s="50">
        <v>752</v>
      </c>
      <c r="B1715" s="51" t="str">
        <v>避雷引下线1</v>
      </c>
      <c r="C1715" s="51" t="e">
        <v>#REF!</v>
      </c>
      <c r="D1715" s="51" t="str">
        <v/>
      </c>
      <c r="E1715" s="51" t="str">
        <v/>
      </c>
      <c r="F1715" s="52" t="e">
        <v>#REF!</v>
      </c>
      <c r="G1715" s="48" t="e">
        <v>#REF!</v>
      </c>
      <c r="H1715" s="49">
        <v>865.94</v>
      </c>
      <c r="I1715" s="49" t="e">
        <v>#REF!</v>
      </c>
      <c r="J1715" s="50"/>
    </row>
    <row r="1716" outlineLevel="1" spans="1:10">
      <c r="A1716" s="50">
        <v>753</v>
      </c>
      <c r="B1716" s="51" t="str">
        <v>避雷引下线2</v>
      </c>
      <c r="C1716" s="51" t="e">
        <v>#REF!</v>
      </c>
      <c r="D1716" s="51" t="str">
        <v/>
      </c>
      <c r="E1716" s="51" t="str">
        <v/>
      </c>
      <c r="F1716" s="52" t="e">
        <v>#REF!</v>
      </c>
      <c r="G1716" s="48" t="e">
        <v>#REF!</v>
      </c>
      <c r="H1716" s="49">
        <v>10</v>
      </c>
      <c r="I1716" s="49" t="e">
        <v>#REF!</v>
      </c>
      <c r="J1716" s="50"/>
    </row>
    <row r="1717" outlineLevel="1" spans="1:10">
      <c r="A1717" s="50">
        <v>754</v>
      </c>
      <c r="B1717" s="51" t="str">
        <v>均压环</v>
      </c>
      <c r="C1717" s="51" t="e">
        <v>#REF!</v>
      </c>
      <c r="D1717" s="51" t="str">
        <v/>
      </c>
      <c r="E1717" s="51" t="str">
        <v/>
      </c>
      <c r="F1717" s="52" t="e">
        <v>#REF!</v>
      </c>
      <c r="G1717" s="48" t="e">
        <v>#REF!</v>
      </c>
      <c r="H1717" s="49">
        <v>1321.86</v>
      </c>
      <c r="I1717" s="49" t="e">
        <v>#REF!</v>
      </c>
      <c r="J1717" s="50"/>
    </row>
    <row r="1718" outlineLevel="1" spans="1:10">
      <c r="A1718" s="50">
        <v>755</v>
      </c>
      <c r="B1718" s="51" t="str">
        <v>接地母线-25*4</v>
      </c>
      <c r="C1718" s="51" t="e">
        <v>#REF!</v>
      </c>
      <c r="D1718" s="51" t="str">
        <v/>
      </c>
      <c r="E1718" s="51" t="str">
        <v/>
      </c>
      <c r="F1718" s="52" t="e">
        <v>#REF!</v>
      </c>
      <c r="G1718" s="48" t="e">
        <v>#REF!</v>
      </c>
      <c r="H1718" s="49">
        <v>54</v>
      </c>
      <c r="I1718" s="49" t="e">
        <v>#REF!</v>
      </c>
      <c r="J1718" s="50"/>
    </row>
    <row r="1719" outlineLevel="1" spans="1:10">
      <c r="A1719" s="50">
        <v>756</v>
      </c>
      <c r="B1719" s="51" t="str">
        <v>接地母线-40*4</v>
      </c>
      <c r="C1719" s="51" t="e">
        <v>#REF!</v>
      </c>
      <c r="D1719" s="51" t="str">
        <v/>
      </c>
      <c r="E1719" s="51" t="str">
        <v/>
      </c>
      <c r="F1719" s="52" t="e">
        <v>#REF!</v>
      </c>
      <c r="G1719" s="48" t="e">
        <v>#REF!</v>
      </c>
      <c r="H1719" s="49">
        <v>172.63</v>
      </c>
      <c r="I1719" s="49" t="e">
        <v>#REF!</v>
      </c>
      <c r="J1719" s="50"/>
    </row>
    <row r="1720" outlineLevel="1" spans="1:10">
      <c r="A1720" s="50">
        <v>757</v>
      </c>
      <c r="B1720" s="51" t="str">
        <v>接地端子板</v>
      </c>
      <c r="C1720" s="51" t="e">
        <v>#REF!</v>
      </c>
      <c r="D1720" s="51" t="str">
        <v/>
      </c>
      <c r="E1720" s="51" t="str">
        <v/>
      </c>
      <c r="F1720" s="52" t="e">
        <v>#REF!</v>
      </c>
      <c r="G1720" s="48" t="e">
        <v>#REF!</v>
      </c>
      <c r="H1720" s="49">
        <v>54</v>
      </c>
      <c r="I1720" s="49" t="e">
        <v>#REF!</v>
      </c>
      <c r="J1720" s="50"/>
    </row>
    <row r="1721" outlineLevel="1" spans="1:10">
      <c r="A1721" s="50">
        <v>758</v>
      </c>
      <c r="B1721" s="51" t="str">
        <v>卫生间等电位接地</v>
      </c>
      <c r="C1721" s="51" t="e">
        <v>#REF!</v>
      </c>
      <c r="D1721" s="51" t="str">
        <v/>
      </c>
      <c r="E1721" s="51" t="str">
        <v/>
      </c>
      <c r="F1721" s="52" t="e">
        <v>#REF!</v>
      </c>
      <c r="G1721" s="48" t="e">
        <v>#REF!</v>
      </c>
      <c r="H1721" s="49">
        <v>218</v>
      </c>
      <c r="I1721" s="49" t="e">
        <v>#REF!</v>
      </c>
      <c r="J1721" s="50"/>
    </row>
    <row r="1722" outlineLevel="1" spans="1:10">
      <c r="A1722" s="50">
        <v>759</v>
      </c>
      <c r="B1722" s="51" t="str">
        <v>避雷网1</v>
      </c>
      <c r="C1722" s="51" t="e">
        <v>#REF!</v>
      </c>
      <c r="D1722" s="51" t="str">
        <v/>
      </c>
      <c r="E1722" s="51" t="str">
        <v/>
      </c>
      <c r="F1722" s="52" t="e">
        <v>#REF!</v>
      </c>
      <c r="G1722" s="48" t="e">
        <v>#REF!</v>
      </c>
      <c r="H1722" s="49">
        <v>509.2</v>
      </c>
      <c r="I1722" s="49" t="e">
        <v>#REF!</v>
      </c>
      <c r="J1722" s="50"/>
    </row>
    <row r="1723" outlineLevel="1" spans="1:10">
      <c r="A1723" s="50" t="str">
        <v/>
      </c>
      <c r="B1723" s="51" t="str">
        <v>B.22弱电工程</v>
      </c>
      <c r="C1723" s="51" t="str">
        <v/>
      </c>
      <c r="D1723" s="51" t="str">
        <v/>
      </c>
      <c r="E1723" s="51" t="str">
        <v/>
      </c>
      <c r="F1723" s="52" t="str">
        <v/>
      </c>
      <c r="G1723" s="48" t="str">
        <v/>
      </c>
      <c r="H1723" s="49">
        <v>0</v>
      </c>
      <c r="I1723" s="49" t="e">
        <v>#REF!</v>
      </c>
      <c r="J1723" s="50"/>
    </row>
    <row r="1724" outlineLevel="1" spans="1:10">
      <c r="A1724" s="50">
        <v>760</v>
      </c>
      <c r="B1724" s="51" t="str">
        <v>弱电箱</v>
      </c>
      <c r="C1724" s="51" t="e">
        <v>#REF!</v>
      </c>
      <c r="D1724" s="51" t="str">
        <v/>
      </c>
      <c r="E1724" s="51" t="str">
        <v/>
      </c>
      <c r="F1724" s="52" t="e">
        <v>#REF!</v>
      </c>
      <c r="G1724" s="48" t="e">
        <v>#REF!</v>
      </c>
      <c r="H1724" s="49">
        <v>108</v>
      </c>
      <c r="I1724" s="49" t="e">
        <v>#REF!</v>
      </c>
      <c r="J1724" s="50"/>
    </row>
    <row r="1725" outlineLevel="1" spans="1:10">
      <c r="A1725" s="50">
        <v>761</v>
      </c>
      <c r="B1725" s="51" t="str">
        <v>金属桥架-100*100</v>
      </c>
      <c r="C1725" s="51" t="e">
        <v>#REF!</v>
      </c>
      <c r="D1725" s="51" t="str">
        <v/>
      </c>
      <c r="E1725" s="51" t="str">
        <v/>
      </c>
      <c r="F1725" s="52" t="e">
        <v>#REF!</v>
      </c>
      <c r="G1725" s="48" t="e">
        <v>#REF!</v>
      </c>
      <c r="H1725" s="49">
        <v>0</v>
      </c>
      <c r="I1725" s="49" t="e">
        <v>#REF!</v>
      </c>
      <c r="J1725" s="50"/>
    </row>
    <row r="1726" outlineLevel="1" spans="1:10">
      <c r="A1726" s="50">
        <v>762</v>
      </c>
      <c r="B1726" s="51" t="str">
        <v>金属桥架-150*100</v>
      </c>
      <c r="C1726" s="51" t="e">
        <v>#REF!</v>
      </c>
      <c r="D1726" s="51" t="str">
        <v/>
      </c>
      <c r="E1726" s="51" t="str">
        <v/>
      </c>
      <c r="F1726" s="52" t="e">
        <v>#REF!</v>
      </c>
      <c r="G1726" s="48" t="e">
        <v>#REF!</v>
      </c>
      <c r="H1726" s="49">
        <v>147.9</v>
      </c>
      <c r="I1726" s="49" t="e">
        <v>#REF!</v>
      </c>
      <c r="J1726" s="50"/>
    </row>
    <row r="1727" outlineLevel="1" spans="1:10">
      <c r="A1727" s="50">
        <v>763</v>
      </c>
      <c r="B1727" s="51" t="str">
        <v>防火堵洞</v>
      </c>
      <c r="C1727" s="51" t="e">
        <v>#REF!</v>
      </c>
      <c r="D1727" s="51" t="str">
        <v/>
      </c>
      <c r="E1727" s="51" t="str">
        <v/>
      </c>
      <c r="F1727" s="52" t="e">
        <v>#REF!</v>
      </c>
      <c r="G1727" s="48" t="e">
        <v>#REF!</v>
      </c>
      <c r="H1727" s="49">
        <v>54</v>
      </c>
      <c r="I1727" s="49" t="e">
        <v>#REF!</v>
      </c>
      <c r="J1727" s="50"/>
    </row>
    <row r="1728" outlineLevel="1" spans="1:10">
      <c r="A1728" s="50">
        <v>764</v>
      </c>
      <c r="B1728" s="51" t="str">
        <v>阻燃塑料管配管-PC20-暗配</v>
      </c>
      <c r="C1728" s="51" t="e">
        <v>#REF!</v>
      </c>
      <c r="D1728" s="51" t="str">
        <v/>
      </c>
      <c r="E1728" s="51" t="str">
        <v/>
      </c>
      <c r="F1728" s="52" t="e">
        <v>#REF!</v>
      </c>
      <c r="G1728" s="48" t="e">
        <v>#REF!</v>
      </c>
      <c r="H1728" s="49">
        <v>1212.68</v>
      </c>
      <c r="I1728" s="49" t="e">
        <v>#REF!</v>
      </c>
      <c r="J1728" s="50"/>
    </row>
    <row r="1729" outlineLevel="1" spans="1:10">
      <c r="A1729" s="50">
        <v>765</v>
      </c>
      <c r="B1729" s="51" t="str">
        <v>阻燃塑料管配管-PC25-暗配</v>
      </c>
      <c r="C1729" s="51" t="e">
        <v>#REF!</v>
      </c>
      <c r="D1729" s="51" t="str">
        <v/>
      </c>
      <c r="E1729" s="51" t="str">
        <v/>
      </c>
      <c r="F1729" s="52" t="e">
        <v>#REF!</v>
      </c>
      <c r="G1729" s="48" t="e">
        <v>#REF!</v>
      </c>
      <c r="H1729" s="49">
        <v>1898.1</v>
      </c>
      <c r="I1729" s="49" t="e">
        <v>#REF!</v>
      </c>
      <c r="J1729" s="50"/>
    </row>
    <row r="1730" outlineLevel="1" spans="1:10">
      <c r="A1730" s="50">
        <v>766</v>
      </c>
      <c r="B1730" s="51" t="str">
        <v>阻燃塑料管配管-PC32-暗配</v>
      </c>
      <c r="C1730" s="51" t="e">
        <v>#REF!</v>
      </c>
      <c r="D1730" s="51" t="str">
        <v/>
      </c>
      <c r="E1730" s="51" t="str">
        <v/>
      </c>
      <c r="F1730" s="52" t="e">
        <v>#REF!</v>
      </c>
      <c r="G1730" s="48" t="e">
        <v>#REF!</v>
      </c>
      <c r="H1730" s="49">
        <v>0</v>
      </c>
      <c r="I1730" s="49" t="e">
        <v>#REF!</v>
      </c>
      <c r="J1730" s="50"/>
    </row>
    <row r="1731" outlineLevel="1" spans="1:10">
      <c r="A1731" s="50">
        <v>767</v>
      </c>
      <c r="B1731" s="51" t="str">
        <v>薄壁钢导管配管-JDG20-暗配</v>
      </c>
      <c r="C1731" s="51" t="e">
        <v>#REF!</v>
      </c>
      <c r="D1731" s="51" t="str">
        <v/>
      </c>
      <c r="E1731" s="51" t="str">
        <v/>
      </c>
      <c r="F1731" s="52" t="e">
        <v>#REF!</v>
      </c>
      <c r="G1731" s="48" t="e">
        <v>#REF!</v>
      </c>
      <c r="H1731" s="49">
        <v>0</v>
      </c>
      <c r="I1731" s="49" t="e">
        <v>#REF!</v>
      </c>
      <c r="J1731" s="50"/>
    </row>
    <row r="1732" outlineLevel="1" spans="1:10">
      <c r="A1732" s="50">
        <v>768</v>
      </c>
      <c r="B1732" s="51" t="str">
        <v>薄壁钢导管配管-JDG25-暗配</v>
      </c>
      <c r="C1732" s="51" t="e">
        <v>#REF!</v>
      </c>
      <c r="D1732" s="51" t="str">
        <v/>
      </c>
      <c r="E1732" s="51" t="str">
        <v/>
      </c>
      <c r="F1732" s="52" t="e">
        <v>#REF!</v>
      </c>
      <c r="G1732" s="48" t="e">
        <v>#REF!</v>
      </c>
      <c r="H1732" s="49">
        <v>0</v>
      </c>
      <c r="I1732" s="49" t="e">
        <v>#REF!</v>
      </c>
      <c r="J1732" s="50"/>
    </row>
    <row r="1733" outlineLevel="1" spans="1:10">
      <c r="A1733" s="50">
        <v>769</v>
      </c>
      <c r="B1733" s="51" t="str">
        <v>薄壁钢导管配管-JDG20-明配</v>
      </c>
      <c r="C1733" s="51" t="e">
        <v>#REF!</v>
      </c>
      <c r="D1733" s="51" t="str">
        <v/>
      </c>
      <c r="E1733" s="51" t="str">
        <v/>
      </c>
      <c r="F1733" s="52" t="e">
        <v>#REF!</v>
      </c>
      <c r="G1733" s="48" t="e">
        <v>#REF!</v>
      </c>
      <c r="H1733" s="49">
        <v>84.56</v>
      </c>
      <c r="I1733" s="49" t="e">
        <v>#REF!</v>
      </c>
      <c r="J1733" s="50"/>
    </row>
    <row r="1734" outlineLevel="1" spans="1:10">
      <c r="A1734" s="50">
        <v>770</v>
      </c>
      <c r="B1734" s="51" t="str">
        <v>薄壁钢导管配管-JDG25-明配</v>
      </c>
      <c r="C1734" s="51" t="e">
        <v>#REF!</v>
      </c>
      <c r="D1734" s="51" t="str">
        <v/>
      </c>
      <c r="E1734" s="51" t="str">
        <v/>
      </c>
      <c r="F1734" s="52" t="e">
        <v>#REF!</v>
      </c>
      <c r="G1734" s="48" t="e">
        <v>#REF!</v>
      </c>
      <c r="H1734" s="49">
        <v>2005.7</v>
      </c>
      <c r="I1734" s="49" t="e">
        <v>#REF!</v>
      </c>
      <c r="J1734" s="50"/>
    </row>
    <row r="1735" outlineLevel="1" spans="1:10">
      <c r="A1735" s="50">
        <v>771</v>
      </c>
      <c r="B1735" s="51" t="str">
        <v>SC20-暗配</v>
      </c>
      <c r="C1735" s="51" t="e">
        <v>#REF!</v>
      </c>
      <c r="D1735" s="51" t="str">
        <v/>
      </c>
      <c r="E1735" s="51" t="str">
        <v/>
      </c>
      <c r="F1735" s="52" t="e">
        <v>#REF!</v>
      </c>
      <c r="G1735" s="48" t="e">
        <v>#REF!</v>
      </c>
      <c r="H1735" s="49">
        <v>0</v>
      </c>
      <c r="I1735" s="49" t="e">
        <v>#REF!</v>
      </c>
      <c r="J1735" s="50"/>
    </row>
    <row r="1736" outlineLevel="1" spans="1:10">
      <c r="A1736" s="50">
        <v>772</v>
      </c>
      <c r="B1736" s="51" t="str">
        <v>金属软管配管-DN25</v>
      </c>
      <c r="C1736" s="51" t="e">
        <v>#REF!</v>
      </c>
      <c r="D1736" s="51" t="str">
        <v/>
      </c>
      <c r="E1736" s="51" t="str">
        <v/>
      </c>
      <c r="F1736" s="52" t="e">
        <v>#REF!</v>
      </c>
      <c r="G1736" s="48" t="e">
        <v>#REF!</v>
      </c>
      <c r="H1736" s="49">
        <v>106</v>
      </c>
      <c r="I1736" s="49" t="e">
        <v>#REF!</v>
      </c>
      <c r="J1736" s="50"/>
    </row>
    <row r="1737" outlineLevel="1" spans="1:10">
      <c r="A1737" s="50">
        <v>773</v>
      </c>
      <c r="B1737" s="51" t="str">
        <v>暗装塑料接线盒</v>
      </c>
      <c r="C1737" s="51" t="e">
        <v>#REF!</v>
      </c>
      <c r="D1737" s="51" t="str">
        <v/>
      </c>
      <c r="E1737" s="51" t="str">
        <v/>
      </c>
      <c r="F1737" s="52" t="e">
        <v>#REF!</v>
      </c>
      <c r="G1737" s="48" t="e">
        <v>#REF!</v>
      </c>
      <c r="H1737" s="49">
        <v>607</v>
      </c>
      <c r="I1737" s="49" t="e">
        <v>#REF!</v>
      </c>
      <c r="J1737" s="50"/>
    </row>
    <row r="1738" outlineLevel="1" spans="1:10">
      <c r="A1738" s="50">
        <v>774</v>
      </c>
      <c r="B1738" s="51" t="str">
        <v>暗装钢制接线盒</v>
      </c>
      <c r="C1738" s="51" t="e">
        <v>#REF!</v>
      </c>
      <c r="D1738" s="51" t="str">
        <v/>
      </c>
      <c r="E1738" s="51" t="str">
        <v/>
      </c>
      <c r="F1738" s="52" t="e">
        <v>#REF!</v>
      </c>
      <c r="G1738" s="48" t="e">
        <v>#REF!</v>
      </c>
      <c r="H1738" s="49">
        <v>218</v>
      </c>
      <c r="I1738" s="49" t="e">
        <v>#REF!</v>
      </c>
      <c r="J1738" s="50"/>
    </row>
    <row r="1739" outlineLevel="1" spans="1:10">
      <c r="A1739" s="50">
        <v>775</v>
      </c>
      <c r="B1739" s="51" t="str">
        <v>空白面板</v>
      </c>
      <c r="C1739" s="51" t="e">
        <v>#REF!</v>
      </c>
      <c r="D1739" s="51" t="str">
        <v/>
      </c>
      <c r="E1739" s="51" t="str">
        <v/>
      </c>
      <c r="F1739" s="52" t="e">
        <v>#REF!</v>
      </c>
      <c r="G1739" s="48" t="e">
        <v>#REF!</v>
      </c>
      <c r="H1739" s="49">
        <v>324</v>
      </c>
      <c r="I1739" s="49" t="e">
        <v>#REF!</v>
      </c>
      <c r="J1739" s="50"/>
    </row>
    <row r="1740" outlineLevel="1" spans="1:10">
      <c r="A1740" s="50">
        <v>776</v>
      </c>
      <c r="B1740" s="51" t="str">
        <v>管内穿铁丝</v>
      </c>
      <c r="C1740" s="51" t="e">
        <v>#REF!</v>
      </c>
      <c r="D1740" s="51" t="str">
        <v/>
      </c>
      <c r="E1740" s="51" t="str">
        <v/>
      </c>
      <c r="F1740" s="52" t="e">
        <v>#REF!</v>
      </c>
      <c r="G1740" s="48" t="e">
        <v>#REF!</v>
      </c>
      <c r="H1740" s="49">
        <v>5622.24</v>
      </c>
      <c r="I1740" s="49" t="e">
        <v>#REF!</v>
      </c>
      <c r="J1740" s="50"/>
    </row>
    <row r="1741" outlineLevel="1" spans="1:10">
      <c r="A1741" s="50" t="str">
        <v/>
      </c>
      <c r="B1741" s="51" t="str">
        <v>B.23消防工程</v>
      </c>
      <c r="C1741" s="51" t="str">
        <v/>
      </c>
      <c r="D1741" s="51" t="str">
        <v/>
      </c>
      <c r="E1741" s="51" t="str">
        <v/>
      </c>
      <c r="F1741" s="52" t="str">
        <v/>
      </c>
      <c r="G1741" s="48" t="str">
        <v/>
      </c>
      <c r="H1741" s="49">
        <v>0</v>
      </c>
      <c r="I1741" s="49" t="e">
        <v>#REF!</v>
      </c>
      <c r="J1741" s="50"/>
    </row>
    <row r="1742" outlineLevel="1" spans="1:10">
      <c r="A1742" s="50">
        <v>777</v>
      </c>
      <c r="B1742" s="51" t="str">
        <v>防火桥架-100*100</v>
      </c>
      <c r="C1742" s="51" t="e">
        <v>#REF!</v>
      </c>
      <c r="D1742" s="51" t="str">
        <v/>
      </c>
      <c r="E1742" s="51" t="str">
        <v/>
      </c>
      <c r="F1742" s="52" t="e">
        <v>#REF!</v>
      </c>
      <c r="G1742" s="48" t="e">
        <v>#REF!</v>
      </c>
      <c r="H1742" s="49">
        <v>156.27</v>
      </c>
      <c r="I1742" s="49" t="e">
        <v>#REF!</v>
      </c>
      <c r="J1742" s="50"/>
    </row>
    <row r="1743" outlineLevel="1" spans="1:10">
      <c r="A1743" s="50">
        <v>778</v>
      </c>
      <c r="B1743" s="51" t="str">
        <v>防火桥架-150*100</v>
      </c>
      <c r="C1743" s="51" t="e">
        <v>#REF!</v>
      </c>
      <c r="D1743" s="51" t="str">
        <v/>
      </c>
      <c r="E1743" s="51" t="str">
        <v/>
      </c>
      <c r="F1743" s="52" t="e">
        <v>#REF!</v>
      </c>
      <c r="G1743" s="48" t="e">
        <v>#REF!</v>
      </c>
      <c r="H1743" s="49">
        <v>0</v>
      </c>
      <c r="I1743" s="49" t="e">
        <v>#REF!</v>
      </c>
      <c r="J1743" s="50"/>
    </row>
    <row r="1744" outlineLevel="1" spans="1:10">
      <c r="A1744" s="50">
        <v>779</v>
      </c>
      <c r="B1744" s="51" t="str">
        <v>防火堵洞</v>
      </c>
      <c r="C1744" s="51" t="e">
        <v>#REF!</v>
      </c>
      <c r="D1744" s="51" t="str">
        <v/>
      </c>
      <c r="E1744" s="51" t="str">
        <v/>
      </c>
      <c r="F1744" s="52" t="e">
        <v>#REF!</v>
      </c>
      <c r="G1744" s="48" t="e">
        <v>#REF!</v>
      </c>
      <c r="H1744" s="49">
        <v>54</v>
      </c>
      <c r="I1744" s="49" t="e">
        <v>#REF!</v>
      </c>
      <c r="J1744" s="50"/>
    </row>
    <row r="1745" outlineLevel="1" spans="1:10">
      <c r="A1745" s="50">
        <v>780</v>
      </c>
      <c r="B1745" s="51" t="str">
        <v>SC15-暗配</v>
      </c>
      <c r="C1745" s="51" t="e">
        <v>#REF!</v>
      </c>
      <c r="D1745" s="51" t="str">
        <v/>
      </c>
      <c r="E1745" s="51" t="str">
        <v/>
      </c>
      <c r="F1745" s="52" t="e">
        <v>#REF!</v>
      </c>
      <c r="G1745" s="48" t="e">
        <v>#REF!</v>
      </c>
      <c r="H1745" s="49">
        <v>290.9</v>
      </c>
      <c r="I1745" s="49" t="e">
        <v>#REF!</v>
      </c>
      <c r="J1745" s="50"/>
    </row>
    <row r="1746" outlineLevel="1" spans="1:10">
      <c r="A1746" s="50">
        <v>781</v>
      </c>
      <c r="B1746" s="51" t="str">
        <v>SC20-暗配</v>
      </c>
      <c r="C1746" s="51" t="e">
        <v>#REF!</v>
      </c>
      <c r="D1746" s="51" t="str">
        <v/>
      </c>
      <c r="E1746" s="51" t="str">
        <v/>
      </c>
      <c r="F1746" s="52" t="e">
        <v>#REF!</v>
      </c>
      <c r="G1746" s="48" t="e">
        <v>#REF!</v>
      </c>
      <c r="H1746" s="49">
        <v>2068.38</v>
      </c>
      <c r="I1746" s="49" t="e">
        <v>#REF!</v>
      </c>
      <c r="J1746" s="50"/>
    </row>
    <row r="1747" outlineLevel="1" spans="1:10">
      <c r="A1747" s="50">
        <v>782</v>
      </c>
      <c r="B1747" s="51" t="str">
        <v>SC25-暗配</v>
      </c>
      <c r="C1747" s="51" t="e">
        <v>#REF!</v>
      </c>
      <c r="D1747" s="51" t="str">
        <v/>
      </c>
      <c r="E1747" s="51" t="str">
        <v/>
      </c>
      <c r="F1747" s="52" t="e">
        <v>#REF!</v>
      </c>
      <c r="G1747" s="48" t="e">
        <v>#REF!</v>
      </c>
      <c r="H1747" s="49">
        <v>97.85</v>
      </c>
      <c r="I1747" s="49" t="e">
        <v>#REF!</v>
      </c>
      <c r="J1747" s="50"/>
    </row>
    <row r="1748" outlineLevel="1" spans="1:10">
      <c r="A1748" s="50">
        <v>783</v>
      </c>
      <c r="B1748" s="51" t="str">
        <v>薄壁钢导管配管-JDG20-明配</v>
      </c>
      <c r="C1748" s="51" t="e">
        <v>#REF!</v>
      </c>
      <c r="D1748" s="51" t="str">
        <v/>
      </c>
      <c r="E1748" s="51" t="str">
        <v/>
      </c>
      <c r="F1748" s="52" t="e">
        <v>#REF!</v>
      </c>
      <c r="G1748" s="48" t="e">
        <v>#REF!</v>
      </c>
      <c r="H1748" s="49">
        <v>633.65</v>
      </c>
      <c r="I1748" s="49" t="e">
        <v>#REF!</v>
      </c>
      <c r="J1748" s="50"/>
    </row>
    <row r="1749" outlineLevel="1" spans="1:10">
      <c r="A1749" s="50">
        <v>784</v>
      </c>
      <c r="B1749" s="51" t="str">
        <v>薄壁钢导管配管-JDG25-暗配</v>
      </c>
      <c r="C1749" s="51" t="e">
        <v>#REF!</v>
      </c>
      <c r="D1749" s="51" t="str">
        <v/>
      </c>
      <c r="E1749" s="51" t="str">
        <v/>
      </c>
      <c r="F1749" s="52" t="e">
        <v>#REF!</v>
      </c>
      <c r="G1749" s="48" t="e">
        <v>#REF!</v>
      </c>
      <c r="H1749" s="49">
        <v>0</v>
      </c>
      <c r="I1749" s="49" t="e">
        <v>#REF!</v>
      </c>
      <c r="J1749" s="50"/>
    </row>
    <row r="1750" outlineLevel="1" spans="1:10">
      <c r="A1750" s="50">
        <v>785</v>
      </c>
      <c r="B1750" s="51" t="str">
        <v>薄壁钢导管配管-JDG32-暗配</v>
      </c>
      <c r="C1750" s="51" t="e">
        <v>#REF!</v>
      </c>
      <c r="D1750" s="51" t="str">
        <v/>
      </c>
      <c r="E1750" s="51" t="str">
        <v/>
      </c>
      <c r="F1750" s="52" t="e">
        <v>#REF!</v>
      </c>
      <c r="G1750" s="48" t="e">
        <v>#REF!</v>
      </c>
      <c r="H1750" s="49">
        <v>0</v>
      </c>
      <c r="I1750" s="49" t="e">
        <v>#REF!</v>
      </c>
      <c r="J1750" s="50"/>
    </row>
    <row r="1751" outlineLevel="1" spans="1:10">
      <c r="A1751" s="50">
        <v>786</v>
      </c>
      <c r="B1751" s="51" t="str">
        <v>金属软管配管-DN20</v>
      </c>
      <c r="C1751" s="51" t="e">
        <v>#REF!</v>
      </c>
      <c r="D1751" s="51" t="str">
        <v/>
      </c>
      <c r="E1751" s="51" t="str">
        <v/>
      </c>
      <c r="F1751" s="52" t="e">
        <v>#REF!</v>
      </c>
      <c r="G1751" s="48" t="e">
        <v>#REF!</v>
      </c>
      <c r="H1751" s="49">
        <v>25.5</v>
      </c>
      <c r="I1751" s="49" t="e">
        <v>#REF!</v>
      </c>
      <c r="J1751" s="50"/>
    </row>
    <row r="1752" outlineLevel="1" spans="1:10">
      <c r="A1752" s="50">
        <v>787</v>
      </c>
      <c r="B1752" s="51" t="str">
        <v>管内穿铁丝</v>
      </c>
      <c r="C1752" s="51" t="e">
        <v>#REF!</v>
      </c>
      <c r="D1752" s="51" t="str">
        <v/>
      </c>
      <c r="E1752" s="51" t="str">
        <v/>
      </c>
      <c r="F1752" s="52" t="e">
        <v>#REF!</v>
      </c>
      <c r="G1752" s="48" t="e">
        <v>#REF!</v>
      </c>
      <c r="H1752" s="49">
        <v>3039.18</v>
      </c>
      <c r="I1752" s="49" t="e">
        <v>#REF!</v>
      </c>
      <c r="J1752" s="50"/>
    </row>
    <row r="1753" outlineLevel="1" spans="1:10">
      <c r="A1753" s="50">
        <v>788</v>
      </c>
      <c r="B1753" s="51" t="str">
        <v>暗装钢制接线盒</v>
      </c>
      <c r="C1753" s="51" t="e">
        <v>#REF!</v>
      </c>
      <c r="D1753" s="51" t="str">
        <v/>
      </c>
      <c r="E1753" s="51" t="str">
        <v/>
      </c>
      <c r="F1753" s="52" t="e">
        <v>#REF!</v>
      </c>
      <c r="G1753" s="48" t="e">
        <v>#REF!</v>
      </c>
      <c r="H1753" s="49">
        <v>879</v>
      </c>
      <c r="I1753" s="49" t="e">
        <v>#REF!</v>
      </c>
      <c r="J1753" s="50"/>
    </row>
    <row r="1754" outlineLevel="1" spans="1:10">
      <c r="A1754" s="50" t="str">
        <v/>
      </c>
      <c r="B1754" s="51" t="str">
        <v/>
      </c>
      <c r="C1754" s="51" t="str">
        <v/>
      </c>
      <c r="D1754" s="51" t="str">
        <v/>
      </c>
      <c r="E1754" s="51" t="str">
        <v/>
      </c>
      <c r="F1754" s="52" t="str">
        <v/>
      </c>
      <c r="G1754" s="48" t="str">
        <v/>
      </c>
      <c r="H1754" s="49">
        <v>0</v>
      </c>
      <c r="I1754" s="49">
        <v>0</v>
      </c>
      <c r="J1754" s="50"/>
    </row>
    <row r="1755" outlineLevel="1" spans="1:10">
      <c r="A1755" s="50" t="str">
        <v/>
      </c>
      <c r="B1755" s="51" t="str">
        <v/>
      </c>
      <c r="C1755" s="51" t="str">
        <v/>
      </c>
      <c r="D1755" s="51" t="str">
        <v/>
      </c>
      <c r="E1755" s="51" t="str">
        <v/>
      </c>
      <c r="F1755" s="52" t="str">
        <v/>
      </c>
      <c r="G1755" s="48" t="str">
        <v/>
      </c>
      <c r="H1755" s="49">
        <v>0</v>
      </c>
      <c r="I1755" s="49">
        <v>0</v>
      </c>
      <c r="J1755" s="50"/>
    </row>
    <row r="1756" outlineLevel="1" spans="1:10">
      <c r="A1756" s="50" t="str">
        <v/>
      </c>
      <c r="B1756" s="51" t="str">
        <v/>
      </c>
      <c r="C1756" s="51" t="str">
        <v/>
      </c>
      <c r="D1756" s="51" t="str">
        <v/>
      </c>
      <c r="E1756" s="51" t="str">
        <v/>
      </c>
      <c r="F1756" s="52" t="str">
        <v/>
      </c>
      <c r="G1756" s="48" t="str">
        <v/>
      </c>
      <c r="H1756" s="49">
        <v>0</v>
      </c>
      <c r="I1756" s="49">
        <v>0</v>
      </c>
      <c r="J1756" s="50"/>
    </row>
    <row r="1757" outlineLevel="1" spans="1:10">
      <c r="A1757" s="50" t="str">
        <v/>
      </c>
      <c r="B1757" s="51" t="str">
        <v/>
      </c>
      <c r="C1757" s="51" t="str">
        <v/>
      </c>
      <c r="D1757" s="51" t="str">
        <v/>
      </c>
      <c r="E1757" s="51" t="str">
        <v/>
      </c>
      <c r="F1757" s="52" t="str">
        <v/>
      </c>
      <c r="G1757" s="48" t="str">
        <v/>
      </c>
      <c r="H1757" s="49">
        <v>0</v>
      </c>
      <c r="I1757" s="49">
        <v>0</v>
      </c>
      <c r="J1757" s="50"/>
    </row>
    <row r="1758" outlineLevel="1" spans="1:10">
      <c r="A1758" s="50" t="str">
        <v/>
      </c>
      <c r="B1758" s="51" t="str">
        <v/>
      </c>
      <c r="C1758" s="51" t="str">
        <v/>
      </c>
      <c r="D1758" s="51" t="str">
        <v/>
      </c>
      <c r="E1758" s="51" t="str">
        <v/>
      </c>
      <c r="F1758" s="52" t="str">
        <v/>
      </c>
      <c r="G1758" s="48" t="str">
        <v/>
      </c>
      <c r="H1758" s="49">
        <v>0</v>
      </c>
      <c r="I1758" s="49">
        <v>0</v>
      </c>
      <c r="J1758" s="50"/>
    </row>
    <row r="1759" outlineLevel="1" spans="1:10">
      <c r="A1759" s="50" t="str">
        <v/>
      </c>
      <c r="B1759" s="51" t="str">
        <v/>
      </c>
      <c r="C1759" s="51" t="str">
        <v/>
      </c>
      <c r="D1759" s="51" t="str">
        <v/>
      </c>
      <c r="E1759" s="51" t="str">
        <v/>
      </c>
      <c r="F1759" s="52" t="str">
        <v/>
      </c>
      <c r="G1759" s="48" t="str">
        <v/>
      </c>
      <c r="H1759" s="49">
        <v>0</v>
      </c>
      <c r="I1759" s="49">
        <v>0</v>
      </c>
      <c r="J1759" s="50"/>
    </row>
    <row r="1760" outlineLevel="1" spans="1:10">
      <c r="A1760" s="50" t="str">
        <v/>
      </c>
      <c r="B1760" s="51" t="str">
        <v/>
      </c>
      <c r="C1760" s="51" t="str">
        <v/>
      </c>
      <c r="D1760" s="51" t="str">
        <v/>
      </c>
      <c r="E1760" s="51" t="str">
        <v/>
      </c>
      <c r="F1760" s="52" t="str">
        <v/>
      </c>
      <c r="G1760" s="48" t="str">
        <v/>
      </c>
      <c r="H1760" s="49">
        <v>0</v>
      </c>
      <c r="I1760" s="49">
        <v>0</v>
      </c>
      <c r="J1760" s="50"/>
    </row>
    <row r="1761" outlineLevel="1" spans="1:10">
      <c r="A1761" s="50" t="str">
        <v/>
      </c>
      <c r="B1761" s="51" t="str">
        <v/>
      </c>
      <c r="C1761" s="51" t="str">
        <v/>
      </c>
      <c r="D1761" s="51" t="str">
        <v/>
      </c>
      <c r="E1761" s="51" t="str">
        <v/>
      </c>
      <c r="F1761" s="52" t="str">
        <v/>
      </c>
      <c r="G1761" s="48" t="str">
        <v/>
      </c>
      <c r="H1761" s="49">
        <v>0</v>
      </c>
      <c r="I1761" s="49">
        <v>0</v>
      </c>
      <c r="J1761" s="50"/>
    </row>
    <row r="1762" outlineLevel="1" spans="1:10">
      <c r="A1762" s="50" t="str">
        <v/>
      </c>
      <c r="B1762" s="51" t="str">
        <v/>
      </c>
      <c r="C1762" s="51" t="str">
        <v/>
      </c>
      <c r="D1762" s="51" t="str">
        <v/>
      </c>
      <c r="E1762" s="51" t="str">
        <v/>
      </c>
      <c r="F1762" s="52" t="str">
        <v/>
      </c>
      <c r="G1762" s="48" t="str">
        <v/>
      </c>
      <c r="H1762" s="49">
        <v>0</v>
      </c>
      <c r="I1762" s="49">
        <v>0</v>
      </c>
      <c r="J1762" s="50"/>
    </row>
    <row r="1763" outlineLevel="1" spans="1:10">
      <c r="A1763" s="50" t="str">
        <v/>
      </c>
      <c r="B1763" s="51" t="str">
        <v/>
      </c>
      <c r="C1763" s="51" t="str">
        <v/>
      </c>
      <c r="D1763" s="51" t="str">
        <v/>
      </c>
      <c r="E1763" s="51" t="str">
        <v/>
      </c>
      <c r="F1763" s="52" t="str">
        <v/>
      </c>
      <c r="G1763" s="48" t="str">
        <v/>
      </c>
      <c r="H1763" s="49">
        <v>0</v>
      </c>
      <c r="I1763" s="49">
        <v>0</v>
      </c>
      <c r="J1763" s="50"/>
    </row>
    <row r="1764" outlineLevel="1" spans="1:10">
      <c r="A1764" s="50" t="str">
        <v/>
      </c>
      <c r="B1764" s="51" t="str">
        <v/>
      </c>
      <c r="C1764" s="51" t="str">
        <v/>
      </c>
      <c r="D1764" s="51" t="str">
        <v/>
      </c>
      <c r="E1764" s="51" t="str">
        <v/>
      </c>
      <c r="F1764" s="52" t="str">
        <v/>
      </c>
      <c r="G1764" s="48" t="str">
        <v/>
      </c>
      <c r="H1764" s="49">
        <v>0</v>
      </c>
      <c r="I1764" s="49">
        <v>0</v>
      </c>
      <c r="J1764" s="50"/>
    </row>
    <row r="1765" outlineLevel="1" spans="1:10">
      <c r="A1765" s="50" t="str">
        <v/>
      </c>
      <c r="B1765" s="51" t="str">
        <v/>
      </c>
      <c r="C1765" s="51" t="str">
        <v/>
      </c>
      <c r="D1765" s="51" t="str">
        <v/>
      </c>
      <c r="E1765" s="51" t="str">
        <v/>
      </c>
      <c r="F1765" s="52" t="str">
        <v/>
      </c>
      <c r="G1765" s="48" t="str">
        <v/>
      </c>
      <c r="H1765" s="49">
        <v>0</v>
      </c>
      <c r="I1765" s="49">
        <v>0</v>
      </c>
      <c r="J1765" s="50"/>
    </row>
    <row r="1766" outlineLevel="1" spans="1:10">
      <c r="A1766" s="50" t="str">
        <v/>
      </c>
      <c r="B1766" s="51" t="str">
        <v/>
      </c>
      <c r="C1766" s="51" t="str">
        <v/>
      </c>
      <c r="D1766" s="51" t="str">
        <v/>
      </c>
      <c r="E1766" s="51" t="str">
        <v/>
      </c>
      <c r="F1766" s="52" t="str">
        <v/>
      </c>
      <c r="G1766" s="48" t="str">
        <v/>
      </c>
      <c r="H1766" s="49">
        <v>0</v>
      </c>
      <c r="I1766" s="49">
        <v>0</v>
      </c>
      <c r="J1766" s="50"/>
    </row>
    <row r="1767" outlineLevel="1" spans="1:10">
      <c r="A1767" s="50" t="str">
        <v/>
      </c>
      <c r="B1767" s="51" t="str">
        <v/>
      </c>
      <c r="C1767" s="51" t="str">
        <v/>
      </c>
      <c r="D1767" s="51" t="str">
        <v/>
      </c>
      <c r="E1767" s="51" t="str">
        <v/>
      </c>
      <c r="F1767" s="52" t="str">
        <v/>
      </c>
      <c r="G1767" s="48" t="str">
        <v/>
      </c>
      <c r="H1767" s="49">
        <v>0</v>
      </c>
      <c r="I1767" s="49">
        <v>0</v>
      </c>
      <c r="J1767" s="50"/>
    </row>
    <row r="1768" outlineLevel="1" spans="1:10">
      <c r="A1768" s="50" t="str">
        <v/>
      </c>
      <c r="B1768" s="51" t="str">
        <v/>
      </c>
      <c r="C1768" s="51" t="str">
        <v/>
      </c>
      <c r="D1768" s="51" t="str">
        <v/>
      </c>
      <c r="E1768" s="51" t="str">
        <v/>
      </c>
      <c r="F1768" s="52" t="str">
        <v/>
      </c>
      <c r="G1768" s="48" t="str">
        <v/>
      </c>
      <c r="H1768" s="49">
        <v>0</v>
      </c>
      <c r="I1768" s="49">
        <v>0</v>
      </c>
      <c r="J1768" s="50"/>
    </row>
    <row r="1769" outlineLevel="1" spans="1:10">
      <c r="A1769" s="50" t="str">
        <v/>
      </c>
      <c r="B1769" s="51" t="str">
        <v/>
      </c>
      <c r="C1769" s="51" t="str">
        <v/>
      </c>
      <c r="D1769" s="51" t="str">
        <v/>
      </c>
      <c r="E1769" s="51" t="str">
        <v/>
      </c>
      <c r="F1769" s="52" t="str">
        <v/>
      </c>
      <c r="G1769" s="48" t="str">
        <v/>
      </c>
      <c r="H1769" s="49">
        <v>0</v>
      </c>
      <c r="I1769" s="49">
        <v>0</v>
      </c>
      <c r="J1769" s="50"/>
    </row>
    <row r="1770" outlineLevel="1" spans="1:10">
      <c r="A1770" s="50" t="str">
        <v/>
      </c>
      <c r="B1770" s="51" t="str">
        <v/>
      </c>
      <c r="C1770" s="51" t="str">
        <v/>
      </c>
      <c r="D1770" s="51" t="str">
        <v/>
      </c>
      <c r="E1770" s="51" t="str">
        <v/>
      </c>
      <c r="F1770" s="52" t="str">
        <v/>
      </c>
      <c r="G1770" s="48" t="str">
        <v/>
      </c>
      <c r="H1770" s="49">
        <v>0</v>
      </c>
      <c r="I1770" s="49">
        <v>0</v>
      </c>
      <c r="J1770" s="50"/>
    </row>
    <row r="1771" outlineLevel="1" spans="1:10">
      <c r="A1771" s="50" t="str">
        <v/>
      </c>
      <c r="B1771" s="51" t="str">
        <v/>
      </c>
      <c r="C1771" s="51" t="str">
        <v/>
      </c>
      <c r="D1771" s="51" t="str">
        <v/>
      </c>
      <c r="E1771" s="51" t="str">
        <v/>
      </c>
      <c r="F1771" s="52" t="str">
        <v/>
      </c>
      <c r="G1771" s="48" t="str">
        <v/>
      </c>
      <c r="H1771" s="49">
        <v>0</v>
      </c>
      <c r="I1771" s="49">
        <v>0</v>
      </c>
      <c r="J1771" s="50"/>
    </row>
    <row r="1772" outlineLevel="1" spans="1:10">
      <c r="A1772" s="50" t="str">
        <v/>
      </c>
      <c r="B1772" s="51" t="str">
        <v/>
      </c>
      <c r="C1772" s="51" t="str">
        <v/>
      </c>
      <c r="D1772" s="51" t="str">
        <v/>
      </c>
      <c r="E1772" s="51" t="str">
        <v/>
      </c>
      <c r="F1772" s="52" t="str">
        <v/>
      </c>
      <c r="G1772" s="48" t="str">
        <v/>
      </c>
      <c r="H1772" s="49">
        <v>0</v>
      </c>
      <c r="I1772" s="49">
        <v>0</v>
      </c>
      <c r="J1772" s="50"/>
    </row>
    <row r="1773" outlineLevel="1" spans="1:10">
      <c r="A1773" s="50" t="str">
        <v/>
      </c>
      <c r="B1773" s="51" t="str">
        <v/>
      </c>
      <c r="C1773" s="51" t="str">
        <v/>
      </c>
      <c r="D1773" s="51" t="str">
        <v/>
      </c>
      <c r="E1773" s="51" t="str">
        <v/>
      </c>
      <c r="F1773" s="52" t="str">
        <v/>
      </c>
      <c r="G1773" s="48" t="str">
        <v/>
      </c>
      <c r="H1773" s="49">
        <v>0</v>
      </c>
      <c r="I1773" s="49">
        <v>0</v>
      </c>
      <c r="J1773" s="50"/>
    </row>
    <row r="1774" outlineLevel="1" spans="1:10">
      <c r="A1774" s="50" t="str">
        <v/>
      </c>
      <c r="B1774" s="51" t="str">
        <v/>
      </c>
      <c r="C1774" s="51" t="str">
        <v/>
      </c>
      <c r="D1774" s="51" t="str">
        <v/>
      </c>
      <c r="E1774" s="51" t="str">
        <v/>
      </c>
      <c r="F1774" s="52" t="str">
        <v/>
      </c>
      <c r="G1774" s="48" t="str">
        <v/>
      </c>
      <c r="H1774" s="49">
        <v>0</v>
      </c>
      <c r="I1774" s="49">
        <v>0</v>
      </c>
      <c r="J1774" s="50"/>
    </row>
    <row r="1775" outlineLevel="1" spans="1:10">
      <c r="A1775" s="50" t="str">
        <v/>
      </c>
      <c r="B1775" s="51" t="str">
        <v/>
      </c>
      <c r="C1775" s="51" t="str">
        <v/>
      </c>
      <c r="D1775" s="51" t="str">
        <v/>
      </c>
      <c r="E1775" s="51" t="str">
        <v/>
      </c>
      <c r="F1775" s="52" t="str">
        <v/>
      </c>
      <c r="G1775" s="48" t="str">
        <v/>
      </c>
      <c r="H1775" s="49">
        <v>0</v>
      </c>
      <c r="I1775" s="49">
        <v>0</v>
      </c>
      <c r="J1775" s="50"/>
    </row>
    <row r="1776" outlineLevel="1" spans="1:10">
      <c r="A1776" s="50" t="str">
        <v/>
      </c>
      <c r="B1776" s="51" t="str">
        <v/>
      </c>
      <c r="C1776" s="51" t="str">
        <v/>
      </c>
      <c r="D1776" s="51" t="str">
        <v/>
      </c>
      <c r="E1776" s="51" t="str">
        <v/>
      </c>
      <c r="F1776" s="52" t="str">
        <v/>
      </c>
      <c r="G1776" s="48" t="str">
        <v/>
      </c>
      <c r="H1776" s="49">
        <v>0</v>
      </c>
      <c r="I1776" s="49">
        <v>0</v>
      </c>
      <c r="J1776" s="50"/>
    </row>
    <row r="1777" outlineLevel="1" spans="1:10">
      <c r="A1777" s="50" t="str">
        <v/>
      </c>
      <c r="B1777" s="51" t="str">
        <v/>
      </c>
      <c r="C1777" s="51" t="str">
        <v/>
      </c>
      <c r="D1777" s="51" t="str">
        <v/>
      </c>
      <c r="E1777" s="51" t="str">
        <v/>
      </c>
      <c r="F1777" s="52" t="str">
        <v/>
      </c>
      <c r="G1777" s="48" t="str">
        <v/>
      </c>
      <c r="H1777" s="49">
        <v>0</v>
      </c>
      <c r="I1777" s="49">
        <v>0</v>
      </c>
      <c r="J1777" s="50"/>
    </row>
    <row r="1778" outlineLevel="1" spans="1:10">
      <c r="A1778" s="50" t="str">
        <v/>
      </c>
      <c r="B1778" s="51" t="str">
        <v/>
      </c>
      <c r="C1778" s="51" t="str">
        <v/>
      </c>
      <c r="D1778" s="51" t="str">
        <v/>
      </c>
      <c r="E1778" s="51" t="str">
        <v/>
      </c>
      <c r="F1778" s="52" t="str">
        <v/>
      </c>
      <c r="G1778" s="48" t="str">
        <v/>
      </c>
      <c r="H1778" s="49">
        <v>0</v>
      </c>
      <c r="I1778" s="49">
        <v>0</v>
      </c>
      <c r="J1778" s="50"/>
    </row>
    <row r="1779" outlineLevel="1" spans="1:10">
      <c r="A1779" s="50" t="str">
        <v/>
      </c>
      <c r="B1779" s="51" t="str">
        <v/>
      </c>
      <c r="C1779" s="51" t="str">
        <v/>
      </c>
      <c r="D1779" s="51" t="str">
        <v/>
      </c>
      <c r="E1779" s="51" t="str">
        <v/>
      </c>
      <c r="F1779" s="52" t="str">
        <v/>
      </c>
      <c r="G1779" s="48" t="str">
        <v/>
      </c>
      <c r="H1779" s="49">
        <v>0</v>
      </c>
      <c r="I1779" s="49">
        <v>0</v>
      </c>
      <c r="J1779" s="50"/>
    </row>
    <row r="1780" outlineLevel="1" spans="1:10">
      <c r="A1780" s="50" t="str">
        <v/>
      </c>
      <c r="B1780" s="51" t="str">
        <v/>
      </c>
      <c r="C1780" s="51" t="str">
        <v/>
      </c>
      <c r="D1780" s="51" t="str">
        <v/>
      </c>
      <c r="E1780" s="51" t="str">
        <v/>
      </c>
      <c r="F1780" s="52" t="str">
        <v/>
      </c>
      <c r="G1780" s="48" t="str">
        <v/>
      </c>
      <c r="H1780" s="49">
        <v>0</v>
      </c>
      <c r="I1780" s="49">
        <v>0</v>
      </c>
      <c r="J1780" s="50"/>
    </row>
    <row r="1781" outlineLevel="1" spans="1:10">
      <c r="A1781" s="50" t="str">
        <v/>
      </c>
      <c r="B1781" s="51" t="str">
        <v/>
      </c>
      <c r="C1781" s="51" t="str">
        <v/>
      </c>
      <c r="D1781" s="51" t="str">
        <v/>
      </c>
      <c r="E1781" s="51" t="str">
        <v/>
      </c>
      <c r="F1781" s="52" t="str">
        <v/>
      </c>
      <c r="G1781" s="48" t="str">
        <v/>
      </c>
      <c r="H1781" s="49">
        <v>0</v>
      </c>
      <c r="I1781" s="49">
        <v>0</v>
      </c>
      <c r="J1781" s="50"/>
    </row>
    <row r="1782" outlineLevel="1" spans="1:10">
      <c r="A1782" s="50" t="str">
        <v/>
      </c>
      <c r="B1782" s="51" t="str">
        <v/>
      </c>
      <c r="C1782" s="51" t="str">
        <v/>
      </c>
      <c r="D1782" s="51" t="str">
        <v/>
      </c>
      <c r="E1782" s="51" t="str">
        <v/>
      </c>
      <c r="F1782" s="52" t="str">
        <v/>
      </c>
      <c r="G1782" s="48" t="str">
        <v/>
      </c>
      <c r="H1782" s="49">
        <v>0</v>
      </c>
      <c r="I1782" s="49">
        <v>0</v>
      </c>
      <c r="J1782" s="50"/>
    </row>
    <row r="1783" outlineLevel="1" spans="1:10">
      <c r="A1783" s="50" t="str">
        <v/>
      </c>
      <c r="B1783" s="51" t="str">
        <v/>
      </c>
      <c r="C1783" s="51" t="str">
        <v/>
      </c>
      <c r="D1783" s="51" t="str">
        <v/>
      </c>
      <c r="E1783" s="51" t="str">
        <v/>
      </c>
      <c r="F1783" s="52" t="str">
        <v/>
      </c>
      <c r="G1783" s="48" t="str">
        <v/>
      </c>
      <c r="H1783" s="49">
        <v>0</v>
      </c>
      <c r="I1783" s="49">
        <v>0</v>
      </c>
      <c r="J1783" s="50"/>
    </row>
    <row r="1784" outlineLevel="1" spans="1:10">
      <c r="A1784" s="50" t="str">
        <v/>
      </c>
      <c r="B1784" s="51" t="str">
        <v/>
      </c>
      <c r="C1784" s="51" t="str">
        <v/>
      </c>
      <c r="D1784" s="51" t="str">
        <v/>
      </c>
      <c r="E1784" s="51" t="str">
        <v/>
      </c>
      <c r="F1784" s="52" t="str">
        <v/>
      </c>
      <c r="G1784" s="48" t="str">
        <v/>
      </c>
      <c r="H1784" s="49">
        <v>0</v>
      </c>
      <c r="I1784" s="49">
        <v>0</v>
      </c>
      <c r="J1784" s="50"/>
    </row>
    <row r="1785" outlineLevel="1" spans="1:10">
      <c r="A1785" s="50" t="str">
        <v/>
      </c>
      <c r="B1785" s="51" t="str">
        <v/>
      </c>
      <c r="C1785" s="51" t="str">
        <v/>
      </c>
      <c r="D1785" s="51" t="str">
        <v/>
      </c>
      <c r="E1785" s="51" t="str">
        <v/>
      </c>
      <c r="F1785" s="52" t="str">
        <v/>
      </c>
      <c r="G1785" s="48" t="str">
        <v/>
      </c>
      <c r="H1785" s="49">
        <v>0</v>
      </c>
      <c r="I1785" s="49">
        <v>0</v>
      </c>
      <c r="J1785" s="50"/>
    </row>
    <row r="1786" outlineLevel="1" spans="1:10">
      <c r="A1786" s="50" t="str">
        <v/>
      </c>
      <c r="B1786" s="51" t="str">
        <v/>
      </c>
      <c r="C1786" s="51" t="str">
        <v/>
      </c>
      <c r="D1786" s="51" t="str">
        <v/>
      </c>
      <c r="E1786" s="51" t="str">
        <v/>
      </c>
      <c r="F1786" s="52" t="str">
        <v/>
      </c>
      <c r="G1786" s="48" t="str">
        <v/>
      </c>
      <c r="H1786" s="49">
        <v>0</v>
      </c>
      <c r="I1786" s="49">
        <v>0</v>
      </c>
      <c r="J1786" s="50"/>
    </row>
    <row r="1787" outlineLevel="1" spans="1:10">
      <c r="A1787" s="50" t="str">
        <v/>
      </c>
      <c r="B1787" s="51" t="str">
        <v/>
      </c>
      <c r="C1787" s="51" t="str">
        <v/>
      </c>
      <c r="D1787" s="51" t="str">
        <v/>
      </c>
      <c r="E1787" s="51" t="str">
        <v/>
      </c>
      <c r="F1787" s="52" t="str">
        <v/>
      </c>
      <c r="G1787" s="48" t="str">
        <v/>
      </c>
      <c r="H1787" s="49">
        <v>0</v>
      </c>
      <c r="I1787" s="49">
        <v>0</v>
      </c>
      <c r="J1787" s="50"/>
    </row>
    <row r="1788" outlineLevel="1" spans="1:10">
      <c r="A1788" s="50" t="str">
        <v/>
      </c>
      <c r="B1788" s="51" t="str">
        <v/>
      </c>
      <c r="C1788" s="51" t="str">
        <v/>
      </c>
      <c r="D1788" s="51" t="str">
        <v/>
      </c>
      <c r="E1788" s="51" t="str">
        <v/>
      </c>
      <c r="F1788" s="52" t="str">
        <v/>
      </c>
      <c r="G1788" s="48" t="str">
        <v/>
      </c>
      <c r="H1788" s="49">
        <v>0</v>
      </c>
      <c r="I1788" s="49">
        <v>0</v>
      </c>
      <c r="J1788" s="50"/>
    </row>
    <row r="1789" outlineLevel="1" spans="1:10">
      <c r="A1789" s="50" t="str">
        <v/>
      </c>
      <c r="B1789" s="51" t="str">
        <v/>
      </c>
      <c r="C1789" s="51" t="str">
        <v/>
      </c>
      <c r="D1789" s="51" t="str">
        <v/>
      </c>
      <c r="E1789" s="51" t="str">
        <v/>
      </c>
      <c r="F1789" s="52" t="str">
        <v/>
      </c>
      <c r="G1789" s="48" t="str">
        <v/>
      </c>
      <c r="H1789" s="49">
        <v>0</v>
      </c>
      <c r="I1789" s="49">
        <v>0</v>
      </c>
      <c r="J1789" s="50"/>
    </row>
    <row r="1790" outlineLevel="1" spans="1:10">
      <c r="A1790" s="50" t="str">
        <v/>
      </c>
      <c r="B1790" s="51" t="str">
        <v/>
      </c>
      <c r="C1790" s="51" t="str">
        <v/>
      </c>
      <c r="D1790" s="51" t="str">
        <v/>
      </c>
      <c r="E1790" s="51" t="str">
        <v/>
      </c>
      <c r="F1790" s="52" t="str">
        <v/>
      </c>
      <c r="G1790" s="48" t="str">
        <v/>
      </c>
      <c r="H1790" s="49">
        <v>0</v>
      </c>
      <c r="I1790" s="49">
        <v>0</v>
      </c>
      <c r="J1790" s="50"/>
    </row>
    <row r="1791" outlineLevel="1" spans="1:10">
      <c r="A1791" s="50" t="str">
        <v/>
      </c>
      <c r="B1791" s="51" t="str">
        <v/>
      </c>
      <c r="C1791" s="51" t="str">
        <v/>
      </c>
      <c r="D1791" s="51" t="str">
        <v/>
      </c>
      <c r="E1791" s="51" t="str">
        <v/>
      </c>
      <c r="F1791" s="52" t="str">
        <v/>
      </c>
      <c r="G1791" s="48" t="str">
        <v/>
      </c>
      <c r="H1791" s="49">
        <v>0</v>
      </c>
      <c r="I1791" s="49">
        <v>0</v>
      </c>
      <c r="J1791" s="50"/>
    </row>
    <row r="1792" outlineLevel="1" spans="1:10">
      <c r="A1792" s="50" t="str">
        <v/>
      </c>
      <c r="B1792" s="51" t="str">
        <v/>
      </c>
      <c r="C1792" s="51" t="str">
        <v/>
      </c>
      <c r="D1792" s="51" t="str">
        <v/>
      </c>
      <c r="E1792" s="51" t="str">
        <v/>
      </c>
      <c r="F1792" s="52" t="str">
        <v/>
      </c>
      <c r="G1792" s="48" t="str">
        <v/>
      </c>
      <c r="H1792" s="49">
        <v>0</v>
      </c>
      <c r="I1792" s="49">
        <v>0</v>
      </c>
      <c r="J1792" s="50"/>
    </row>
    <row r="1793" outlineLevel="1" spans="1:10">
      <c r="A1793" s="50" t="str">
        <v/>
      </c>
      <c r="B1793" s="51" t="str">
        <v/>
      </c>
      <c r="C1793" s="51" t="str">
        <v/>
      </c>
      <c r="D1793" s="51" t="str">
        <v/>
      </c>
      <c r="E1793" s="51" t="str">
        <v/>
      </c>
      <c r="F1793" s="52" t="str">
        <v/>
      </c>
      <c r="G1793" s="48" t="str">
        <v/>
      </c>
      <c r="H1793" s="49">
        <v>0</v>
      </c>
      <c r="I1793" s="49">
        <v>0</v>
      </c>
      <c r="J1793" s="50"/>
    </row>
    <row r="1794" outlineLevel="1" spans="1:10">
      <c r="A1794" s="50" t="str">
        <v/>
      </c>
      <c r="B1794" s="51" t="str">
        <v/>
      </c>
      <c r="C1794" s="51" t="str">
        <v/>
      </c>
      <c r="D1794" s="51" t="str">
        <v/>
      </c>
      <c r="E1794" s="51" t="str">
        <v/>
      </c>
      <c r="F1794" s="52" t="str">
        <v/>
      </c>
      <c r="G1794" s="48" t="str">
        <v/>
      </c>
      <c r="H1794" s="49">
        <v>0</v>
      </c>
      <c r="I1794" s="49">
        <v>0</v>
      </c>
      <c r="J1794" s="50"/>
    </row>
    <row r="1795" outlineLevel="1" spans="1:10">
      <c r="A1795" s="50" t="str">
        <v/>
      </c>
      <c r="B1795" s="51" t="str">
        <v/>
      </c>
      <c r="C1795" s="51" t="str">
        <v/>
      </c>
      <c r="D1795" s="51" t="str">
        <v/>
      </c>
      <c r="E1795" s="51" t="str">
        <v/>
      </c>
      <c r="F1795" s="52" t="str">
        <v/>
      </c>
      <c r="G1795" s="48" t="str">
        <v/>
      </c>
      <c r="H1795" s="49">
        <v>0</v>
      </c>
      <c r="I1795" s="49">
        <v>0</v>
      </c>
      <c r="J1795" s="50"/>
    </row>
    <row r="1796" outlineLevel="1" spans="1:10">
      <c r="A1796" s="50" t="str">
        <v/>
      </c>
      <c r="B1796" s="51" t="str">
        <v/>
      </c>
      <c r="C1796" s="51" t="str">
        <v/>
      </c>
      <c r="D1796" s="51" t="str">
        <v/>
      </c>
      <c r="E1796" s="51" t="str">
        <v/>
      </c>
      <c r="F1796" s="52" t="str">
        <v/>
      </c>
      <c r="G1796" s="48" t="str">
        <v/>
      </c>
      <c r="H1796" s="49">
        <v>0</v>
      </c>
      <c r="I1796" s="49">
        <v>0</v>
      </c>
      <c r="J1796" s="50"/>
    </row>
    <row r="1797" outlineLevel="1" spans="1:10">
      <c r="A1797" s="50" t="str">
        <v/>
      </c>
      <c r="B1797" s="51" t="str">
        <v/>
      </c>
      <c r="C1797" s="51" t="str">
        <v/>
      </c>
      <c r="D1797" s="51" t="str">
        <v/>
      </c>
      <c r="E1797" s="51" t="str">
        <v/>
      </c>
      <c r="F1797" s="52" t="str">
        <v/>
      </c>
      <c r="G1797" s="48" t="str">
        <v/>
      </c>
      <c r="H1797" s="49">
        <v>0</v>
      </c>
      <c r="I1797" s="49">
        <v>0</v>
      </c>
      <c r="J1797" s="50"/>
    </row>
    <row r="1798" outlineLevel="1" spans="1:10">
      <c r="A1798" s="50" t="str">
        <v/>
      </c>
      <c r="B1798" s="51" t="str">
        <v/>
      </c>
      <c r="C1798" s="51" t="str">
        <v/>
      </c>
      <c r="D1798" s="51" t="str">
        <v/>
      </c>
      <c r="E1798" s="51" t="str">
        <v/>
      </c>
      <c r="F1798" s="52" t="str">
        <v/>
      </c>
      <c r="G1798" s="48" t="str">
        <v/>
      </c>
      <c r="H1798" s="49">
        <v>0</v>
      </c>
      <c r="I1798" s="49">
        <v>0</v>
      </c>
      <c r="J1798" s="50"/>
    </row>
    <row r="1799" s="29" customFormat="1" spans="1:10">
      <c r="A1799" s="40"/>
      <c r="B1799" s="41" t="s">
        <v>2357</v>
      </c>
      <c r="C1799" s="41"/>
      <c r="D1799" s="41"/>
      <c r="E1799" s="41"/>
      <c r="F1799" s="42"/>
      <c r="G1799" s="43"/>
      <c r="H1799" s="44"/>
      <c r="I1799" s="44"/>
      <c r="J1799" s="40"/>
    </row>
    <row r="1800" outlineLevel="1" spans="1:10">
      <c r="A1800" s="50" t="str">
        <f ca="1" t="array" ref="A1800:G1916">IF(INDIRECT(K3&amp;"!A4:G120")=0,"",INDIRECT(K3&amp;"!A4:G120"))</f>
        <v/>
      </c>
      <c r="B1800" s="51" t="str">
        <v>E.01单价措施费</v>
      </c>
      <c r="C1800" s="51" t="str">
        <v/>
      </c>
      <c r="D1800" s="51" t="str">
        <v/>
      </c>
      <c r="E1800" s="51" t="str">
        <v/>
      </c>
      <c r="F1800" s="52" t="str">
        <v/>
      </c>
      <c r="G1800" s="48" t="str">
        <v/>
      </c>
      <c r="H1800" s="49">
        <f ca="1" t="array" ref="H1800:H1916">INDIRECT(K3&amp;"!H4:H120")</f>
        <v>0</v>
      </c>
      <c r="I1800" s="49" t="e">
        <f ca="1" t="array" ref="I1800:I1916">INDIRECT(K3&amp;"!R4:R120")</f>
        <v>#REF!</v>
      </c>
      <c r="J1800" s="50"/>
    </row>
    <row r="1801" outlineLevel="1" spans="1:10">
      <c r="A1801" s="50" t="str">
        <v>地下</v>
      </c>
      <c r="B1801" s="51" t="str">
        <v>主体结构</v>
      </c>
      <c r="C1801" s="51" t="str">
        <v/>
      </c>
      <c r="D1801" s="51" t="str">
        <v/>
      </c>
      <c r="E1801" s="51" t="str">
        <v/>
      </c>
      <c r="F1801" s="52" t="str">
        <v/>
      </c>
      <c r="G1801" s="48" t="str">
        <v/>
      </c>
      <c r="H1801" s="49">
        <v>0</v>
      </c>
      <c r="I1801" s="49" t="e">
        <v>#REF!</v>
      </c>
      <c r="J1801" s="50"/>
    </row>
    <row r="1802" outlineLevel="1" spans="1:10">
      <c r="A1802" s="50" t="str">
        <v>一</v>
      </c>
      <c r="B1802" s="51" t="str">
        <v>E.01.01模板工程</v>
      </c>
      <c r="C1802" s="51" t="str">
        <v/>
      </c>
      <c r="D1802" s="51" t="str">
        <v/>
      </c>
      <c r="E1802" s="51" t="str">
        <v/>
      </c>
      <c r="F1802" s="52" t="str">
        <v/>
      </c>
      <c r="G1802" s="48" t="str">
        <v/>
      </c>
      <c r="H1802" s="49">
        <v>4860.48</v>
      </c>
      <c r="I1802" s="49" t="e">
        <v>#REF!</v>
      </c>
      <c r="J1802" s="50"/>
    </row>
    <row r="1803" ht="28.8" outlineLevel="1" spans="1:10">
      <c r="A1803" s="50">
        <v>1</v>
      </c>
      <c r="B1803" s="51" t="str">
        <v>垫层模板</v>
      </c>
      <c r="C1803" s="51" t="e">
        <v>#REF!</v>
      </c>
      <c r="D1803" s="51" t="str">
        <v>地下模板</v>
      </c>
      <c r="E1803" s="51" t="str">
        <v>地下模板</v>
      </c>
      <c r="F1803" s="52" t="e">
        <v>#REF!</v>
      </c>
      <c r="G1803" s="48" t="e">
        <v>#REF!</v>
      </c>
      <c r="H1803" s="49">
        <v>23.12</v>
      </c>
      <c r="I1803" s="49" t="e">
        <v>#REF!</v>
      </c>
      <c r="J1803" s="50"/>
    </row>
    <row r="1804" ht="28.8" outlineLevel="1" spans="1:10">
      <c r="A1804" s="50">
        <v>2</v>
      </c>
      <c r="B1804" s="51" t="str">
        <v>满堂基础模板</v>
      </c>
      <c r="C1804" s="51" t="e">
        <v>#REF!</v>
      </c>
      <c r="D1804" s="51" t="str">
        <v>地下模板</v>
      </c>
      <c r="E1804" s="51" t="str">
        <v>地下模板</v>
      </c>
      <c r="F1804" s="52" t="e">
        <v>#REF!</v>
      </c>
      <c r="G1804" s="48" t="e">
        <v>#REF!</v>
      </c>
      <c r="H1804" s="49">
        <v>88.97</v>
      </c>
      <c r="I1804" s="49" t="e">
        <v>#REF!</v>
      </c>
      <c r="J1804" s="50"/>
    </row>
    <row r="1805" ht="28.8" outlineLevel="1" spans="1:10">
      <c r="A1805" s="50">
        <v>3</v>
      </c>
      <c r="B1805" s="51" t="str">
        <v>独立基础模板</v>
      </c>
      <c r="C1805" s="51" t="e">
        <v>#REF!</v>
      </c>
      <c r="D1805" s="51" t="str">
        <v>地下模板</v>
      </c>
      <c r="E1805" s="51" t="str">
        <v>地下模板</v>
      </c>
      <c r="F1805" s="52" t="e">
        <v>#REF!</v>
      </c>
      <c r="G1805" s="48" t="e">
        <v>#REF!</v>
      </c>
      <c r="H1805" s="49">
        <v>0</v>
      </c>
      <c r="I1805" s="49" t="e">
        <v>#REF!</v>
      </c>
      <c r="J1805" s="50"/>
    </row>
    <row r="1806" ht="28.8" outlineLevel="1" spans="1:10">
      <c r="A1806" s="50">
        <v>4</v>
      </c>
      <c r="B1806" s="51" t="str">
        <v>矩形柱模板</v>
      </c>
      <c r="C1806" s="51" t="e">
        <v>#REF!</v>
      </c>
      <c r="D1806" s="51" t="str">
        <v>地下模板</v>
      </c>
      <c r="E1806" s="51" t="str">
        <v>地下模板</v>
      </c>
      <c r="F1806" s="52" t="e">
        <v>#REF!</v>
      </c>
      <c r="G1806" s="48" t="e">
        <v>#REF!</v>
      </c>
      <c r="H1806" s="49">
        <v>422.48</v>
      </c>
      <c r="I1806" s="49" t="e">
        <v>#REF!</v>
      </c>
      <c r="J1806" s="50"/>
    </row>
    <row r="1807" ht="28.8" outlineLevel="1" spans="1:10">
      <c r="A1807" s="50">
        <v>5</v>
      </c>
      <c r="B1807" s="51" t="str">
        <v>矩形梁模板</v>
      </c>
      <c r="C1807" s="51" t="e">
        <v>#REF!</v>
      </c>
      <c r="D1807" s="51" t="str">
        <v>地下模板</v>
      </c>
      <c r="E1807" s="51" t="str">
        <v>地下模板</v>
      </c>
      <c r="F1807" s="52" t="e">
        <v>#REF!</v>
      </c>
      <c r="G1807" s="48" t="e">
        <v>#REF!</v>
      </c>
      <c r="H1807" s="49">
        <v>439.64</v>
      </c>
      <c r="I1807" s="49" t="e">
        <v>#REF!</v>
      </c>
      <c r="J1807" s="50"/>
    </row>
    <row r="1808" ht="28.8" outlineLevel="1" spans="1:10">
      <c r="A1808" s="50">
        <v>6</v>
      </c>
      <c r="B1808" s="51" t="str">
        <v>预制梁模板</v>
      </c>
      <c r="C1808" s="51" t="e">
        <v>#REF!</v>
      </c>
      <c r="D1808" s="51" t="str">
        <v>地下模板</v>
      </c>
      <c r="E1808" s="51" t="str">
        <v>地下模板</v>
      </c>
      <c r="F1808" s="52" t="e">
        <v>#REF!</v>
      </c>
      <c r="G1808" s="48" t="e">
        <v>#REF!</v>
      </c>
      <c r="H1808" s="49">
        <v>0</v>
      </c>
      <c r="I1808" s="49" t="e">
        <v>#REF!</v>
      </c>
      <c r="J1808" s="50"/>
    </row>
    <row r="1809" ht="28.8" outlineLevel="1" spans="1:10">
      <c r="A1809" s="50">
        <v>7</v>
      </c>
      <c r="B1809" s="51" t="str">
        <v>斜梁模板</v>
      </c>
      <c r="C1809" s="51" t="e">
        <v>#REF!</v>
      </c>
      <c r="D1809" s="51" t="str">
        <v>地下模板</v>
      </c>
      <c r="E1809" s="51" t="str">
        <v>地下模板</v>
      </c>
      <c r="F1809" s="52" t="e">
        <v>#REF!</v>
      </c>
      <c r="G1809" s="48" t="e">
        <v>#REF!</v>
      </c>
      <c r="H1809" s="49">
        <v>0</v>
      </c>
      <c r="I1809" s="49" t="e">
        <v>#REF!</v>
      </c>
      <c r="J1809" s="50"/>
    </row>
    <row r="1810" ht="28.8" outlineLevel="1" spans="1:10">
      <c r="A1810" s="50">
        <v>8</v>
      </c>
      <c r="B1810" s="51" t="str">
        <v>剪力墙内墙模板</v>
      </c>
      <c r="C1810" s="51" t="e">
        <v>#REF!</v>
      </c>
      <c r="D1810" s="51" t="str">
        <v>地下模板</v>
      </c>
      <c r="E1810" s="51" t="str">
        <v>地下模板</v>
      </c>
      <c r="F1810" s="52" t="e">
        <v>#REF!</v>
      </c>
      <c r="G1810" s="48" t="e">
        <v>#REF!</v>
      </c>
      <c r="H1810" s="49">
        <v>2618.01</v>
      </c>
      <c r="I1810" s="49" t="e">
        <v>#REF!</v>
      </c>
      <c r="J1810" s="50"/>
    </row>
    <row r="1811" ht="28.8" outlineLevel="1" spans="1:10">
      <c r="A1811" s="50">
        <v>9</v>
      </c>
      <c r="B1811" s="51" t="str">
        <v>地下剪力墙外墙模.板</v>
      </c>
      <c r="C1811" s="51" t="e">
        <v>#REF!</v>
      </c>
      <c r="D1811" s="51" t="str">
        <v>地下模板</v>
      </c>
      <c r="E1811" s="51" t="str">
        <v>地下模板</v>
      </c>
      <c r="F1811" s="52" t="e">
        <v>#REF!</v>
      </c>
      <c r="G1811" s="48" t="e">
        <v>#REF!</v>
      </c>
      <c r="H1811" s="49">
        <v>290.89</v>
      </c>
      <c r="I1811" s="49" t="e">
        <v>#REF!</v>
      </c>
      <c r="J1811" s="50"/>
    </row>
    <row r="1812" ht="28.8" outlineLevel="1" spans="1:10">
      <c r="A1812" s="50">
        <v>10</v>
      </c>
      <c r="B1812" s="51" t="str">
        <v>电梯井壁模板</v>
      </c>
      <c r="C1812" s="51" t="e">
        <v>#REF!</v>
      </c>
      <c r="D1812" s="51" t="str">
        <v>地下模板</v>
      </c>
      <c r="E1812" s="51" t="str">
        <v>地下模板</v>
      </c>
      <c r="F1812" s="52" t="e">
        <v>#REF!</v>
      </c>
      <c r="G1812" s="48" t="e">
        <v>#REF!</v>
      </c>
      <c r="H1812" s="49">
        <v>125.27</v>
      </c>
      <c r="I1812" s="49" t="e">
        <v>#REF!</v>
      </c>
      <c r="J1812" s="50"/>
    </row>
    <row r="1813" ht="28.8" outlineLevel="1" spans="1:10">
      <c r="A1813" s="50">
        <v>11</v>
      </c>
      <c r="B1813" s="51" t="str">
        <v>平板模板</v>
      </c>
      <c r="C1813" s="51" t="e">
        <v>#REF!</v>
      </c>
      <c r="D1813" s="51" t="str">
        <v>地下模板</v>
      </c>
      <c r="E1813" s="51" t="str">
        <v>地下模板</v>
      </c>
      <c r="F1813" s="52" t="e">
        <v>#REF!</v>
      </c>
      <c r="G1813" s="48" t="e">
        <v>#REF!</v>
      </c>
      <c r="H1813" s="49">
        <v>653.47</v>
      </c>
      <c r="I1813" s="49" t="e">
        <v>#REF!</v>
      </c>
      <c r="J1813" s="50"/>
    </row>
    <row r="1814" ht="28.8" outlineLevel="1" spans="1:10">
      <c r="A1814" s="50">
        <v>12</v>
      </c>
      <c r="B1814" s="51" t="str">
        <v>无梁板模板</v>
      </c>
      <c r="C1814" s="51" t="e">
        <v>#REF!</v>
      </c>
      <c r="D1814" s="51" t="str">
        <v>地下模板</v>
      </c>
      <c r="E1814" s="51" t="str">
        <v>地下模板</v>
      </c>
      <c r="F1814" s="52" t="e">
        <v>#REF!</v>
      </c>
      <c r="G1814" s="48" t="e">
        <v>#REF!</v>
      </c>
      <c r="H1814" s="49">
        <v>0</v>
      </c>
      <c r="I1814" s="49" t="e">
        <v>#REF!</v>
      </c>
      <c r="J1814" s="50"/>
    </row>
    <row r="1815" ht="28.8" outlineLevel="1" spans="1:10">
      <c r="A1815" s="50">
        <v>13</v>
      </c>
      <c r="B1815" s="51" t="str">
        <v>斜板模板</v>
      </c>
      <c r="C1815" s="51" t="e">
        <v>#REF!</v>
      </c>
      <c r="D1815" s="51" t="str">
        <v>地下模板</v>
      </c>
      <c r="E1815" s="51" t="str">
        <v>地下模板</v>
      </c>
      <c r="F1815" s="52" t="e">
        <v>#REF!</v>
      </c>
      <c r="G1815" s="48" t="e">
        <v>#REF!</v>
      </c>
      <c r="H1815" s="49">
        <v>0</v>
      </c>
      <c r="I1815" s="49" t="e">
        <v>#REF!</v>
      </c>
      <c r="J1815" s="50"/>
    </row>
    <row r="1816" ht="28.8" outlineLevel="1" spans="1:10">
      <c r="A1816" s="50">
        <v>14</v>
      </c>
      <c r="B1816" s="51" t="str">
        <v>天沟、檐沟模板</v>
      </c>
      <c r="C1816" s="51" t="e">
        <v>#REF!</v>
      </c>
      <c r="D1816" s="51" t="str">
        <v>地下模板</v>
      </c>
      <c r="E1816" s="51" t="str">
        <v>地下模板</v>
      </c>
      <c r="F1816" s="52" t="e">
        <v>#REF!</v>
      </c>
      <c r="G1816" s="48" t="e">
        <v>#REF!</v>
      </c>
      <c r="H1816" s="49">
        <v>12.1</v>
      </c>
      <c r="I1816" s="49" t="e">
        <v>#REF!</v>
      </c>
      <c r="J1816" s="50"/>
    </row>
    <row r="1817" ht="28.8" outlineLevel="1" spans="1:10">
      <c r="A1817" s="50">
        <v>15</v>
      </c>
      <c r="B1817" s="51" t="str">
        <v>楼梯模.板</v>
      </c>
      <c r="C1817" s="51" t="e">
        <v>#REF!</v>
      </c>
      <c r="D1817" s="51" t="str">
        <v>地下模板</v>
      </c>
      <c r="E1817" s="51" t="str">
        <v>地下模板</v>
      </c>
      <c r="F1817" s="52" t="e">
        <v>#REF!</v>
      </c>
      <c r="G1817" s="48" t="e">
        <v>#REF!</v>
      </c>
      <c r="H1817" s="49">
        <v>88.97</v>
      </c>
      <c r="I1817" s="49" t="e">
        <v>#REF!</v>
      </c>
      <c r="J1817" s="50"/>
    </row>
    <row r="1818" ht="28.8" outlineLevel="1" spans="1:10">
      <c r="A1818" s="50">
        <v>16</v>
      </c>
      <c r="B1818" s="51" t="str">
        <v>预制板模板</v>
      </c>
      <c r="C1818" s="51" t="e">
        <v>#REF!</v>
      </c>
      <c r="D1818" s="51" t="str">
        <v>地下模板</v>
      </c>
      <c r="E1818" s="51" t="str">
        <v>地下模板</v>
      </c>
      <c r="F1818" s="52" t="e">
        <v>#REF!</v>
      </c>
      <c r="G1818" s="48" t="e">
        <v>#REF!</v>
      </c>
      <c r="H1818" s="49">
        <v>0.94</v>
      </c>
      <c r="I1818" s="49" t="e">
        <v>#REF!</v>
      </c>
      <c r="J1818" s="50"/>
    </row>
    <row r="1819" ht="28.8" outlineLevel="1" spans="1:10">
      <c r="A1819" s="50">
        <v>17</v>
      </c>
      <c r="B1819" s="51" t="str">
        <v>梁后浇带模板</v>
      </c>
      <c r="C1819" s="51" t="e">
        <v>#REF!</v>
      </c>
      <c r="D1819" s="51" t="str">
        <v>地下模板</v>
      </c>
      <c r="E1819" s="51" t="str">
        <v>地下模板</v>
      </c>
      <c r="F1819" s="52" t="e">
        <v>#REF!</v>
      </c>
      <c r="G1819" s="48" t="e">
        <v>#REF!</v>
      </c>
      <c r="H1819" s="49">
        <v>4.3</v>
      </c>
      <c r="I1819" s="49" t="e">
        <v>#REF!</v>
      </c>
      <c r="J1819" s="50"/>
    </row>
    <row r="1820" ht="28.8" outlineLevel="1" spans="1:10">
      <c r="A1820" s="50">
        <v>18</v>
      </c>
      <c r="B1820" s="51" t="str">
        <v>板后浇带模板</v>
      </c>
      <c r="C1820" s="51" t="e">
        <v>#REF!</v>
      </c>
      <c r="D1820" s="51" t="str">
        <v>地下模板</v>
      </c>
      <c r="E1820" s="51" t="str">
        <v>地下模板</v>
      </c>
      <c r="F1820" s="52" t="e">
        <v>#REF!</v>
      </c>
      <c r="G1820" s="48" t="e">
        <v>#REF!</v>
      </c>
      <c r="H1820" s="49">
        <v>7.6</v>
      </c>
      <c r="I1820" s="49" t="e">
        <v>#REF!</v>
      </c>
      <c r="J1820" s="50"/>
    </row>
    <row r="1821" ht="28.8" outlineLevel="1" spans="1:10">
      <c r="A1821" s="50">
        <v>19</v>
      </c>
      <c r="B1821" s="51" t="str">
        <v>墙后浇带模板</v>
      </c>
      <c r="C1821" s="51" t="e">
        <v>#REF!</v>
      </c>
      <c r="D1821" s="51" t="str">
        <v>地下模板</v>
      </c>
      <c r="E1821" s="51" t="str">
        <v>地下模板</v>
      </c>
      <c r="F1821" s="52" t="e">
        <v>#REF!</v>
      </c>
      <c r="G1821" s="48" t="e">
        <v>#REF!</v>
      </c>
      <c r="H1821" s="49">
        <v>7.6</v>
      </c>
      <c r="I1821" s="49" t="e">
        <v>#REF!</v>
      </c>
      <c r="J1821" s="50"/>
    </row>
    <row r="1822" ht="28.8" outlineLevel="1" spans="1:10">
      <c r="A1822" s="50">
        <v>20</v>
      </c>
      <c r="B1822" s="51" t="str">
        <v>基础后浇带模板</v>
      </c>
      <c r="C1822" s="51" t="e">
        <v>#REF!</v>
      </c>
      <c r="D1822" s="51" t="str">
        <v>地下模板</v>
      </c>
      <c r="E1822" s="51" t="str">
        <v>地下模板</v>
      </c>
      <c r="F1822" s="52" t="e">
        <v>#REF!</v>
      </c>
      <c r="G1822" s="48" t="e">
        <v>#REF!</v>
      </c>
      <c r="H1822" s="49">
        <v>1.12</v>
      </c>
      <c r="I1822" s="49" t="e">
        <v>#REF!</v>
      </c>
      <c r="J1822" s="50"/>
    </row>
    <row r="1823" ht="28.8" outlineLevel="1" spans="1:10">
      <c r="A1823" s="50">
        <v>21</v>
      </c>
      <c r="B1823" s="51" t="str">
        <v>后浇带收口网</v>
      </c>
      <c r="C1823" s="51" t="e">
        <v>#REF!</v>
      </c>
      <c r="D1823" s="51" t="str">
        <v>地下模板</v>
      </c>
      <c r="E1823" s="51" t="str">
        <v>地下模板</v>
      </c>
      <c r="F1823" s="52" t="e">
        <v>#REF!</v>
      </c>
      <c r="G1823" s="48" t="e">
        <v>#REF!</v>
      </c>
      <c r="H1823" s="49">
        <v>76</v>
      </c>
      <c r="I1823" s="49" t="e">
        <v>#REF!</v>
      </c>
      <c r="J1823" s="50"/>
    </row>
    <row r="1824" ht="28.8" outlineLevel="1" spans="1:10">
      <c r="A1824" s="50">
        <v>22</v>
      </c>
      <c r="B1824" s="51" t="str">
        <v>排水沟模板</v>
      </c>
      <c r="C1824" s="51" t="e">
        <v>#REF!</v>
      </c>
      <c r="D1824" s="51" t="str">
        <v>地下模板</v>
      </c>
      <c r="E1824" s="51" t="str">
        <v>地下模板</v>
      </c>
      <c r="F1824" s="52" t="e">
        <v>#REF!</v>
      </c>
      <c r="G1824" s="48" t="e">
        <v>#REF!</v>
      </c>
      <c r="H1824" s="49">
        <v>0</v>
      </c>
      <c r="I1824" s="49" t="e">
        <v>#REF!</v>
      </c>
      <c r="J1824" s="50"/>
    </row>
    <row r="1825" ht="28.8" outlineLevel="1" spans="1:10">
      <c r="A1825" s="50">
        <v>23</v>
      </c>
      <c r="B1825" s="51" t="str">
        <v>消防水池池底模板</v>
      </c>
      <c r="C1825" s="51" t="e">
        <v>#REF!</v>
      </c>
      <c r="D1825" s="51" t="str">
        <v>地下模板</v>
      </c>
      <c r="E1825" s="51" t="str">
        <v>地下模板</v>
      </c>
      <c r="F1825" s="52" t="e">
        <v>#REF!</v>
      </c>
      <c r="G1825" s="48" t="e">
        <v>#REF!</v>
      </c>
      <c r="H1825" s="49">
        <v>0</v>
      </c>
      <c r="I1825" s="49" t="e">
        <v>#REF!</v>
      </c>
      <c r="J1825" s="50"/>
    </row>
    <row r="1826" ht="28.8" outlineLevel="1" spans="1:10">
      <c r="A1826" s="50">
        <v>24</v>
      </c>
      <c r="B1826" s="51" t="str">
        <v>消防水池池壁模板</v>
      </c>
      <c r="C1826" s="51" t="e">
        <v>#REF!</v>
      </c>
      <c r="D1826" s="51" t="str">
        <v>地下模板</v>
      </c>
      <c r="E1826" s="51" t="str">
        <v>地下模板</v>
      </c>
      <c r="F1826" s="52" t="e">
        <v>#REF!</v>
      </c>
      <c r="G1826" s="48" t="e">
        <v>#REF!</v>
      </c>
      <c r="H1826" s="49">
        <v>0</v>
      </c>
      <c r="I1826" s="49" t="e">
        <v>#REF!</v>
      </c>
      <c r="J1826" s="50"/>
    </row>
    <row r="1827" ht="28.8" outlineLevel="1" spans="1:10">
      <c r="A1827" s="50">
        <v>25</v>
      </c>
      <c r="B1827" s="51" t="str">
        <v>设备基础模板</v>
      </c>
      <c r="C1827" s="51" t="e">
        <v>#REF!</v>
      </c>
      <c r="D1827" s="51" t="str">
        <v>地下模板</v>
      </c>
      <c r="E1827" s="51" t="str">
        <v>地下模板</v>
      </c>
      <c r="F1827" s="52" t="e">
        <v>#REF!</v>
      </c>
      <c r="G1827" s="48" t="e">
        <v>#REF!</v>
      </c>
      <c r="H1827" s="49">
        <v>0</v>
      </c>
      <c r="I1827" s="49" t="e">
        <v>#REF!</v>
      </c>
      <c r="J1827" s="50"/>
    </row>
    <row r="1828" ht="28.8" outlineLevel="1" spans="1:10">
      <c r="A1828" s="50">
        <v>26</v>
      </c>
      <c r="B1828" s="51" t="str">
        <v>地下室顶板找坡模板</v>
      </c>
      <c r="C1828" s="51" t="e">
        <v>#REF!</v>
      </c>
      <c r="D1828" s="51" t="str">
        <v>地下模板</v>
      </c>
      <c r="E1828" s="51" t="str">
        <v>地下模板</v>
      </c>
      <c r="F1828" s="52" t="e">
        <v>#REF!</v>
      </c>
      <c r="G1828" s="48" t="e">
        <v>#REF!</v>
      </c>
      <c r="H1828" s="49">
        <v>0</v>
      </c>
      <c r="I1828" s="49" t="e">
        <v>#REF!</v>
      </c>
      <c r="J1828" s="50"/>
    </row>
    <row r="1829" ht="28.8" outlineLevel="1" spans="1:10">
      <c r="A1829" s="50">
        <v>27</v>
      </c>
      <c r="B1829" s="51" t="str">
        <v>散水及坡道模板</v>
      </c>
      <c r="C1829" s="51" t="e">
        <v>#REF!</v>
      </c>
      <c r="D1829" s="51" t="str">
        <v>地下模板</v>
      </c>
      <c r="E1829" s="51" t="str">
        <v>地下模板</v>
      </c>
      <c r="F1829" s="52" t="e">
        <v>#REF!</v>
      </c>
      <c r="G1829" s="48" t="e">
        <v>#REF!</v>
      </c>
      <c r="H1829" s="49">
        <v>0</v>
      </c>
      <c r="I1829" s="49" t="e">
        <v>#REF!</v>
      </c>
      <c r="J1829" s="50"/>
    </row>
    <row r="1830" ht="28.8" outlineLevel="1" spans="1:10">
      <c r="A1830" s="50">
        <v>28</v>
      </c>
      <c r="B1830" s="51" t="str">
        <v>栏板模板</v>
      </c>
      <c r="C1830" s="51" t="e">
        <v>#REF!</v>
      </c>
      <c r="D1830" s="51" t="str">
        <v>地下模板</v>
      </c>
      <c r="E1830" s="51" t="str">
        <v>地下模板</v>
      </c>
      <c r="F1830" s="52" t="e">
        <v>#REF!</v>
      </c>
      <c r="G1830" s="48" t="e">
        <v>#REF!</v>
      </c>
      <c r="H1830" s="49">
        <v>0</v>
      </c>
      <c r="I1830" s="49" t="e">
        <v>#REF!</v>
      </c>
      <c r="J1830" s="50"/>
    </row>
    <row r="1831" outlineLevel="1" spans="1:10">
      <c r="A1831" s="50" t="str">
        <v>二</v>
      </c>
      <c r="B1831" s="51" t="str">
        <v>E.01.02脚手架工程</v>
      </c>
      <c r="C1831" s="51" t="str">
        <v/>
      </c>
      <c r="D1831" s="51" t="str">
        <v/>
      </c>
      <c r="E1831" s="51" t="str">
        <v/>
      </c>
      <c r="F1831" s="52" t="str">
        <v/>
      </c>
      <c r="G1831" s="48" t="str">
        <v/>
      </c>
      <c r="H1831" s="49">
        <v>2022.31</v>
      </c>
      <c r="I1831" s="49" t="e">
        <v>#REF!</v>
      </c>
      <c r="J1831" s="50"/>
    </row>
    <row r="1832" ht="43.2" outlineLevel="1" spans="1:10">
      <c r="A1832" s="50">
        <v>1</v>
      </c>
      <c r="B1832" s="51" t="str">
        <v>地下外墙双排脚手架</v>
      </c>
      <c r="C1832" s="51" t="e">
        <v>#REF!</v>
      </c>
      <c r="D1832" s="51" t="str">
        <v>地下综合脚手架</v>
      </c>
      <c r="E1832" s="51" t="str">
        <v>地下综合脚手架</v>
      </c>
      <c r="F1832" s="52" t="e">
        <v>#REF!</v>
      </c>
      <c r="G1832" s="48" t="e">
        <v>#REF!</v>
      </c>
      <c r="H1832" s="49">
        <v>1160.38</v>
      </c>
      <c r="I1832" s="49" t="e">
        <v>#REF!</v>
      </c>
      <c r="J1832" s="50"/>
    </row>
    <row r="1833" ht="43.2" outlineLevel="1" spans="1:10">
      <c r="A1833" s="50">
        <v>2</v>
      </c>
      <c r="B1833" s="51" t="str">
        <v>主楼基础满堂脚手架</v>
      </c>
      <c r="C1833" s="51" t="e">
        <v>#REF!</v>
      </c>
      <c r="D1833" s="51" t="str">
        <v>地下综合脚手架</v>
      </c>
      <c r="E1833" s="51" t="str">
        <v>地下综合脚手架</v>
      </c>
      <c r="F1833" s="52" t="e">
        <v>#REF!</v>
      </c>
      <c r="G1833" s="48" t="e">
        <v>#REF!</v>
      </c>
      <c r="H1833" s="49">
        <v>861.93</v>
      </c>
      <c r="I1833" s="49" t="e">
        <v>#REF!</v>
      </c>
      <c r="J1833" s="50"/>
    </row>
    <row r="1834" ht="43.2" outlineLevel="1" spans="1:10">
      <c r="A1834" s="50" t="str">
        <v/>
      </c>
      <c r="B1834" s="51" t="str">
        <v>地库基础满堂脚手架</v>
      </c>
      <c r="C1834" s="51" t="e">
        <v>#REF!</v>
      </c>
      <c r="D1834" s="51" t="str">
        <v>地下综合脚手架</v>
      </c>
      <c r="E1834" s="51" t="str">
        <v>地下综合脚手架</v>
      </c>
      <c r="F1834" s="52" t="e">
        <v>#REF!</v>
      </c>
      <c r="G1834" s="48" t="e">
        <v>#REF!</v>
      </c>
      <c r="H1834" s="49">
        <v>0</v>
      </c>
      <c r="I1834" s="49" t="e">
        <v>#REF!</v>
      </c>
      <c r="J1834" s="50"/>
    </row>
    <row r="1835" outlineLevel="1" spans="1:10">
      <c r="A1835" s="50" t="str">
        <v>地下</v>
      </c>
      <c r="B1835" s="51" t="str">
        <v>二次结构</v>
      </c>
      <c r="C1835" s="51" t="str">
        <v/>
      </c>
      <c r="D1835" s="51" t="str">
        <v/>
      </c>
      <c r="E1835" s="51" t="str">
        <v/>
      </c>
      <c r="F1835" s="52" t="str">
        <v/>
      </c>
      <c r="G1835" s="48" t="str">
        <v/>
      </c>
      <c r="H1835" s="49">
        <v>0</v>
      </c>
      <c r="I1835" s="49" t="e">
        <v>#REF!</v>
      </c>
      <c r="J1835" s="50"/>
    </row>
    <row r="1836" outlineLevel="1" spans="1:10">
      <c r="A1836" s="50" t="str">
        <v>一</v>
      </c>
      <c r="B1836" s="51" t="str">
        <v>E.01.01模板工程</v>
      </c>
      <c r="C1836" s="51" t="str">
        <v/>
      </c>
      <c r="D1836" s="51" t="str">
        <v/>
      </c>
      <c r="E1836" s="51" t="str">
        <v/>
      </c>
      <c r="F1836" s="52" t="str">
        <v/>
      </c>
      <c r="G1836" s="48" t="str">
        <v/>
      </c>
      <c r="H1836" s="49">
        <v>117.92</v>
      </c>
      <c r="I1836" s="49" t="e">
        <v>#REF!</v>
      </c>
      <c r="J1836" s="50"/>
    </row>
    <row r="1837" ht="28.8" outlineLevel="1" spans="1:10">
      <c r="A1837" s="50">
        <v>1</v>
      </c>
      <c r="B1837" s="51" t="str">
        <v>圈梁模板</v>
      </c>
      <c r="C1837" s="51" t="e">
        <v>#REF!</v>
      </c>
      <c r="D1837" s="51" t="str">
        <v>地下模板</v>
      </c>
      <c r="E1837" s="51" t="str">
        <v>地下模板</v>
      </c>
      <c r="F1837" s="52" t="e">
        <v>#REF!</v>
      </c>
      <c r="G1837" s="48" t="e">
        <v>#REF!</v>
      </c>
      <c r="H1837" s="49">
        <v>46.07</v>
      </c>
      <c r="I1837" s="49" t="e">
        <v>#REF!</v>
      </c>
      <c r="J1837" s="50"/>
    </row>
    <row r="1838" ht="28.8" outlineLevel="1" spans="1:10">
      <c r="A1838" s="50">
        <v>2</v>
      </c>
      <c r="B1838" s="51" t="str">
        <v>构造柱模板</v>
      </c>
      <c r="C1838" s="51" t="e">
        <v>#REF!</v>
      </c>
      <c r="D1838" s="51" t="str">
        <v>地下模板</v>
      </c>
      <c r="E1838" s="51" t="str">
        <v>地下模板</v>
      </c>
      <c r="F1838" s="52" t="e">
        <v>#REF!</v>
      </c>
      <c r="G1838" s="48" t="e">
        <v>#REF!</v>
      </c>
      <c r="H1838" s="49">
        <v>71.84</v>
      </c>
      <c r="I1838" s="49" t="e">
        <v>#REF!</v>
      </c>
      <c r="J1838" s="50"/>
    </row>
    <row r="1839" ht="28.8" outlineLevel="1" spans="1:10">
      <c r="A1839" s="50">
        <v>3</v>
      </c>
      <c r="B1839" s="51" t="str">
        <v>过梁模板</v>
      </c>
      <c r="C1839" s="51" t="e">
        <v>#REF!</v>
      </c>
      <c r="D1839" s="51" t="str">
        <v>地下模板</v>
      </c>
      <c r="E1839" s="51" t="str">
        <v>地下模板</v>
      </c>
      <c r="F1839" s="52" t="e">
        <v>#REF!</v>
      </c>
      <c r="G1839" s="48" t="e">
        <v>#REF!</v>
      </c>
      <c r="H1839" s="49">
        <v>0.01</v>
      </c>
      <c r="I1839" s="49" t="e">
        <v>#REF!</v>
      </c>
      <c r="J1839" s="50"/>
    </row>
    <row r="1840" ht="28.8" outlineLevel="1" spans="1:10">
      <c r="A1840" s="50">
        <v>4</v>
      </c>
      <c r="B1840" s="51" t="str">
        <v>压顶模板</v>
      </c>
      <c r="C1840" s="51" t="e">
        <v>#REF!</v>
      </c>
      <c r="D1840" s="51" t="str">
        <v>地下模板</v>
      </c>
      <c r="E1840" s="51" t="str">
        <v>地下模板</v>
      </c>
      <c r="F1840" s="52" t="e">
        <v>#REF!</v>
      </c>
      <c r="G1840" s="48" t="e">
        <v>#REF!</v>
      </c>
      <c r="H1840" s="49">
        <v>0</v>
      </c>
      <c r="I1840" s="49" t="e">
        <v>#REF!</v>
      </c>
      <c r="J1840" s="50"/>
    </row>
    <row r="1841" outlineLevel="1" spans="1:10">
      <c r="A1841" s="50" t="str">
        <v>二</v>
      </c>
      <c r="B1841" s="51" t="str">
        <v>E.01.02脚手架工程</v>
      </c>
      <c r="C1841" s="51" t="str">
        <v/>
      </c>
      <c r="D1841" s="51" t="str">
        <v/>
      </c>
      <c r="E1841" s="51" t="str">
        <v/>
      </c>
      <c r="F1841" s="52" t="str">
        <v/>
      </c>
      <c r="G1841" s="48" t="str">
        <v/>
      </c>
      <c r="H1841" s="49">
        <v>1566.92</v>
      </c>
      <c r="I1841" s="49" t="e">
        <v>#REF!</v>
      </c>
      <c r="J1841" s="50"/>
    </row>
    <row r="1842" ht="43.2" outlineLevel="1" spans="1:10">
      <c r="A1842" s="50">
        <v>1</v>
      </c>
      <c r="B1842" s="51" t="str">
        <v>内墙砌筑脚手架</v>
      </c>
      <c r="C1842" s="51" t="e">
        <v>#REF!</v>
      </c>
      <c r="D1842" s="51" t="str">
        <v>地下综合脚手架</v>
      </c>
      <c r="E1842" s="51" t="str">
        <v>地下综合脚手架</v>
      </c>
      <c r="F1842" s="52" t="e">
        <v>#REF!</v>
      </c>
      <c r="G1842" s="48" t="e">
        <v>#REF!</v>
      </c>
      <c r="H1842" s="49">
        <v>935.92</v>
      </c>
      <c r="I1842" s="49" t="e">
        <v>#REF!</v>
      </c>
      <c r="J1842" s="50"/>
    </row>
    <row r="1843" ht="43.2" outlineLevel="1" spans="1:10">
      <c r="A1843" s="50">
        <v>2</v>
      </c>
      <c r="B1843" s="51" t="str">
        <v>装饰满堂脚手架</v>
      </c>
      <c r="C1843" s="51" t="e">
        <v>#REF!</v>
      </c>
      <c r="D1843" s="51" t="str">
        <v>地下综合脚手架</v>
      </c>
      <c r="E1843" s="51" t="str">
        <v>地下综合脚手架</v>
      </c>
      <c r="F1843" s="52" t="e">
        <v>#REF!</v>
      </c>
      <c r="G1843" s="48" t="e">
        <v>#REF!</v>
      </c>
      <c r="H1843" s="49">
        <v>631</v>
      </c>
      <c r="I1843" s="49" t="e">
        <v>#REF!</v>
      </c>
      <c r="J1843" s="50"/>
    </row>
    <row r="1844" ht="43.2" outlineLevel="1" spans="1:10">
      <c r="A1844" s="50">
        <v>3</v>
      </c>
      <c r="B1844" s="51" t="str">
        <v>简易墙面脚手架</v>
      </c>
      <c r="C1844" s="51" t="e">
        <v>#REF!</v>
      </c>
      <c r="D1844" s="51" t="str">
        <v>地下综合脚手架</v>
      </c>
      <c r="E1844" s="51" t="str">
        <v>地下综合脚手架</v>
      </c>
      <c r="F1844" s="52" t="e">
        <v>#REF!</v>
      </c>
      <c r="G1844" s="48" t="e">
        <v>#REF!</v>
      </c>
      <c r="H1844" s="49">
        <v>0</v>
      </c>
      <c r="I1844" s="49" t="e">
        <v>#REF!</v>
      </c>
      <c r="J1844" s="50"/>
    </row>
    <row r="1845" ht="43.2" outlineLevel="1" spans="1:10">
      <c r="A1845" s="50">
        <v>4</v>
      </c>
      <c r="B1845" s="51" t="str">
        <v>简易天棚脚手架</v>
      </c>
      <c r="C1845" s="51" t="e">
        <v>#REF!</v>
      </c>
      <c r="D1845" s="51" t="str">
        <v>地下综合脚手架</v>
      </c>
      <c r="E1845" s="51" t="str">
        <v>地下综合脚手架</v>
      </c>
      <c r="F1845" s="52" t="e">
        <v>#REF!</v>
      </c>
      <c r="G1845" s="48" t="e">
        <v>#REF!</v>
      </c>
      <c r="H1845" s="49">
        <v>0</v>
      </c>
      <c r="I1845" s="49" t="e">
        <v>#REF!</v>
      </c>
      <c r="J1845" s="50"/>
    </row>
    <row r="1846" outlineLevel="1" spans="1:10">
      <c r="A1846" s="50" t="str">
        <v>地上</v>
      </c>
      <c r="B1846" s="51" t="str">
        <v>主体结构</v>
      </c>
      <c r="C1846" s="51" t="str">
        <v/>
      </c>
      <c r="D1846" s="51" t="str">
        <v/>
      </c>
      <c r="E1846" s="51" t="str">
        <v/>
      </c>
      <c r="F1846" s="52" t="str">
        <v/>
      </c>
      <c r="G1846" s="48" t="str">
        <v/>
      </c>
      <c r="H1846" s="49">
        <v>0</v>
      </c>
      <c r="I1846" s="49" t="e">
        <v>#REF!</v>
      </c>
      <c r="J1846" s="50"/>
    </row>
    <row r="1847" outlineLevel="1" spans="1:10">
      <c r="A1847" s="50" t="str">
        <v>一</v>
      </c>
      <c r="B1847" s="51" t="str">
        <v>E.01.01模板工程</v>
      </c>
      <c r="C1847" s="51" t="str">
        <v/>
      </c>
      <c r="D1847" s="51" t="str">
        <v/>
      </c>
      <c r="E1847" s="51" t="str">
        <v/>
      </c>
      <c r="F1847" s="52" t="str">
        <v/>
      </c>
      <c r="G1847" s="48" t="str">
        <v/>
      </c>
      <c r="H1847" s="49">
        <v>28585.27</v>
      </c>
      <c r="I1847" s="49" t="e">
        <v>#REF!</v>
      </c>
      <c r="J1847" s="50"/>
    </row>
    <row r="1848" ht="28.8" outlineLevel="1" spans="1:10">
      <c r="A1848" s="50">
        <v>1</v>
      </c>
      <c r="B1848" s="51" t="str">
        <v>设备基础模板</v>
      </c>
      <c r="C1848" s="51" t="e">
        <v>#REF!</v>
      </c>
      <c r="D1848" s="51" t="str">
        <v>地上模板</v>
      </c>
      <c r="E1848" s="51" t="str">
        <v>地上模板</v>
      </c>
      <c r="F1848" s="52" t="e">
        <v>#REF!</v>
      </c>
      <c r="G1848" s="48" t="e">
        <v>#REF!</v>
      </c>
      <c r="H1848" s="49">
        <v>32.28</v>
      </c>
      <c r="I1848" s="49" t="e">
        <v>#REF!</v>
      </c>
      <c r="J1848" s="50"/>
    </row>
    <row r="1849" ht="28.8" outlineLevel="1" spans="1:10">
      <c r="A1849" s="50">
        <v>2</v>
      </c>
      <c r="B1849" s="51" t="str">
        <v>矩形柱模板</v>
      </c>
      <c r="C1849" s="51" t="e">
        <v>#REF!</v>
      </c>
      <c r="D1849" s="51" t="str">
        <v>地上模板</v>
      </c>
      <c r="E1849" s="51" t="str">
        <v>地上模板</v>
      </c>
      <c r="F1849" s="52" t="e">
        <v>#REF!</v>
      </c>
      <c r="G1849" s="48" t="e">
        <v>#REF!</v>
      </c>
      <c r="H1849" s="49">
        <v>131.25</v>
      </c>
      <c r="I1849" s="49" t="e">
        <v>#REF!</v>
      </c>
      <c r="J1849" s="50"/>
    </row>
    <row r="1850" ht="28.8" outlineLevel="1" spans="1:10">
      <c r="A1850" s="50">
        <v>3</v>
      </c>
      <c r="B1850" s="51" t="str">
        <v>矩形梁模板</v>
      </c>
      <c r="C1850" s="51" t="e">
        <v>#REF!</v>
      </c>
      <c r="D1850" s="51" t="str">
        <v>地上模板</v>
      </c>
      <c r="E1850" s="51" t="str">
        <v>地上模板</v>
      </c>
      <c r="F1850" s="52" t="e">
        <v>#REF!</v>
      </c>
      <c r="G1850" s="48" t="e">
        <v>#REF!</v>
      </c>
      <c r="H1850" s="49">
        <v>3451.6</v>
      </c>
      <c r="I1850" s="49" t="e">
        <v>#REF!</v>
      </c>
      <c r="J1850" s="50"/>
    </row>
    <row r="1851" ht="28.8" outlineLevel="1" spans="1:10">
      <c r="A1851" s="50">
        <v>4</v>
      </c>
      <c r="B1851" s="51" t="str">
        <v>弧形、拱形梁模板</v>
      </c>
      <c r="C1851" s="51" t="e">
        <v>#REF!</v>
      </c>
      <c r="D1851" s="51" t="str">
        <v>地上模板</v>
      </c>
      <c r="E1851" s="51" t="str">
        <v>地上模板</v>
      </c>
      <c r="F1851" s="52" t="e">
        <v>#REF!</v>
      </c>
      <c r="G1851" s="48" t="e">
        <v>#REF!</v>
      </c>
      <c r="H1851" s="49">
        <v>31.57</v>
      </c>
      <c r="I1851" s="49" t="e">
        <v>#REF!</v>
      </c>
      <c r="J1851" s="50"/>
    </row>
    <row r="1852" ht="28.8" outlineLevel="1" spans="1:10">
      <c r="A1852" s="50">
        <v>5</v>
      </c>
      <c r="B1852" s="51" t="str">
        <v>剪力墙内墙模板</v>
      </c>
      <c r="C1852" s="51" t="e">
        <v>#REF!</v>
      </c>
      <c r="D1852" s="51" t="str">
        <v>地上模板</v>
      </c>
      <c r="E1852" s="51" t="str">
        <v>地上模板</v>
      </c>
      <c r="F1852" s="52" t="e">
        <v>#REF!</v>
      </c>
      <c r="G1852" s="48" t="e">
        <v>#REF!</v>
      </c>
      <c r="H1852" s="49">
        <v>16522.623</v>
      </c>
      <c r="I1852" s="49" t="e">
        <v>#REF!</v>
      </c>
      <c r="J1852" s="50"/>
    </row>
    <row r="1853" ht="28.8" outlineLevel="1" spans="1:10">
      <c r="A1853" s="50" t="str">
        <v/>
      </c>
      <c r="B1853" s="51" t="str">
        <v>地上剪力墙外墙模.板</v>
      </c>
      <c r="C1853" s="51" t="e">
        <v>#REF!</v>
      </c>
      <c r="D1853" s="51" t="str">
        <v>地上模板</v>
      </c>
      <c r="E1853" s="51" t="str">
        <v>地上模板</v>
      </c>
      <c r="F1853" s="52" t="e">
        <v>#REF!</v>
      </c>
      <c r="G1853" s="48" t="e">
        <v>#REF!</v>
      </c>
      <c r="H1853" s="49">
        <v>1835.847</v>
      </c>
      <c r="I1853" s="49" t="e">
        <v>#REF!</v>
      </c>
      <c r="J1853" s="50"/>
    </row>
    <row r="1854" ht="28.8" outlineLevel="1" spans="1:10">
      <c r="A1854" s="50">
        <v>6</v>
      </c>
      <c r="B1854" s="51" t="str">
        <v>电梯井壁模板</v>
      </c>
      <c r="C1854" s="51" t="e">
        <v>#REF!</v>
      </c>
      <c r="D1854" s="51" t="str">
        <v>地上模板</v>
      </c>
      <c r="E1854" s="51" t="str">
        <v>地上模板</v>
      </c>
      <c r="F1854" s="52" t="e">
        <v>#REF!</v>
      </c>
      <c r="G1854" s="48" t="e">
        <v>#REF!</v>
      </c>
      <c r="H1854" s="49">
        <v>2022.36</v>
      </c>
      <c r="I1854" s="49" t="e">
        <v>#REF!</v>
      </c>
      <c r="J1854" s="50"/>
    </row>
    <row r="1855" ht="28.8" outlineLevel="1" spans="1:10">
      <c r="A1855" s="50">
        <v>7</v>
      </c>
      <c r="B1855" s="51" t="str">
        <v>平板模板</v>
      </c>
      <c r="C1855" s="51" t="e">
        <v>#REF!</v>
      </c>
      <c r="D1855" s="51" t="str">
        <v>地上模板</v>
      </c>
      <c r="E1855" s="51" t="str">
        <v>地上模板</v>
      </c>
      <c r="F1855" s="52" t="e">
        <v>#REF!</v>
      </c>
      <c r="G1855" s="48" t="e">
        <v>#REF!</v>
      </c>
      <c r="H1855" s="49">
        <v>1034.79</v>
      </c>
      <c r="I1855" s="49" t="e">
        <v>#REF!</v>
      </c>
      <c r="J1855" s="50"/>
    </row>
    <row r="1856" ht="28.8" outlineLevel="1" spans="1:10">
      <c r="A1856" s="50">
        <v>8</v>
      </c>
      <c r="B1856" s="51" t="str">
        <v>斜板模板</v>
      </c>
      <c r="C1856" s="51" t="e">
        <v>#REF!</v>
      </c>
      <c r="D1856" s="51" t="str">
        <v>地上模板</v>
      </c>
      <c r="E1856" s="51" t="str">
        <v>地上模板</v>
      </c>
      <c r="F1856" s="52" t="e">
        <v>#REF!</v>
      </c>
      <c r="G1856" s="48" t="e">
        <v>#REF!</v>
      </c>
      <c r="H1856" s="49">
        <v>648.46</v>
      </c>
      <c r="I1856" s="49" t="e">
        <v>#REF!</v>
      </c>
      <c r="J1856" s="50"/>
    </row>
    <row r="1857" ht="28.8" outlineLevel="1" spans="1:10">
      <c r="A1857" s="50">
        <v>9</v>
      </c>
      <c r="B1857" s="51" t="str">
        <v>拱板模板</v>
      </c>
      <c r="C1857" s="51" t="e">
        <v>#REF!</v>
      </c>
      <c r="D1857" s="51" t="str">
        <v>地上模板</v>
      </c>
      <c r="E1857" s="51" t="str">
        <v>地上模板</v>
      </c>
      <c r="F1857" s="52" t="e">
        <v>#REF!</v>
      </c>
      <c r="G1857" s="48" t="e">
        <v>#REF!</v>
      </c>
      <c r="H1857" s="49">
        <v>40.45</v>
      </c>
      <c r="I1857" s="49" t="e">
        <v>#REF!</v>
      </c>
      <c r="J1857" s="50"/>
    </row>
    <row r="1858" ht="28.8" outlineLevel="1" spans="1:10">
      <c r="A1858" s="50">
        <v>10</v>
      </c>
      <c r="B1858" s="51" t="str">
        <v>PC板补板缝模板</v>
      </c>
      <c r="C1858" s="51" t="e">
        <v>#REF!</v>
      </c>
      <c r="D1858" s="51" t="str">
        <v>地上模板</v>
      </c>
      <c r="E1858" s="51" t="str">
        <v>地上模板</v>
      </c>
      <c r="F1858" s="52" t="e">
        <v>#REF!</v>
      </c>
      <c r="G1858" s="48" t="e">
        <v>#REF!</v>
      </c>
      <c r="H1858" s="49">
        <v>1105.67</v>
      </c>
      <c r="I1858" s="49" t="e">
        <v>#REF!</v>
      </c>
      <c r="J1858" s="50"/>
    </row>
    <row r="1859" ht="28.8" outlineLevel="1" spans="1:10">
      <c r="A1859" s="50">
        <v>11</v>
      </c>
      <c r="B1859" s="51" t="str">
        <v>天沟、檐沟模板</v>
      </c>
      <c r="C1859" s="51" t="e">
        <v>#REF!</v>
      </c>
      <c r="D1859" s="51" t="str">
        <v>地上模板</v>
      </c>
      <c r="E1859" s="51" t="str">
        <v>地上模板</v>
      </c>
      <c r="F1859" s="52" t="e">
        <v>#REF!</v>
      </c>
      <c r="G1859" s="48" t="e">
        <v>#REF!</v>
      </c>
      <c r="H1859" s="49">
        <v>1410.97</v>
      </c>
      <c r="I1859" s="49" t="e">
        <v>#REF!</v>
      </c>
      <c r="J1859" s="50"/>
    </row>
    <row r="1860" ht="28.8" outlineLevel="1" spans="1:10">
      <c r="A1860" s="50">
        <v>12</v>
      </c>
      <c r="B1860" s="51" t="str">
        <v>栏板模板</v>
      </c>
      <c r="C1860" s="51" t="e">
        <v>#REF!</v>
      </c>
      <c r="D1860" s="51" t="str">
        <v>地上模板</v>
      </c>
      <c r="E1860" s="51" t="str">
        <v>地上模板</v>
      </c>
      <c r="F1860" s="52" t="e">
        <v>#REF!</v>
      </c>
      <c r="G1860" s="48" t="e">
        <v>#REF!</v>
      </c>
      <c r="H1860" s="49">
        <v>107.03</v>
      </c>
      <c r="I1860" s="49" t="e">
        <v>#REF!</v>
      </c>
      <c r="J1860" s="50"/>
    </row>
    <row r="1861" ht="28.8" outlineLevel="1" spans="1:10">
      <c r="A1861" s="50">
        <v>13</v>
      </c>
      <c r="B1861" s="51" t="str">
        <v>雨篷模板</v>
      </c>
      <c r="C1861" s="51" t="e">
        <v>#REF!</v>
      </c>
      <c r="D1861" s="51" t="str">
        <v>地上模板</v>
      </c>
      <c r="E1861" s="51" t="str">
        <v>地上模板</v>
      </c>
      <c r="F1861" s="52" t="e">
        <v>#REF!</v>
      </c>
      <c r="G1861" s="48" t="e">
        <v>#REF!</v>
      </c>
      <c r="H1861" s="49">
        <v>12.17</v>
      </c>
      <c r="I1861" s="49" t="e">
        <v>#REF!</v>
      </c>
      <c r="J1861" s="50"/>
    </row>
    <row r="1862" ht="28.8" outlineLevel="1" spans="1:10">
      <c r="A1862" s="50">
        <v>14</v>
      </c>
      <c r="B1862" s="51" t="str">
        <v>楼梯模.板</v>
      </c>
      <c r="C1862" s="51" t="e">
        <v>#REF!</v>
      </c>
      <c r="D1862" s="51" t="str">
        <v>地上模板</v>
      </c>
      <c r="E1862" s="51" t="str">
        <v>地上模板</v>
      </c>
      <c r="F1862" s="52" t="e">
        <v>#REF!</v>
      </c>
      <c r="G1862" s="48" t="e">
        <v>#REF!</v>
      </c>
      <c r="H1862" s="49">
        <v>198.2</v>
      </c>
      <c r="I1862" s="49" t="e">
        <v>#REF!</v>
      </c>
      <c r="J1862" s="50"/>
    </row>
    <row r="1863" outlineLevel="1" spans="1:10">
      <c r="A1863" s="50" t="str">
        <v>二</v>
      </c>
      <c r="B1863" s="51" t="str">
        <v>E.01.02脚手架工程</v>
      </c>
      <c r="C1863" s="51" t="str">
        <v/>
      </c>
      <c r="D1863" s="51" t="str">
        <v/>
      </c>
      <c r="E1863" s="51" t="str">
        <v/>
      </c>
      <c r="F1863" s="52" t="str">
        <v/>
      </c>
      <c r="G1863" s="48" t="str">
        <v/>
      </c>
      <c r="H1863" s="49">
        <v>12481.3</v>
      </c>
      <c r="I1863" s="49" t="e">
        <v>#REF!</v>
      </c>
      <c r="J1863" s="50"/>
    </row>
    <row r="1864" ht="43.2" outlineLevel="1" spans="1:10">
      <c r="A1864" s="50">
        <v>1</v>
      </c>
      <c r="B1864" s="51" t="str">
        <v>外墙双排脚手架</v>
      </c>
      <c r="C1864" s="51" t="e">
        <v>#REF!</v>
      </c>
      <c r="D1864" s="51" t="str">
        <v>地上综合脚手架</v>
      </c>
      <c r="E1864" s="51" t="str">
        <v>地上综合脚手架</v>
      </c>
      <c r="F1864" s="52" t="e">
        <v>#REF!</v>
      </c>
      <c r="G1864" s="48" t="e">
        <v>#REF!</v>
      </c>
      <c r="H1864" s="49">
        <v>1998.3</v>
      </c>
      <c r="I1864" s="49" t="e">
        <v>#REF!</v>
      </c>
      <c r="J1864" s="50"/>
    </row>
    <row r="1865" ht="43.2" outlineLevel="1" spans="1:10">
      <c r="A1865" s="50">
        <v>2</v>
      </c>
      <c r="B1865" s="51" t="str">
        <v>外墙悬挑脚手架</v>
      </c>
      <c r="C1865" s="51" t="e">
        <v>#REF!</v>
      </c>
      <c r="D1865" s="51" t="str">
        <v>地上综合脚手架</v>
      </c>
      <c r="E1865" s="51" t="str">
        <v>地上综合脚手架</v>
      </c>
      <c r="F1865" s="52" t="e">
        <v>#REF!</v>
      </c>
      <c r="G1865" s="48" t="e">
        <v>#REF!</v>
      </c>
      <c r="H1865" s="49">
        <v>10480</v>
      </c>
      <c r="I1865" s="49" t="e">
        <v>#REF!</v>
      </c>
      <c r="J1865" s="50"/>
    </row>
    <row r="1866" ht="43.2" outlineLevel="1" spans="1:10">
      <c r="A1866" s="50">
        <v>3</v>
      </c>
      <c r="B1866" s="51" t="str">
        <v>电梯井字脚手架-70m以内</v>
      </c>
      <c r="C1866" s="51" t="e">
        <v>#REF!</v>
      </c>
      <c r="D1866" s="51" t="str">
        <v>地上综合脚手架</v>
      </c>
      <c r="E1866" s="51" t="str">
        <v>地上综合脚手架</v>
      </c>
      <c r="F1866" s="52" t="e">
        <v>#REF!</v>
      </c>
      <c r="G1866" s="48" t="e">
        <v>#REF!</v>
      </c>
      <c r="H1866" s="49">
        <v>3</v>
      </c>
      <c r="I1866" s="49" t="e">
        <v>#REF!</v>
      </c>
      <c r="J1866" s="50"/>
    </row>
    <row r="1867" outlineLevel="1" spans="1:10">
      <c r="A1867" s="50">
        <v>4</v>
      </c>
      <c r="B1867" s="51" t="str">
        <v>电梯井字脚手架-50m以内</v>
      </c>
      <c r="C1867" s="51" t="e">
        <v>#REF!</v>
      </c>
      <c r="D1867" s="51" t="str">
        <v/>
      </c>
      <c r="E1867" s="51" t="str">
        <v/>
      </c>
      <c r="F1867" s="52" t="e">
        <v>#REF!</v>
      </c>
      <c r="G1867" s="48" t="e">
        <v>#REF!</v>
      </c>
      <c r="H1867" s="49">
        <v>0</v>
      </c>
      <c r="I1867" s="49" t="e">
        <v>#REF!</v>
      </c>
      <c r="J1867" s="50"/>
    </row>
    <row r="1868" outlineLevel="1" spans="1:10">
      <c r="A1868" s="50" t="str">
        <v>地上</v>
      </c>
      <c r="B1868" s="51" t="str">
        <v>二次结构</v>
      </c>
      <c r="C1868" s="51" t="str">
        <v/>
      </c>
      <c r="D1868" s="51" t="str">
        <v/>
      </c>
      <c r="E1868" s="51" t="str">
        <v/>
      </c>
      <c r="F1868" s="52" t="str">
        <v/>
      </c>
      <c r="G1868" s="48" t="str">
        <v/>
      </c>
      <c r="H1868" s="49">
        <v>0</v>
      </c>
      <c r="I1868" s="49" t="e">
        <v>#REF!</v>
      </c>
      <c r="J1868" s="50"/>
    </row>
    <row r="1869" outlineLevel="1" spans="1:10">
      <c r="A1869" s="50" t="str">
        <v>一</v>
      </c>
      <c r="B1869" s="51" t="str">
        <v>E.01.01模板工程</v>
      </c>
      <c r="C1869" s="51" t="str">
        <v/>
      </c>
      <c r="D1869" s="51" t="str">
        <v/>
      </c>
      <c r="E1869" s="51" t="str">
        <v/>
      </c>
      <c r="F1869" s="52" t="str">
        <v/>
      </c>
      <c r="G1869" s="48" t="str">
        <v/>
      </c>
      <c r="H1869" s="49">
        <v>2870.36</v>
      </c>
      <c r="I1869" s="49" t="e">
        <v>#REF!</v>
      </c>
      <c r="J1869" s="50"/>
    </row>
    <row r="1870" ht="28.8" outlineLevel="1" spans="1:10">
      <c r="A1870" s="50">
        <v>1</v>
      </c>
      <c r="B1870" s="51" t="str">
        <v>构造柱模板</v>
      </c>
      <c r="C1870" s="51" t="e">
        <v>#REF!</v>
      </c>
      <c r="D1870" s="51" t="str">
        <v>地上模板</v>
      </c>
      <c r="E1870" s="51" t="str">
        <v>地上模板</v>
      </c>
      <c r="F1870" s="52" t="e">
        <v>#REF!</v>
      </c>
      <c r="G1870" s="48" t="e">
        <v>#REF!</v>
      </c>
      <c r="H1870" s="49">
        <v>894.63</v>
      </c>
      <c r="I1870" s="49" t="e">
        <v>#REF!</v>
      </c>
      <c r="J1870" s="50"/>
    </row>
    <row r="1871" ht="28.8" outlineLevel="1" spans="1:10">
      <c r="A1871" s="50">
        <v>2</v>
      </c>
      <c r="B1871" s="51" t="str">
        <v>圈梁模板</v>
      </c>
      <c r="C1871" s="51" t="e">
        <v>#REF!</v>
      </c>
      <c r="D1871" s="51" t="str">
        <v>地上模板</v>
      </c>
      <c r="E1871" s="51" t="str">
        <v>地上模板</v>
      </c>
      <c r="F1871" s="52" t="e">
        <v>#REF!</v>
      </c>
      <c r="G1871" s="48" t="e">
        <v>#REF!</v>
      </c>
      <c r="H1871" s="49">
        <v>37.3</v>
      </c>
      <c r="I1871" s="49" t="e">
        <v>#REF!</v>
      </c>
      <c r="J1871" s="50"/>
    </row>
    <row r="1872" ht="28.8" outlineLevel="1" spans="1:10">
      <c r="A1872" s="50">
        <v>3</v>
      </c>
      <c r="B1872" s="51" t="str">
        <v>门槛模板</v>
      </c>
      <c r="C1872" s="51" t="e">
        <v>#REF!</v>
      </c>
      <c r="D1872" s="51" t="str">
        <v>地上模板</v>
      </c>
      <c r="E1872" s="51" t="str">
        <v>地上模板</v>
      </c>
      <c r="F1872" s="52" t="e">
        <v>#REF!</v>
      </c>
      <c r="G1872" s="48" t="e">
        <v>#REF!</v>
      </c>
      <c r="H1872" s="49">
        <v>19.07</v>
      </c>
      <c r="I1872" s="49" t="e">
        <v>#REF!</v>
      </c>
      <c r="J1872" s="50"/>
    </row>
    <row r="1873" ht="28.8" outlineLevel="1" spans="1:10">
      <c r="A1873" s="50">
        <v>4</v>
      </c>
      <c r="B1873" s="51" t="str">
        <v>卫生间、厨房、分户墙、电井翻沿模板</v>
      </c>
      <c r="C1873" s="51" t="e">
        <v>#REF!</v>
      </c>
      <c r="D1873" s="51" t="str">
        <v>地上模板</v>
      </c>
      <c r="E1873" s="51" t="str">
        <v>地上模板</v>
      </c>
      <c r="F1873" s="52" t="e">
        <v>#REF!</v>
      </c>
      <c r="G1873" s="48" t="e">
        <v>#REF!</v>
      </c>
      <c r="H1873" s="49">
        <v>920.85</v>
      </c>
      <c r="I1873" s="49" t="e">
        <v>#REF!</v>
      </c>
      <c r="J1873" s="50"/>
    </row>
    <row r="1874" ht="28.8" outlineLevel="1" spans="1:10">
      <c r="A1874" s="50">
        <v>5</v>
      </c>
      <c r="B1874" s="51" t="str">
        <v>过梁模板</v>
      </c>
      <c r="C1874" s="51" t="e">
        <v>#REF!</v>
      </c>
      <c r="D1874" s="51" t="str">
        <v>地上模板</v>
      </c>
      <c r="E1874" s="51" t="str">
        <v>地上模板</v>
      </c>
      <c r="F1874" s="52" t="e">
        <v>#REF!</v>
      </c>
      <c r="G1874" s="48" t="e">
        <v>#REF!</v>
      </c>
      <c r="H1874" s="49">
        <v>59.22</v>
      </c>
      <c r="I1874" s="49" t="e">
        <v>#REF!</v>
      </c>
      <c r="J1874" s="50"/>
    </row>
    <row r="1875" ht="28.8" outlineLevel="1" spans="1:10">
      <c r="A1875" s="50">
        <v>6</v>
      </c>
      <c r="B1875" s="51" t="str">
        <v>压顶模板</v>
      </c>
      <c r="C1875" s="51" t="e">
        <v>#REF!</v>
      </c>
      <c r="D1875" s="51" t="str">
        <v>地上模板</v>
      </c>
      <c r="E1875" s="51" t="str">
        <v>地上模板</v>
      </c>
      <c r="F1875" s="52" t="e">
        <v>#REF!</v>
      </c>
      <c r="G1875" s="48" t="e">
        <v>#REF!</v>
      </c>
      <c r="H1875" s="49">
        <v>893.2</v>
      </c>
      <c r="I1875" s="49" t="e">
        <v>#REF!</v>
      </c>
      <c r="J1875" s="50"/>
    </row>
    <row r="1876" ht="28.8" outlineLevel="1" spans="1:10">
      <c r="A1876" s="50">
        <v>7</v>
      </c>
      <c r="B1876" s="51" t="str">
        <v>散水模板</v>
      </c>
      <c r="C1876" s="51" t="e">
        <v>#REF!</v>
      </c>
      <c r="D1876" s="51" t="str">
        <v>地上模板</v>
      </c>
      <c r="E1876" s="51" t="str">
        <v>地上模板</v>
      </c>
      <c r="F1876" s="52" t="e">
        <v>#REF!</v>
      </c>
      <c r="G1876" s="48" t="e">
        <v>#REF!</v>
      </c>
      <c r="H1876" s="49">
        <v>42.17</v>
      </c>
      <c r="I1876" s="49" t="e">
        <v>#REF!</v>
      </c>
      <c r="J1876" s="50"/>
    </row>
    <row r="1877" ht="28.8" outlineLevel="1" spans="1:10">
      <c r="A1877" s="50">
        <v>8</v>
      </c>
      <c r="B1877" s="51" t="str">
        <v>坡道模板</v>
      </c>
      <c r="C1877" s="51" t="e">
        <v>#REF!</v>
      </c>
      <c r="D1877" s="51" t="str">
        <v>地上模板</v>
      </c>
      <c r="E1877" s="51" t="str">
        <v>地上模板</v>
      </c>
      <c r="F1877" s="52" t="e">
        <v>#REF!</v>
      </c>
      <c r="G1877" s="48" t="e">
        <v>#REF!</v>
      </c>
      <c r="H1877" s="49">
        <v>3.11</v>
      </c>
      <c r="I1877" s="49" t="e">
        <v>#REF!</v>
      </c>
      <c r="J1877" s="50"/>
    </row>
    <row r="1878" ht="28.8" outlineLevel="1" spans="1:10">
      <c r="A1878" s="50">
        <v>9</v>
      </c>
      <c r="B1878" s="51" t="str">
        <v>台阶模板</v>
      </c>
      <c r="C1878" s="51" t="e">
        <v>#REF!</v>
      </c>
      <c r="D1878" s="51" t="str">
        <v>地上模板</v>
      </c>
      <c r="E1878" s="51" t="str">
        <v>地上模板</v>
      </c>
      <c r="F1878" s="52" t="e">
        <v>#REF!</v>
      </c>
      <c r="G1878" s="48" t="e">
        <v>#REF!</v>
      </c>
      <c r="H1878" s="49">
        <v>0</v>
      </c>
      <c r="I1878" s="49" t="e">
        <v>#REF!</v>
      </c>
      <c r="J1878" s="50"/>
    </row>
    <row r="1879" ht="28.8" outlineLevel="1" spans="1:10">
      <c r="A1879" s="50">
        <v>10</v>
      </c>
      <c r="B1879" s="51" t="str">
        <v>水簸箕模板</v>
      </c>
      <c r="C1879" s="51" t="e">
        <v>#REF!</v>
      </c>
      <c r="D1879" s="51" t="str">
        <v>地上模板</v>
      </c>
      <c r="E1879" s="51" t="str">
        <v>地上模板</v>
      </c>
      <c r="F1879" s="52" t="e">
        <v>#REF!</v>
      </c>
      <c r="G1879" s="48" t="e">
        <v>#REF!</v>
      </c>
      <c r="H1879" s="49">
        <v>0.81</v>
      </c>
      <c r="I1879" s="49" t="e">
        <v>#REF!</v>
      </c>
      <c r="J1879" s="50"/>
    </row>
    <row r="1880" outlineLevel="1" spans="1:10">
      <c r="A1880" s="50" t="str">
        <v>二</v>
      </c>
      <c r="B1880" s="51" t="str">
        <v>E.01.02脚手架工程</v>
      </c>
      <c r="C1880" s="51" t="str">
        <v/>
      </c>
      <c r="D1880" s="51" t="str">
        <v/>
      </c>
      <c r="E1880" s="51" t="str">
        <v/>
      </c>
      <c r="F1880" s="52" t="str">
        <v/>
      </c>
      <c r="G1880" s="48" t="str">
        <v/>
      </c>
      <c r="H1880" s="49">
        <v>54264.22</v>
      </c>
      <c r="I1880" s="49" t="e">
        <v>#REF!</v>
      </c>
      <c r="J1880" s="50"/>
    </row>
    <row r="1881" ht="43.2" outlineLevel="1" spans="1:10">
      <c r="A1881" s="50">
        <v>1</v>
      </c>
      <c r="B1881" s="51" t="str">
        <v>内墙砌筑脚手架</v>
      </c>
      <c r="C1881" s="51" t="e">
        <v>#REF!</v>
      </c>
      <c r="D1881" s="51" t="str">
        <v>地上综合脚手架</v>
      </c>
      <c r="E1881" s="51" t="str">
        <v>地上综合脚手架</v>
      </c>
      <c r="F1881" s="52" t="e">
        <v>#REF!</v>
      </c>
      <c r="G1881" s="48" t="e">
        <v>#REF!</v>
      </c>
      <c r="H1881" s="49">
        <v>2580.23</v>
      </c>
      <c r="I1881" s="49" t="e">
        <v>#REF!</v>
      </c>
      <c r="J1881" s="50"/>
    </row>
    <row r="1882" ht="43.2" outlineLevel="1" spans="1:10">
      <c r="A1882" s="50">
        <v>2</v>
      </c>
      <c r="B1882" s="51" t="str">
        <v>简易墙面脚手架</v>
      </c>
      <c r="C1882" s="51" t="e">
        <v>#REF!</v>
      </c>
      <c r="D1882" s="51" t="str">
        <v>地上综合脚手架</v>
      </c>
      <c r="E1882" s="51" t="str">
        <v>地上综合脚手架</v>
      </c>
      <c r="F1882" s="52" t="e">
        <v>#REF!</v>
      </c>
      <c r="G1882" s="48" t="e">
        <v>#REF!</v>
      </c>
      <c r="H1882" s="49">
        <v>41929</v>
      </c>
      <c r="I1882" s="49" t="e">
        <v>#REF!</v>
      </c>
      <c r="J1882" s="50"/>
    </row>
    <row r="1883" ht="43.2" outlineLevel="1" spans="1:10">
      <c r="A1883" s="50">
        <v>3</v>
      </c>
      <c r="B1883" s="51" t="str">
        <v>简易天棚脚手架</v>
      </c>
      <c r="C1883" s="51" t="e">
        <v>#REF!</v>
      </c>
      <c r="D1883" s="51" t="str">
        <v>地上综合脚手架</v>
      </c>
      <c r="E1883" s="51" t="str">
        <v>地上综合脚手架</v>
      </c>
      <c r="F1883" s="52" t="e">
        <v>#REF!</v>
      </c>
      <c r="G1883" s="48" t="e">
        <v>#REF!</v>
      </c>
      <c r="H1883" s="49">
        <v>9754.99</v>
      </c>
      <c r="I1883" s="49" t="e">
        <v>#REF!</v>
      </c>
      <c r="J1883" s="50"/>
    </row>
    <row r="1884" ht="28.8" outlineLevel="1" spans="1:10">
      <c r="A1884" s="50" t="str">
        <v/>
      </c>
      <c r="B1884" s="51" t="str">
        <v>E.02总价措施费（整体措施费）</v>
      </c>
      <c r="C1884" s="51" t="e">
        <v>#REF!</v>
      </c>
      <c r="D1884" s="51" t="str">
        <v/>
      </c>
      <c r="E1884" s="51" t="str">
        <v/>
      </c>
      <c r="F1884" s="52" t="e">
        <v>#REF!</v>
      </c>
      <c r="G1884" s="48" t="e">
        <v>#REF!</v>
      </c>
      <c r="H1884" s="49" t="e">
        <v>#REF!</v>
      </c>
      <c r="I1884" s="49" t="e">
        <v>#REF!</v>
      </c>
      <c r="J1884" s="50"/>
    </row>
    <row r="1885" ht="43.2" outlineLevel="1" spans="1:10">
      <c r="A1885" s="50" t="str">
        <v>地上</v>
      </c>
      <c r="B1885" s="51" t="str">
        <v>E.02总价措施费（整体措施费）</v>
      </c>
      <c r="C1885" s="51" t="e">
        <v>#REF!</v>
      </c>
      <c r="D1885" s="51" t="str">
        <v>地上总价措施费</v>
      </c>
      <c r="E1885" s="51" t="str">
        <v>地上总价措施费</v>
      </c>
      <c r="F1885" s="52" t="e">
        <v>#REF!</v>
      </c>
      <c r="G1885" s="48" t="e">
        <v>#REF!</v>
      </c>
      <c r="H1885" s="49" t="e">
        <v>#REF!</v>
      </c>
      <c r="I1885" s="49" t="e">
        <v>#REF!</v>
      </c>
      <c r="J1885" s="50"/>
    </row>
    <row r="1886" ht="43.2" outlineLevel="1" spans="1:10">
      <c r="A1886" s="50" t="str">
        <v>地下</v>
      </c>
      <c r="B1886" s="51" t="str">
        <v>E.02总价措施费（整体措施费）</v>
      </c>
      <c r="C1886" s="51" t="e">
        <v>#REF!</v>
      </c>
      <c r="D1886" s="51" t="str">
        <v>地下总价措施费</v>
      </c>
      <c r="E1886" s="51" t="str">
        <v>地下总价措施费</v>
      </c>
      <c r="F1886" s="52" t="e">
        <v>#REF!</v>
      </c>
      <c r="G1886" s="48" t="e">
        <v>#REF!</v>
      </c>
      <c r="H1886" s="49" t="e">
        <v>#REF!</v>
      </c>
      <c r="I1886" s="49" t="e">
        <v>#REF!</v>
      </c>
      <c r="J1886" s="50"/>
    </row>
    <row r="1887" outlineLevel="1" spans="1:10">
      <c r="A1887" s="50" t="str">
        <v/>
      </c>
      <c r="B1887" s="51" t="str">
        <v>E.03垂直运输</v>
      </c>
      <c r="C1887" s="51" t="str">
        <v/>
      </c>
      <c r="D1887" s="51" t="str">
        <v/>
      </c>
      <c r="E1887" s="51" t="str">
        <v/>
      </c>
      <c r="F1887" s="52" t="str">
        <v/>
      </c>
      <c r="G1887" s="48" t="str">
        <v/>
      </c>
      <c r="H1887" s="49">
        <v>0</v>
      </c>
      <c r="I1887" s="49" t="e">
        <v>#REF!</v>
      </c>
      <c r="J1887" s="50"/>
    </row>
    <row r="1888" outlineLevel="1" spans="1:10">
      <c r="A1888" s="50" t="str">
        <v>地上</v>
      </c>
      <c r="B1888" s="51" t="str">
        <v>E.03垂直运输</v>
      </c>
      <c r="C1888" s="51" t="e">
        <v>#REF!</v>
      </c>
      <c r="D1888" s="51" t="str">
        <v/>
      </c>
      <c r="E1888" s="51" t="str">
        <v/>
      </c>
      <c r="F1888" s="52" t="str">
        <v/>
      </c>
      <c r="G1888" s="48" t="str">
        <v/>
      </c>
      <c r="H1888" s="49" t="e">
        <v>#REF!</v>
      </c>
      <c r="I1888" s="49" t="e">
        <v>#REF!</v>
      </c>
      <c r="J1888" s="50"/>
    </row>
    <row r="1889" ht="43.2" outlineLevel="1" spans="1:10">
      <c r="A1889" s="50" t="str">
        <v/>
      </c>
      <c r="B1889" s="51" t="str">
        <v>垂运-装配式</v>
      </c>
      <c r="C1889" s="51" t="e">
        <v>#REF!</v>
      </c>
      <c r="D1889" s="51" t="str">
        <v>地上总价措施费</v>
      </c>
      <c r="E1889" s="51" t="str">
        <v>地上总价措施费</v>
      </c>
      <c r="F1889" s="52" t="e">
        <v>#REF!</v>
      </c>
      <c r="G1889" s="48" t="e">
        <v>#REF!</v>
      </c>
      <c r="H1889" s="49" t="e">
        <v>#REF!</v>
      </c>
      <c r="I1889" s="49" t="e">
        <v>#REF!</v>
      </c>
      <c r="J1889" s="50"/>
    </row>
    <row r="1890" ht="43.2" outlineLevel="1" spans="1:10">
      <c r="A1890" s="50" t="str">
        <v/>
      </c>
      <c r="B1890" s="51" t="str">
        <v>垂运-非装配式</v>
      </c>
      <c r="C1890" s="51" t="e">
        <v>#REF!</v>
      </c>
      <c r="D1890" s="51" t="str">
        <v>地上总价措施费</v>
      </c>
      <c r="E1890" s="51" t="str">
        <v>地上总价措施费</v>
      </c>
      <c r="F1890" s="52" t="e">
        <v>#REF!</v>
      </c>
      <c r="G1890" s="48" t="e">
        <v>#REF!</v>
      </c>
      <c r="H1890" s="49">
        <v>0</v>
      </c>
      <c r="I1890" s="49" t="e">
        <v>#REF!</v>
      </c>
      <c r="J1890" s="50"/>
    </row>
    <row r="1891" ht="43.2" outlineLevel="1" spans="1:10">
      <c r="A1891" s="50" t="str">
        <v/>
      </c>
      <c r="B1891" s="51" t="str">
        <v>垂运-配套</v>
      </c>
      <c r="C1891" s="51" t="e">
        <v>#REF!</v>
      </c>
      <c r="D1891" s="51" t="str">
        <v>地上总价措施费</v>
      </c>
      <c r="E1891" s="51" t="str">
        <v>地上总价措施费</v>
      </c>
      <c r="F1891" s="52" t="e">
        <v>#REF!</v>
      </c>
      <c r="G1891" s="48" t="e">
        <v>#REF!</v>
      </c>
      <c r="H1891" s="49">
        <v>0</v>
      </c>
      <c r="I1891" s="49" t="e">
        <v>#REF!</v>
      </c>
      <c r="J1891" s="50"/>
    </row>
    <row r="1892" ht="43.2" outlineLevel="1" spans="1:10">
      <c r="A1892" s="50" t="str">
        <v/>
      </c>
      <c r="B1892" s="51" t="str">
        <v>垂运-地下车库</v>
      </c>
      <c r="C1892" s="51" t="e">
        <v>#REF!</v>
      </c>
      <c r="D1892" s="51" t="str">
        <v>地上总价措施费</v>
      </c>
      <c r="E1892" s="51" t="str">
        <v>地上总价措施费</v>
      </c>
      <c r="F1892" s="52" t="e">
        <v>#REF!</v>
      </c>
      <c r="G1892" s="48" t="e">
        <v>#REF!</v>
      </c>
      <c r="H1892" s="49">
        <v>0</v>
      </c>
      <c r="I1892" s="49" t="e">
        <v>#REF!</v>
      </c>
      <c r="J1892" s="50"/>
    </row>
    <row r="1893" outlineLevel="1" spans="1:10">
      <c r="A1893" s="50" t="str">
        <v>地下</v>
      </c>
      <c r="B1893" s="51" t="str">
        <v>E.03垂直运输</v>
      </c>
      <c r="C1893" s="51" t="e">
        <v>#REF!</v>
      </c>
      <c r="D1893" s="51" t="str">
        <v/>
      </c>
      <c r="E1893" s="51" t="str">
        <v/>
      </c>
      <c r="F1893" s="52" t="str">
        <v/>
      </c>
      <c r="G1893" s="48" t="str">
        <v/>
      </c>
      <c r="H1893" s="49" t="e">
        <v>#REF!</v>
      </c>
      <c r="I1893" s="49" t="e">
        <v>#REF!</v>
      </c>
      <c r="J1893" s="50"/>
    </row>
    <row r="1894" ht="43.2" outlineLevel="1" spans="1:10">
      <c r="A1894" s="50" t="str">
        <v/>
      </c>
      <c r="B1894" s="51" t="str">
        <v>垂运-装配式</v>
      </c>
      <c r="C1894" s="51" t="e">
        <v>#REF!</v>
      </c>
      <c r="D1894" s="51" t="str">
        <v>地下总价措施费</v>
      </c>
      <c r="E1894" s="51" t="str">
        <v>地下总价措施费</v>
      </c>
      <c r="F1894" s="52" t="e">
        <v>#REF!</v>
      </c>
      <c r="G1894" s="48" t="e">
        <v>#REF!</v>
      </c>
      <c r="H1894" s="49" t="e">
        <v>#REF!</v>
      </c>
      <c r="I1894" s="49" t="e">
        <v>#REF!</v>
      </c>
      <c r="J1894" s="50"/>
    </row>
    <row r="1895" ht="43.2" outlineLevel="1" spans="1:10">
      <c r="A1895" s="50" t="str">
        <v/>
      </c>
      <c r="B1895" s="51" t="str">
        <v>垂运-非装配式</v>
      </c>
      <c r="C1895" s="51" t="e">
        <v>#REF!</v>
      </c>
      <c r="D1895" s="51" t="str">
        <v>地下总价措施费</v>
      </c>
      <c r="E1895" s="51" t="str">
        <v>地下总价措施费</v>
      </c>
      <c r="F1895" s="52" t="e">
        <v>#REF!</v>
      </c>
      <c r="G1895" s="48" t="e">
        <v>#REF!</v>
      </c>
      <c r="H1895" s="49">
        <v>0</v>
      </c>
      <c r="I1895" s="49" t="e">
        <v>#REF!</v>
      </c>
      <c r="J1895" s="50"/>
    </row>
    <row r="1896" ht="43.2" outlineLevel="1" spans="1:10">
      <c r="A1896" s="50" t="str">
        <v/>
      </c>
      <c r="B1896" s="51" t="str">
        <v>垂运-配套</v>
      </c>
      <c r="C1896" s="51" t="e">
        <v>#REF!</v>
      </c>
      <c r="D1896" s="51" t="str">
        <v>地下总价措施费</v>
      </c>
      <c r="E1896" s="51" t="str">
        <v>地下总价措施费</v>
      </c>
      <c r="F1896" s="52" t="e">
        <v>#REF!</v>
      </c>
      <c r="G1896" s="48" t="e">
        <v>#REF!</v>
      </c>
      <c r="H1896" s="49">
        <v>0</v>
      </c>
      <c r="I1896" s="49" t="e">
        <v>#REF!</v>
      </c>
      <c r="J1896" s="50"/>
    </row>
    <row r="1897" ht="43.2" outlineLevel="1" spans="1:10">
      <c r="A1897" s="50" t="str">
        <v/>
      </c>
      <c r="B1897" s="51" t="str">
        <v>垂运-地下车库</v>
      </c>
      <c r="C1897" s="51" t="e">
        <v>#REF!</v>
      </c>
      <c r="D1897" s="51" t="str">
        <v>地下总价措施费</v>
      </c>
      <c r="E1897" s="51" t="str">
        <v>地下总价措施费</v>
      </c>
      <c r="F1897" s="52" t="e">
        <v>#REF!</v>
      </c>
      <c r="G1897" s="48" t="e">
        <v>#REF!</v>
      </c>
      <c r="H1897" s="49">
        <v>0</v>
      </c>
      <c r="I1897" s="49" t="e">
        <v>#REF!</v>
      </c>
      <c r="J1897" s="50"/>
    </row>
    <row r="1898" outlineLevel="1" spans="1:10">
      <c r="A1898" s="50" t="str">
        <v/>
      </c>
      <c r="B1898" s="51" t="str">
        <v>合计</v>
      </c>
      <c r="C1898" s="51" t="str">
        <v/>
      </c>
      <c r="D1898" s="51" t="str">
        <v/>
      </c>
      <c r="E1898" s="51" t="str">
        <v/>
      </c>
      <c r="F1898" s="52" t="str">
        <v/>
      </c>
      <c r="G1898" s="48" t="str">
        <v/>
      </c>
      <c r="H1898" s="49">
        <v>0</v>
      </c>
      <c r="I1898" s="49" t="e">
        <v>#REF!</v>
      </c>
      <c r="J1898" s="50"/>
    </row>
    <row r="1899" outlineLevel="1" spans="1:10">
      <c r="A1899" s="50" t="str">
        <v/>
      </c>
      <c r="B1899" s="51" t="str">
        <v/>
      </c>
      <c r="C1899" s="51" t="str">
        <v/>
      </c>
      <c r="D1899" s="51" t="str">
        <v/>
      </c>
      <c r="E1899" s="51" t="str">
        <v/>
      </c>
      <c r="F1899" s="52" t="str">
        <v/>
      </c>
      <c r="G1899" s="48" t="str">
        <v/>
      </c>
      <c r="H1899" s="49">
        <v>0</v>
      </c>
      <c r="I1899" s="49">
        <v>0</v>
      </c>
      <c r="J1899" s="50"/>
    </row>
    <row r="1900" outlineLevel="1" spans="1:10">
      <c r="A1900" s="50" t="str">
        <v/>
      </c>
      <c r="B1900" s="51" t="str">
        <v/>
      </c>
      <c r="C1900" s="51" t="str">
        <v/>
      </c>
      <c r="D1900" s="51" t="str">
        <v/>
      </c>
      <c r="E1900" s="51" t="str">
        <v/>
      </c>
      <c r="F1900" s="52" t="str">
        <v/>
      </c>
      <c r="G1900" s="48" t="str">
        <v/>
      </c>
      <c r="H1900" s="49">
        <v>0</v>
      </c>
      <c r="I1900" s="49">
        <v>0</v>
      </c>
      <c r="J1900" s="50"/>
    </row>
    <row r="1901" outlineLevel="1" spans="1:10">
      <c r="A1901" s="50" t="str">
        <v/>
      </c>
      <c r="B1901" s="51" t="str">
        <v/>
      </c>
      <c r="C1901" s="51" t="str">
        <v/>
      </c>
      <c r="D1901" s="51" t="str">
        <v/>
      </c>
      <c r="E1901" s="51" t="str">
        <v/>
      </c>
      <c r="F1901" s="52" t="str">
        <v/>
      </c>
      <c r="G1901" s="48" t="str">
        <v/>
      </c>
      <c r="H1901" s="49">
        <v>0</v>
      </c>
      <c r="I1901" s="49">
        <v>0</v>
      </c>
      <c r="J1901" s="50"/>
    </row>
    <row r="1902" outlineLevel="1" spans="1:10">
      <c r="A1902" s="50" t="str">
        <v/>
      </c>
      <c r="B1902" s="51" t="str">
        <v/>
      </c>
      <c r="C1902" s="51" t="str">
        <v/>
      </c>
      <c r="D1902" s="51" t="str">
        <v/>
      </c>
      <c r="E1902" s="51" t="str">
        <v/>
      </c>
      <c r="F1902" s="52" t="str">
        <v/>
      </c>
      <c r="G1902" s="48" t="str">
        <v/>
      </c>
      <c r="H1902" s="49">
        <v>0</v>
      </c>
      <c r="I1902" s="49">
        <v>0</v>
      </c>
      <c r="J1902" s="50"/>
    </row>
    <row r="1903" outlineLevel="1" spans="1:10">
      <c r="A1903" s="50" t="str">
        <v/>
      </c>
      <c r="B1903" s="51" t="str">
        <v/>
      </c>
      <c r="C1903" s="51" t="str">
        <v/>
      </c>
      <c r="D1903" s="51" t="str">
        <v/>
      </c>
      <c r="E1903" s="51" t="str">
        <v/>
      </c>
      <c r="F1903" s="52" t="str">
        <v/>
      </c>
      <c r="G1903" s="48" t="str">
        <v/>
      </c>
      <c r="H1903" s="49">
        <v>0</v>
      </c>
      <c r="I1903" s="49">
        <v>0</v>
      </c>
      <c r="J1903" s="50"/>
    </row>
    <row r="1904" outlineLevel="1" spans="1:10">
      <c r="A1904" s="50" t="str">
        <v/>
      </c>
      <c r="B1904" s="51" t="str">
        <v/>
      </c>
      <c r="C1904" s="51" t="str">
        <v/>
      </c>
      <c r="D1904" s="51" t="str">
        <v/>
      </c>
      <c r="E1904" s="51" t="str">
        <v/>
      </c>
      <c r="F1904" s="52" t="str">
        <v/>
      </c>
      <c r="G1904" s="48" t="str">
        <v/>
      </c>
      <c r="H1904" s="49">
        <v>0</v>
      </c>
      <c r="I1904" s="49">
        <v>0</v>
      </c>
      <c r="J1904" s="50"/>
    </row>
    <row r="1905" outlineLevel="1" spans="1:10">
      <c r="A1905" s="50" t="str">
        <v/>
      </c>
      <c r="B1905" s="51" t="str">
        <v/>
      </c>
      <c r="C1905" s="51" t="str">
        <v/>
      </c>
      <c r="D1905" s="51" t="str">
        <v/>
      </c>
      <c r="E1905" s="51" t="str">
        <v/>
      </c>
      <c r="F1905" s="52" t="str">
        <v/>
      </c>
      <c r="G1905" s="48" t="str">
        <v/>
      </c>
      <c r="H1905" s="49">
        <v>0</v>
      </c>
      <c r="I1905" s="49">
        <v>0</v>
      </c>
      <c r="J1905" s="50"/>
    </row>
    <row r="1906" outlineLevel="1" spans="1:10">
      <c r="A1906" s="50" t="str">
        <v/>
      </c>
      <c r="B1906" s="51" t="str">
        <v/>
      </c>
      <c r="C1906" s="51" t="str">
        <v/>
      </c>
      <c r="D1906" s="51" t="str">
        <v/>
      </c>
      <c r="E1906" s="51" t="str">
        <v/>
      </c>
      <c r="F1906" s="52" t="str">
        <v/>
      </c>
      <c r="G1906" s="48" t="str">
        <v/>
      </c>
      <c r="H1906" s="49">
        <v>0</v>
      </c>
      <c r="I1906" s="49">
        <v>0</v>
      </c>
      <c r="J1906" s="50"/>
    </row>
    <row r="1907" outlineLevel="1" spans="1:10">
      <c r="A1907" s="50" t="str">
        <v/>
      </c>
      <c r="B1907" s="51" t="str">
        <v/>
      </c>
      <c r="C1907" s="51" t="str">
        <v/>
      </c>
      <c r="D1907" s="51" t="str">
        <v/>
      </c>
      <c r="E1907" s="51" t="str">
        <v/>
      </c>
      <c r="F1907" s="52" t="str">
        <v/>
      </c>
      <c r="G1907" s="48" t="str">
        <v/>
      </c>
      <c r="H1907" s="49">
        <v>0</v>
      </c>
      <c r="I1907" s="49">
        <v>0</v>
      </c>
      <c r="J1907" s="50"/>
    </row>
    <row r="1908" outlineLevel="1" spans="1:10">
      <c r="A1908" s="50" t="str">
        <v/>
      </c>
      <c r="B1908" s="51" t="str">
        <v/>
      </c>
      <c r="C1908" s="51" t="str">
        <v/>
      </c>
      <c r="D1908" s="51" t="str">
        <v/>
      </c>
      <c r="E1908" s="51" t="str">
        <v/>
      </c>
      <c r="F1908" s="52" t="str">
        <v/>
      </c>
      <c r="G1908" s="48" t="str">
        <v/>
      </c>
      <c r="H1908" s="49">
        <v>0</v>
      </c>
      <c r="I1908" s="49">
        <v>0</v>
      </c>
      <c r="J1908" s="50"/>
    </row>
    <row r="1909" outlineLevel="1" spans="1:10">
      <c r="A1909" s="50" t="str">
        <v/>
      </c>
      <c r="B1909" s="51" t="str">
        <v/>
      </c>
      <c r="C1909" s="51" t="str">
        <v/>
      </c>
      <c r="D1909" s="51" t="str">
        <v/>
      </c>
      <c r="E1909" s="51" t="str">
        <v/>
      </c>
      <c r="F1909" s="52" t="str">
        <v/>
      </c>
      <c r="G1909" s="48" t="str">
        <v/>
      </c>
      <c r="H1909" s="49">
        <v>0</v>
      </c>
      <c r="I1909" s="49">
        <v>0</v>
      </c>
      <c r="J1909" s="50"/>
    </row>
    <row r="1910" outlineLevel="1" spans="1:10">
      <c r="A1910" s="50" t="str">
        <v/>
      </c>
      <c r="B1910" s="51" t="str">
        <v/>
      </c>
      <c r="C1910" s="51" t="str">
        <v/>
      </c>
      <c r="D1910" s="51" t="str">
        <v/>
      </c>
      <c r="E1910" s="51" t="str">
        <v/>
      </c>
      <c r="F1910" s="52" t="str">
        <v/>
      </c>
      <c r="G1910" s="48" t="str">
        <v/>
      </c>
      <c r="H1910" s="49">
        <v>0</v>
      </c>
      <c r="I1910" s="49">
        <v>0</v>
      </c>
      <c r="J1910" s="50"/>
    </row>
    <row r="1911" outlineLevel="1" spans="1:10">
      <c r="A1911" s="50" t="str">
        <v/>
      </c>
      <c r="B1911" s="51" t="str">
        <v/>
      </c>
      <c r="C1911" s="51" t="str">
        <v/>
      </c>
      <c r="D1911" s="51" t="str">
        <v/>
      </c>
      <c r="E1911" s="51" t="str">
        <v/>
      </c>
      <c r="F1911" s="52" t="str">
        <v/>
      </c>
      <c r="G1911" s="48" t="str">
        <v/>
      </c>
      <c r="H1911" s="49">
        <v>0</v>
      </c>
      <c r="I1911" s="49">
        <v>0</v>
      </c>
      <c r="J1911" s="50"/>
    </row>
    <row r="1912" outlineLevel="1" spans="1:10">
      <c r="A1912" s="50" t="str">
        <v/>
      </c>
      <c r="B1912" s="51" t="str">
        <v/>
      </c>
      <c r="C1912" s="51" t="str">
        <v/>
      </c>
      <c r="D1912" s="51" t="str">
        <v/>
      </c>
      <c r="E1912" s="51" t="str">
        <v/>
      </c>
      <c r="F1912" s="52" t="str">
        <v/>
      </c>
      <c r="G1912" s="48" t="str">
        <v/>
      </c>
      <c r="H1912" s="49">
        <v>0</v>
      </c>
      <c r="I1912" s="49">
        <v>0</v>
      </c>
      <c r="J1912" s="50"/>
    </row>
    <row r="1913" outlineLevel="1" spans="1:10">
      <c r="A1913" s="50" t="str">
        <v/>
      </c>
      <c r="B1913" s="51" t="str">
        <v/>
      </c>
      <c r="C1913" s="51" t="str">
        <v/>
      </c>
      <c r="D1913" s="51" t="str">
        <v/>
      </c>
      <c r="E1913" s="51" t="str">
        <v/>
      </c>
      <c r="F1913" s="52" t="str">
        <v/>
      </c>
      <c r="G1913" s="48" t="str">
        <v/>
      </c>
      <c r="H1913" s="49">
        <v>0</v>
      </c>
      <c r="I1913" s="49">
        <v>0</v>
      </c>
      <c r="J1913" s="50"/>
    </row>
    <row r="1914" outlineLevel="1" spans="1:10">
      <c r="A1914" s="50" t="str">
        <v/>
      </c>
      <c r="B1914" s="51" t="str">
        <v/>
      </c>
      <c r="C1914" s="51" t="str">
        <v/>
      </c>
      <c r="D1914" s="51" t="str">
        <v/>
      </c>
      <c r="E1914" s="51" t="str">
        <v/>
      </c>
      <c r="F1914" s="52" t="str">
        <v/>
      </c>
      <c r="G1914" s="48" t="str">
        <v/>
      </c>
      <c r="H1914" s="49">
        <v>0</v>
      </c>
      <c r="I1914" s="49">
        <v>0</v>
      </c>
      <c r="J1914" s="50"/>
    </row>
    <row r="1915" outlineLevel="1" spans="1:10">
      <c r="A1915" s="50" t="str">
        <v/>
      </c>
      <c r="B1915" s="51" t="str">
        <v/>
      </c>
      <c r="C1915" s="51" t="str">
        <v/>
      </c>
      <c r="D1915" s="51" t="str">
        <v/>
      </c>
      <c r="E1915" s="51" t="str">
        <v/>
      </c>
      <c r="F1915" s="52" t="str">
        <v/>
      </c>
      <c r="G1915" s="48" t="str">
        <v/>
      </c>
      <c r="H1915" s="49">
        <v>0</v>
      </c>
      <c r="I1915" s="49">
        <v>0</v>
      </c>
      <c r="J1915" s="50"/>
    </row>
    <row r="1916" outlineLevel="1" spans="1:10">
      <c r="A1916" s="50" t="str">
        <v/>
      </c>
      <c r="B1916" s="51" t="str">
        <v/>
      </c>
      <c r="C1916" s="51" t="str">
        <v/>
      </c>
      <c r="D1916" s="51" t="str">
        <v/>
      </c>
      <c r="E1916" s="51" t="str">
        <v/>
      </c>
      <c r="F1916" s="52" t="str">
        <v/>
      </c>
      <c r="G1916" s="48" t="str">
        <v/>
      </c>
      <c r="H1916" s="49">
        <v>0</v>
      </c>
      <c r="I1916" s="49">
        <v>0</v>
      </c>
      <c r="J1916" s="50"/>
    </row>
  </sheetData>
  <mergeCells count="10">
    <mergeCell ref="A1:J1"/>
    <mergeCell ref="D2:E2"/>
    <mergeCell ref="A2:A3"/>
    <mergeCell ref="B2:B3"/>
    <mergeCell ref="C2:C3"/>
    <mergeCell ref="F2:F3"/>
    <mergeCell ref="G2:G3"/>
    <mergeCell ref="H2:H3"/>
    <mergeCell ref="I2:I3"/>
    <mergeCell ref="J2:J3"/>
  </mergeCells>
  <pageMargins left="0.75" right="0.75" top="1" bottom="1" header="0.5" footer="0.5"/>
  <pageSetup paperSize="9" scale="6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outlinePr summaryBelow="0" summaryRight="0"/>
  </sheetPr>
  <dimension ref="A1:K1916"/>
  <sheetViews>
    <sheetView view="pageBreakPreview" zoomScaleNormal="100" workbookViewId="0">
      <pane ySplit="3" topLeftCell="A895" activePane="bottomLeft" state="frozen"/>
      <selection/>
      <selection pane="bottomLeft" activeCell="B895" sqref="B895"/>
    </sheetView>
  </sheetViews>
  <sheetFormatPr defaultColWidth="19.6296296296296" defaultRowHeight="14.4"/>
  <cols>
    <col min="1" max="1" width="4.12962962962963" style="28" customWidth="1"/>
    <col min="2" max="2" width="26.25" style="30" customWidth="1"/>
    <col min="3" max="3" width="36.5" style="30" customWidth="1" collapsed="1"/>
    <col min="4" max="5" width="7.5" style="30" hidden="1" customWidth="1" outlineLevel="1"/>
    <col min="6" max="6" width="9.12962962962963" style="31" customWidth="1"/>
    <col min="7" max="7" width="13.1296296296296" style="32" customWidth="1"/>
    <col min="8" max="9" width="16.6296296296296" style="33" customWidth="1"/>
    <col min="10" max="10" width="8.62962962962963" style="28" customWidth="1"/>
    <col min="11" max="16384" width="19.6296296296296" style="28" customWidth="1"/>
  </cols>
  <sheetData>
    <row r="1" s="28" customFormat="1" ht="28.2" spans="1:11">
      <c r="A1" s="35" t="s">
        <v>2358</v>
      </c>
      <c r="B1" s="36"/>
      <c r="C1" s="36"/>
      <c r="D1" s="36"/>
      <c r="E1" s="36"/>
      <c r="F1" s="35"/>
      <c r="G1" s="37"/>
      <c r="H1" s="38"/>
      <c r="I1" s="38"/>
      <c r="J1" s="35"/>
      <c r="K1" s="53" t="s">
        <v>2351</v>
      </c>
    </row>
    <row r="2" s="28" customFormat="1" ht="15.6" spans="1:11">
      <c r="A2" s="9" t="s">
        <v>2</v>
      </c>
      <c r="B2" s="9" t="s">
        <v>227</v>
      </c>
      <c r="C2" s="10" t="s">
        <v>228</v>
      </c>
      <c r="D2" s="9" t="s">
        <v>229</v>
      </c>
      <c r="E2" s="9"/>
      <c r="F2" s="10" t="s">
        <v>230</v>
      </c>
      <c r="G2" s="11" t="s">
        <v>231</v>
      </c>
      <c r="H2" s="39" t="s">
        <v>225</v>
      </c>
      <c r="I2" s="39" t="s">
        <v>2352</v>
      </c>
      <c r="J2" s="23" t="s">
        <v>235</v>
      </c>
      <c r="K2" s="53" t="s">
        <v>2353</v>
      </c>
    </row>
    <row r="3" s="28" customFormat="1" ht="15.6" spans="1:11">
      <c r="A3" s="9"/>
      <c r="B3" s="9"/>
      <c r="C3" s="10"/>
      <c r="D3" s="9" t="s">
        <v>236</v>
      </c>
      <c r="E3" s="9" t="s">
        <v>237</v>
      </c>
      <c r="F3" s="10"/>
      <c r="G3" s="11"/>
      <c r="H3" s="39"/>
      <c r="I3" s="39"/>
      <c r="J3" s="23"/>
      <c r="K3" s="53" t="s">
        <v>2354</v>
      </c>
    </row>
    <row r="4" s="29" customFormat="1" spans="1:10">
      <c r="A4" s="40"/>
      <c r="B4" s="41" t="s">
        <v>2355</v>
      </c>
      <c r="C4" s="41"/>
      <c r="D4" s="41"/>
      <c r="E4" s="41"/>
      <c r="F4" s="42"/>
      <c r="G4" s="43"/>
      <c r="H4" s="44"/>
      <c r="I4" s="44"/>
      <c r="J4" s="40"/>
    </row>
    <row r="5" outlineLevel="1" spans="1:10">
      <c r="A5" s="45" t="str">
        <f ca="1" t="array" ref="A5:G900">IF(INDIRECT(K1&amp;"!A4：G900")=0,"",INDIRECT(K1&amp;"!A4：G900"))</f>
        <v/>
      </c>
      <c r="B5" s="46" t="str">
        <v>地下工程</v>
      </c>
      <c r="C5" s="46" t="str">
        <v/>
      </c>
      <c r="D5" s="46" t="str">
        <v/>
      </c>
      <c r="E5" s="46" t="str">
        <v/>
      </c>
      <c r="F5" s="47" t="str">
        <v/>
      </c>
      <c r="G5" s="48" t="str">
        <v/>
      </c>
      <c r="H5" s="49">
        <f ca="1" t="array" ref="H5:H900">INDIRECT(K1&amp;"!J4:J900")</f>
        <v>0</v>
      </c>
      <c r="I5" s="49" t="e">
        <f ca="1" t="array" ref="I5:I900">INDIRECT(K1&amp;"!T4:T900")</f>
        <v>#REF!</v>
      </c>
      <c r="J5" s="50"/>
    </row>
    <row r="6" outlineLevel="1" spans="1:10">
      <c r="A6" s="50" t="str">
        <v/>
      </c>
      <c r="B6" s="51" t="str">
        <v>A.01地下基础工程</v>
      </c>
      <c r="C6" s="51" t="str">
        <v/>
      </c>
      <c r="D6" s="51" t="str">
        <v/>
      </c>
      <c r="E6" s="51" t="str">
        <v/>
      </c>
      <c r="F6" s="52" t="str">
        <v/>
      </c>
      <c r="G6" s="48" t="str">
        <v/>
      </c>
      <c r="H6" s="49">
        <v>0</v>
      </c>
      <c r="I6" s="49" t="e">
        <v>#REF!</v>
      </c>
      <c r="J6" s="50"/>
    </row>
    <row r="7" outlineLevel="1" spans="1:10">
      <c r="A7" s="50" t="str">
        <v/>
      </c>
      <c r="B7" s="51" t="str">
        <v>A.01.01土石方工程</v>
      </c>
      <c r="C7" s="51" t="str">
        <v/>
      </c>
      <c r="D7" s="51" t="str">
        <v/>
      </c>
      <c r="E7" s="51" t="str">
        <v/>
      </c>
      <c r="F7" s="52" t="str">
        <v/>
      </c>
      <c r="G7" s="48" t="str">
        <v/>
      </c>
      <c r="H7" s="49">
        <v>0</v>
      </c>
      <c r="I7" s="49" t="e">
        <v>#REF!</v>
      </c>
      <c r="J7" s="50"/>
    </row>
    <row r="8" outlineLevel="1" spans="1:10">
      <c r="A8" s="50">
        <v>1</v>
      </c>
      <c r="B8" s="51" t="str">
        <v>人工清理基底</v>
      </c>
      <c r="C8" s="51" t="e">
        <v>#REF!</v>
      </c>
      <c r="D8" s="51" t="str">
        <v/>
      </c>
      <c r="E8" s="51" t="str">
        <v/>
      </c>
      <c r="F8" s="52" t="e">
        <v>#REF!</v>
      </c>
      <c r="G8" s="48" t="e">
        <v>#REF!</v>
      </c>
      <c r="H8" s="49">
        <v>0</v>
      </c>
      <c r="I8" s="49" t="e">
        <v>#REF!</v>
      </c>
      <c r="J8" s="50"/>
    </row>
    <row r="9" outlineLevel="1" spans="1:10">
      <c r="A9" s="50">
        <v>2</v>
      </c>
      <c r="B9" s="51" t="str">
        <v>挖基坑（电梯井.集水坑）</v>
      </c>
      <c r="C9" s="51" t="e">
        <v>#REF!</v>
      </c>
      <c r="D9" s="51" t="str">
        <v/>
      </c>
      <c r="E9" s="51" t="str">
        <v/>
      </c>
      <c r="F9" s="52" t="e">
        <v>#REF!</v>
      </c>
      <c r="G9" s="48" t="e">
        <v>#REF!</v>
      </c>
      <c r="H9" s="49">
        <v>0</v>
      </c>
      <c r="I9" s="49" t="e">
        <v>#REF!</v>
      </c>
      <c r="J9" s="50"/>
    </row>
    <row r="10" outlineLevel="1" spans="1:10">
      <c r="A10" s="50">
        <v>3</v>
      </c>
      <c r="B10" s="51" t="str">
        <v>房心素土回填</v>
      </c>
      <c r="C10" s="51" t="e">
        <v>#REF!</v>
      </c>
      <c r="D10" s="51" t="str">
        <v/>
      </c>
      <c r="E10" s="51" t="str">
        <v/>
      </c>
      <c r="F10" s="52" t="e">
        <v>#REF!</v>
      </c>
      <c r="G10" s="48" t="e">
        <v>#REF!</v>
      </c>
      <c r="H10" s="49">
        <v>0</v>
      </c>
      <c r="I10" s="49" t="e">
        <v>#REF!</v>
      </c>
      <c r="J10" s="50"/>
    </row>
    <row r="11" outlineLevel="1" spans="1:10">
      <c r="A11" s="50">
        <v>4</v>
      </c>
      <c r="B11" s="51" t="str">
        <v>其他素土回填</v>
      </c>
      <c r="C11" s="51" t="e">
        <v>#REF!</v>
      </c>
      <c r="D11" s="51" t="str">
        <v/>
      </c>
      <c r="E11" s="51" t="str">
        <v/>
      </c>
      <c r="F11" s="52" t="e">
        <v>#REF!</v>
      </c>
      <c r="G11" s="48" t="e">
        <v>#REF!</v>
      </c>
      <c r="H11" s="49">
        <v>0</v>
      </c>
      <c r="I11" s="49" t="e">
        <v>#REF!</v>
      </c>
      <c r="J11" s="50"/>
    </row>
    <row r="12" outlineLevel="1" spans="1:10">
      <c r="A12" s="50">
        <v>5</v>
      </c>
      <c r="B12" s="51" t="str">
        <v>3:7灰土回填灰土</v>
      </c>
      <c r="C12" s="51" t="e">
        <v>#REF!</v>
      </c>
      <c r="D12" s="51" t="str">
        <v/>
      </c>
      <c r="E12" s="51" t="str">
        <v/>
      </c>
      <c r="F12" s="52" t="e">
        <v>#REF!</v>
      </c>
      <c r="G12" s="48" t="e">
        <v>#REF!</v>
      </c>
      <c r="H12" s="49">
        <v>0</v>
      </c>
      <c r="I12" s="49" t="e">
        <v>#REF!</v>
      </c>
      <c r="J12" s="50"/>
    </row>
    <row r="13" outlineLevel="1" spans="1:10">
      <c r="A13" s="50">
        <v>6</v>
      </c>
      <c r="B13" s="51" t="str">
        <v>2:8灰土回填灰土</v>
      </c>
      <c r="C13" s="51" t="e">
        <v>#REF!</v>
      </c>
      <c r="D13" s="51" t="str">
        <v/>
      </c>
      <c r="E13" s="51" t="str">
        <v/>
      </c>
      <c r="F13" s="52" t="e">
        <v>#REF!</v>
      </c>
      <c r="G13" s="48" t="e">
        <v>#REF!</v>
      </c>
      <c r="H13" s="49">
        <v>0</v>
      </c>
      <c r="I13" s="49" t="e">
        <v>#REF!</v>
      </c>
      <c r="J13" s="50"/>
    </row>
    <row r="14" outlineLevel="1" spans="1:10">
      <c r="A14" s="50" t="str">
        <v/>
      </c>
      <c r="B14" s="51" t="str">
        <v>A.01.02地基处理工程</v>
      </c>
      <c r="C14" s="51" t="str">
        <v/>
      </c>
      <c r="D14" s="51" t="str">
        <v/>
      </c>
      <c r="E14" s="51" t="str">
        <v/>
      </c>
      <c r="F14" s="52" t="str">
        <v/>
      </c>
      <c r="G14" s="48" t="str">
        <v/>
      </c>
      <c r="H14" s="49">
        <v>0</v>
      </c>
      <c r="I14" s="49" t="e">
        <v>#REF!</v>
      </c>
      <c r="J14" s="50"/>
    </row>
    <row r="15" outlineLevel="1" spans="1:10">
      <c r="A15" s="50">
        <v>7</v>
      </c>
      <c r="B15" s="51" t="str">
        <v>砖胎膜</v>
      </c>
      <c r="C15" s="51" t="e">
        <v>#REF!</v>
      </c>
      <c r="D15" s="51" t="str">
        <v/>
      </c>
      <c r="E15" s="51" t="str">
        <v/>
      </c>
      <c r="F15" s="52" t="e">
        <v>#REF!</v>
      </c>
      <c r="G15" s="48" t="e">
        <v>#REF!</v>
      </c>
      <c r="H15" s="49">
        <v>1</v>
      </c>
      <c r="I15" s="49" t="e">
        <v>#REF!</v>
      </c>
      <c r="J15" s="50"/>
    </row>
    <row r="16" outlineLevel="1" spans="1:10">
      <c r="A16" s="50">
        <v>8</v>
      </c>
      <c r="B16" s="51" t="str">
        <v>砖胎膜抹灰</v>
      </c>
      <c r="C16" s="51" t="e">
        <v>#REF!</v>
      </c>
      <c r="D16" s="51" t="str">
        <v/>
      </c>
      <c r="E16" s="51" t="str">
        <v/>
      </c>
      <c r="F16" s="52" t="e">
        <v>#REF!</v>
      </c>
      <c r="G16" s="48" t="e">
        <v>#REF!</v>
      </c>
      <c r="H16" s="49">
        <v>1</v>
      </c>
      <c r="I16" s="49" t="e">
        <v>#REF!</v>
      </c>
      <c r="J16" s="50"/>
    </row>
    <row r="17" outlineLevel="1" spans="1:10">
      <c r="A17" s="50">
        <v>9</v>
      </c>
      <c r="B17" s="51" t="str">
        <v>实心砖墙</v>
      </c>
      <c r="C17" s="51" t="e">
        <v>#REF!</v>
      </c>
      <c r="D17" s="51" t="str">
        <v/>
      </c>
      <c r="E17" s="51" t="str">
        <v/>
      </c>
      <c r="F17" s="52" t="e">
        <v>#REF!</v>
      </c>
      <c r="G17" s="48" t="e">
        <v>#REF!</v>
      </c>
      <c r="H17" s="49">
        <v>0.28</v>
      </c>
      <c r="I17" s="49" t="e">
        <v>#REF!</v>
      </c>
      <c r="J17" s="50"/>
    </row>
    <row r="18" outlineLevel="1" spans="1:10">
      <c r="A18" s="50">
        <v>10</v>
      </c>
      <c r="B18" s="51" t="str">
        <v>褥垫层</v>
      </c>
      <c r="C18" s="51" t="e">
        <v>#REF!</v>
      </c>
      <c r="D18" s="51" t="str">
        <v/>
      </c>
      <c r="E18" s="51" t="str">
        <v/>
      </c>
      <c r="F18" s="52" t="e">
        <v>#REF!</v>
      </c>
      <c r="G18" s="48" t="e">
        <v>#REF!</v>
      </c>
      <c r="H18" s="49">
        <v>0</v>
      </c>
      <c r="I18" s="49" t="e">
        <v>#REF!</v>
      </c>
      <c r="J18" s="50"/>
    </row>
    <row r="19" outlineLevel="1" spans="1:10">
      <c r="A19" s="50">
        <v>11</v>
      </c>
      <c r="B19" s="51" t="str">
        <v>非级配砂石回填</v>
      </c>
      <c r="C19" s="51" t="e">
        <v>#REF!</v>
      </c>
      <c r="D19" s="51" t="str">
        <v/>
      </c>
      <c r="E19" s="51" t="str">
        <v/>
      </c>
      <c r="F19" s="52" t="e">
        <v>#REF!</v>
      </c>
      <c r="G19" s="48" t="e">
        <v>#REF!</v>
      </c>
      <c r="H19" s="49">
        <v>1</v>
      </c>
      <c r="I19" s="49" t="e">
        <v>#REF!</v>
      </c>
      <c r="J19" s="50"/>
    </row>
    <row r="20" outlineLevel="1" spans="1:10">
      <c r="A20" s="50">
        <v>12</v>
      </c>
      <c r="B20" s="51" t="str">
        <v>级配砂石回填</v>
      </c>
      <c r="C20" s="51" t="e">
        <v>#REF!</v>
      </c>
      <c r="D20" s="51" t="str">
        <v/>
      </c>
      <c r="E20" s="51" t="str">
        <v/>
      </c>
      <c r="F20" s="52" t="e">
        <v>#REF!</v>
      </c>
      <c r="G20" s="48" t="e">
        <v>#REF!</v>
      </c>
      <c r="H20" s="49">
        <v>179.98</v>
      </c>
      <c r="I20" s="49" t="e">
        <v>#REF!</v>
      </c>
      <c r="J20" s="50"/>
    </row>
    <row r="21" outlineLevel="1" spans="1:10">
      <c r="A21" s="50">
        <v>13</v>
      </c>
      <c r="B21" s="51" t="str">
        <v>地基钎探</v>
      </c>
      <c r="C21" s="51" t="e">
        <v>#REF!</v>
      </c>
      <c r="D21" s="51" t="str">
        <v/>
      </c>
      <c r="E21" s="51" t="str">
        <v/>
      </c>
      <c r="F21" s="52" t="e">
        <v>#REF!</v>
      </c>
      <c r="G21" s="48" t="e">
        <v>#REF!</v>
      </c>
      <c r="H21" s="49">
        <v>0</v>
      </c>
      <c r="I21" s="49" t="e">
        <v>#REF!</v>
      </c>
      <c r="J21" s="50"/>
    </row>
    <row r="22" outlineLevel="1" spans="1:10">
      <c r="A22" s="50" t="str">
        <v/>
      </c>
      <c r="B22" s="51" t="str">
        <v>A.02主体结构工程</v>
      </c>
      <c r="C22" s="51" t="str">
        <v/>
      </c>
      <c r="D22" s="51" t="str">
        <v/>
      </c>
      <c r="E22" s="51" t="str">
        <v/>
      </c>
      <c r="F22" s="52" t="str">
        <v/>
      </c>
      <c r="G22" s="48" t="str">
        <v/>
      </c>
      <c r="H22" s="49">
        <v>0</v>
      </c>
      <c r="I22" s="49" t="e">
        <v>#REF!</v>
      </c>
      <c r="J22" s="50"/>
    </row>
    <row r="23" outlineLevel="1" spans="1:10">
      <c r="A23" s="50" t="str">
        <v/>
      </c>
      <c r="B23" s="51" t="str">
        <v>A.02.01混凝土工程</v>
      </c>
      <c r="C23" s="51" t="str">
        <v/>
      </c>
      <c r="D23" s="51" t="str">
        <v/>
      </c>
      <c r="E23" s="51" t="str">
        <v/>
      </c>
      <c r="F23" s="52" t="str">
        <v/>
      </c>
      <c r="G23" s="48" t="str">
        <v/>
      </c>
      <c r="H23" s="49">
        <v>0</v>
      </c>
      <c r="I23" s="49" t="e">
        <v>#REF!</v>
      </c>
      <c r="J23" s="50"/>
    </row>
    <row r="24" outlineLevel="1" spans="1:10">
      <c r="A24" s="50">
        <v>14</v>
      </c>
      <c r="B24" s="51" t="str">
        <v>垫层C15</v>
      </c>
      <c r="C24" s="51" t="e">
        <v>#REF!</v>
      </c>
      <c r="D24" s="51" t="str">
        <v/>
      </c>
      <c r="E24" s="51" t="str">
        <v/>
      </c>
      <c r="F24" s="52" t="e">
        <v>#REF!</v>
      </c>
      <c r="G24" s="48" t="e">
        <v>#REF!</v>
      </c>
      <c r="H24" s="49">
        <v>1</v>
      </c>
      <c r="I24" s="49" t="e">
        <v>#REF!</v>
      </c>
      <c r="J24" s="50"/>
    </row>
    <row r="25" outlineLevel="1" spans="1:10">
      <c r="A25" s="50">
        <v>15</v>
      </c>
      <c r="B25" s="51" t="str">
        <v>垫层C20</v>
      </c>
      <c r="C25" s="51" t="e">
        <v>#REF!</v>
      </c>
      <c r="D25" s="51" t="str">
        <v/>
      </c>
      <c r="E25" s="51" t="str">
        <v/>
      </c>
      <c r="F25" s="52" t="e">
        <v>#REF!</v>
      </c>
      <c r="G25" s="48" t="e">
        <v>#REF!</v>
      </c>
      <c r="H25" s="49">
        <v>89.99</v>
      </c>
      <c r="I25" s="49" t="e">
        <v>#REF!</v>
      </c>
      <c r="J25" s="50"/>
    </row>
    <row r="26" outlineLevel="1" spans="1:10">
      <c r="A26" s="50">
        <v>16</v>
      </c>
      <c r="B26" s="51" t="str">
        <v>砼保护层-50厚C20细石砼</v>
      </c>
      <c r="C26" s="51" t="e">
        <v>#REF!</v>
      </c>
      <c r="D26" s="51" t="str">
        <v/>
      </c>
      <c r="E26" s="51" t="str">
        <v/>
      </c>
      <c r="F26" s="52" t="e">
        <v>#REF!</v>
      </c>
      <c r="G26" s="48" t="e">
        <v>#REF!</v>
      </c>
      <c r="H26" s="49">
        <v>0</v>
      </c>
      <c r="I26" s="49" t="e">
        <v>#REF!</v>
      </c>
      <c r="J26" s="50"/>
    </row>
    <row r="27" outlineLevel="1" spans="1:10">
      <c r="A27" s="50">
        <v>17</v>
      </c>
      <c r="B27" s="51" t="str">
        <v>基础梁C35</v>
      </c>
      <c r="C27" s="51" t="e">
        <v>#REF!</v>
      </c>
      <c r="D27" s="51" t="str">
        <v/>
      </c>
      <c r="E27" s="51" t="str">
        <v/>
      </c>
      <c r="F27" s="52" t="e">
        <v>#REF!</v>
      </c>
      <c r="G27" s="48" t="e">
        <v>#REF!</v>
      </c>
      <c r="H27" s="49">
        <v>0</v>
      </c>
      <c r="I27" s="49" t="e">
        <v>#REF!</v>
      </c>
      <c r="J27" s="50"/>
    </row>
    <row r="28" outlineLevel="1" spans="1:10">
      <c r="A28" s="50">
        <v>18</v>
      </c>
      <c r="B28" s="51" t="str">
        <v>独立基础C35</v>
      </c>
      <c r="C28" s="51" t="e">
        <v>#REF!</v>
      </c>
      <c r="D28" s="51" t="str">
        <v/>
      </c>
      <c r="E28" s="51" t="str">
        <v/>
      </c>
      <c r="F28" s="52" t="e">
        <v>#REF!</v>
      </c>
      <c r="G28" s="48" t="e">
        <v>#REF!</v>
      </c>
      <c r="H28" s="49">
        <v>0</v>
      </c>
      <c r="I28" s="49" t="e">
        <v>#REF!</v>
      </c>
      <c r="J28" s="50"/>
    </row>
    <row r="29" outlineLevel="1" spans="1:10">
      <c r="A29" s="50">
        <v>19</v>
      </c>
      <c r="B29" s="51" t="str">
        <v>满堂基础C30抗渗P6/P8</v>
      </c>
      <c r="C29" s="51" t="e">
        <v>#REF!</v>
      </c>
      <c r="D29" s="51" t="str">
        <v/>
      </c>
      <c r="E29" s="51" t="str">
        <v/>
      </c>
      <c r="F29" s="52" t="e">
        <v>#REF!</v>
      </c>
      <c r="G29" s="48" t="e">
        <v>#REF!</v>
      </c>
      <c r="H29" s="49">
        <v>497.13</v>
      </c>
      <c r="I29" s="49" t="e">
        <v>#REF!</v>
      </c>
      <c r="J29" s="50"/>
    </row>
    <row r="30" outlineLevel="1" spans="1:10">
      <c r="A30" s="50">
        <v>20</v>
      </c>
      <c r="B30" s="51" t="str">
        <v>满堂基础C30</v>
      </c>
      <c r="C30" s="51" t="e">
        <v>#REF!</v>
      </c>
      <c r="D30" s="51" t="str">
        <v/>
      </c>
      <c r="E30" s="51" t="str">
        <v/>
      </c>
      <c r="F30" s="52" t="e">
        <v>#REF!</v>
      </c>
      <c r="G30" s="48" t="e">
        <v>#REF!</v>
      </c>
      <c r="H30" s="49">
        <v>1</v>
      </c>
      <c r="I30" s="49" t="e">
        <v>#REF!</v>
      </c>
      <c r="J30" s="50"/>
    </row>
    <row r="31" outlineLevel="1" spans="1:10">
      <c r="A31" s="50">
        <v>21</v>
      </c>
      <c r="B31" s="51" t="str">
        <v>矩形柱C30</v>
      </c>
      <c r="C31" s="51" t="e">
        <v>#REF!</v>
      </c>
      <c r="D31" s="51" t="str">
        <v/>
      </c>
      <c r="E31" s="51" t="str">
        <v/>
      </c>
      <c r="F31" s="52" t="e">
        <v>#REF!</v>
      </c>
      <c r="G31" s="48" t="e">
        <v>#REF!</v>
      </c>
      <c r="H31" s="49">
        <v>18.3</v>
      </c>
      <c r="I31" s="49" t="e">
        <v>#REF!</v>
      </c>
      <c r="J31" s="50"/>
    </row>
    <row r="32" outlineLevel="1" spans="1:10">
      <c r="A32" s="50">
        <v>22</v>
      </c>
      <c r="B32" s="51" t="str">
        <v>矩形柱C35</v>
      </c>
      <c r="C32" s="51" t="e">
        <v>#REF!</v>
      </c>
      <c r="D32" s="51" t="str">
        <v/>
      </c>
      <c r="E32" s="51" t="str">
        <v/>
      </c>
      <c r="F32" s="52" t="e">
        <v>#REF!</v>
      </c>
      <c r="G32" s="48" t="e">
        <v>#REF!</v>
      </c>
      <c r="H32" s="49">
        <v>0</v>
      </c>
      <c r="I32" s="49" t="e">
        <v>#REF!</v>
      </c>
      <c r="J32" s="50"/>
    </row>
    <row r="33" outlineLevel="1" spans="1:10">
      <c r="A33" s="50">
        <v>23</v>
      </c>
      <c r="B33" s="51" t="str">
        <v>矩形柱C40</v>
      </c>
      <c r="C33" s="51" t="e">
        <v>#REF!</v>
      </c>
      <c r="D33" s="51" t="str">
        <v/>
      </c>
      <c r="E33" s="51" t="str">
        <v/>
      </c>
      <c r="F33" s="52" t="e">
        <v>#REF!</v>
      </c>
      <c r="G33" s="48" t="e">
        <v>#REF!</v>
      </c>
      <c r="H33" s="49">
        <v>0</v>
      </c>
      <c r="I33" s="49" t="e">
        <v>#REF!</v>
      </c>
      <c r="J33" s="50"/>
    </row>
    <row r="34" outlineLevel="1" spans="1:10">
      <c r="A34" s="50">
        <v>24</v>
      </c>
      <c r="B34" s="51" t="str">
        <v>矩形柱C30P6/P8</v>
      </c>
      <c r="C34" s="51" t="e">
        <v>#REF!</v>
      </c>
      <c r="D34" s="51" t="str">
        <v/>
      </c>
      <c r="E34" s="51" t="str">
        <v/>
      </c>
      <c r="F34" s="52" t="e">
        <v>#REF!</v>
      </c>
      <c r="G34" s="48" t="e">
        <v>#REF!</v>
      </c>
      <c r="H34" s="49">
        <v>1</v>
      </c>
      <c r="I34" s="49" t="e">
        <v>#REF!</v>
      </c>
      <c r="J34" s="50"/>
    </row>
    <row r="35" outlineLevel="1" spans="1:10">
      <c r="A35" s="50">
        <v>25</v>
      </c>
      <c r="B35" s="51" t="str">
        <v>矩形柱C40P6/P8</v>
      </c>
      <c r="C35" s="51" t="e">
        <v>#REF!</v>
      </c>
      <c r="D35" s="51" t="str">
        <v/>
      </c>
      <c r="E35" s="51" t="str">
        <v/>
      </c>
      <c r="F35" s="52" t="e">
        <v>#REF!</v>
      </c>
      <c r="G35" s="48" t="e">
        <v>#REF!</v>
      </c>
      <c r="H35" s="49">
        <v>0</v>
      </c>
      <c r="I35" s="49" t="e">
        <v>#REF!</v>
      </c>
      <c r="J35" s="50"/>
    </row>
    <row r="36" outlineLevel="1" spans="1:10">
      <c r="A36" s="50">
        <v>26</v>
      </c>
      <c r="B36" s="51" t="str">
        <v>矩形梁C30</v>
      </c>
      <c r="C36" s="51" t="e">
        <v>#REF!</v>
      </c>
      <c r="D36" s="51" t="str">
        <v/>
      </c>
      <c r="E36" s="51" t="str">
        <v/>
      </c>
      <c r="F36" s="52" t="e">
        <v>#REF!</v>
      </c>
      <c r="G36" s="48" t="e">
        <v>#REF!</v>
      </c>
      <c r="H36" s="49">
        <v>40.87</v>
      </c>
      <c r="I36" s="49" t="e">
        <v>#REF!</v>
      </c>
      <c r="J36" s="50"/>
    </row>
    <row r="37" outlineLevel="1" spans="1:10">
      <c r="A37" s="50">
        <v>27</v>
      </c>
      <c r="B37" s="51" t="str">
        <v>矩形梁C35</v>
      </c>
      <c r="C37" s="51" t="e">
        <v>#REF!</v>
      </c>
      <c r="D37" s="51" t="str">
        <v/>
      </c>
      <c r="E37" s="51" t="str">
        <v/>
      </c>
      <c r="F37" s="52" t="e">
        <v>#REF!</v>
      </c>
      <c r="G37" s="48" t="e">
        <v>#REF!</v>
      </c>
      <c r="H37" s="49">
        <v>0</v>
      </c>
      <c r="I37" s="49" t="e">
        <v>#REF!</v>
      </c>
      <c r="J37" s="50"/>
    </row>
    <row r="38" outlineLevel="1" spans="1:10">
      <c r="A38" s="50">
        <v>28</v>
      </c>
      <c r="B38" s="51" t="str">
        <v>矩形梁C30P6/P8</v>
      </c>
      <c r="C38" s="51" t="e">
        <v>#REF!</v>
      </c>
      <c r="D38" s="51" t="str">
        <v/>
      </c>
      <c r="E38" s="51" t="str">
        <v/>
      </c>
      <c r="F38" s="52" t="e">
        <v>#REF!</v>
      </c>
      <c r="G38" s="48" t="e">
        <v>#REF!</v>
      </c>
      <c r="H38" s="49">
        <v>1</v>
      </c>
      <c r="I38" s="49" t="e">
        <v>#REF!</v>
      </c>
      <c r="J38" s="50"/>
    </row>
    <row r="39" outlineLevel="1" spans="1:10">
      <c r="A39" s="50">
        <v>29</v>
      </c>
      <c r="B39" s="51" t="str">
        <v>矩形梁C40P6/P8</v>
      </c>
      <c r="C39" s="51" t="e">
        <v>#REF!</v>
      </c>
      <c r="D39" s="51" t="str">
        <v/>
      </c>
      <c r="E39" s="51" t="str">
        <v/>
      </c>
      <c r="F39" s="52" t="e">
        <v>#REF!</v>
      </c>
      <c r="G39" s="48" t="e">
        <v>#REF!</v>
      </c>
      <c r="H39" s="49">
        <v>0</v>
      </c>
      <c r="I39" s="49" t="e">
        <v>#REF!</v>
      </c>
      <c r="J39" s="50"/>
    </row>
    <row r="40" outlineLevel="1" spans="1:10">
      <c r="A40" s="50">
        <v>30</v>
      </c>
      <c r="B40" s="51" t="str">
        <v>直形墙C30抗渗P6/P8</v>
      </c>
      <c r="C40" s="51" t="e">
        <v>#REF!</v>
      </c>
      <c r="D40" s="51" t="str">
        <v/>
      </c>
      <c r="E40" s="51" t="str">
        <v/>
      </c>
      <c r="F40" s="52" t="e">
        <v>#REF!</v>
      </c>
      <c r="G40" s="48" t="e">
        <v>#REF!</v>
      </c>
      <c r="H40" s="49">
        <v>141.12</v>
      </c>
      <c r="I40" s="49" t="e">
        <v>#REF!</v>
      </c>
      <c r="J40" s="50"/>
    </row>
    <row r="41" outlineLevel="1" spans="1:10">
      <c r="A41" s="50">
        <v>31</v>
      </c>
      <c r="B41" s="51" t="str">
        <v>直形墙C30</v>
      </c>
      <c r="C41" s="51" t="e">
        <v>#REF!</v>
      </c>
      <c r="D41" s="51" t="str">
        <v/>
      </c>
      <c r="E41" s="51" t="str">
        <v/>
      </c>
      <c r="F41" s="52" t="e">
        <v>#REF!</v>
      </c>
      <c r="G41" s="48" t="e">
        <v>#REF!</v>
      </c>
      <c r="H41" s="49">
        <v>150.66</v>
      </c>
      <c r="I41" s="49" t="e">
        <v>#REF!</v>
      </c>
      <c r="J41" s="50"/>
    </row>
    <row r="42" outlineLevel="1" spans="1:10">
      <c r="A42" s="50">
        <v>32</v>
      </c>
      <c r="B42" s="51" t="str">
        <v>电梯井壁C30</v>
      </c>
      <c r="C42" s="51" t="e">
        <v>#REF!</v>
      </c>
      <c r="D42" s="51" t="str">
        <v/>
      </c>
      <c r="E42" s="51" t="str">
        <v/>
      </c>
      <c r="F42" s="52" t="e">
        <v>#REF!</v>
      </c>
      <c r="G42" s="48" t="e">
        <v>#REF!</v>
      </c>
      <c r="H42" s="49">
        <v>12.83</v>
      </c>
      <c r="I42" s="49" t="e">
        <v>#REF!</v>
      </c>
      <c r="J42" s="50"/>
    </row>
    <row r="43" outlineLevel="1" spans="1:10">
      <c r="A43" s="50">
        <v>33</v>
      </c>
      <c r="B43" s="51" t="str">
        <v>人防预制梁C40抗渗P6/P8</v>
      </c>
      <c r="C43" s="51" t="e">
        <v>#REF!</v>
      </c>
      <c r="D43" s="51" t="str">
        <v/>
      </c>
      <c r="E43" s="51" t="str">
        <v/>
      </c>
      <c r="F43" s="52" t="e">
        <v>#REF!</v>
      </c>
      <c r="G43" s="48" t="e">
        <v>#REF!</v>
      </c>
      <c r="H43" s="49">
        <v>0</v>
      </c>
      <c r="I43" s="49" t="e">
        <v>#REF!</v>
      </c>
      <c r="J43" s="50"/>
    </row>
    <row r="44" outlineLevel="1" spans="1:10">
      <c r="A44" s="50">
        <v>34</v>
      </c>
      <c r="B44" s="51" t="str">
        <v>斜梁C40抗渗P6/P8</v>
      </c>
      <c r="C44" s="51" t="e">
        <v>#REF!</v>
      </c>
      <c r="D44" s="51" t="str">
        <v/>
      </c>
      <c r="E44" s="51" t="str">
        <v/>
      </c>
      <c r="F44" s="52" t="e">
        <v>#REF!</v>
      </c>
      <c r="G44" s="48" t="e">
        <v>#REF!</v>
      </c>
      <c r="H44" s="49">
        <v>0</v>
      </c>
      <c r="I44" s="49" t="e">
        <v>#REF!</v>
      </c>
      <c r="J44" s="50"/>
    </row>
    <row r="45" outlineLevel="1" spans="1:10">
      <c r="A45" s="50">
        <v>35</v>
      </c>
      <c r="B45" s="51" t="str">
        <v>电梯井壁C30P6/P8</v>
      </c>
      <c r="C45" s="51" t="e">
        <v>#REF!</v>
      </c>
      <c r="D45" s="51" t="str">
        <v/>
      </c>
      <c r="E45" s="51" t="str">
        <v/>
      </c>
      <c r="F45" s="52" t="e">
        <v>#REF!</v>
      </c>
      <c r="G45" s="48" t="e">
        <v>#REF!</v>
      </c>
      <c r="H45" s="49">
        <v>1</v>
      </c>
      <c r="I45" s="49" t="e">
        <v>#REF!</v>
      </c>
      <c r="J45" s="50"/>
    </row>
    <row r="46" outlineLevel="1" spans="1:10">
      <c r="A46" s="50">
        <v>36</v>
      </c>
      <c r="B46" s="51" t="str">
        <v>平板C30</v>
      </c>
      <c r="C46" s="51" t="e">
        <v>#REF!</v>
      </c>
      <c r="D46" s="51" t="str">
        <v/>
      </c>
      <c r="E46" s="51" t="str">
        <v/>
      </c>
      <c r="F46" s="52" t="e">
        <v>#REF!</v>
      </c>
      <c r="G46" s="48" t="e">
        <v>#REF!</v>
      </c>
      <c r="H46" s="49">
        <v>86.12</v>
      </c>
      <c r="I46" s="49" t="e">
        <v>#REF!</v>
      </c>
      <c r="J46" s="50"/>
    </row>
    <row r="47" outlineLevel="1" spans="1:10">
      <c r="A47" s="50">
        <v>37</v>
      </c>
      <c r="B47" s="51" t="str">
        <v>天沟(檐沟）挑檐板C30</v>
      </c>
      <c r="C47" s="51" t="e">
        <v>#REF!</v>
      </c>
      <c r="D47" s="51" t="str">
        <v/>
      </c>
      <c r="E47" s="51" t="str">
        <v/>
      </c>
      <c r="F47" s="52" t="e">
        <v>#REF!</v>
      </c>
      <c r="G47" s="48" t="e">
        <v>#REF!</v>
      </c>
      <c r="H47" s="49">
        <v>1</v>
      </c>
      <c r="I47" s="49" t="e">
        <v>#REF!</v>
      </c>
      <c r="J47" s="50"/>
    </row>
    <row r="48" outlineLevel="1" spans="1:10">
      <c r="A48" s="50">
        <v>38</v>
      </c>
      <c r="B48" s="51" t="str">
        <v>直形墙C40</v>
      </c>
      <c r="C48" s="51" t="e">
        <v>#REF!</v>
      </c>
      <c r="D48" s="51" t="str">
        <v/>
      </c>
      <c r="E48" s="51" t="str">
        <v/>
      </c>
      <c r="F48" s="52" t="e">
        <v>#REF!</v>
      </c>
      <c r="G48" s="48" t="e">
        <v>#REF!</v>
      </c>
      <c r="H48" s="49">
        <v>0</v>
      </c>
      <c r="I48" s="49" t="e">
        <v>#REF!</v>
      </c>
      <c r="J48" s="50"/>
    </row>
    <row r="49" outlineLevel="1" spans="1:10">
      <c r="A49" s="50">
        <v>39</v>
      </c>
      <c r="B49" s="51" t="str">
        <v>直形墙C40抗渗P6/P8</v>
      </c>
      <c r="C49" s="51" t="e">
        <v>#REF!</v>
      </c>
      <c r="D49" s="51" t="str">
        <v/>
      </c>
      <c r="E49" s="51" t="str">
        <v/>
      </c>
      <c r="F49" s="52" t="e">
        <v>#REF!</v>
      </c>
      <c r="G49" s="48" t="e">
        <v>#REF!</v>
      </c>
      <c r="H49" s="49">
        <v>0</v>
      </c>
      <c r="I49" s="49" t="e">
        <v>#REF!</v>
      </c>
      <c r="J49" s="50"/>
    </row>
    <row r="50" outlineLevel="1" spans="1:10">
      <c r="A50" s="50">
        <v>40</v>
      </c>
      <c r="B50" s="51" t="str">
        <v>弧形墙C40抗渗P6/P8</v>
      </c>
      <c r="C50" s="51" t="e">
        <v>#REF!</v>
      </c>
      <c r="D50" s="51" t="str">
        <v/>
      </c>
      <c r="E50" s="51" t="str">
        <v/>
      </c>
      <c r="F50" s="52" t="e">
        <v>#REF!</v>
      </c>
      <c r="G50" s="48" t="e">
        <v>#REF!</v>
      </c>
      <c r="H50" s="49">
        <v>0</v>
      </c>
      <c r="I50" s="49" t="e">
        <v>#REF!</v>
      </c>
      <c r="J50" s="50"/>
    </row>
    <row r="51" outlineLevel="1" spans="1:10">
      <c r="A51" s="50">
        <v>41</v>
      </c>
      <c r="B51" s="51" t="str">
        <v>直形楼梯C30</v>
      </c>
      <c r="C51" s="51" t="e">
        <v>#REF!</v>
      </c>
      <c r="D51" s="51" t="str">
        <v/>
      </c>
      <c r="E51" s="51" t="str">
        <v/>
      </c>
      <c r="F51" s="52" t="e">
        <v>#REF!</v>
      </c>
      <c r="G51" s="48" t="e">
        <v>#REF!</v>
      </c>
      <c r="H51" s="49">
        <v>5.73</v>
      </c>
      <c r="I51" s="49" t="e">
        <v>#REF!</v>
      </c>
      <c r="J51" s="50"/>
    </row>
    <row r="52" outlineLevel="1" spans="1:10">
      <c r="A52" s="50">
        <v>42</v>
      </c>
      <c r="B52" s="51" t="str">
        <v>梁后浇带C35</v>
      </c>
      <c r="C52" s="51" t="e">
        <v>#REF!</v>
      </c>
      <c r="D52" s="51" t="str">
        <v/>
      </c>
      <c r="E52" s="51" t="str">
        <v/>
      </c>
      <c r="F52" s="52" t="e">
        <v>#REF!</v>
      </c>
      <c r="G52" s="48" t="e">
        <v>#REF!</v>
      </c>
      <c r="H52" s="49">
        <v>0.57</v>
      </c>
      <c r="I52" s="49" t="e">
        <v>#REF!</v>
      </c>
      <c r="J52" s="50"/>
    </row>
    <row r="53" outlineLevel="1" spans="1:10">
      <c r="A53" s="50">
        <v>43</v>
      </c>
      <c r="B53" s="51" t="str">
        <v>板后浇带C35</v>
      </c>
      <c r="C53" s="51" t="e">
        <v>#REF!</v>
      </c>
      <c r="D53" s="51" t="str">
        <v/>
      </c>
      <c r="E53" s="51" t="str">
        <v/>
      </c>
      <c r="F53" s="52" t="e">
        <v>#REF!</v>
      </c>
      <c r="G53" s="48" t="e">
        <v>#REF!</v>
      </c>
      <c r="H53" s="49">
        <v>1.16</v>
      </c>
      <c r="I53" s="49" t="e">
        <v>#REF!</v>
      </c>
      <c r="J53" s="50"/>
    </row>
    <row r="54" outlineLevel="1" spans="1:10">
      <c r="A54" s="50">
        <v>44</v>
      </c>
      <c r="B54" s="51" t="str">
        <v>墙后浇带C40抗渗P6/P8</v>
      </c>
      <c r="C54" s="51" t="e">
        <v>#REF!</v>
      </c>
      <c r="D54" s="51" t="str">
        <v/>
      </c>
      <c r="E54" s="51" t="str">
        <v/>
      </c>
      <c r="F54" s="52" t="e">
        <v>#REF!</v>
      </c>
      <c r="G54" s="48" t="e">
        <v>#REF!</v>
      </c>
      <c r="H54" s="49">
        <v>1.18</v>
      </c>
      <c r="I54" s="49" t="e">
        <v>#REF!</v>
      </c>
      <c r="J54" s="50"/>
    </row>
    <row r="55" ht="28.8" outlineLevel="1" spans="1:10">
      <c r="A55" s="50">
        <v>45</v>
      </c>
      <c r="B55" s="51" t="str">
        <v>满堂基础后浇带C35抗渗P6/P8</v>
      </c>
      <c r="C55" s="51" t="e">
        <v>#REF!</v>
      </c>
      <c r="D55" s="51" t="str">
        <v/>
      </c>
      <c r="E55" s="51" t="str">
        <v/>
      </c>
      <c r="F55" s="52" t="e">
        <v>#REF!</v>
      </c>
      <c r="G55" s="48" t="e">
        <v>#REF!</v>
      </c>
      <c r="H55" s="49">
        <v>5.27</v>
      </c>
      <c r="I55" s="49" t="e">
        <v>#REF!</v>
      </c>
      <c r="J55" s="50"/>
    </row>
    <row r="56" outlineLevel="1" spans="1:10">
      <c r="A56" s="50">
        <v>46</v>
      </c>
      <c r="B56" s="51" t="str">
        <v>预制板C30</v>
      </c>
      <c r="C56" s="51" t="e">
        <v>#REF!</v>
      </c>
      <c r="D56" s="51" t="str">
        <v/>
      </c>
      <c r="E56" s="51" t="str">
        <v/>
      </c>
      <c r="F56" s="52" t="e">
        <v>#REF!</v>
      </c>
      <c r="G56" s="48" t="e">
        <v>#REF!</v>
      </c>
      <c r="H56" s="49">
        <v>0.24</v>
      </c>
      <c r="I56" s="49" t="e">
        <v>#REF!</v>
      </c>
      <c r="J56" s="50"/>
    </row>
    <row r="57" outlineLevel="1" spans="1:10">
      <c r="A57" s="50">
        <v>47</v>
      </c>
      <c r="B57" s="51" t="str">
        <v>无梁板C40抗渗P6/P8</v>
      </c>
      <c r="C57" s="51" t="e">
        <v>#REF!</v>
      </c>
      <c r="D57" s="51" t="str">
        <v/>
      </c>
      <c r="E57" s="51" t="str">
        <v/>
      </c>
      <c r="F57" s="52" t="e">
        <v>#REF!</v>
      </c>
      <c r="G57" s="48" t="e">
        <v>#REF!</v>
      </c>
      <c r="H57" s="49">
        <v>0</v>
      </c>
      <c r="I57" s="49" t="e">
        <v>#REF!</v>
      </c>
      <c r="J57" s="50"/>
    </row>
    <row r="58" outlineLevel="1" spans="1:10">
      <c r="A58" s="50">
        <v>48</v>
      </c>
      <c r="B58" s="51" t="str">
        <v>斜板C40抗渗P6/P8</v>
      </c>
      <c r="C58" s="51" t="e">
        <v>#REF!</v>
      </c>
      <c r="D58" s="51" t="str">
        <v/>
      </c>
      <c r="E58" s="51" t="str">
        <v/>
      </c>
      <c r="F58" s="52" t="e">
        <v>#REF!</v>
      </c>
      <c r="G58" s="48" t="e">
        <v>#REF!</v>
      </c>
      <c r="H58" s="49">
        <v>0</v>
      </c>
      <c r="I58" s="49" t="e">
        <v>#REF!</v>
      </c>
      <c r="J58" s="50"/>
    </row>
    <row r="59" outlineLevel="1" spans="1:10">
      <c r="A59" s="50">
        <v>49</v>
      </c>
      <c r="B59" s="51" t="str">
        <v>天沟(檐沟）挑檐板C30</v>
      </c>
      <c r="C59" s="51" t="e">
        <v>#REF!</v>
      </c>
      <c r="D59" s="51" t="str">
        <v/>
      </c>
      <c r="E59" s="51" t="str">
        <v/>
      </c>
      <c r="F59" s="52" t="e">
        <v>#REF!</v>
      </c>
      <c r="G59" s="48" t="e">
        <v>#REF!</v>
      </c>
      <c r="H59" s="49">
        <v>0</v>
      </c>
      <c r="I59" s="49" t="e">
        <v>#REF!</v>
      </c>
      <c r="J59" s="50"/>
    </row>
    <row r="60" outlineLevel="1" spans="1:10">
      <c r="A60" s="50">
        <v>50</v>
      </c>
      <c r="B60" s="51" t="str">
        <v>栏板C35</v>
      </c>
      <c r="C60" s="51" t="e">
        <v>#REF!</v>
      </c>
      <c r="D60" s="51" t="str">
        <v/>
      </c>
      <c r="E60" s="51" t="str">
        <v/>
      </c>
      <c r="F60" s="52" t="e">
        <v>#REF!</v>
      </c>
      <c r="G60" s="48" t="e">
        <v>#REF!</v>
      </c>
      <c r="H60" s="49">
        <v>0</v>
      </c>
      <c r="I60" s="49" t="e">
        <v>#REF!</v>
      </c>
      <c r="J60" s="50"/>
    </row>
    <row r="61" outlineLevel="1" spans="1:10">
      <c r="A61" s="50">
        <v>51</v>
      </c>
      <c r="B61" s="51" t="str">
        <v>平板C35</v>
      </c>
      <c r="C61" s="51" t="e">
        <v>#REF!</v>
      </c>
      <c r="D61" s="51" t="str">
        <v/>
      </c>
      <c r="E61" s="51" t="str">
        <v/>
      </c>
      <c r="F61" s="52" t="e">
        <v>#REF!</v>
      </c>
      <c r="G61" s="48" t="e">
        <v>#REF!</v>
      </c>
      <c r="H61" s="49">
        <v>0</v>
      </c>
      <c r="I61" s="49" t="e">
        <v>#REF!</v>
      </c>
      <c r="J61" s="50"/>
    </row>
    <row r="62" outlineLevel="1" spans="1:10">
      <c r="A62" s="50">
        <v>52</v>
      </c>
      <c r="B62" s="51" t="str">
        <v>平板C40抗渗P6/P8</v>
      </c>
      <c r="C62" s="51" t="e">
        <v>#REF!</v>
      </c>
      <c r="D62" s="51" t="str">
        <v/>
      </c>
      <c r="E62" s="51" t="str">
        <v/>
      </c>
      <c r="F62" s="52" t="e">
        <v>#REF!</v>
      </c>
      <c r="G62" s="48" t="e">
        <v>#REF!</v>
      </c>
      <c r="H62" s="49">
        <v>0</v>
      </c>
      <c r="I62" s="49" t="e">
        <v>#REF!</v>
      </c>
      <c r="J62" s="50"/>
    </row>
    <row r="63" outlineLevel="1" spans="1:10">
      <c r="A63" s="50">
        <v>53</v>
      </c>
      <c r="B63" s="51" t="str">
        <v>直形楼梯C30</v>
      </c>
      <c r="C63" s="51" t="e">
        <v>#REF!</v>
      </c>
      <c r="D63" s="51" t="str">
        <v/>
      </c>
      <c r="E63" s="51" t="str">
        <v/>
      </c>
      <c r="F63" s="52" t="e">
        <v>#REF!</v>
      </c>
      <c r="G63" s="48" t="e">
        <v>#REF!</v>
      </c>
      <c r="H63" s="49">
        <v>0</v>
      </c>
      <c r="I63" s="49" t="e">
        <v>#REF!</v>
      </c>
      <c r="J63" s="50"/>
    </row>
    <row r="64" outlineLevel="1" spans="1:10">
      <c r="A64" s="50">
        <v>54</v>
      </c>
      <c r="B64" s="51" t="str">
        <v>沟盖板C30抗渗P6/P8</v>
      </c>
      <c r="C64" s="51" t="e">
        <v>#REF!</v>
      </c>
      <c r="D64" s="51" t="str">
        <v/>
      </c>
      <c r="E64" s="51" t="str">
        <v/>
      </c>
      <c r="F64" s="52" t="e">
        <v>#REF!</v>
      </c>
      <c r="G64" s="48" t="e">
        <v>#REF!</v>
      </c>
      <c r="H64" s="49">
        <v>0</v>
      </c>
      <c r="I64" s="49" t="e">
        <v>#REF!</v>
      </c>
      <c r="J64" s="50"/>
    </row>
    <row r="65" outlineLevel="1" spans="1:10">
      <c r="A65" s="50">
        <v>55</v>
      </c>
      <c r="B65" s="51" t="str">
        <v>梁后浇带C45抗渗P6/P8</v>
      </c>
      <c r="C65" s="51" t="e">
        <v>#REF!</v>
      </c>
      <c r="D65" s="51" t="str">
        <v/>
      </c>
      <c r="E65" s="51" t="str">
        <v/>
      </c>
      <c r="F65" s="52" t="e">
        <v>#REF!</v>
      </c>
      <c r="G65" s="48" t="e">
        <v>#REF!</v>
      </c>
      <c r="H65" s="49">
        <v>0</v>
      </c>
      <c r="I65" s="49" t="e">
        <v>#REF!</v>
      </c>
      <c r="J65" s="50"/>
    </row>
    <row r="66" outlineLevel="1" spans="1:10">
      <c r="A66" s="50">
        <v>56</v>
      </c>
      <c r="B66" s="51" t="str">
        <v>板后浇带C45抗渗P6/P8</v>
      </c>
      <c r="C66" s="51" t="e">
        <v>#REF!</v>
      </c>
      <c r="D66" s="51" t="str">
        <v/>
      </c>
      <c r="E66" s="51" t="str">
        <v/>
      </c>
      <c r="F66" s="52" t="e">
        <v>#REF!</v>
      </c>
      <c r="G66" s="48" t="e">
        <v>#REF!</v>
      </c>
      <c r="H66" s="49">
        <v>0</v>
      </c>
      <c r="I66" s="49" t="e">
        <v>#REF!</v>
      </c>
      <c r="J66" s="50"/>
    </row>
    <row r="67" outlineLevel="1" spans="1:10">
      <c r="A67" s="50">
        <v>57</v>
      </c>
      <c r="B67" s="51" t="str">
        <v>墙后浇带C45抗渗P6/P8</v>
      </c>
      <c r="C67" s="51" t="e">
        <v>#REF!</v>
      </c>
      <c r="D67" s="51" t="str">
        <v/>
      </c>
      <c r="E67" s="51" t="str">
        <v/>
      </c>
      <c r="F67" s="52" t="e">
        <v>#REF!</v>
      </c>
      <c r="G67" s="48" t="e">
        <v>#REF!</v>
      </c>
      <c r="H67" s="49">
        <v>0</v>
      </c>
      <c r="I67" s="49" t="e">
        <v>#REF!</v>
      </c>
      <c r="J67" s="50"/>
    </row>
    <row r="68" ht="28.8" outlineLevel="1" spans="1:10">
      <c r="A68" s="50">
        <v>58</v>
      </c>
      <c r="B68" s="51" t="str">
        <v>满堂基础后浇带C35抗渗P6/P8</v>
      </c>
      <c r="C68" s="51" t="e">
        <v>#REF!</v>
      </c>
      <c r="D68" s="51" t="str">
        <v/>
      </c>
      <c r="E68" s="51" t="str">
        <v/>
      </c>
      <c r="F68" s="52" t="e">
        <v>#REF!</v>
      </c>
      <c r="G68" s="48" t="e">
        <v>#REF!</v>
      </c>
      <c r="H68" s="49">
        <v>0</v>
      </c>
      <c r="I68" s="49" t="e">
        <v>#REF!</v>
      </c>
      <c r="J68" s="50"/>
    </row>
    <row r="69" outlineLevel="1" spans="1:10">
      <c r="A69" s="50">
        <v>59</v>
      </c>
      <c r="B69" s="51" t="str">
        <v>消防水池池底C30抗渗P6/P8</v>
      </c>
      <c r="C69" s="51" t="e">
        <v>#REF!</v>
      </c>
      <c r="D69" s="51" t="str">
        <v/>
      </c>
      <c r="E69" s="51" t="str">
        <v/>
      </c>
      <c r="F69" s="52" t="e">
        <v>#REF!</v>
      </c>
      <c r="G69" s="48" t="e">
        <v>#REF!</v>
      </c>
      <c r="H69" s="49">
        <v>0</v>
      </c>
      <c r="I69" s="49" t="e">
        <v>#REF!</v>
      </c>
      <c r="J69" s="50"/>
    </row>
    <row r="70" outlineLevel="1" spans="1:10">
      <c r="A70" s="50">
        <v>60</v>
      </c>
      <c r="B70" s="51" t="str">
        <v>消防水池池壁C30抗渗P6/P8</v>
      </c>
      <c r="C70" s="51" t="e">
        <v>#REF!</v>
      </c>
      <c r="D70" s="51" t="str">
        <v/>
      </c>
      <c r="E70" s="51" t="str">
        <v/>
      </c>
      <c r="F70" s="52" t="e">
        <v>#REF!</v>
      </c>
      <c r="G70" s="48" t="e">
        <v>#REF!</v>
      </c>
      <c r="H70" s="49">
        <v>0</v>
      </c>
      <c r="I70" s="49" t="e">
        <v>#REF!</v>
      </c>
      <c r="J70" s="50"/>
    </row>
    <row r="71" outlineLevel="1" spans="1:10">
      <c r="A71" s="50">
        <v>61</v>
      </c>
      <c r="B71" s="51" t="str">
        <v>设备基础C25</v>
      </c>
      <c r="C71" s="51" t="e">
        <v>#REF!</v>
      </c>
      <c r="D71" s="51" t="str">
        <v/>
      </c>
      <c r="E71" s="51" t="str">
        <v/>
      </c>
      <c r="F71" s="52" t="e">
        <v>#REF!</v>
      </c>
      <c r="G71" s="48" t="e">
        <v>#REF!</v>
      </c>
      <c r="H71" s="49">
        <v>0</v>
      </c>
      <c r="I71" s="49" t="e">
        <v>#REF!</v>
      </c>
      <c r="J71" s="50"/>
    </row>
    <row r="72" outlineLevel="1" spans="1:10">
      <c r="A72" s="50" t="str">
        <v/>
      </c>
      <c r="B72" s="51" t="str">
        <v>A.02.02钢筋工程</v>
      </c>
      <c r="C72" s="51" t="str">
        <v/>
      </c>
      <c r="D72" s="51" t="str">
        <v/>
      </c>
      <c r="E72" s="51" t="str">
        <v/>
      </c>
      <c r="F72" s="52" t="str">
        <v/>
      </c>
      <c r="G72" s="48" t="str">
        <v/>
      </c>
      <c r="H72" s="49">
        <v>0</v>
      </c>
      <c r="I72" s="49" t="e">
        <v>#REF!</v>
      </c>
      <c r="J72" s="50"/>
    </row>
    <row r="73" ht="43.2" outlineLevel="1" spans="1:10">
      <c r="A73" s="50">
        <v>62</v>
      </c>
      <c r="B73" s="51" t="str">
        <v>地下现浇构件钢筋-φ10以内</v>
      </c>
      <c r="C73" s="51" t="e">
        <v>#REF!</v>
      </c>
      <c r="D73" s="51" t="str">
        <v>地下主体结构钢筋</v>
      </c>
      <c r="E73" s="51" t="str">
        <v>地下主体结构钢筋</v>
      </c>
      <c r="F73" s="52" t="e">
        <v>#REF!</v>
      </c>
      <c r="G73" s="48" t="e">
        <v>#REF!</v>
      </c>
      <c r="H73" s="49">
        <v>0.197</v>
      </c>
      <c r="I73" s="49" t="e">
        <v>#REF!</v>
      </c>
      <c r="J73" s="50"/>
    </row>
    <row r="74" ht="43.2" outlineLevel="1" spans="1:10">
      <c r="A74" s="50">
        <v>63</v>
      </c>
      <c r="B74" s="51" t="str">
        <v>地下现浇构件钢筋-三级钢筋 Φ6</v>
      </c>
      <c r="C74" s="51" t="e">
        <v>#REF!</v>
      </c>
      <c r="D74" s="51" t="str">
        <v>地下主体结构钢筋</v>
      </c>
      <c r="E74" s="51" t="str">
        <v>地下主体结构钢筋</v>
      </c>
      <c r="F74" s="52" t="e">
        <v>#REF!</v>
      </c>
      <c r="G74" s="48" t="e">
        <v>#REF!</v>
      </c>
      <c r="H74" s="49">
        <v>0.499</v>
      </c>
      <c r="I74" s="49" t="e">
        <v>#REF!</v>
      </c>
      <c r="J74" s="50"/>
    </row>
    <row r="75" ht="43.2" outlineLevel="1" spans="1:10">
      <c r="A75" s="50">
        <v>64</v>
      </c>
      <c r="B75" s="51" t="str">
        <v>地下现浇构件钢筋-三级钢筋 Φ8</v>
      </c>
      <c r="C75" s="51" t="e">
        <v>#REF!</v>
      </c>
      <c r="D75" s="51" t="str">
        <v>地下主体结构钢筋</v>
      </c>
      <c r="E75" s="51" t="str">
        <v>地下主体结构钢筋</v>
      </c>
      <c r="F75" s="52" t="e">
        <v>#REF!</v>
      </c>
      <c r="G75" s="48" t="e">
        <v>#REF!</v>
      </c>
      <c r="H75" s="49">
        <v>13.53</v>
      </c>
      <c r="I75" s="49" t="e">
        <v>#REF!</v>
      </c>
      <c r="J75" s="50"/>
    </row>
    <row r="76" ht="43.2" outlineLevel="1" spans="1:10">
      <c r="A76" s="50">
        <v>65</v>
      </c>
      <c r="B76" s="51" t="str">
        <v>地下现浇构件钢筋-三级钢筋 Φ10</v>
      </c>
      <c r="C76" s="51" t="e">
        <v>#REF!</v>
      </c>
      <c r="D76" s="51" t="str">
        <v>地下主体结构钢筋</v>
      </c>
      <c r="E76" s="51" t="str">
        <v>地下主体结构钢筋</v>
      </c>
      <c r="F76" s="52" t="e">
        <v>#REF!</v>
      </c>
      <c r="G76" s="48" t="e">
        <v>#REF!</v>
      </c>
      <c r="H76" s="49">
        <v>3.542</v>
      </c>
      <c r="I76" s="49" t="e">
        <v>#REF!</v>
      </c>
      <c r="J76" s="50"/>
    </row>
    <row r="77" ht="43.2" outlineLevel="1" spans="1:10">
      <c r="A77" s="50">
        <v>66</v>
      </c>
      <c r="B77" s="51" t="str">
        <v>地下现浇构件钢筋-三级钢筋 Φ12</v>
      </c>
      <c r="C77" s="51" t="e">
        <v>#REF!</v>
      </c>
      <c r="D77" s="51" t="str">
        <v>地下主体结构钢筋</v>
      </c>
      <c r="E77" s="51" t="str">
        <v>地下主体结构钢筋</v>
      </c>
      <c r="F77" s="52" t="e">
        <v>#REF!</v>
      </c>
      <c r="G77" s="48" t="e">
        <v>#REF!</v>
      </c>
      <c r="H77" s="49">
        <v>37.228</v>
      </c>
      <c r="I77" s="49" t="e">
        <v>#REF!</v>
      </c>
      <c r="J77" s="50"/>
    </row>
    <row r="78" ht="43.2" outlineLevel="1" spans="1:10">
      <c r="A78" s="50">
        <v>67</v>
      </c>
      <c r="B78" s="51" t="str">
        <v>地下现浇构件钢筋-三级钢筋 Φ14</v>
      </c>
      <c r="C78" s="51" t="e">
        <v>#REF!</v>
      </c>
      <c r="D78" s="51" t="str">
        <v>地下主体结构钢筋</v>
      </c>
      <c r="E78" s="51" t="str">
        <v>地下主体结构钢筋</v>
      </c>
      <c r="F78" s="52" t="e">
        <v>#REF!</v>
      </c>
      <c r="G78" s="48" t="e">
        <v>#REF!</v>
      </c>
      <c r="H78" s="49">
        <v>28.892</v>
      </c>
      <c r="I78" s="49" t="e">
        <v>#REF!</v>
      </c>
      <c r="J78" s="50"/>
    </row>
    <row r="79" ht="43.2" outlineLevel="1" spans="1:10">
      <c r="A79" s="50">
        <v>68</v>
      </c>
      <c r="B79" s="51" t="str">
        <v>地下现浇构件钢筋-三级钢筋 Φ16</v>
      </c>
      <c r="C79" s="51" t="e">
        <v>#REF!</v>
      </c>
      <c r="D79" s="51" t="str">
        <v>地下主体结构钢筋</v>
      </c>
      <c r="E79" s="51" t="str">
        <v>地下主体结构钢筋</v>
      </c>
      <c r="F79" s="52" t="e">
        <v>#REF!</v>
      </c>
      <c r="G79" s="48" t="e">
        <v>#REF!</v>
      </c>
      <c r="H79" s="49">
        <v>9.729</v>
      </c>
      <c r="I79" s="49" t="e">
        <v>#REF!</v>
      </c>
      <c r="J79" s="50"/>
    </row>
    <row r="80" ht="43.2" outlineLevel="1" spans="1:10">
      <c r="A80" s="50">
        <v>69</v>
      </c>
      <c r="B80" s="51" t="str">
        <v>地下现浇构件钢筋-三级钢筋 Φ18</v>
      </c>
      <c r="C80" s="51" t="e">
        <v>#REF!</v>
      </c>
      <c r="D80" s="51" t="str">
        <v>地下主体结构钢筋</v>
      </c>
      <c r="E80" s="51" t="str">
        <v>地下主体结构钢筋</v>
      </c>
      <c r="F80" s="52" t="e">
        <v>#REF!</v>
      </c>
      <c r="G80" s="48" t="e">
        <v>#REF!</v>
      </c>
      <c r="H80" s="49">
        <v>1.492</v>
      </c>
      <c r="I80" s="49" t="e">
        <v>#REF!</v>
      </c>
      <c r="J80" s="50"/>
    </row>
    <row r="81" ht="43.2" outlineLevel="1" spans="1:10">
      <c r="A81" s="50">
        <v>70</v>
      </c>
      <c r="B81" s="51" t="str">
        <v>地下现浇构件钢筋-三级钢筋 Φ20</v>
      </c>
      <c r="C81" s="51" t="e">
        <v>#REF!</v>
      </c>
      <c r="D81" s="51" t="str">
        <v>地下主体结构钢筋</v>
      </c>
      <c r="E81" s="51" t="str">
        <v>地下主体结构钢筋</v>
      </c>
      <c r="F81" s="52" t="e">
        <v>#REF!</v>
      </c>
      <c r="G81" s="48" t="e">
        <v>#REF!</v>
      </c>
      <c r="H81" s="49">
        <v>8.078</v>
      </c>
      <c r="I81" s="49" t="e">
        <v>#REF!</v>
      </c>
      <c r="J81" s="50"/>
    </row>
    <row r="82" ht="43.2" outlineLevel="1" spans="1:10">
      <c r="A82" s="50">
        <v>71</v>
      </c>
      <c r="B82" s="51" t="str">
        <v>地下现浇构件钢筋-三级钢筋 Φ22</v>
      </c>
      <c r="C82" s="51" t="e">
        <v>#REF!</v>
      </c>
      <c r="D82" s="51" t="str">
        <v>地下主体结构钢筋</v>
      </c>
      <c r="E82" s="51" t="str">
        <v>地下主体结构钢筋</v>
      </c>
      <c r="F82" s="52" t="e">
        <v>#REF!</v>
      </c>
      <c r="G82" s="48" t="e">
        <v>#REF!</v>
      </c>
      <c r="H82" s="49">
        <v>6.212</v>
      </c>
      <c r="I82" s="49" t="e">
        <v>#REF!</v>
      </c>
      <c r="J82" s="50"/>
    </row>
    <row r="83" ht="43.2" outlineLevel="1" spans="1:10">
      <c r="A83" s="50">
        <v>72</v>
      </c>
      <c r="B83" s="51" t="str">
        <v>地下现浇构件钢筋-三级钢筋 Φ25</v>
      </c>
      <c r="C83" s="51" t="e">
        <v>#REF!</v>
      </c>
      <c r="D83" s="51" t="str">
        <v>地下主体结构钢筋</v>
      </c>
      <c r="E83" s="51" t="str">
        <v>地下主体结构钢筋</v>
      </c>
      <c r="F83" s="52" t="e">
        <v>#REF!</v>
      </c>
      <c r="G83" s="48" t="e">
        <v>#REF!</v>
      </c>
      <c r="H83" s="49">
        <v>0.387</v>
      </c>
      <c r="I83" s="49" t="e">
        <v>#REF!</v>
      </c>
      <c r="J83" s="50"/>
    </row>
    <row r="84" ht="43.2" outlineLevel="1" spans="1:10">
      <c r="A84" s="50">
        <v>73</v>
      </c>
      <c r="B84" s="51" t="str">
        <v>地下现浇构件措施钢筋-三级钢筋 Φ10</v>
      </c>
      <c r="C84" s="51" t="e">
        <v>#REF!</v>
      </c>
      <c r="D84" s="51" t="str">
        <v>地下主体结构钢筋</v>
      </c>
      <c r="E84" s="51" t="str">
        <v>地下主体结构钢筋</v>
      </c>
      <c r="F84" s="52" t="e">
        <v>#REF!</v>
      </c>
      <c r="G84" s="48" t="e">
        <v>#REF!</v>
      </c>
      <c r="H84" s="49">
        <v>0.174</v>
      </c>
      <c r="I84" s="49" t="e">
        <v>#REF!</v>
      </c>
      <c r="J84" s="50"/>
    </row>
    <row r="85" ht="43.2" outlineLevel="1" spans="1:10">
      <c r="A85" s="50">
        <v>74</v>
      </c>
      <c r="B85" s="51" t="str">
        <v>地下现浇构件措施钢筋-三级钢筋 Φ16</v>
      </c>
      <c r="C85" s="51" t="e">
        <v>#REF!</v>
      </c>
      <c r="D85" s="51" t="str">
        <v>地下主体结构钢筋</v>
      </c>
      <c r="E85" s="51" t="str">
        <v>地下主体结构钢筋</v>
      </c>
      <c r="F85" s="52" t="e">
        <v>#REF!</v>
      </c>
      <c r="G85" s="48" t="e">
        <v>#REF!</v>
      </c>
      <c r="H85" s="49">
        <v>1.31</v>
      </c>
      <c r="I85" s="49" t="e">
        <v>#REF!</v>
      </c>
      <c r="J85" s="50"/>
    </row>
    <row r="86" ht="43.2" outlineLevel="1" spans="1:10">
      <c r="A86" s="50">
        <v>75</v>
      </c>
      <c r="B86" s="51" t="str">
        <v>钢筋接头-直螺纹连接-φ20以内</v>
      </c>
      <c r="C86" s="51" t="e">
        <v>#REF!</v>
      </c>
      <c r="D86" s="51" t="str">
        <v/>
      </c>
      <c r="E86" s="51" t="str">
        <v>地下主体结构钢筋</v>
      </c>
      <c r="F86" s="52" t="e">
        <v>#REF!</v>
      </c>
      <c r="G86" s="48" t="e">
        <v>#REF!</v>
      </c>
      <c r="H86" s="49">
        <v>1064</v>
      </c>
      <c r="I86" s="49" t="e">
        <v>#REF!</v>
      </c>
      <c r="J86" s="50"/>
    </row>
    <row r="87" ht="43.2" outlineLevel="1" spans="1:10">
      <c r="A87" s="50">
        <v>76</v>
      </c>
      <c r="B87" s="51" t="str">
        <v>钢筋接头-直螺纹连接-Φ30以内</v>
      </c>
      <c r="C87" s="51" t="e">
        <v>#REF!</v>
      </c>
      <c r="D87" s="51" t="str">
        <v/>
      </c>
      <c r="E87" s="51" t="str">
        <v>地下主体结构钢筋</v>
      </c>
      <c r="F87" s="52" t="e">
        <v>#REF!</v>
      </c>
      <c r="G87" s="48" t="e">
        <v>#REF!</v>
      </c>
      <c r="H87" s="49">
        <v>28</v>
      </c>
      <c r="I87" s="49" t="e">
        <v>#REF!</v>
      </c>
      <c r="J87" s="50"/>
    </row>
    <row r="88" ht="43.2" outlineLevel="1" spans="1:10">
      <c r="A88" s="50">
        <v>77</v>
      </c>
      <c r="B88" s="51" t="str">
        <v>钢筋接头-电渣压力焊</v>
      </c>
      <c r="C88" s="51" t="e">
        <v>#REF!</v>
      </c>
      <c r="D88" s="51" t="str">
        <v/>
      </c>
      <c r="E88" s="51" t="str">
        <v>地下主体结构钢筋</v>
      </c>
      <c r="F88" s="52" t="e">
        <v>#REF!</v>
      </c>
      <c r="G88" s="48" t="e">
        <v>#REF!</v>
      </c>
      <c r="H88" s="49">
        <v>2478</v>
      </c>
      <c r="I88" s="49" t="e">
        <v>#REF!</v>
      </c>
      <c r="J88" s="50"/>
    </row>
    <row r="89" outlineLevel="1" spans="1:10">
      <c r="A89" s="50" t="str">
        <v/>
      </c>
      <c r="B89" s="51" t="str">
        <v>A.03二次结构工程</v>
      </c>
      <c r="C89" s="51" t="str">
        <v/>
      </c>
      <c r="D89" s="51" t="str">
        <v/>
      </c>
      <c r="E89" s="51" t="str">
        <v/>
      </c>
      <c r="F89" s="52" t="str">
        <v/>
      </c>
      <c r="G89" s="48" t="str">
        <v/>
      </c>
      <c r="H89" s="49">
        <v>0</v>
      </c>
      <c r="I89" s="49" t="e">
        <v>#REF!</v>
      </c>
      <c r="J89" s="50"/>
    </row>
    <row r="90" outlineLevel="1" spans="1:10">
      <c r="A90" s="50" t="str">
        <v/>
      </c>
      <c r="B90" s="51" t="str">
        <v>A.03.01砌筑工程</v>
      </c>
      <c r="C90" s="51" t="str">
        <v/>
      </c>
      <c r="D90" s="51" t="str">
        <v/>
      </c>
      <c r="E90" s="51" t="str">
        <v/>
      </c>
      <c r="F90" s="52" t="str">
        <v/>
      </c>
      <c r="G90" s="48" t="str">
        <v/>
      </c>
      <c r="H90" s="49">
        <v>0</v>
      </c>
      <c r="I90" s="49" t="e">
        <v>#REF!</v>
      </c>
      <c r="J90" s="50"/>
    </row>
    <row r="91" outlineLevel="1" spans="1:10">
      <c r="A91" s="50">
        <v>78</v>
      </c>
      <c r="B91" s="51" t="str">
        <v>小型砼空心砌块</v>
      </c>
      <c r="C91" s="51" t="e">
        <v>#REF!</v>
      </c>
      <c r="D91" s="51" t="str">
        <v/>
      </c>
      <c r="E91" s="51" t="str">
        <v/>
      </c>
      <c r="F91" s="52" t="e">
        <v>#REF!</v>
      </c>
      <c r="G91" s="48" t="e">
        <v>#REF!</v>
      </c>
      <c r="H91" s="49">
        <v>95.83</v>
      </c>
      <c r="I91" s="49" t="e">
        <v>#REF!</v>
      </c>
      <c r="J91" s="50"/>
    </row>
    <row r="92" outlineLevel="1" spans="1:10">
      <c r="A92" s="50">
        <v>79</v>
      </c>
      <c r="B92" s="51" t="str">
        <v>砖台阶</v>
      </c>
      <c r="C92" s="51" t="e">
        <v>#REF!</v>
      </c>
      <c r="D92" s="51" t="str">
        <v/>
      </c>
      <c r="E92" s="51" t="str">
        <v/>
      </c>
      <c r="F92" s="52" t="e">
        <v>#REF!</v>
      </c>
      <c r="G92" s="48" t="e">
        <v>#REF!</v>
      </c>
      <c r="H92" s="49">
        <v>0</v>
      </c>
      <c r="I92" s="49" t="e">
        <v>#REF!</v>
      </c>
      <c r="J92" s="50"/>
    </row>
    <row r="93" outlineLevel="1" spans="1:10">
      <c r="A93" s="50" t="str">
        <v/>
      </c>
      <c r="B93" s="51" t="str">
        <v>A.03.02混凝土工程</v>
      </c>
      <c r="C93" s="51" t="str">
        <v/>
      </c>
      <c r="D93" s="51" t="str">
        <v/>
      </c>
      <c r="E93" s="51" t="str">
        <v/>
      </c>
      <c r="F93" s="52" t="str">
        <v/>
      </c>
      <c r="G93" s="48" t="str">
        <v/>
      </c>
      <c r="H93" s="49">
        <v>0</v>
      </c>
      <c r="I93" s="49" t="e">
        <v>#REF!</v>
      </c>
      <c r="J93" s="50"/>
    </row>
    <row r="94" outlineLevel="1" spans="1:10">
      <c r="A94" s="50">
        <v>80</v>
      </c>
      <c r="B94" s="51" t="str">
        <v>圈梁C25</v>
      </c>
      <c r="C94" s="51" t="e">
        <v>#REF!</v>
      </c>
      <c r="D94" s="51" t="str">
        <v/>
      </c>
      <c r="E94" s="51" t="str">
        <v/>
      </c>
      <c r="F94" s="52" t="e">
        <v>#REF!</v>
      </c>
      <c r="G94" s="48" t="e">
        <v>#REF!</v>
      </c>
      <c r="H94" s="49">
        <v>2.42</v>
      </c>
      <c r="I94" s="49" t="e">
        <v>#REF!</v>
      </c>
      <c r="J94" s="50"/>
    </row>
    <row r="95" outlineLevel="1" spans="1:10">
      <c r="A95" s="50">
        <v>81</v>
      </c>
      <c r="B95" s="51" t="str">
        <v>构造柱C25</v>
      </c>
      <c r="C95" s="51" t="e">
        <v>#REF!</v>
      </c>
      <c r="D95" s="51" t="str">
        <v/>
      </c>
      <c r="E95" s="51" t="str">
        <v/>
      </c>
      <c r="F95" s="52" t="e">
        <v>#REF!</v>
      </c>
      <c r="G95" s="48" t="e">
        <v>#REF!</v>
      </c>
      <c r="H95" s="49">
        <v>1.37</v>
      </c>
      <c r="I95" s="49" t="e">
        <v>#REF!</v>
      </c>
      <c r="J95" s="50"/>
    </row>
    <row r="96" outlineLevel="1" spans="1:10">
      <c r="A96" s="50">
        <v>82</v>
      </c>
      <c r="B96" s="51" t="str">
        <v>过梁C25</v>
      </c>
      <c r="C96" s="51" t="e">
        <v>#REF!</v>
      </c>
      <c r="D96" s="51" t="str">
        <v/>
      </c>
      <c r="E96" s="51" t="str">
        <v/>
      </c>
      <c r="F96" s="52" t="e">
        <v>#REF!</v>
      </c>
      <c r="G96" s="48" t="e">
        <v>#REF!</v>
      </c>
      <c r="H96" s="49">
        <v>1</v>
      </c>
      <c r="I96" s="49" t="e">
        <v>#REF!</v>
      </c>
      <c r="J96" s="50"/>
    </row>
    <row r="97" outlineLevel="1" spans="1:10">
      <c r="A97" s="50">
        <v>83</v>
      </c>
      <c r="B97" s="51" t="str">
        <v>门槛C20细石</v>
      </c>
      <c r="C97" s="51" t="e">
        <v>#REF!</v>
      </c>
      <c r="D97" s="51" t="str">
        <v/>
      </c>
      <c r="E97" s="51" t="str">
        <v/>
      </c>
      <c r="F97" s="52" t="e">
        <v>#REF!</v>
      </c>
      <c r="G97" s="48" t="e">
        <v>#REF!</v>
      </c>
      <c r="H97" s="49">
        <v>0.14</v>
      </c>
      <c r="I97" s="49" t="e">
        <v>#REF!</v>
      </c>
      <c r="J97" s="50"/>
    </row>
    <row r="98" outlineLevel="1" spans="1:10">
      <c r="A98" s="50">
        <v>84</v>
      </c>
      <c r="B98" s="51" t="str">
        <v>压顶C25</v>
      </c>
      <c r="C98" s="51" t="e">
        <v>#REF!</v>
      </c>
      <c r="D98" s="51" t="str">
        <v/>
      </c>
      <c r="E98" s="51" t="str">
        <v/>
      </c>
      <c r="F98" s="52" t="e">
        <v>#REF!</v>
      </c>
      <c r="G98" s="48" t="e">
        <v>#REF!</v>
      </c>
      <c r="H98" s="49">
        <v>0</v>
      </c>
      <c r="I98" s="49" t="e">
        <v>#REF!</v>
      </c>
      <c r="J98" s="50"/>
    </row>
    <row r="99" outlineLevel="1" spans="1:10">
      <c r="A99" s="50" t="str">
        <v/>
      </c>
      <c r="B99" s="51" t="str">
        <v>散水</v>
      </c>
      <c r="C99" s="51" t="str">
        <v/>
      </c>
      <c r="D99" s="51" t="str">
        <v/>
      </c>
      <c r="E99" s="51" t="str">
        <v/>
      </c>
      <c r="F99" s="52" t="str">
        <v/>
      </c>
      <c r="G99" s="48" t="str">
        <v/>
      </c>
      <c r="H99" s="49">
        <v>0</v>
      </c>
      <c r="I99" s="49">
        <v>0</v>
      </c>
      <c r="J99" s="50"/>
    </row>
    <row r="100" outlineLevel="1" spans="1:10">
      <c r="A100" s="50">
        <v>85</v>
      </c>
      <c r="B100" s="51" t="str">
        <v>散水-40厚C20细石</v>
      </c>
      <c r="C100" s="51" t="e">
        <v>#REF!</v>
      </c>
      <c r="D100" s="51" t="str">
        <v/>
      </c>
      <c r="E100" s="51" t="str">
        <v/>
      </c>
      <c r="F100" s="52" t="e">
        <v>#REF!</v>
      </c>
      <c r="G100" s="48" t="e">
        <v>#REF!</v>
      </c>
      <c r="H100" s="49">
        <v>0</v>
      </c>
      <c r="I100" s="49" t="e">
        <v>#REF!</v>
      </c>
      <c r="J100" s="50"/>
    </row>
    <row r="101" outlineLevel="1" spans="1:10">
      <c r="A101" s="50">
        <v>86</v>
      </c>
      <c r="B101" s="51" t="str">
        <v>150厚3:7灰土</v>
      </c>
      <c r="C101" s="51" t="e">
        <v>#REF!</v>
      </c>
      <c r="D101" s="51" t="str">
        <v/>
      </c>
      <c r="E101" s="51" t="str">
        <v/>
      </c>
      <c r="F101" s="52" t="e">
        <v>#REF!</v>
      </c>
      <c r="G101" s="48" t="e">
        <v>#REF!</v>
      </c>
      <c r="H101" s="49">
        <v>0</v>
      </c>
      <c r="I101" s="49" t="e">
        <v>#REF!</v>
      </c>
      <c r="J101" s="50"/>
    </row>
    <row r="102" outlineLevel="1" spans="1:10">
      <c r="A102" s="50">
        <v>87</v>
      </c>
      <c r="B102" s="51" t="str">
        <v>散水-素土夯实</v>
      </c>
      <c r="C102" s="51" t="e">
        <v>#REF!</v>
      </c>
      <c r="D102" s="51" t="str">
        <v/>
      </c>
      <c r="E102" s="51" t="str">
        <v/>
      </c>
      <c r="F102" s="52" t="e">
        <v>#REF!</v>
      </c>
      <c r="G102" s="48" t="e">
        <v>#REF!</v>
      </c>
      <c r="H102" s="49">
        <v>0</v>
      </c>
      <c r="I102" s="49" t="e">
        <v>#REF!</v>
      </c>
      <c r="J102" s="50"/>
    </row>
    <row r="103" outlineLevel="1" spans="1:10">
      <c r="A103" s="50" t="str">
        <v/>
      </c>
      <c r="B103" s="51" t="str">
        <v>坡道</v>
      </c>
      <c r="C103" s="51" t="str">
        <v/>
      </c>
      <c r="D103" s="51" t="str">
        <v/>
      </c>
      <c r="E103" s="51" t="str">
        <v/>
      </c>
      <c r="F103" s="52" t="str">
        <v/>
      </c>
      <c r="G103" s="48" t="str">
        <v/>
      </c>
      <c r="H103" s="49">
        <v>0</v>
      </c>
      <c r="I103" s="49">
        <v>0</v>
      </c>
      <c r="J103" s="50"/>
    </row>
    <row r="104" outlineLevel="1" spans="1:10">
      <c r="A104" s="50">
        <v>88</v>
      </c>
      <c r="B104" s="51" t="str">
        <v>坡道-100厚C15</v>
      </c>
      <c r="C104" s="51" t="e">
        <v>#REF!</v>
      </c>
      <c r="D104" s="51" t="str">
        <v/>
      </c>
      <c r="E104" s="51" t="str">
        <v/>
      </c>
      <c r="F104" s="52" t="e">
        <v>#REF!</v>
      </c>
      <c r="G104" s="48" t="e">
        <v>#REF!</v>
      </c>
      <c r="H104" s="49">
        <v>0</v>
      </c>
      <c r="I104" s="49" t="e">
        <v>#REF!</v>
      </c>
      <c r="J104" s="50"/>
    </row>
    <row r="105" outlineLevel="1" spans="1:10">
      <c r="A105" s="50">
        <v>89</v>
      </c>
      <c r="B105" s="51" t="str">
        <v>300厚3:7灰土</v>
      </c>
      <c r="C105" s="51" t="e">
        <v>#REF!</v>
      </c>
      <c r="D105" s="51" t="str">
        <v/>
      </c>
      <c r="E105" s="51" t="str">
        <v/>
      </c>
      <c r="F105" s="52" t="e">
        <v>#REF!</v>
      </c>
      <c r="G105" s="48" t="e">
        <v>#REF!</v>
      </c>
      <c r="H105" s="49">
        <v>0</v>
      </c>
      <c r="I105" s="49" t="e">
        <v>#REF!</v>
      </c>
      <c r="J105" s="50"/>
    </row>
    <row r="106" outlineLevel="1" spans="1:10">
      <c r="A106" s="50">
        <v>90</v>
      </c>
      <c r="B106" s="51" t="str">
        <v>坡道-素土夯实</v>
      </c>
      <c r="C106" s="51" t="e">
        <v>#REF!</v>
      </c>
      <c r="D106" s="51" t="str">
        <v/>
      </c>
      <c r="E106" s="51" t="str">
        <v/>
      </c>
      <c r="F106" s="52" t="e">
        <v>#REF!</v>
      </c>
      <c r="G106" s="48" t="e">
        <v>#REF!</v>
      </c>
      <c r="H106" s="49">
        <v>0</v>
      </c>
      <c r="I106" s="49" t="e">
        <v>#REF!</v>
      </c>
      <c r="J106" s="50"/>
    </row>
    <row r="107" outlineLevel="1" spans="1:10">
      <c r="A107" s="50" t="str">
        <v/>
      </c>
      <c r="B107" s="51" t="str">
        <v>A.03.03钢筋工程</v>
      </c>
      <c r="C107" s="51" t="str">
        <v/>
      </c>
      <c r="D107" s="51" t="str">
        <v/>
      </c>
      <c r="E107" s="51" t="str">
        <v/>
      </c>
      <c r="F107" s="52" t="str">
        <v/>
      </c>
      <c r="G107" s="48" t="str">
        <v/>
      </c>
      <c r="H107" s="49">
        <v>0</v>
      </c>
      <c r="I107" s="49" t="e">
        <v>#REF!</v>
      </c>
      <c r="J107" s="50"/>
    </row>
    <row r="108" outlineLevel="1" spans="1:10">
      <c r="A108" s="50">
        <v>91</v>
      </c>
      <c r="B108" s="51" t="str">
        <v>地下现浇构件钢筋-φ10以内</v>
      </c>
      <c r="C108" s="51" t="e">
        <v>#REF!</v>
      </c>
      <c r="D108" s="51" t="str">
        <v/>
      </c>
      <c r="E108" s="51" t="str">
        <v/>
      </c>
      <c r="F108" s="52" t="e">
        <v>#REF!</v>
      </c>
      <c r="G108" s="48" t="e">
        <v>#REF!</v>
      </c>
      <c r="H108" s="49">
        <v>0.001</v>
      </c>
      <c r="I108" s="49" t="e">
        <v>#REF!</v>
      </c>
      <c r="J108" s="50"/>
    </row>
    <row r="109" ht="28.8" outlineLevel="1" spans="1:10">
      <c r="A109" s="50">
        <v>92</v>
      </c>
      <c r="B109" s="51" t="str">
        <v>地下现浇构件钢筋-三级钢筋 Φ6</v>
      </c>
      <c r="C109" s="51" t="e">
        <v>#REF!</v>
      </c>
      <c r="D109" s="51" t="str">
        <v/>
      </c>
      <c r="E109" s="51" t="str">
        <v/>
      </c>
      <c r="F109" s="52" t="e">
        <v>#REF!</v>
      </c>
      <c r="G109" s="48" t="e">
        <v>#REF!</v>
      </c>
      <c r="H109" s="49">
        <v>0.063</v>
      </c>
      <c r="I109" s="49" t="e">
        <v>#REF!</v>
      </c>
      <c r="J109" s="50"/>
    </row>
    <row r="110" ht="28.8" outlineLevel="1" spans="1:10">
      <c r="A110" s="50">
        <v>93</v>
      </c>
      <c r="B110" s="51" t="str">
        <v>地下现浇构件钢筋-三级钢筋 Φ8</v>
      </c>
      <c r="C110" s="51" t="e">
        <v>#REF!</v>
      </c>
      <c r="D110" s="51" t="str">
        <v/>
      </c>
      <c r="E110" s="51" t="str">
        <v/>
      </c>
      <c r="F110" s="52" t="e">
        <v>#REF!</v>
      </c>
      <c r="G110" s="48" t="e">
        <v>#REF!</v>
      </c>
      <c r="H110" s="49">
        <v>0</v>
      </c>
      <c r="I110" s="49" t="e">
        <v>#REF!</v>
      </c>
      <c r="J110" s="50"/>
    </row>
    <row r="111" ht="28.8" outlineLevel="1" spans="1:10">
      <c r="A111" s="50">
        <v>94</v>
      </c>
      <c r="B111" s="51" t="str">
        <v>地下现浇构件钢筋-三级钢筋 Φ10</v>
      </c>
      <c r="C111" s="51" t="e">
        <v>#REF!</v>
      </c>
      <c r="D111" s="51" t="str">
        <v/>
      </c>
      <c r="E111" s="51" t="str">
        <v/>
      </c>
      <c r="F111" s="52" t="e">
        <v>#REF!</v>
      </c>
      <c r="G111" s="48" t="e">
        <v>#REF!</v>
      </c>
      <c r="H111" s="49">
        <v>0.382</v>
      </c>
      <c r="I111" s="49" t="e">
        <v>#REF!</v>
      </c>
      <c r="J111" s="50"/>
    </row>
    <row r="112" ht="28.8" outlineLevel="1" spans="1:10">
      <c r="A112" s="50">
        <v>95</v>
      </c>
      <c r="B112" s="51" t="str">
        <v>地下现浇构件钢筋-三级钢筋 Φ12</v>
      </c>
      <c r="C112" s="51" t="e">
        <v>#REF!</v>
      </c>
      <c r="D112" s="51" t="str">
        <v/>
      </c>
      <c r="E112" s="51" t="str">
        <v/>
      </c>
      <c r="F112" s="52" t="e">
        <v>#REF!</v>
      </c>
      <c r="G112" s="48" t="e">
        <v>#REF!</v>
      </c>
      <c r="H112" s="49">
        <v>0.045</v>
      </c>
      <c r="I112" s="49" t="e">
        <v>#REF!</v>
      </c>
      <c r="J112" s="50"/>
    </row>
    <row r="113" ht="28.8" outlineLevel="1" spans="1:10">
      <c r="A113" s="50">
        <v>96</v>
      </c>
      <c r="B113" s="51" t="str">
        <v>地下现浇构件钢筋-三级钢筋 Φ14</v>
      </c>
      <c r="C113" s="51" t="e">
        <v>#REF!</v>
      </c>
      <c r="D113" s="51" t="str">
        <v/>
      </c>
      <c r="E113" s="51" t="str">
        <v/>
      </c>
      <c r="F113" s="52" t="e">
        <v>#REF!</v>
      </c>
      <c r="G113" s="48" t="e">
        <v>#REF!</v>
      </c>
      <c r="H113" s="49">
        <v>0</v>
      </c>
      <c r="I113" s="49" t="e">
        <v>#REF!</v>
      </c>
      <c r="J113" s="50"/>
    </row>
    <row r="114" ht="28.8" outlineLevel="1" spans="1:10">
      <c r="A114" s="50">
        <v>97</v>
      </c>
      <c r="B114" s="51" t="str">
        <v>地下现浇构件钢筋-三级钢筋 Φ16</v>
      </c>
      <c r="C114" s="51" t="e">
        <v>#REF!</v>
      </c>
      <c r="D114" s="51" t="str">
        <v/>
      </c>
      <c r="E114" s="51" t="str">
        <v/>
      </c>
      <c r="F114" s="52" t="e">
        <v>#REF!</v>
      </c>
      <c r="G114" s="48" t="e">
        <v>#REF!</v>
      </c>
      <c r="H114" s="49">
        <v>0</v>
      </c>
      <c r="I114" s="49" t="e">
        <v>#REF!</v>
      </c>
      <c r="J114" s="50"/>
    </row>
    <row r="115" outlineLevel="1" spans="1:10">
      <c r="A115" s="50">
        <v>98</v>
      </c>
      <c r="B115" s="51" t="str">
        <v>地下砌体加筋-三级钢筋 Φ6</v>
      </c>
      <c r="C115" s="51" t="e">
        <v>#REF!</v>
      </c>
      <c r="D115" s="51" t="str">
        <v/>
      </c>
      <c r="E115" s="51" t="str">
        <v/>
      </c>
      <c r="F115" s="52" t="e">
        <v>#REF!</v>
      </c>
      <c r="G115" s="48" t="e">
        <v>#REF!</v>
      </c>
      <c r="H115" s="49">
        <v>0.55</v>
      </c>
      <c r="I115" s="49" t="e">
        <v>#REF!</v>
      </c>
      <c r="J115" s="50"/>
    </row>
    <row r="116" outlineLevel="1" spans="1:10">
      <c r="A116" s="50" t="str">
        <v/>
      </c>
      <c r="B116" s="51" t="str">
        <v>A.03.04金属工程</v>
      </c>
      <c r="C116" s="51" t="str">
        <v/>
      </c>
      <c r="D116" s="51" t="str">
        <v/>
      </c>
      <c r="E116" s="51" t="str">
        <v/>
      </c>
      <c r="F116" s="52" t="str">
        <v/>
      </c>
      <c r="G116" s="48" t="str">
        <v/>
      </c>
      <c r="H116" s="49">
        <v>0</v>
      </c>
      <c r="I116" s="49" t="e">
        <v>#REF!</v>
      </c>
      <c r="J116" s="50"/>
    </row>
    <row r="117" ht="28.8" outlineLevel="1" spans="1:10">
      <c r="A117" s="50">
        <v>99</v>
      </c>
      <c r="B117" s="51" t="str">
        <v>不同材质墙体交接处挂钢丝网</v>
      </c>
      <c r="C117" s="51" t="e">
        <v>#REF!</v>
      </c>
      <c r="D117" s="51" t="str">
        <v/>
      </c>
      <c r="E117" s="51" t="str">
        <v/>
      </c>
      <c r="F117" s="52" t="e">
        <v>#REF!</v>
      </c>
      <c r="G117" s="48" t="e">
        <v>#REF!</v>
      </c>
      <c r="H117" s="49">
        <v>289.8</v>
      </c>
      <c r="I117" s="49" t="e">
        <v>#REF!</v>
      </c>
      <c r="J117" s="50"/>
    </row>
    <row r="118" outlineLevel="1" spans="1:10">
      <c r="A118" s="50">
        <v>100</v>
      </c>
      <c r="B118" s="51" t="str">
        <v>砌块墙钢丝网满挂</v>
      </c>
      <c r="C118" s="51" t="e">
        <v>#REF!</v>
      </c>
      <c r="D118" s="51" t="str">
        <v/>
      </c>
      <c r="E118" s="51" t="str">
        <v/>
      </c>
      <c r="F118" s="52" t="e">
        <v>#REF!</v>
      </c>
      <c r="G118" s="48" t="e">
        <v>#REF!</v>
      </c>
      <c r="H118" s="49">
        <v>218.4</v>
      </c>
      <c r="I118" s="49" t="e">
        <v>#REF!</v>
      </c>
      <c r="J118" s="50"/>
    </row>
    <row r="119" outlineLevel="1" spans="1:10">
      <c r="A119" s="50">
        <v>101</v>
      </c>
      <c r="B119" s="51" t="str">
        <v>钢爬梯-屋面检修</v>
      </c>
      <c r="C119" s="51" t="e">
        <v>#REF!</v>
      </c>
      <c r="D119" s="51" t="str">
        <v/>
      </c>
      <c r="E119" s="51" t="str">
        <v/>
      </c>
      <c r="F119" s="52" t="e">
        <v>#REF!</v>
      </c>
      <c r="G119" s="48" t="e">
        <v>#REF!</v>
      </c>
      <c r="H119" s="49">
        <v>0</v>
      </c>
      <c r="I119" s="49" t="e">
        <v>#REF!</v>
      </c>
      <c r="J119" s="50"/>
    </row>
    <row r="120" outlineLevel="1" spans="1:10">
      <c r="A120" s="50">
        <v>102</v>
      </c>
      <c r="B120" s="51" t="str">
        <v>地面排水沟</v>
      </c>
      <c r="C120" s="51" t="e">
        <v>#REF!</v>
      </c>
      <c r="D120" s="51" t="str">
        <v/>
      </c>
      <c r="E120" s="51" t="str">
        <v/>
      </c>
      <c r="F120" s="52" t="e">
        <v>#REF!</v>
      </c>
      <c r="G120" s="48" t="e">
        <v>#REF!</v>
      </c>
      <c r="H120" s="49">
        <v>0</v>
      </c>
      <c r="I120" s="49" t="e">
        <v>#REF!</v>
      </c>
      <c r="J120" s="50"/>
    </row>
    <row r="121" outlineLevel="1" spans="1:10">
      <c r="A121" s="50">
        <v>103</v>
      </c>
      <c r="B121" s="51" t="str">
        <v>筏板排水沟</v>
      </c>
      <c r="C121" s="51" t="e">
        <v>#REF!</v>
      </c>
      <c r="D121" s="51" t="str">
        <v/>
      </c>
      <c r="E121" s="51" t="str">
        <v/>
      </c>
      <c r="F121" s="52" t="e">
        <v>#REF!</v>
      </c>
      <c r="G121" s="48" t="e">
        <v>#REF!</v>
      </c>
      <c r="H121" s="49">
        <v>0</v>
      </c>
      <c r="I121" s="49" t="e">
        <v>#REF!</v>
      </c>
      <c r="J121" s="50"/>
    </row>
    <row r="122" outlineLevel="1" spans="1:10">
      <c r="A122" s="50">
        <v>104</v>
      </c>
      <c r="B122" s="51" t="str">
        <v>铸铁篦子</v>
      </c>
      <c r="C122" s="51" t="e">
        <v>#REF!</v>
      </c>
      <c r="D122" s="51" t="str">
        <v/>
      </c>
      <c r="E122" s="51" t="str">
        <v/>
      </c>
      <c r="F122" s="52" t="e">
        <v>#REF!</v>
      </c>
      <c r="G122" s="48" t="e">
        <v>#REF!</v>
      </c>
      <c r="H122" s="49">
        <v>0</v>
      </c>
      <c r="I122" s="49" t="e">
        <v>#REF!</v>
      </c>
      <c r="J122" s="50"/>
    </row>
    <row r="123" outlineLevel="1" spans="1:10">
      <c r="A123" s="50">
        <v>105</v>
      </c>
      <c r="B123" s="51" t="str">
        <v>排水井</v>
      </c>
      <c r="C123" s="51" t="e">
        <v>#REF!</v>
      </c>
      <c r="D123" s="51" t="str">
        <v/>
      </c>
      <c r="E123" s="51" t="str">
        <v/>
      </c>
      <c r="F123" s="52" t="e">
        <v>#REF!</v>
      </c>
      <c r="G123" s="48" t="e">
        <v>#REF!</v>
      </c>
      <c r="H123" s="49">
        <v>0</v>
      </c>
      <c r="I123" s="49" t="e">
        <v>#REF!</v>
      </c>
      <c r="J123" s="50"/>
    </row>
    <row r="124" ht="28.8" outlineLevel="1" spans="1:10">
      <c r="A124" s="50">
        <v>106</v>
      </c>
      <c r="B124" s="51" t="str">
        <v>成品镀锌雨水篦子（车库坡道入口）</v>
      </c>
      <c r="C124" s="51" t="e">
        <v>#REF!</v>
      </c>
      <c r="D124" s="51" t="str">
        <v/>
      </c>
      <c r="E124" s="51" t="str">
        <v/>
      </c>
      <c r="F124" s="52" t="e">
        <v>#REF!</v>
      </c>
      <c r="G124" s="48" t="e">
        <v>#REF!</v>
      </c>
      <c r="H124" s="49">
        <v>0</v>
      </c>
      <c r="I124" s="49" t="e">
        <v>#REF!</v>
      </c>
      <c r="J124" s="50"/>
    </row>
    <row r="125" ht="28.8" outlineLevel="1" spans="1:10">
      <c r="A125" s="50">
        <v>107</v>
      </c>
      <c r="B125" s="51" t="str">
        <v>成品镀锌雨水篦子（车库排水沟）</v>
      </c>
      <c r="C125" s="51" t="e">
        <v>#REF!</v>
      </c>
      <c r="D125" s="51" t="str">
        <v/>
      </c>
      <c r="E125" s="51" t="str">
        <v/>
      </c>
      <c r="F125" s="52" t="e">
        <v>#REF!</v>
      </c>
      <c r="G125" s="48" t="e">
        <v>#REF!</v>
      </c>
      <c r="H125" s="49">
        <v>0</v>
      </c>
      <c r="I125" s="49" t="e">
        <v>#REF!</v>
      </c>
      <c r="J125" s="50"/>
    </row>
    <row r="126" outlineLevel="1" spans="1:10">
      <c r="A126" s="50">
        <v>108</v>
      </c>
      <c r="B126" s="51" t="str">
        <v>排水井篦子</v>
      </c>
      <c r="C126" s="51" t="e">
        <v>#REF!</v>
      </c>
      <c r="D126" s="51" t="str">
        <v/>
      </c>
      <c r="E126" s="51" t="str">
        <v/>
      </c>
      <c r="F126" s="52" t="e">
        <v>#REF!</v>
      </c>
      <c r="G126" s="48" t="e">
        <v>#REF!</v>
      </c>
      <c r="H126" s="49">
        <v>0</v>
      </c>
      <c r="I126" s="49" t="e">
        <v>#REF!</v>
      </c>
      <c r="J126" s="50"/>
    </row>
    <row r="127" outlineLevel="1" spans="1:10">
      <c r="A127" s="50" t="str">
        <v/>
      </c>
      <c r="B127" s="51" t="str">
        <v>A.04隔热防水工程</v>
      </c>
      <c r="C127" s="51" t="str">
        <v/>
      </c>
      <c r="D127" s="51" t="str">
        <v/>
      </c>
      <c r="E127" s="51" t="str">
        <v/>
      </c>
      <c r="F127" s="52" t="str">
        <v/>
      </c>
      <c r="G127" s="48" t="str">
        <v/>
      </c>
      <c r="H127" s="49">
        <v>0</v>
      </c>
      <c r="I127" s="49" t="e">
        <v>#REF!</v>
      </c>
      <c r="J127" s="50"/>
    </row>
    <row r="128" outlineLevel="1" spans="1:10">
      <c r="A128" s="50" t="str">
        <v/>
      </c>
      <c r="B128" s="51" t="str">
        <v>A.04.01保温隔热工程</v>
      </c>
      <c r="C128" s="51" t="str">
        <v/>
      </c>
      <c r="D128" s="51" t="str">
        <v/>
      </c>
      <c r="E128" s="51" t="str">
        <v/>
      </c>
      <c r="F128" s="52" t="str">
        <v/>
      </c>
      <c r="G128" s="48" t="str">
        <v/>
      </c>
      <c r="H128" s="49">
        <v>0</v>
      </c>
      <c r="I128" s="49" t="e">
        <v>#REF!</v>
      </c>
      <c r="J128" s="50"/>
    </row>
    <row r="129" outlineLevel="1" spans="1:10">
      <c r="A129" s="50" t="str">
        <v/>
      </c>
      <c r="B129" s="51" t="str">
        <v>保温隔热天棚</v>
      </c>
      <c r="C129" s="51" t="str">
        <v/>
      </c>
      <c r="D129" s="51" t="str">
        <v/>
      </c>
      <c r="E129" s="51" t="str">
        <v/>
      </c>
      <c r="F129" s="52" t="str">
        <v/>
      </c>
      <c r="G129" s="48" t="str">
        <v/>
      </c>
      <c r="H129" s="49">
        <v>0</v>
      </c>
      <c r="I129" s="49">
        <v>0</v>
      </c>
      <c r="J129" s="50"/>
    </row>
    <row r="130" outlineLevel="1" spans="1:10">
      <c r="A130" s="50">
        <v>109</v>
      </c>
      <c r="B130" s="51" t="str">
        <v>天棚-55厚岩棉板</v>
      </c>
      <c r="C130" s="51" t="e">
        <v>#REF!</v>
      </c>
      <c r="D130" s="51" t="str">
        <v/>
      </c>
      <c r="E130" s="51" t="str">
        <v/>
      </c>
      <c r="F130" s="52" t="e">
        <v>#REF!</v>
      </c>
      <c r="G130" s="48" t="e">
        <v>#REF!</v>
      </c>
      <c r="H130" s="49">
        <v>556.62</v>
      </c>
      <c r="I130" s="49" t="e">
        <v>#REF!</v>
      </c>
      <c r="J130" s="50"/>
    </row>
    <row r="131" outlineLevel="1" spans="1:10">
      <c r="A131" s="50">
        <v>110</v>
      </c>
      <c r="B131" s="51" t="str">
        <v>天棚-50厚岩棉板</v>
      </c>
      <c r="C131" s="51" t="e">
        <v>#REF!</v>
      </c>
      <c r="D131" s="51" t="str">
        <v/>
      </c>
      <c r="E131" s="51" t="str">
        <v/>
      </c>
      <c r="F131" s="52" t="e">
        <v>#REF!</v>
      </c>
      <c r="G131" s="48" t="e">
        <v>#REF!</v>
      </c>
      <c r="H131" s="49">
        <v>0</v>
      </c>
      <c r="I131" s="49" t="e">
        <v>#REF!</v>
      </c>
      <c r="J131" s="50"/>
    </row>
    <row r="132" outlineLevel="1" spans="1:10">
      <c r="A132" s="50">
        <v>111</v>
      </c>
      <c r="B132" s="51" t="str">
        <v>天棚-镀锌钢丝网</v>
      </c>
      <c r="C132" s="51" t="e">
        <v>#REF!</v>
      </c>
      <c r="D132" s="51" t="str">
        <v/>
      </c>
      <c r="E132" s="51" t="str">
        <v/>
      </c>
      <c r="F132" s="52" t="e">
        <v>#REF!</v>
      </c>
      <c r="G132" s="48" t="e">
        <v>#REF!</v>
      </c>
      <c r="H132" s="49">
        <v>556.62</v>
      </c>
      <c r="I132" s="49" t="e">
        <v>#REF!</v>
      </c>
      <c r="J132" s="50"/>
    </row>
    <row r="133" outlineLevel="1" spans="1:10">
      <c r="A133" s="50">
        <v>112</v>
      </c>
      <c r="B133" s="51" t="str">
        <v>天棚-3厚抗裂砂浆</v>
      </c>
      <c r="C133" s="51" t="e">
        <v>#REF!</v>
      </c>
      <c r="D133" s="51" t="str">
        <v/>
      </c>
      <c r="E133" s="51" t="str">
        <v/>
      </c>
      <c r="F133" s="52" t="e">
        <v>#REF!</v>
      </c>
      <c r="G133" s="48" t="e">
        <v>#REF!</v>
      </c>
      <c r="H133" s="49">
        <v>556.62</v>
      </c>
      <c r="I133" s="49" t="e">
        <v>#REF!</v>
      </c>
      <c r="J133" s="50"/>
    </row>
    <row r="134" outlineLevel="1" spans="1:10">
      <c r="A134" s="50">
        <v>113</v>
      </c>
      <c r="B134" s="51" t="str">
        <v>天棚-网格布</v>
      </c>
      <c r="C134" s="51" t="e">
        <v>#REF!</v>
      </c>
      <c r="D134" s="51" t="str">
        <v/>
      </c>
      <c r="E134" s="51" t="str">
        <v/>
      </c>
      <c r="F134" s="52" t="e">
        <v>#REF!</v>
      </c>
      <c r="G134" s="48" t="e">
        <v>#REF!</v>
      </c>
      <c r="H134" s="49">
        <v>556.62</v>
      </c>
      <c r="I134" s="49" t="e">
        <v>#REF!</v>
      </c>
      <c r="J134" s="50"/>
    </row>
    <row r="135" outlineLevel="1" spans="1:10">
      <c r="A135" s="50" t="str">
        <v/>
      </c>
      <c r="B135" s="51" t="str">
        <v>地下室外墙保温</v>
      </c>
      <c r="C135" s="51" t="str">
        <v/>
      </c>
      <c r="D135" s="51" t="str">
        <v/>
      </c>
      <c r="E135" s="51" t="str">
        <v/>
      </c>
      <c r="F135" s="52" t="str">
        <v/>
      </c>
      <c r="G135" s="48" t="str">
        <v/>
      </c>
      <c r="H135" s="49">
        <v>0</v>
      </c>
      <c r="I135" s="49">
        <v>0</v>
      </c>
      <c r="J135" s="50"/>
    </row>
    <row r="136" outlineLevel="1" spans="1:10">
      <c r="A136" s="50">
        <v>114</v>
      </c>
      <c r="B136" s="51" t="str">
        <v>外墙-220厚XPS</v>
      </c>
      <c r="C136" s="51" t="e">
        <v>#REF!</v>
      </c>
      <c r="D136" s="51" t="str">
        <v/>
      </c>
      <c r="E136" s="51" t="str">
        <v/>
      </c>
      <c r="F136" s="52" t="e">
        <v>#REF!</v>
      </c>
      <c r="G136" s="48" t="e">
        <v>#REF!</v>
      </c>
      <c r="H136" s="49">
        <v>186</v>
      </c>
      <c r="I136" s="49" t="e">
        <v>#REF!</v>
      </c>
      <c r="J136" s="50"/>
    </row>
    <row r="137" outlineLevel="1" spans="1:10">
      <c r="A137" s="50">
        <v>115</v>
      </c>
      <c r="B137" s="51" t="str">
        <v>外墙面-3厚抗裂砂浆</v>
      </c>
      <c r="C137" s="51" t="e">
        <v>#REF!</v>
      </c>
      <c r="D137" s="51" t="str">
        <v/>
      </c>
      <c r="E137" s="51" t="str">
        <v/>
      </c>
      <c r="F137" s="52" t="e">
        <v>#REF!</v>
      </c>
      <c r="G137" s="48" t="e">
        <v>#REF!</v>
      </c>
      <c r="H137" s="49">
        <v>186</v>
      </c>
      <c r="I137" s="49" t="e">
        <v>#REF!</v>
      </c>
      <c r="J137" s="50"/>
    </row>
    <row r="138" outlineLevel="1" spans="1:10">
      <c r="A138" s="50">
        <v>116</v>
      </c>
      <c r="B138" s="51" t="str">
        <v>外墙面-网格布</v>
      </c>
      <c r="C138" s="51" t="e">
        <v>#REF!</v>
      </c>
      <c r="D138" s="51" t="str">
        <v/>
      </c>
      <c r="E138" s="51" t="str">
        <v/>
      </c>
      <c r="F138" s="52" t="e">
        <v>#REF!</v>
      </c>
      <c r="G138" s="48" t="e">
        <v>#REF!</v>
      </c>
      <c r="H138" s="49">
        <v>186</v>
      </c>
      <c r="I138" s="49" t="e">
        <v>#REF!</v>
      </c>
      <c r="J138" s="50"/>
    </row>
    <row r="139" ht="28.8" outlineLevel="1" spans="1:10">
      <c r="A139" s="50" t="str">
        <v/>
      </c>
      <c r="B139" s="51" t="str">
        <v>地下室外墙保温（合用前室与车库外侧）</v>
      </c>
      <c r="C139" s="51" t="str">
        <v/>
      </c>
      <c r="D139" s="51" t="str">
        <v/>
      </c>
      <c r="E139" s="51" t="str">
        <v/>
      </c>
      <c r="F139" s="52" t="str">
        <v/>
      </c>
      <c r="G139" s="48" t="str">
        <v/>
      </c>
      <c r="H139" s="49">
        <v>0</v>
      </c>
      <c r="I139" s="49">
        <v>0</v>
      </c>
      <c r="J139" s="50"/>
    </row>
    <row r="140" outlineLevel="1" spans="1:10">
      <c r="A140" s="50">
        <v>117</v>
      </c>
      <c r="B140" s="51" t="str">
        <v>外墙-160厚岩棉板</v>
      </c>
      <c r="C140" s="51" t="e">
        <v>#REF!</v>
      </c>
      <c r="D140" s="51" t="str">
        <v/>
      </c>
      <c r="E140" s="51" t="str">
        <v/>
      </c>
      <c r="F140" s="52" t="e">
        <v>#REF!</v>
      </c>
      <c r="G140" s="48" t="e">
        <v>#REF!</v>
      </c>
      <c r="H140" s="49">
        <v>1</v>
      </c>
      <c r="I140" s="49" t="e">
        <v>#REF!</v>
      </c>
      <c r="J140" s="50"/>
    </row>
    <row r="141" outlineLevel="1" spans="1:10">
      <c r="A141" s="50">
        <v>118</v>
      </c>
      <c r="B141" s="51" t="str">
        <v>外墙面-3厚抗裂砂浆</v>
      </c>
      <c r="C141" s="51" t="e">
        <v>#REF!</v>
      </c>
      <c r="D141" s="51" t="str">
        <v/>
      </c>
      <c r="E141" s="51" t="str">
        <v/>
      </c>
      <c r="F141" s="52" t="e">
        <v>#REF!</v>
      </c>
      <c r="G141" s="48" t="e">
        <v>#REF!</v>
      </c>
      <c r="H141" s="49">
        <v>1</v>
      </c>
      <c r="I141" s="49" t="e">
        <v>#REF!</v>
      </c>
      <c r="J141" s="50"/>
    </row>
    <row r="142" outlineLevel="1" spans="1:10">
      <c r="A142" s="50">
        <v>119</v>
      </c>
      <c r="B142" s="51" t="str">
        <v>外墙面-网格布</v>
      </c>
      <c r="C142" s="51" t="e">
        <v>#REF!</v>
      </c>
      <c r="D142" s="51" t="str">
        <v/>
      </c>
      <c r="E142" s="51" t="str">
        <v/>
      </c>
      <c r="F142" s="52" t="e">
        <v>#REF!</v>
      </c>
      <c r="G142" s="48" t="e">
        <v>#REF!</v>
      </c>
      <c r="H142" s="49">
        <v>1</v>
      </c>
      <c r="I142" s="49" t="e">
        <v>#REF!</v>
      </c>
      <c r="J142" s="50"/>
    </row>
    <row r="143" outlineLevel="1" spans="1:10">
      <c r="A143" s="50">
        <v>120</v>
      </c>
      <c r="B143" s="51" t="str">
        <v>内墙面-聚合物水泥</v>
      </c>
      <c r="C143" s="51" t="e">
        <v>#REF!</v>
      </c>
      <c r="D143" s="51" t="str">
        <v/>
      </c>
      <c r="E143" s="51" t="str">
        <v/>
      </c>
      <c r="F143" s="52" t="e">
        <v>#REF!</v>
      </c>
      <c r="G143" s="48" t="e">
        <v>#REF!</v>
      </c>
      <c r="H143" s="49">
        <v>0</v>
      </c>
      <c r="I143" s="49" t="e">
        <v>#REF!</v>
      </c>
      <c r="J143" s="50"/>
    </row>
    <row r="144" outlineLevel="1" spans="1:10">
      <c r="A144" s="50" t="str">
        <v/>
      </c>
      <c r="B144" s="51" t="str">
        <v>被动区与非被动区保温隔热</v>
      </c>
      <c r="C144" s="51" t="str">
        <v/>
      </c>
      <c r="D144" s="51" t="str">
        <v/>
      </c>
      <c r="E144" s="51" t="str">
        <v/>
      </c>
      <c r="F144" s="52" t="str">
        <v/>
      </c>
      <c r="G144" s="48" t="str">
        <v/>
      </c>
      <c r="H144" s="49">
        <v>0</v>
      </c>
      <c r="I144" s="49">
        <v>0</v>
      </c>
      <c r="J144" s="50"/>
    </row>
    <row r="145" outlineLevel="1" spans="1:10">
      <c r="A145" s="50">
        <v>121</v>
      </c>
      <c r="B145" s="51" t="str">
        <v>内墙面-界面剂</v>
      </c>
      <c r="C145" s="51" t="e">
        <v>#REF!</v>
      </c>
      <c r="D145" s="51" t="str">
        <v/>
      </c>
      <c r="E145" s="51" t="str">
        <v/>
      </c>
      <c r="F145" s="52" t="e">
        <v>#REF!</v>
      </c>
      <c r="G145" s="48" t="e">
        <v>#REF!</v>
      </c>
      <c r="H145" s="49">
        <v>483.43</v>
      </c>
      <c r="I145" s="49" t="e">
        <v>#REF!</v>
      </c>
      <c r="J145" s="50"/>
    </row>
    <row r="146" outlineLevel="1" spans="1:10">
      <c r="A146" s="50">
        <v>122</v>
      </c>
      <c r="B146" s="51" t="str">
        <v>内墙保温-100厚岩棉板</v>
      </c>
      <c r="C146" s="51" t="e">
        <v>#REF!</v>
      </c>
      <c r="D146" s="51" t="str">
        <v/>
      </c>
      <c r="E146" s="51" t="str">
        <v/>
      </c>
      <c r="F146" s="52" t="e">
        <v>#REF!</v>
      </c>
      <c r="G146" s="48" t="e">
        <v>#REF!</v>
      </c>
      <c r="H146" s="49">
        <v>483.43</v>
      </c>
      <c r="I146" s="49" t="e">
        <v>#REF!</v>
      </c>
      <c r="J146" s="50"/>
    </row>
    <row r="147" outlineLevel="1" spans="1:10">
      <c r="A147" s="50">
        <v>123</v>
      </c>
      <c r="B147" s="51" t="str">
        <v>内墙面-5厚抗裂砂浆</v>
      </c>
      <c r="C147" s="51" t="e">
        <v>#REF!</v>
      </c>
      <c r="D147" s="51" t="str">
        <v/>
      </c>
      <c r="E147" s="51" t="str">
        <v/>
      </c>
      <c r="F147" s="52" t="e">
        <v>#REF!</v>
      </c>
      <c r="G147" s="48" t="e">
        <v>#REF!</v>
      </c>
      <c r="H147" s="49">
        <v>483.43</v>
      </c>
      <c r="I147" s="49" t="e">
        <v>#REF!</v>
      </c>
      <c r="J147" s="50"/>
    </row>
    <row r="148" outlineLevel="1" spans="1:10">
      <c r="A148" s="50">
        <v>124</v>
      </c>
      <c r="B148" s="51" t="str">
        <v>内墙面-网格布</v>
      </c>
      <c r="C148" s="51" t="e">
        <v>#REF!</v>
      </c>
      <c r="D148" s="51" t="str">
        <v/>
      </c>
      <c r="E148" s="51" t="str">
        <v/>
      </c>
      <c r="F148" s="52" t="e">
        <v>#REF!</v>
      </c>
      <c r="G148" s="48" t="e">
        <v>#REF!</v>
      </c>
      <c r="H148" s="49">
        <v>483.43</v>
      </c>
      <c r="I148" s="49" t="e">
        <v>#REF!</v>
      </c>
      <c r="J148" s="50"/>
    </row>
    <row r="149" outlineLevel="1" spans="1:10">
      <c r="A149" s="50" t="str">
        <v/>
      </c>
      <c r="B149" s="51" t="str">
        <v>A.04.02屋面与防水工程</v>
      </c>
      <c r="C149" s="51" t="str">
        <v/>
      </c>
      <c r="D149" s="51" t="str">
        <v/>
      </c>
      <c r="E149" s="51" t="str">
        <v/>
      </c>
      <c r="F149" s="52" t="str">
        <v/>
      </c>
      <c r="G149" s="48" t="str">
        <v/>
      </c>
      <c r="H149" s="49">
        <v>0</v>
      </c>
      <c r="I149" s="49" t="e">
        <v>#REF!</v>
      </c>
      <c r="J149" s="50"/>
    </row>
    <row r="150" outlineLevel="1" spans="1:10">
      <c r="A150" s="50" t="str">
        <v/>
      </c>
      <c r="B150" s="51" t="str">
        <v>地下室外墙1</v>
      </c>
      <c r="C150" s="51" t="str">
        <v/>
      </c>
      <c r="D150" s="51" t="str">
        <v/>
      </c>
      <c r="E150" s="51" t="str">
        <v/>
      </c>
      <c r="F150" s="52" t="str">
        <v/>
      </c>
      <c r="G150" s="48" t="str">
        <v/>
      </c>
      <c r="H150" s="49">
        <v>0</v>
      </c>
      <c r="I150" s="49">
        <v>0</v>
      </c>
      <c r="J150" s="50"/>
    </row>
    <row r="151" outlineLevel="1" spans="1:10">
      <c r="A151" s="50">
        <v>125</v>
      </c>
      <c r="B151" s="51" t="str">
        <v>外墙-50厚EPS</v>
      </c>
      <c r="C151" s="51" t="e">
        <v>#REF!</v>
      </c>
      <c r="D151" s="51" t="str">
        <v/>
      </c>
      <c r="E151" s="51" t="str">
        <v/>
      </c>
      <c r="F151" s="52" t="e">
        <v>#REF!</v>
      </c>
      <c r="G151" s="48" t="e">
        <v>#REF!</v>
      </c>
      <c r="H151" s="49">
        <v>296.1</v>
      </c>
      <c r="I151" s="49" t="e">
        <v>#REF!</v>
      </c>
      <c r="J151" s="50"/>
    </row>
    <row r="152" outlineLevel="1" spans="1:10">
      <c r="A152" s="50">
        <v>126</v>
      </c>
      <c r="B152" s="51" t="str">
        <v>外墙防水-1.5厚双面粘</v>
      </c>
      <c r="C152" s="51" t="e">
        <v>#REF!</v>
      </c>
      <c r="D152" s="51" t="str">
        <v/>
      </c>
      <c r="E152" s="51" t="str">
        <v/>
      </c>
      <c r="F152" s="52" t="e">
        <v>#REF!</v>
      </c>
      <c r="G152" s="48" t="e">
        <v>#REF!</v>
      </c>
      <c r="H152" s="49">
        <v>296.1</v>
      </c>
      <c r="I152" s="49" t="e">
        <v>#REF!</v>
      </c>
      <c r="J152" s="50"/>
    </row>
    <row r="153" outlineLevel="1" spans="1:10">
      <c r="A153" s="50">
        <v>127</v>
      </c>
      <c r="B153" s="51" t="str">
        <v>外墙-1.5厚水泥凝胶</v>
      </c>
      <c r="C153" s="51" t="e">
        <v>#REF!</v>
      </c>
      <c r="D153" s="51" t="str">
        <v/>
      </c>
      <c r="E153" s="51" t="str">
        <v/>
      </c>
      <c r="F153" s="52" t="e">
        <v>#REF!</v>
      </c>
      <c r="G153" s="48" t="e">
        <v>#REF!</v>
      </c>
      <c r="H153" s="49">
        <v>296.1</v>
      </c>
      <c r="I153" s="49" t="e">
        <v>#REF!</v>
      </c>
      <c r="J153" s="50"/>
    </row>
    <row r="154" outlineLevel="1" spans="1:10">
      <c r="A154" s="50" t="str">
        <v/>
      </c>
      <c r="B154" s="51" t="str">
        <v>地下室外墙2</v>
      </c>
      <c r="C154" s="51" t="str">
        <v/>
      </c>
      <c r="D154" s="51" t="str">
        <v/>
      </c>
      <c r="E154" s="51" t="str">
        <v/>
      </c>
      <c r="F154" s="52" t="str">
        <v/>
      </c>
      <c r="G154" s="48" t="str">
        <v/>
      </c>
      <c r="H154" s="49">
        <v>0</v>
      </c>
      <c r="I154" s="49">
        <v>0</v>
      </c>
      <c r="J154" s="50"/>
    </row>
    <row r="155" outlineLevel="1" spans="1:10">
      <c r="A155" s="50">
        <v>128</v>
      </c>
      <c r="B155" s="51" t="str">
        <v>外墙-50厚EPS</v>
      </c>
      <c r="C155" s="51" t="e">
        <v>#REF!</v>
      </c>
      <c r="D155" s="51" t="str">
        <v/>
      </c>
      <c r="E155" s="51" t="str">
        <v/>
      </c>
      <c r="F155" s="52" t="e">
        <v>#REF!</v>
      </c>
      <c r="G155" s="48" t="e">
        <v>#REF!</v>
      </c>
      <c r="H155" s="49">
        <v>1</v>
      </c>
      <c r="I155" s="49" t="e">
        <v>#REF!</v>
      </c>
      <c r="J155" s="50"/>
    </row>
    <row r="156" outlineLevel="1" spans="1:10">
      <c r="A156" s="50">
        <v>129</v>
      </c>
      <c r="B156" s="51" t="str">
        <v>外墙防水-1.5厚双面粘</v>
      </c>
      <c r="C156" s="51" t="e">
        <v>#REF!</v>
      </c>
      <c r="D156" s="51" t="str">
        <v/>
      </c>
      <c r="E156" s="51" t="str">
        <v/>
      </c>
      <c r="F156" s="52" t="e">
        <v>#REF!</v>
      </c>
      <c r="G156" s="48" t="e">
        <v>#REF!</v>
      </c>
      <c r="H156" s="49">
        <v>1</v>
      </c>
      <c r="I156" s="49" t="e">
        <v>#REF!</v>
      </c>
      <c r="J156" s="50"/>
    </row>
    <row r="157" outlineLevel="1" spans="1:10">
      <c r="A157" s="50">
        <v>130</v>
      </c>
      <c r="B157" s="51" t="str">
        <v>外墙防水-1.5厚单面粘</v>
      </c>
      <c r="C157" s="51" t="e">
        <v>#REF!</v>
      </c>
      <c r="D157" s="51" t="str">
        <v/>
      </c>
      <c r="E157" s="51" t="str">
        <v/>
      </c>
      <c r="F157" s="52" t="e">
        <v>#REF!</v>
      </c>
      <c r="G157" s="48" t="e">
        <v>#REF!</v>
      </c>
      <c r="H157" s="49">
        <v>1</v>
      </c>
      <c r="I157" s="49" t="e">
        <v>#REF!</v>
      </c>
      <c r="J157" s="50"/>
    </row>
    <row r="158" outlineLevel="1" spans="1:10">
      <c r="A158" s="50">
        <v>131</v>
      </c>
      <c r="B158" s="51" t="str">
        <v>外墙-1.5厚水泥凝胶</v>
      </c>
      <c r="C158" s="51" t="e">
        <v>#REF!</v>
      </c>
      <c r="D158" s="51" t="str">
        <v/>
      </c>
      <c r="E158" s="51" t="str">
        <v/>
      </c>
      <c r="F158" s="52" t="e">
        <v>#REF!</v>
      </c>
      <c r="G158" s="48" t="e">
        <v>#REF!</v>
      </c>
      <c r="H158" s="49">
        <v>1</v>
      </c>
      <c r="I158" s="49" t="e">
        <v>#REF!</v>
      </c>
      <c r="J158" s="50"/>
    </row>
    <row r="159" outlineLevel="1" spans="1:10">
      <c r="A159" s="50" t="str">
        <v/>
      </c>
      <c r="B159" s="51" t="str">
        <v>地下室外墙3</v>
      </c>
      <c r="C159" s="51" t="str">
        <v/>
      </c>
      <c r="D159" s="51" t="str">
        <v/>
      </c>
      <c r="E159" s="51" t="str">
        <v/>
      </c>
      <c r="F159" s="52" t="str">
        <v/>
      </c>
      <c r="G159" s="48" t="str">
        <v/>
      </c>
      <c r="H159" s="49">
        <v>0</v>
      </c>
      <c r="I159" s="49">
        <v>0</v>
      </c>
      <c r="J159" s="50"/>
    </row>
    <row r="160" outlineLevel="1" spans="1:10">
      <c r="A160" s="50">
        <v>132</v>
      </c>
      <c r="B160" s="51" t="str">
        <v>外墙-30厚EPS</v>
      </c>
      <c r="C160" s="51" t="e">
        <v>#REF!</v>
      </c>
      <c r="D160" s="51" t="str">
        <v/>
      </c>
      <c r="E160" s="51" t="str">
        <v/>
      </c>
      <c r="F160" s="52" t="e">
        <v>#REF!</v>
      </c>
      <c r="G160" s="48" t="e">
        <v>#REF!</v>
      </c>
      <c r="H160" s="49">
        <v>0</v>
      </c>
      <c r="I160" s="49" t="e">
        <v>#REF!</v>
      </c>
      <c r="J160" s="50"/>
    </row>
    <row r="161" outlineLevel="1" spans="1:10">
      <c r="A161" s="50">
        <v>133</v>
      </c>
      <c r="B161" s="51" t="str">
        <v>外墙防水-1.5厚双面粘</v>
      </c>
      <c r="C161" s="51" t="e">
        <v>#REF!</v>
      </c>
      <c r="D161" s="51" t="str">
        <v/>
      </c>
      <c r="E161" s="51" t="str">
        <v/>
      </c>
      <c r="F161" s="52" t="e">
        <v>#REF!</v>
      </c>
      <c r="G161" s="48" t="e">
        <v>#REF!</v>
      </c>
      <c r="H161" s="49">
        <v>0</v>
      </c>
      <c r="I161" s="49" t="e">
        <v>#REF!</v>
      </c>
      <c r="J161" s="50"/>
    </row>
    <row r="162" outlineLevel="1" spans="1:10">
      <c r="A162" s="50">
        <v>134</v>
      </c>
      <c r="B162" s="51" t="str">
        <v>外墙-1.5厚水泥凝胶</v>
      </c>
      <c r="C162" s="51" t="e">
        <v>#REF!</v>
      </c>
      <c r="D162" s="51" t="str">
        <v/>
      </c>
      <c r="E162" s="51" t="str">
        <v/>
      </c>
      <c r="F162" s="52" t="e">
        <v>#REF!</v>
      </c>
      <c r="G162" s="48" t="e">
        <v>#REF!</v>
      </c>
      <c r="H162" s="49">
        <v>0</v>
      </c>
      <c r="I162" s="49" t="e">
        <v>#REF!</v>
      </c>
      <c r="J162" s="50"/>
    </row>
    <row r="163" outlineLevel="1" spans="1:10">
      <c r="A163" s="50" t="str">
        <v/>
      </c>
      <c r="B163" s="51" t="str">
        <v>地下室外墙4</v>
      </c>
      <c r="C163" s="51" t="str">
        <v/>
      </c>
      <c r="D163" s="51" t="str">
        <v/>
      </c>
      <c r="E163" s="51" t="str">
        <v/>
      </c>
      <c r="F163" s="52" t="str">
        <v/>
      </c>
      <c r="G163" s="48" t="str">
        <v/>
      </c>
      <c r="H163" s="49">
        <v>0</v>
      </c>
      <c r="I163" s="49">
        <v>0</v>
      </c>
      <c r="J163" s="50"/>
    </row>
    <row r="164" outlineLevel="1" spans="1:10">
      <c r="A164" s="50">
        <v>135</v>
      </c>
      <c r="B164" s="51" t="str">
        <v>外墙-30厚EPS</v>
      </c>
      <c r="C164" s="51" t="e">
        <v>#REF!</v>
      </c>
      <c r="D164" s="51" t="str">
        <v/>
      </c>
      <c r="E164" s="51" t="str">
        <v/>
      </c>
      <c r="F164" s="52" t="e">
        <v>#REF!</v>
      </c>
      <c r="G164" s="48" t="e">
        <v>#REF!</v>
      </c>
      <c r="H164" s="49">
        <v>0</v>
      </c>
      <c r="I164" s="49" t="e">
        <v>#REF!</v>
      </c>
      <c r="J164" s="50"/>
    </row>
    <row r="165" outlineLevel="1" spans="1:10">
      <c r="A165" s="50">
        <v>136</v>
      </c>
      <c r="B165" s="51" t="str">
        <v>外墙防水-1.5厚双面粘</v>
      </c>
      <c r="C165" s="51" t="e">
        <v>#REF!</v>
      </c>
      <c r="D165" s="51" t="str">
        <v/>
      </c>
      <c r="E165" s="51" t="str">
        <v/>
      </c>
      <c r="F165" s="52" t="e">
        <v>#REF!</v>
      </c>
      <c r="G165" s="48" t="e">
        <v>#REF!</v>
      </c>
      <c r="H165" s="49">
        <v>0</v>
      </c>
      <c r="I165" s="49" t="e">
        <v>#REF!</v>
      </c>
      <c r="J165" s="50"/>
    </row>
    <row r="166" outlineLevel="1" spans="1:10">
      <c r="A166" s="50">
        <v>137</v>
      </c>
      <c r="B166" s="51" t="str">
        <v>外墙防水-1.5厚单面粘</v>
      </c>
      <c r="C166" s="51" t="e">
        <v>#REF!</v>
      </c>
      <c r="D166" s="51" t="str">
        <v/>
      </c>
      <c r="E166" s="51" t="str">
        <v/>
      </c>
      <c r="F166" s="52" t="e">
        <v>#REF!</v>
      </c>
      <c r="G166" s="48" t="e">
        <v>#REF!</v>
      </c>
      <c r="H166" s="49">
        <v>0</v>
      </c>
      <c r="I166" s="49" t="e">
        <v>#REF!</v>
      </c>
      <c r="J166" s="50"/>
    </row>
    <row r="167" outlineLevel="1" spans="1:10">
      <c r="A167" s="50">
        <v>138</v>
      </c>
      <c r="B167" s="51" t="str">
        <v>外墙-1.5厚水泥凝胶</v>
      </c>
      <c r="C167" s="51" t="e">
        <v>#REF!</v>
      </c>
      <c r="D167" s="51" t="str">
        <v/>
      </c>
      <c r="E167" s="51" t="str">
        <v/>
      </c>
      <c r="F167" s="52" t="e">
        <v>#REF!</v>
      </c>
      <c r="G167" s="48" t="e">
        <v>#REF!</v>
      </c>
      <c r="H167" s="49">
        <v>0</v>
      </c>
      <c r="I167" s="49" t="e">
        <v>#REF!</v>
      </c>
      <c r="J167" s="50"/>
    </row>
    <row r="168" ht="28.8" outlineLevel="1" spans="1:10">
      <c r="A168" s="50" t="str">
        <v/>
      </c>
      <c r="B168" s="51" t="str">
        <v>独立楼梯间、坡道、进排风井外墙面于混凝土墙</v>
      </c>
      <c r="C168" s="51" t="str">
        <v/>
      </c>
      <c r="D168" s="51" t="str">
        <v/>
      </c>
      <c r="E168" s="51" t="str">
        <v/>
      </c>
      <c r="F168" s="52" t="str">
        <v/>
      </c>
      <c r="G168" s="48" t="str">
        <v/>
      </c>
      <c r="H168" s="49">
        <v>0</v>
      </c>
      <c r="I168" s="49">
        <v>0</v>
      </c>
      <c r="J168" s="50"/>
    </row>
    <row r="169" outlineLevel="1" spans="1:10">
      <c r="A169" s="50">
        <v>139</v>
      </c>
      <c r="B169" s="51" t="str">
        <v>外墙面-界面剂</v>
      </c>
      <c r="C169" s="51" t="e">
        <v>#REF!</v>
      </c>
      <c r="D169" s="51" t="str">
        <v/>
      </c>
      <c r="E169" s="51" t="str">
        <v/>
      </c>
      <c r="F169" s="52" t="e">
        <v>#REF!</v>
      </c>
      <c r="G169" s="48" t="e">
        <v>#REF!</v>
      </c>
      <c r="H169" s="49">
        <v>0</v>
      </c>
      <c r="I169" s="49" t="e">
        <v>#REF!</v>
      </c>
      <c r="J169" s="50"/>
    </row>
    <row r="170" outlineLevel="1" spans="1:10">
      <c r="A170" s="50">
        <v>140</v>
      </c>
      <c r="B170" s="51" t="str">
        <v>外墙面-15厚M7.5</v>
      </c>
      <c r="C170" s="51" t="e">
        <v>#REF!</v>
      </c>
      <c r="D170" s="51" t="str">
        <v/>
      </c>
      <c r="E170" s="51" t="str">
        <v/>
      </c>
      <c r="F170" s="52" t="e">
        <v>#REF!</v>
      </c>
      <c r="G170" s="48" t="e">
        <v>#REF!</v>
      </c>
      <c r="H170" s="49">
        <v>0</v>
      </c>
      <c r="I170" s="49" t="e">
        <v>#REF!</v>
      </c>
      <c r="J170" s="50"/>
    </row>
    <row r="171" outlineLevel="1" spans="1:10">
      <c r="A171" s="50">
        <v>141</v>
      </c>
      <c r="B171" s="51" t="str">
        <v>外墙面-网格布</v>
      </c>
      <c r="C171" s="51" t="e">
        <v>#REF!</v>
      </c>
      <c r="D171" s="51" t="str">
        <v/>
      </c>
      <c r="E171" s="51" t="str">
        <v/>
      </c>
      <c r="F171" s="52" t="e">
        <v>#REF!</v>
      </c>
      <c r="G171" s="48" t="e">
        <v>#REF!</v>
      </c>
      <c r="H171" s="49">
        <v>0</v>
      </c>
      <c r="I171" s="49" t="e">
        <v>#REF!</v>
      </c>
      <c r="J171" s="50"/>
    </row>
    <row r="172" ht="28.8" outlineLevel="1" spans="1:10">
      <c r="A172" s="50" t="str">
        <v/>
      </c>
      <c r="B172" s="51" t="str">
        <v>独立楼梯间、坡道、进排风井外墙面于砌筑墙</v>
      </c>
      <c r="C172" s="51" t="str">
        <v/>
      </c>
      <c r="D172" s="51" t="str">
        <v/>
      </c>
      <c r="E172" s="51" t="str">
        <v/>
      </c>
      <c r="F172" s="52" t="str">
        <v/>
      </c>
      <c r="G172" s="48" t="str">
        <v/>
      </c>
      <c r="H172" s="49">
        <v>0</v>
      </c>
      <c r="I172" s="49">
        <v>0</v>
      </c>
      <c r="J172" s="50"/>
    </row>
    <row r="173" outlineLevel="1" spans="1:10">
      <c r="A173" s="50">
        <v>142</v>
      </c>
      <c r="B173" s="51" t="str">
        <v>外墙面-界面剂</v>
      </c>
      <c r="C173" s="51" t="e">
        <v>#REF!</v>
      </c>
      <c r="D173" s="51" t="str">
        <v/>
      </c>
      <c r="E173" s="51" t="str">
        <v/>
      </c>
      <c r="F173" s="52" t="e">
        <v>#REF!</v>
      </c>
      <c r="G173" s="48" t="e">
        <v>#REF!</v>
      </c>
      <c r="H173" s="49">
        <v>0</v>
      </c>
      <c r="I173" s="49" t="e">
        <v>#REF!</v>
      </c>
      <c r="J173" s="50"/>
    </row>
    <row r="174" outlineLevel="1" spans="1:10">
      <c r="A174" s="50">
        <v>143</v>
      </c>
      <c r="B174" s="51" t="str">
        <v>外墙面-15厚M7.5</v>
      </c>
      <c r="C174" s="51" t="e">
        <v>#REF!</v>
      </c>
      <c r="D174" s="51" t="str">
        <v/>
      </c>
      <c r="E174" s="51" t="str">
        <v/>
      </c>
      <c r="F174" s="52" t="e">
        <v>#REF!</v>
      </c>
      <c r="G174" s="48" t="e">
        <v>#REF!</v>
      </c>
      <c r="H174" s="49">
        <v>0</v>
      </c>
      <c r="I174" s="49" t="e">
        <v>#REF!</v>
      </c>
      <c r="J174" s="50"/>
    </row>
    <row r="175" outlineLevel="1" spans="1:10">
      <c r="A175" s="50">
        <v>144</v>
      </c>
      <c r="B175" s="51" t="str">
        <v>外墙面-网格布</v>
      </c>
      <c r="C175" s="51" t="e">
        <v>#REF!</v>
      </c>
      <c r="D175" s="51" t="str">
        <v/>
      </c>
      <c r="E175" s="51" t="str">
        <v/>
      </c>
      <c r="F175" s="52" t="e">
        <v>#REF!</v>
      </c>
      <c r="G175" s="48" t="e">
        <v>#REF!</v>
      </c>
      <c r="H175" s="49">
        <v>0</v>
      </c>
      <c r="I175" s="49" t="e">
        <v>#REF!</v>
      </c>
      <c r="J175" s="50"/>
    </row>
    <row r="176" outlineLevel="1" spans="1:10">
      <c r="A176" s="50" t="str">
        <v/>
      </c>
      <c r="B176" s="51" t="str">
        <v>地下室顶板1</v>
      </c>
      <c r="C176" s="51" t="str">
        <v/>
      </c>
      <c r="D176" s="51" t="str">
        <v/>
      </c>
      <c r="E176" s="51" t="str">
        <v/>
      </c>
      <c r="F176" s="52" t="str">
        <v/>
      </c>
      <c r="G176" s="48" t="str">
        <v/>
      </c>
      <c r="H176" s="49">
        <v>0</v>
      </c>
      <c r="I176" s="49">
        <v>0</v>
      </c>
      <c r="J176" s="50"/>
    </row>
    <row r="177" ht="28.8" outlineLevel="1" spans="1:10">
      <c r="A177" s="50">
        <v>145</v>
      </c>
      <c r="B177" s="51" t="str">
        <v>顶板防水-1.5厚单面粘（阻根型）</v>
      </c>
      <c r="C177" s="51" t="e">
        <v>#REF!</v>
      </c>
      <c r="D177" s="51" t="str">
        <v/>
      </c>
      <c r="E177" s="51" t="str">
        <v/>
      </c>
      <c r="F177" s="52" t="e">
        <v>#REF!</v>
      </c>
      <c r="G177" s="48" t="e">
        <v>#REF!</v>
      </c>
      <c r="H177" s="49">
        <v>1</v>
      </c>
      <c r="I177" s="49" t="e">
        <v>#REF!</v>
      </c>
      <c r="J177" s="50"/>
    </row>
    <row r="178" outlineLevel="1" spans="1:10">
      <c r="A178" s="50">
        <v>146</v>
      </c>
      <c r="B178" s="51" t="str">
        <v>顶板防水-1.5厚双面粘</v>
      </c>
      <c r="C178" s="51" t="e">
        <v>#REF!</v>
      </c>
      <c r="D178" s="51" t="str">
        <v/>
      </c>
      <c r="E178" s="51" t="str">
        <v/>
      </c>
      <c r="F178" s="52" t="e">
        <v>#REF!</v>
      </c>
      <c r="G178" s="48" t="e">
        <v>#REF!</v>
      </c>
      <c r="H178" s="49">
        <v>1</v>
      </c>
      <c r="I178" s="49" t="e">
        <v>#REF!</v>
      </c>
      <c r="J178" s="50"/>
    </row>
    <row r="179" outlineLevel="1" spans="1:10">
      <c r="A179" s="50" t="str">
        <v/>
      </c>
      <c r="B179" s="51" t="str">
        <v>地下室顶板2</v>
      </c>
      <c r="C179" s="51" t="str">
        <v/>
      </c>
      <c r="D179" s="51" t="str">
        <v/>
      </c>
      <c r="E179" s="51" t="str">
        <v/>
      </c>
      <c r="F179" s="52" t="str">
        <v/>
      </c>
      <c r="G179" s="48" t="str">
        <v/>
      </c>
      <c r="H179" s="49">
        <v>0</v>
      </c>
      <c r="I179" s="49">
        <v>0</v>
      </c>
      <c r="J179" s="50"/>
    </row>
    <row r="180" ht="28.8" outlineLevel="1" spans="1:10">
      <c r="A180" s="50">
        <v>147</v>
      </c>
      <c r="B180" s="51" t="str">
        <v>顶板防水-1.5厚单面粘（阻根型）</v>
      </c>
      <c r="C180" s="51" t="e">
        <v>#REF!</v>
      </c>
      <c r="D180" s="51" t="str">
        <v/>
      </c>
      <c r="E180" s="51" t="str">
        <v/>
      </c>
      <c r="F180" s="52" t="e">
        <v>#REF!</v>
      </c>
      <c r="G180" s="48" t="e">
        <v>#REF!</v>
      </c>
      <c r="H180" s="49">
        <v>1</v>
      </c>
      <c r="I180" s="49" t="e">
        <v>#REF!</v>
      </c>
      <c r="J180" s="50"/>
    </row>
    <row r="181" outlineLevel="1" spans="1:10">
      <c r="A181" s="50">
        <v>148</v>
      </c>
      <c r="B181" s="51" t="str">
        <v>顶板防水-1.5厚沥青涂料</v>
      </c>
      <c r="C181" s="51" t="e">
        <v>#REF!</v>
      </c>
      <c r="D181" s="51" t="str">
        <v/>
      </c>
      <c r="E181" s="51" t="str">
        <v/>
      </c>
      <c r="F181" s="52" t="e">
        <v>#REF!</v>
      </c>
      <c r="G181" s="48" t="e">
        <v>#REF!</v>
      </c>
      <c r="H181" s="49">
        <v>1</v>
      </c>
      <c r="I181" s="49" t="e">
        <v>#REF!</v>
      </c>
      <c r="J181" s="50"/>
    </row>
    <row r="182" outlineLevel="1" spans="1:10">
      <c r="A182" s="50">
        <v>149</v>
      </c>
      <c r="B182" s="51" t="str">
        <v>顶板-100厚XPS</v>
      </c>
      <c r="C182" s="51" t="e">
        <v>#REF!</v>
      </c>
      <c r="D182" s="51" t="str">
        <v/>
      </c>
      <c r="E182" s="51" t="str">
        <v/>
      </c>
      <c r="F182" s="52" t="e">
        <v>#REF!</v>
      </c>
      <c r="G182" s="48" t="e">
        <v>#REF!</v>
      </c>
      <c r="H182" s="49">
        <v>1</v>
      </c>
      <c r="I182" s="49" t="e">
        <v>#REF!</v>
      </c>
      <c r="J182" s="50"/>
    </row>
    <row r="183" outlineLevel="1" spans="1:10">
      <c r="A183" s="50">
        <v>150</v>
      </c>
      <c r="B183" s="51" t="str">
        <v>顶板-C20细石砼找坡</v>
      </c>
      <c r="C183" s="51" t="e">
        <v>#REF!</v>
      </c>
      <c r="D183" s="51" t="str">
        <v/>
      </c>
      <c r="E183" s="51" t="str">
        <v/>
      </c>
      <c r="F183" s="52" t="e">
        <v>#REF!</v>
      </c>
      <c r="G183" s="48" t="e">
        <v>#REF!</v>
      </c>
      <c r="H183" s="49">
        <v>0</v>
      </c>
      <c r="I183" s="49" t="e">
        <v>#REF!</v>
      </c>
      <c r="J183" s="50"/>
    </row>
    <row r="184" outlineLevel="1" spans="1:10">
      <c r="A184" s="50" t="str">
        <v/>
      </c>
      <c r="B184" s="51" t="str">
        <v>地下室底板</v>
      </c>
      <c r="C184" s="51" t="str">
        <v/>
      </c>
      <c r="D184" s="51" t="str">
        <v/>
      </c>
      <c r="E184" s="51" t="str">
        <v/>
      </c>
      <c r="F184" s="52" t="str">
        <v/>
      </c>
      <c r="G184" s="48" t="str">
        <v/>
      </c>
      <c r="H184" s="49">
        <v>0</v>
      </c>
      <c r="I184" s="49">
        <v>0</v>
      </c>
      <c r="J184" s="50"/>
    </row>
    <row r="185" ht="28.8" outlineLevel="1" spans="1:10">
      <c r="A185" s="50">
        <v>151</v>
      </c>
      <c r="B185" s="51" t="str">
        <v>底板防水-1.2厚预铺反粘（单面粘）</v>
      </c>
      <c r="C185" s="51" t="e">
        <v>#REF!</v>
      </c>
      <c r="D185" s="51" t="str">
        <v/>
      </c>
      <c r="E185" s="51" t="str">
        <v/>
      </c>
      <c r="F185" s="52" t="e">
        <v>#REF!</v>
      </c>
      <c r="G185" s="48" t="e">
        <v>#REF!</v>
      </c>
      <c r="H185" s="49">
        <v>744.47</v>
      </c>
      <c r="I185" s="49" t="e">
        <v>#REF!</v>
      </c>
      <c r="J185" s="50"/>
    </row>
    <row r="186" ht="28.8" outlineLevel="1" spans="1:10">
      <c r="A186" s="50">
        <v>152</v>
      </c>
      <c r="B186" s="51" t="str">
        <v>底板防水-1.5厚反粘（双面粘）</v>
      </c>
      <c r="C186" s="51" t="e">
        <v>#REF!</v>
      </c>
      <c r="D186" s="51" t="str">
        <v/>
      </c>
      <c r="E186" s="51" t="str">
        <v/>
      </c>
      <c r="F186" s="52" t="e">
        <v>#REF!</v>
      </c>
      <c r="G186" s="48" t="e">
        <v>#REF!</v>
      </c>
      <c r="H186" s="49">
        <v>0</v>
      </c>
      <c r="I186" s="49" t="e">
        <v>#REF!</v>
      </c>
      <c r="J186" s="50"/>
    </row>
    <row r="187" ht="28.8" outlineLevel="1" spans="1:10">
      <c r="A187" s="50">
        <v>153</v>
      </c>
      <c r="B187" s="51" t="str">
        <v>沟坑内壁-20厚聚合物防水砂浆</v>
      </c>
      <c r="C187" s="51" t="e">
        <v>#REF!</v>
      </c>
      <c r="D187" s="51" t="str">
        <v/>
      </c>
      <c r="E187" s="51" t="str">
        <v/>
      </c>
      <c r="F187" s="52" t="e">
        <v>#REF!</v>
      </c>
      <c r="G187" s="48" t="e">
        <v>#REF!</v>
      </c>
      <c r="H187" s="49">
        <v>59.96</v>
      </c>
      <c r="I187" s="49" t="e">
        <v>#REF!</v>
      </c>
      <c r="J187" s="50"/>
    </row>
    <row r="188" outlineLevel="1" spans="1:10">
      <c r="A188" s="50" t="str">
        <v/>
      </c>
      <c r="B188" s="51" t="str">
        <v>电梯基坑1</v>
      </c>
      <c r="C188" s="51" t="str">
        <v/>
      </c>
      <c r="D188" s="51" t="str">
        <v/>
      </c>
      <c r="E188" s="51" t="str">
        <v/>
      </c>
      <c r="F188" s="52" t="str">
        <v/>
      </c>
      <c r="G188" s="48" t="str">
        <v/>
      </c>
      <c r="H188" s="49">
        <v>0</v>
      </c>
      <c r="I188" s="49">
        <v>0</v>
      </c>
      <c r="J188" s="50"/>
    </row>
    <row r="189" outlineLevel="1" spans="1:10">
      <c r="A189" s="50">
        <v>154</v>
      </c>
      <c r="B189" s="51" t="str">
        <v>基坑-M20水泥砂浆</v>
      </c>
      <c r="C189" s="51" t="e">
        <v>#REF!</v>
      </c>
      <c r="D189" s="51" t="str">
        <v/>
      </c>
      <c r="E189" s="51" t="str">
        <v/>
      </c>
      <c r="F189" s="52" t="e">
        <v>#REF!</v>
      </c>
      <c r="G189" s="48" t="e">
        <v>#REF!</v>
      </c>
      <c r="H189" s="49">
        <v>1</v>
      </c>
      <c r="I189" s="49" t="e">
        <v>#REF!</v>
      </c>
      <c r="J189" s="50"/>
    </row>
    <row r="190" ht="28.8" outlineLevel="1" spans="1:10">
      <c r="A190" s="50">
        <v>155</v>
      </c>
      <c r="B190" s="51" t="str">
        <v>沟坑内壁-20厚聚合物防水砂浆</v>
      </c>
      <c r="C190" s="51" t="e">
        <v>#REF!</v>
      </c>
      <c r="D190" s="51" t="str">
        <v/>
      </c>
      <c r="E190" s="51" t="str">
        <v/>
      </c>
      <c r="F190" s="52" t="e">
        <v>#REF!</v>
      </c>
      <c r="G190" s="48" t="e">
        <v>#REF!</v>
      </c>
      <c r="H190" s="49">
        <v>0</v>
      </c>
      <c r="I190" s="49" t="e">
        <v>#REF!</v>
      </c>
      <c r="J190" s="50"/>
    </row>
    <row r="191" outlineLevel="1" spans="1:10">
      <c r="A191" s="50">
        <v>156</v>
      </c>
      <c r="B191" s="51" t="str">
        <v>基坑-1.5厚聚氨酯涂料</v>
      </c>
      <c r="C191" s="51" t="e">
        <v>#REF!</v>
      </c>
      <c r="D191" s="51" t="str">
        <v/>
      </c>
      <c r="E191" s="51" t="str">
        <v/>
      </c>
      <c r="F191" s="52" t="e">
        <v>#REF!</v>
      </c>
      <c r="G191" s="48" t="e">
        <v>#REF!</v>
      </c>
      <c r="H191" s="49">
        <v>1</v>
      </c>
      <c r="I191" s="49" t="e">
        <v>#REF!</v>
      </c>
      <c r="J191" s="50"/>
    </row>
    <row r="192" outlineLevel="1" spans="1:10">
      <c r="A192" s="50">
        <v>157</v>
      </c>
      <c r="B192" s="51" t="str">
        <v>基坑-40厚C20细石砼</v>
      </c>
      <c r="C192" s="51" t="e">
        <v>#REF!</v>
      </c>
      <c r="D192" s="51" t="str">
        <v/>
      </c>
      <c r="E192" s="51" t="str">
        <v/>
      </c>
      <c r="F192" s="52" t="e">
        <v>#REF!</v>
      </c>
      <c r="G192" s="48" t="e">
        <v>#REF!</v>
      </c>
      <c r="H192" s="49">
        <v>1</v>
      </c>
      <c r="I192" s="49" t="e">
        <v>#REF!</v>
      </c>
      <c r="J192" s="50"/>
    </row>
    <row r="193" outlineLevel="1" spans="1:10">
      <c r="A193" s="50">
        <v>158</v>
      </c>
      <c r="B193" s="51" t="str">
        <v>基坑-φ4@100钢筋网片</v>
      </c>
      <c r="C193" s="51" t="e">
        <v>#REF!</v>
      </c>
      <c r="D193" s="51" t="str">
        <v/>
      </c>
      <c r="E193" s="51" t="str">
        <v/>
      </c>
      <c r="F193" s="52" t="e">
        <v>#REF!</v>
      </c>
      <c r="G193" s="48" t="e">
        <v>#REF!</v>
      </c>
      <c r="H193" s="49">
        <v>1</v>
      </c>
      <c r="I193" s="49" t="e">
        <v>#REF!</v>
      </c>
      <c r="J193" s="50"/>
    </row>
    <row r="194" outlineLevel="1" spans="1:10">
      <c r="A194" s="50">
        <v>159</v>
      </c>
      <c r="B194" s="51" t="str">
        <v>基坑-塑料膜</v>
      </c>
      <c r="C194" s="51" t="e">
        <v>#REF!</v>
      </c>
      <c r="D194" s="51" t="str">
        <v/>
      </c>
      <c r="E194" s="51" t="str">
        <v/>
      </c>
      <c r="F194" s="52" t="e">
        <v>#REF!</v>
      </c>
      <c r="G194" s="48" t="e">
        <v>#REF!</v>
      </c>
      <c r="H194" s="49">
        <v>1</v>
      </c>
      <c r="I194" s="49" t="e">
        <v>#REF!</v>
      </c>
      <c r="J194" s="50"/>
    </row>
    <row r="195" outlineLevel="1" spans="1:10">
      <c r="A195" s="50">
        <v>160</v>
      </c>
      <c r="B195" s="51" t="str">
        <v>基坑-120厚XPS</v>
      </c>
      <c r="C195" s="51" t="e">
        <v>#REF!</v>
      </c>
      <c r="D195" s="51" t="str">
        <v/>
      </c>
      <c r="E195" s="51" t="str">
        <v/>
      </c>
      <c r="F195" s="52" t="e">
        <v>#REF!</v>
      </c>
      <c r="G195" s="48" t="e">
        <v>#REF!</v>
      </c>
      <c r="H195" s="49">
        <v>1</v>
      </c>
      <c r="I195" s="49" t="e">
        <v>#REF!</v>
      </c>
      <c r="J195" s="50"/>
    </row>
    <row r="196" outlineLevel="1" spans="1:10">
      <c r="A196" s="50">
        <v>161</v>
      </c>
      <c r="B196" s="51" t="str">
        <v>基坑-1.5厚聚氨酯涂料</v>
      </c>
      <c r="C196" s="51" t="e">
        <v>#REF!</v>
      </c>
      <c r="D196" s="51" t="str">
        <v/>
      </c>
      <c r="E196" s="51" t="str">
        <v/>
      </c>
      <c r="F196" s="52" t="e">
        <v>#REF!</v>
      </c>
      <c r="G196" s="48" t="e">
        <v>#REF!</v>
      </c>
      <c r="H196" s="49">
        <v>1</v>
      </c>
      <c r="I196" s="49" t="e">
        <v>#REF!</v>
      </c>
      <c r="J196" s="50"/>
    </row>
    <row r="197" outlineLevel="1" spans="1:10">
      <c r="A197" s="50">
        <v>162</v>
      </c>
      <c r="B197" s="51" t="str">
        <v>基坑-素水泥浆</v>
      </c>
      <c r="C197" s="51" t="e">
        <v>#REF!</v>
      </c>
      <c r="D197" s="51" t="str">
        <v/>
      </c>
      <c r="E197" s="51" t="str">
        <v/>
      </c>
      <c r="F197" s="52" t="e">
        <v>#REF!</v>
      </c>
      <c r="G197" s="48" t="e">
        <v>#REF!</v>
      </c>
      <c r="H197" s="49">
        <v>1</v>
      </c>
      <c r="I197" s="49" t="e">
        <v>#REF!</v>
      </c>
      <c r="J197" s="50"/>
    </row>
    <row r="198" outlineLevel="1" spans="1:10">
      <c r="A198" s="50">
        <v>163</v>
      </c>
      <c r="B198" s="51" t="str">
        <v>基坑-20厚真空绝热板</v>
      </c>
      <c r="C198" s="51" t="e">
        <v>#REF!</v>
      </c>
      <c r="D198" s="51" t="str">
        <v/>
      </c>
      <c r="E198" s="51" t="str">
        <v/>
      </c>
      <c r="F198" s="52" t="e">
        <v>#REF!</v>
      </c>
      <c r="G198" s="48" t="e">
        <v>#REF!</v>
      </c>
      <c r="H198" s="49">
        <v>1</v>
      </c>
      <c r="I198" s="49" t="e">
        <v>#REF!</v>
      </c>
      <c r="J198" s="50"/>
    </row>
    <row r="199" outlineLevel="1" spans="1:10">
      <c r="A199" s="50">
        <v>164</v>
      </c>
      <c r="B199" s="51" t="str">
        <v>基坑-1.2厚聚氨酯涂料</v>
      </c>
      <c r="C199" s="51" t="e">
        <v>#REF!</v>
      </c>
      <c r="D199" s="51" t="str">
        <v/>
      </c>
      <c r="E199" s="51" t="str">
        <v/>
      </c>
      <c r="F199" s="52" t="e">
        <v>#REF!</v>
      </c>
      <c r="G199" s="48" t="e">
        <v>#REF!</v>
      </c>
      <c r="H199" s="49">
        <v>1</v>
      </c>
      <c r="I199" s="49" t="e">
        <v>#REF!</v>
      </c>
      <c r="J199" s="50"/>
    </row>
    <row r="200" outlineLevel="1" spans="1:10">
      <c r="A200" s="50">
        <v>165</v>
      </c>
      <c r="B200" s="51" t="str">
        <v>遇水膨胀止水条</v>
      </c>
      <c r="C200" s="51" t="e">
        <v>#REF!</v>
      </c>
      <c r="D200" s="51" t="str">
        <v/>
      </c>
      <c r="E200" s="51" t="str">
        <v/>
      </c>
      <c r="F200" s="52" t="e">
        <v>#REF!</v>
      </c>
      <c r="G200" s="48" t="e">
        <v>#REF!</v>
      </c>
      <c r="H200" s="49">
        <v>21.8</v>
      </c>
      <c r="I200" s="49" t="e">
        <v>#REF!</v>
      </c>
      <c r="J200" s="50"/>
    </row>
    <row r="201" outlineLevel="1" spans="1:10">
      <c r="A201" s="50">
        <v>166</v>
      </c>
      <c r="B201" s="51" t="str">
        <v>钢板止水条</v>
      </c>
      <c r="C201" s="51" t="e">
        <v>#REF!</v>
      </c>
      <c r="D201" s="51" t="str">
        <v/>
      </c>
      <c r="E201" s="51" t="str">
        <v/>
      </c>
      <c r="F201" s="52" t="e">
        <v>#REF!</v>
      </c>
      <c r="G201" s="48" t="e">
        <v>#REF!</v>
      </c>
      <c r="H201" s="49">
        <v>133.67</v>
      </c>
      <c r="I201" s="49" t="e">
        <v>#REF!</v>
      </c>
      <c r="J201" s="50"/>
    </row>
    <row r="202" outlineLevel="1" spans="1:10">
      <c r="A202" s="50">
        <v>167</v>
      </c>
      <c r="B202" s="51" t="str">
        <v>橡胶止水带</v>
      </c>
      <c r="C202" s="51" t="e">
        <v>#REF!</v>
      </c>
      <c r="D202" s="51" t="str">
        <v/>
      </c>
      <c r="E202" s="51" t="str">
        <v/>
      </c>
      <c r="F202" s="52" t="e">
        <v>#REF!</v>
      </c>
      <c r="G202" s="48" t="e">
        <v>#REF!</v>
      </c>
      <c r="H202" s="49">
        <v>0</v>
      </c>
      <c r="I202" s="49" t="e">
        <v>#REF!</v>
      </c>
      <c r="J202" s="50"/>
    </row>
    <row r="203" ht="28.8" outlineLevel="1" spans="1:10">
      <c r="A203" s="50" t="str">
        <v/>
      </c>
      <c r="B203" s="51" t="str">
        <v>非上人屋面（楼梯间.门厅.水箱间等）</v>
      </c>
      <c r="C203" s="51" t="str">
        <v/>
      </c>
      <c r="D203" s="51" t="str">
        <v/>
      </c>
      <c r="E203" s="51" t="str">
        <v/>
      </c>
      <c r="F203" s="52" t="str">
        <v/>
      </c>
      <c r="G203" s="48" t="str">
        <v/>
      </c>
      <c r="H203" s="49">
        <v>0</v>
      </c>
      <c r="I203" s="49">
        <v>0</v>
      </c>
      <c r="J203" s="50"/>
    </row>
    <row r="204" ht="28.8" outlineLevel="1" spans="1:10">
      <c r="A204" s="50">
        <v>168</v>
      </c>
      <c r="B204" s="51" t="str">
        <v>屋面-20厚M15水泥砂浆保护层</v>
      </c>
      <c r="C204" s="51" t="e">
        <v>#REF!</v>
      </c>
      <c r="D204" s="51" t="str">
        <v/>
      </c>
      <c r="E204" s="51" t="str">
        <v/>
      </c>
      <c r="F204" s="52" t="e">
        <v>#REF!</v>
      </c>
      <c r="G204" s="48" t="e">
        <v>#REF!</v>
      </c>
      <c r="H204" s="49">
        <v>0</v>
      </c>
      <c r="I204" s="49" t="e">
        <v>#REF!</v>
      </c>
      <c r="J204" s="50"/>
    </row>
    <row r="205" outlineLevel="1" spans="1:10">
      <c r="A205" s="50">
        <v>169</v>
      </c>
      <c r="B205" s="51" t="str">
        <v>屋面-土工布</v>
      </c>
      <c r="C205" s="51" t="e">
        <v>#REF!</v>
      </c>
      <c r="D205" s="51" t="str">
        <v/>
      </c>
      <c r="E205" s="51" t="str">
        <v/>
      </c>
      <c r="F205" s="52" t="e">
        <v>#REF!</v>
      </c>
      <c r="G205" s="48" t="e">
        <v>#REF!</v>
      </c>
      <c r="H205" s="49">
        <v>0</v>
      </c>
      <c r="I205" s="49" t="e">
        <v>#REF!</v>
      </c>
      <c r="J205" s="50"/>
    </row>
    <row r="206" outlineLevel="1" spans="1:10">
      <c r="A206" s="50">
        <v>170</v>
      </c>
      <c r="B206" s="51" t="str">
        <v>屋面-3+3SBS</v>
      </c>
      <c r="C206" s="51" t="e">
        <v>#REF!</v>
      </c>
      <c r="D206" s="51" t="str">
        <v/>
      </c>
      <c r="E206" s="51" t="str">
        <v/>
      </c>
      <c r="F206" s="52" t="e">
        <v>#REF!</v>
      </c>
      <c r="G206" s="48" t="e">
        <v>#REF!</v>
      </c>
      <c r="H206" s="49">
        <v>0</v>
      </c>
      <c r="I206" s="49" t="e">
        <v>#REF!</v>
      </c>
      <c r="J206" s="50"/>
    </row>
    <row r="207" outlineLevel="1" spans="1:10">
      <c r="A207" s="50">
        <v>171</v>
      </c>
      <c r="B207" s="51" t="str">
        <v>屋面-30厚C20细石砼</v>
      </c>
      <c r="C207" s="51" t="e">
        <v>#REF!</v>
      </c>
      <c r="D207" s="51" t="str">
        <v/>
      </c>
      <c r="E207" s="51" t="str">
        <v/>
      </c>
      <c r="F207" s="52" t="e">
        <v>#REF!</v>
      </c>
      <c r="G207" s="48" t="e">
        <v>#REF!</v>
      </c>
      <c r="H207" s="49">
        <v>0</v>
      </c>
      <c r="I207" s="49" t="e">
        <v>#REF!</v>
      </c>
      <c r="J207" s="50"/>
    </row>
    <row r="208" outlineLevel="1" spans="1:10">
      <c r="A208" s="50">
        <v>172</v>
      </c>
      <c r="B208" s="51" t="str">
        <v>屋面-最薄处30厚焦渣找坡</v>
      </c>
      <c r="C208" s="51" t="e">
        <v>#REF!</v>
      </c>
      <c r="D208" s="51" t="str">
        <v/>
      </c>
      <c r="E208" s="51" t="str">
        <v/>
      </c>
      <c r="F208" s="52" t="e">
        <v>#REF!</v>
      </c>
      <c r="G208" s="48" t="e">
        <v>#REF!</v>
      </c>
      <c r="H208" s="49">
        <v>0</v>
      </c>
      <c r="I208" s="49" t="e">
        <v>#REF!</v>
      </c>
      <c r="J208" s="50"/>
    </row>
    <row r="209" outlineLevel="1" spans="1:10">
      <c r="A209" s="50">
        <v>173</v>
      </c>
      <c r="B209" s="51" t="str">
        <v>屋面-190厚EPS</v>
      </c>
      <c r="C209" s="51" t="e">
        <v>#REF!</v>
      </c>
      <c r="D209" s="51" t="str">
        <v/>
      </c>
      <c r="E209" s="51" t="str">
        <v/>
      </c>
      <c r="F209" s="52" t="e">
        <v>#REF!</v>
      </c>
      <c r="G209" s="48" t="e">
        <v>#REF!</v>
      </c>
      <c r="H209" s="49">
        <v>0</v>
      </c>
      <c r="I209" s="49" t="e">
        <v>#REF!</v>
      </c>
      <c r="J209" s="50"/>
    </row>
    <row r="210" ht="28.8" outlineLevel="1" spans="1:10">
      <c r="A210" s="50" t="str">
        <v/>
      </c>
      <c r="B210" s="51" t="str">
        <v>非上人屋面（楼梯间.门厅.水箱间等）与主楼相连</v>
      </c>
      <c r="C210" s="51" t="str">
        <v/>
      </c>
      <c r="D210" s="51" t="str">
        <v/>
      </c>
      <c r="E210" s="51" t="str">
        <v/>
      </c>
      <c r="F210" s="52" t="str">
        <v/>
      </c>
      <c r="G210" s="48" t="str">
        <v/>
      </c>
      <c r="H210" s="49">
        <v>0</v>
      </c>
      <c r="I210" s="49">
        <v>0</v>
      </c>
      <c r="J210" s="50"/>
    </row>
    <row r="211" ht="28.8" outlineLevel="1" spans="1:10">
      <c r="A211" s="50">
        <v>174</v>
      </c>
      <c r="B211" s="51" t="str">
        <v>屋面-20厚M15水泥砂浆保护层</v>
      </c>
      <c r="C211" s="51" t="e">
        <v>#REF!</v>
      </c>
      <c r="D211" s="51" t="str">
        <v/>
      </c>
      <c r="E211" s="51" t="str">
        <v/>
      </c>
      <c r="F211" s="52" t="e">
        <v>#REF!</v>
      </c>
      <c r="G211" s="48" t="e">
        <v>#REF!</v>
      </c>
      <c r="H211" s="49">
        <v>0</v>
      </c>
      <c r="I211" s="49" t="e">
        <v>#REF!</v>
      </c>
      <c r="J211" s="50"/>
    </row>
    <row r="212" outlineLevel="1" spans="1:10">
      <c r="A212" s="50">
        <v>175</v>
      </c>
      <c r="B212" s="51" t="str">
        <v>屋面-土工布</v>
      </c>
      <c r="C212" s="51" t="e">
        <v>#REF!</v>
      </c>
      <c r="D212" s="51" t="str">
        <v/>
      </c>
      <c r="E212" s="51" t="str">
        <v/>
      </c>
      <c r="F212" s="52" t="e">
        <v>#REF!</v>
      </c>
      <c r="G212" s="48" t="e">
        <v>#REF!</v>
      </c>
      <c r="H212" s="49">
        <v>0</v>
      </c>
      <c r="I212" s="49" t="e">
        <v>#REF!</v>
      </c>
      <c r="J212" s="50"/>
    </row>
    <row r="213" outlineLevel="1" spans="1:10">
      <c r="A213" s="50">
        <v>176</v>
      </c>
      <c r="B213" s="51" t="str">
        <v>屋面-4厚SBS</v>
      </c>
      <c r="C213" s="51" t="e">
        <v>#REF!</v>
      </c>
      <c r="D213" s="51" t="str">
        <v/>
      </c>
      <c r="E213" s="51" t="str">
        <v/>
      </c>
      <c r="F213" s="52" t="e">
        <v>#REF!</v>
      </c>
      <c r="G213" s="48" t="e">
        <v>#REF!</v>
      </c>
      <c r="H213" s="49">
        <v>0</v>
      </c>
      <c r="I213" s="49" t="e">
        <v>#REF!</v>
      </c>
      <c r="J213" s="50"/>
    </row>
    <row r="214" outlineLevel="1" spans="1:10">
      <c r="A214" s="50">
        <v>177</v>
      </c>
      <c r="B214" s="51" t="str">
        <v>屋面-30厚C20细石砼</v>
      </c>
      <c r="C214" s="51" t="e">
        <v>#REF!</v>
      </c>
      <c r="D214" s="51" t="str">
        <v/>
      </c>
      <c r="E214" s="51" t="str">
        <v/>
      </c>
      <c r="F214" s="52" t="e">
        <v>#REF!</v>
      </c>
      <c r="G214" s="48" t="e">
        <v>#REF!</v>
      </c>
      <c r="H214" s="49">
        <v>0</v>
      </c>
      <c r="I214" s="49" t="e">
        <v>#REF!</v>
      </c>
      <c r="J214" s="50"/>
    </row>
    <row r="215" outlineLevel="1" spans="1:10">
      <c r="A215" s="50">
        <v>178</v>
      </c>
      <c r="B215" s="51" t="str">
        <v>屋面-最薄处30厚焦渣找坡</v>
      </c>
      <c r="C215" s="51" t="e">
        <v>#REF!</v>
      </c>
      <c r="D215" s="51" t="str">
        <v/>
      </c>
      <c r="E215" s="51" t="str">
        <v/>
      </c>
      <c r="F215" s="52" t="e">
        <v>#REF!</v>
      </c>
      <c r="G215" s="48" t="e">
        <v>#REF!</v>
      </c>
      <c r="H215" s="49">
        <v>0</v>
      </c>
      <c r="I215" s="49" t="e">
        <v>#REF!</v>
      </c>
      <c r="J215" s="50"/>
    </row>
    <row r="216" outlineLevel="1" spans="1:10">
      <c r="A216" s="50">
        <v>179</v>
      </c>
      <c r="B216" s="51" t="str">
        <v>屋面-200厚EPS</v>
      </c>
      <c r="C216" s="51" t="e">
        <v>#REF!</v>
      </c>
      <c r="D216" s="51" t="str">
        <v/>
      </c>
      <c r="E216" s="51" t="str">
        <v/>
      </c>
      <c r="F216" s="52" t="e">
        <v>#REF!</v>
      </c>
      <c r="G216" s="48" t="e">
        <v>#REF!</v>
      </c>
      <c r="H216" s="49">
        <v>0</v>
      </c>
      <c r="I216" s="49" t="e">
        <v>#REF!</v>
      </c>
      <c r="J216" s="50"/>
    </row>
    <row r="217" ht="28.8" outlineLevel="1" spans="1:10">
      <c r="A217" s="50" t="str">
        <v/>
      </c>
      <c r="B217" s="51" t="str">
        <v>非上人屋面（楼梯间.门厅.水箱间等）不与主楼相连</v>
      </c>
      <c r="C217" s="51" t="str">
        <v/>
      </c>
      <c r="D217" s="51" t="str">
        <v/>
      </c>
      <c r="E217" s="51" t="str">
        <v/>
      </c>
      <c r="F217" s="52" t="str">
        <v/>
      </c>
      <c r="G217" s="48" t="str">
        <v/>
      </c>
      <c r="H217" s="49">
        <v>0</v>
      </c>
      <c r="I217" s="49">
        <v>0</v>
      </c>
      <c r="J217" s="50"/>
    </row>
    <row r="218" ht="28.8" outlineLevel="1" spans="1:10">
      <c r="A218" s="50">
        <v>180</v>
      </c>
      <c r="B218" s="51" t="str">
        <v>屋面-20厚M15水泥砂浆保护层</v>
      </c>
      <c r="C218" s="51" t="e">
        <v>#REF!</v>
      </c>
      <c r="D218" s="51" t="str">
        <v/>
      </c>
      <c r="E218" s="51" t="str">
        <v/>
      </c>
      <c r="F218" s="52" t="e">
        <v>#REF!</v>
      </c>
      <c r="G218" s="48" t="e">
        <v>#REF!</v>
      </c>
      <c r="H218" s="49">
        <v>0</v>
      </c>
      <c r="I218" s="49" t="e">
        <v>#REF!</v>
      </c>
      <c r="J218" s="50"/>
    </row>
    <row r="219" outlineLevel="1" spans="1:10">
      <c r="A219" s="50">
        <v>181</v>
      </c>
      <c r="B219" s="51" t="str">
        <v>屋面-土工布</v>
      </c>
      <c r="C219" s="51" t="e">
        <v>#REF!</v>
      </c>
      <c r="D219" s="51" t="str">
        <v/>
      </c>
      <c r="E219" s="51" t="str">
        <v/>
      </c>
      <c r="F219" s="52" t="e">
        <v>#REF!</v>
      </c>
      <c r="G219" s="48" t="e">
        <v>#REF!</v>
      </c>
      <c r="H219" s="49">
        <v>0</v>
      </c>
      <c r="I219" s="49" t="e">
        <v>#REF!</v>
      </c>
      <c r="J219" s="50"/>
    </row>
    <row r="220" outlineLevel="1" spans="1:10">
      <c r="A220" s="50">
        <v>182</v>
      </c>
      <c r="B220" s="51" t="str">
        <v>屋面-4厚SBS</v>
      </c>
      <c r="C220" s="51" t="e">
        <v>#REF!</v>
      </c>
      <c r="D220" s="51" t="str">
        <v/>
      </c>
      <c r="E220" s="51" t="str">
        <v/>
      </c>
      <c r="F220" s="52" t="e">
        <v>#REF!</v>
      </c>
      <c r="G220" s="48" t="e">
        <v>#REF!</v>
      </c>
      <c r="H220" s="49">
        <v>0</v>
      </c>
      <c r="I220" s="49" t="e">
        <v>#REF!</v>
      </c>
      <c r="J220" s="50"/>
    </row>
    <row r="221" outlineLevel="1" spans="1:10">
      <c r="A221" s="50">
        <v>183</v>
      </c>
      <c r="B221" s="51" t="str">
        <v>屋面-30厚C20细石砼</v>
      </c>
      <c r="C221" s="51" t="e">
        <v>#REF!</v>
      </c>
      <c r="D221" s="51" t="str">
        <v/>
      </c>
      <c r="E221" s="51" t="str">
        <v/>
      </c>
      <c r="F221" s="52" t="e">
        <v>#REF!</v>
      </c>
      <c r="G221" s="48" t="e">
        <v>#REF!</v>
      </c>
      <c r="H221" s="49">
        <v>0</v>
      </c>
      <c r="I221" s="49" t="e">
        <v>#REF!</v>
      </c>
      <c r="J221" s="50"/>
    </row>
    <row r="222" outlineLevel="1" spans="1:10">
      <c r="A222" s="50">
        <v>184</v>
      </c>
      <c r="B222" s="51" t="str">
        <v>屋面-最薄处30厚焦渣找坡</v>
      </c>
      <c r="C222" s="51" t="e">
        <v>#REF!</v>
      </c>
      <c r="D222" s="51" t="str">
        <v/>
      </c>
      <c r="E222" s="51" t="str">
        <v/>
      </c>
      <c r="F222" s="52" t="e">
        <v>#REF!</v>
      </c>
      <c r="G222" s="48" t="e">
        <v>#REF!</v>
      </c>
      <c r="H222" s="49">
        <v>0</v>
      </c>
      <c r="I222" s="49" t="e">
        <v>#REF!</v>
      </c>
      <c r="J222" s="50"/>
    </row>
    <row r="223" outlineLevel="1" spans="1:10">
      <c r="A223" s="50">
        <v>185</v>
      </c>
      <c r="B223" s="51" t="str">
        <v>屋面-风井窗井</v>
      </c>
      <c r="C223" s="51" t="e">
        <v>#REF!</v>
      </c>
      <c r="D223" s="51" t="str">
        <v/>
      </c>
      <c r="E223" s="51" t="str">
        <v/>
      </c>
      <c r="F223" s="52" t="e">
        <v>#REF!</v>
      </c>
      <c r="G223" s="48" t="e">
        <v>#REF!</v>
      </c>
      <c r="H223" s="49">
        <v>0</v>
      </c>
      <c r="I223" s="49" t="e">
        <v>#REF!</v>
      </c>
      <c r="J223" s="50"/>
    </row>
    <row r="224" outlineLevel="1" spans="1:10">
      <c r="A224" s="50">
        <v>186</v>
      </c>
      <c r="B224" s="51" t="str">
        <v>屋面-顶板后浇带找平层</v>
      </c>
      <c r="C224" s="51" t="e">
        <v>#REF!</v>
      </c>
      <c r="D224" s="51" t="str">
        <v/>
      </c>
      <c r="E224" s="51" t="str">
        <v/>
      </c>
      <c r="F224" s="52" t="e">
        <v>#REF!</v>
      </c>
      <c r="G224" s="48" t="e">
        <v>#REF!</v>
      </c>
      <c r="H224" s="49">
        <v>0</v>
      </c>
      <c r="I224" s="49" t="e">
        <v>#REF!</v>
      </c>
      <c r="J224" s="50"/>
    </row>
    <row r="225" outlineLevel="1" spans="1:10">
      <c r="A225" s="50">
        <v>187</v>
      </c>
      <c r="B225" s="51" t="str">
        <v>水簸箕-C20细石砼</v>
      </c>
      <c r="C225" s="51" t="e">
        <v>#REF!</v>
      </c>
      <c r="D225" s="51" t="str">
        <v/>
      </c>
      <c r="E225" s="51" t="str">
        <v/>
      </c>
      <c r="F225" s="52" t="e">
        <v>#REF!</v>
      </c>
      <c r="G225" s="48" t="e">
        <v>#REF!</v>
      </c>
      <c r="H225" s="49">
        <v>0</v>
      </c>
      <c r="I225" s="49" t="e">
        <v>#REF!</v>
      </c>
      <c r="J225" s="50"/>
    </row>
    <row r="226" outlineLevel="1" spans="1:10">
      <c r="A226" s="50">
        <v>188</v>
      </c>
      <c r="B226" s="51" t="str">
        <v>屋面-Φ110UPVC雨水管</v>
      </c>
      <c r="C226" s="51" t="e">
        <v>#REF!</v>
      </c>
      <c r="D226" s="51" t="str">
        <v/>
      </c>
      <c r="E226" s="51" t="str">
        <v/>
      </c>
      <c r="F226" s="52" t="e">
        <v>#REF!</v>
      </c>
      <c r="G226" s="48" t="e">
        <v>#REF!</v>
      </c>
      <c r="H226" s="49">
        <v>0</v>
      </c>
      <c r="I226" s="49" t="e">
        <v>#REF!</v>
      </c>
      <c r="J226" s="50"/>
    </row>
    <row r="227" outlineLevel="1" spans="1:10">
      <c r="A227" s="50" t="str">
        <v/>
      </c>
      <c r="B227" s="51" t="str">
        <v>A.05简易装修工程</v>
      </c>
      <c r="C227" s="51" t="str">
        <v/>
      </c>
      <c r="D227" s="51" t="str">
        <v/>
      </c>
      <c r="E227" s="51" t="str">
        <v/>
      </c>
      <c r="F227" s="52" t="str">
        <v/>
      </c>
      <c r="G227" s="48" t="str">
        <v/>
      </c>
      <c r="H227" s="49">
        <v>0</v>
      </c>
      <c r="I227" s="49" t="e">
        <v>#REF!</v>
      </c>
      <c r="J227" s="50"/>
    </row>
    <row r="228" outlineLevel="1" spans="1:10">
      <c r="A228" s="50" t="str">
        <v/>
      </c>
      <c r="B228" s="51" t="str">
        <v>A.05.01地面装饰工程</v>
      </c>
      <c r="C228" s="51" t="str">
        <v/>
      </c>
      <c r="D228" s="51" t="str">
        <v/>
      </c>
      <c r="E228" s="51" t="str">
        <v/>
      </c>
      <c r="F228" s="52" t="str">
        <v/>
      </c>
      <c r="G228" s="48" t="str">
        <v/>
      </c>
      <c r="H228" s="49">
        <v>0</v>
      </c>
      <c r="I228" s="49" t="e">
        <v>#REF!</v>
      </c>
      <c r="J228" s="50"/>
    </row>
    <row r="229" outlineLevel="1" spans="1:10">
      <c r="A229" s="50">
        <v>189</v>
      </c>
      <c r="B229" s="51" t="str">
        <v>楼地面-热计量间</v>
      </c>
      <c r="C229" s="51" t="e">
        <v>#REF!</v>
      </c>
      <c r="D229" s="51" t="str">
        <v/>
      </c>
      <c r="E229" s="51" t="str">
        <v/>
      </c>
      <c r="F229" s="52" t="e">
        <v>#REF!</v>
      </c>
      <c r="G229" s="48" t="e">
        <v>#REF!</v>
      </c>
      <c r="H229" s="49">
        <v>14.17</v>
      </c>
      <c r="I229" s="49" t="e">
        <v>#REF!</v>
      </c>
      <c r="J229" s="50"/>
    </row>
    <row r="230" outlineLevel="1" spans="1:10">
      <c r="A230" s="50">
        <v>190</v>
      </c>
      <c r="B230" s="51" t="str">
        <v>楼地面-地下走道进线间机房</v>
      </c>
      <c r="C230" s="51" t="e">
        <v>#REF!</v>
      </c>
      <c r="D230" s="51" t="str">
        <v/>
      </c>
      <c r="E230" s="51" t="str">
        <v/>
      </c>
      <c r="F230" s="52" t="e">
        <v>#REF!</v>
      </c>
      <c r="G230" s="48" t="e">
        <v>#REF!</v>
      </c>
      <c r="H230" s="49">
        <v>62.61</v>
      </c>
      <c r="I230" s="49" t="e">
        <v>#REF!</v>
      </c>
      <c r="J230" s="50"/>
    </row>
    <row r="231" outlineLevel="1" spans="1:10">
      <c r="A231" s="50">
        <v>191</v>
      </c>
      <c r="B231" s="51" t="str">
        <v>楼地面-电信间</v>
      </c>
      <c r="C231" s="51" t="e">
        <v>#REF!</v>
      </c>
      <c r="D231" s="51" t="str">
        <v/>
      </c>
      <c r="E231" s="51" t="str">
        <v/>
      </c>
      <c r="F231" s="52" t="e">
        <v>#REF!</v>
      </c>
      <c r="G231" s="48" t="e">
        <v>#REF!</v>
      </c>
      <c r="H231" s="49">
        <v>1</v>
      </c>
      <c r="I231" s="49" t="e">
        <v>#REF!</v>
      </c>
      <c r="J231" s="50"/>
    </row>
    <row r="232" outlineLevel="1" spans="1:10">
      <c r="A232" s="50">
        <v>192</v>
      </c>
      <c r="B232" s="51" t="str">
        <v>楼地面-40厚C20细石砼</v>
      </c>
      <c r="C232" s="51" t="e">
        <v>#REF!</v>
      </c>
      <c r="D232" s="51" t="str">
        <v/>
      </c>
      <c r="E232" s="51" t="str">
        <v/>
      </c>
      <c r="F232" s="52" t="e">
        <v>#REF!</v>
      </c>
      <c r="G232" s="48" t="e">
        <v>#REF!</v>
      </c>
      <c r="H232" s="49">
        <v>0</v>
      </c>
      <c r="I232" s="49" t="e">
        <v>#REF!</v>
      </c>
      <c r="J232" s="50"/>
    </row>
    <row r="233" outlineLevel="1" spans="1:10">
      <c r="A233" s="50">
        <v>193</v>
      </c>
      <c r="B233" s="51" t="str">
        <v>楼地面-风井</v>
      </c>
      <c r="C233" s="51" t="e">
        <v>#REF!</v>
      </c>
      <c r="D233" s="51" t="str">
        <v/>
      </c>
      <c r="E233" s="51" t="str">
        <v/>
      </c>
      <c r="F233" s="52" t="e">
        <v>#REF!</v>
      </c>
      <c r="G233" s="48" t="e">
        <v>#REF!</v>
      </c>
      <c r="H233" s="49">
        <v>6.68</v>
      </c>
      <c r="I233" s="49" t="e">
        <v>#REF!</v>
      </c>
      <c r="J233" s="50"/>
    </row>
    <row r="234" outlineLevel="1" spans="1:10">
      <c r="A234" s="50">
        <v>194</v>
      </c>
      <c r="B234" s="51" t="str">
        <v>楼地面-水暖电井</v>
      </c>
      <c r="C234" s="51" t="e">
        <v>#REF!</v>
      </c>
      <c r="D234" s="51" t="str">
        <v/>
      </c>
      <c r="E234" s="51" t="str">
        <v/>
      </c>
      <c r="F234" s="52" t="e">
        <v>#REF!</v>
      </c>
      <c r="G234" s="48" t="e">
        <v>#REF!</v>
      </c>
      <c r="H234" s="49">
        <v>1</v>
      </c>
      <c r="I234" s="49" t="e">
        <v>#REF!</v>
      </c>
      <c r="J234" s="50"/>
    </row>
    <row r="235" outlineLevel="1" spans="1:10">
      <c r="A235" s="50">
        <v>195</v>
      </c>
      <c r="B235" s="51" t="str">
        <v>楼地面-独立车库</v>
      </c>
      <c r="C235" s="51" t="e">
        <v>#REF!</v>
      </c>
      <c r="D235" s="51" t="str">
        <v/>
      </c>
      <c r="E235" s="51" t="str">
        <v/>
      </c>
      <c r="F235" s="52" t="e">
        <v>#REF!</v>
      </c>
      <c r="G235" s="48" t="e">
        <v>#REF!</v>
      </c>
      <c r="H235" s="49">
        <v>474.56</v>
      </c>
      <c r="I235" s="49" t="e">
        <v>#REF!</v>
      </c>
      <c r="J235" s="50"/>
    </row>
    <row r="236" outlineLevel="1" spans="1:10">
      <c r="A236" s="50">
        <v>196</v>
      </c>
      <c r="B236" s="51" t="str">
        <v>踢脚线-100mm灰色涂料</v>
      </c>
      <c r="C236" s="51" t="e">
        <v>#REF!</v>
      </c>
      <c r="D236" s="51" t="str">
        <v/>
      </c>
      <c r="E236" s="51" t="str">
        <v/>
      </c>
      <c r="F236" s="52" t="e">
        <v>#REF!</v>
      </c>
      <c r="G236" s="48" t="e">
        <v>#REF!</v>
      </c>
      <c r="H236" s="49">
        <v>30.98</v>
      </c>
      <c r="I236" s="49" t="e">
        <v>#REF!</v>
      </c>
      <c r="J236" s="50"/>
    </row>
    <row r="237" outlineLevel="1" spans="1:10">
      <c r="A237" s="50">
        <v>197</v>
      </c>
      <c r="B237" s="51" t="str">
        <v>踢脚线-50mm灰色涂料</v>
      </c>
      <c r="C237" s="51" t="e">
        <v>#REF!</v>
      </c>
      <c r="D237" s="51" t="str">
        <v/>
      </c>
      <c r="E237" s="51" t="str">
        <v/>
      </c>
      <c r="F237" s="52" t="e">
        <v>#REF!</v>
      </c>
      <c r="G237" s="48" t="e">
        <v>#REF!</v>
      </c>
      <c r="H237" s="49">
        <v>0</v>
      </c>
      <c r="I237" s="49" t="e">
        <v>#REF!</v>
      </c>
      <c r="J237" s="50"/>
    </row>
    <row r="238" outlineLevel="1" spans="1:10">
      <c r="A238" s="50">
        <v>198</v>
      </c>
      <c r="B238" s="51" t="str">
        <v>踢脚线-150mm灰色涂料</v>
      </c>
      <c r="C238" s="51" t="e">
        <v>#REF!</v>
      </c>
      <c r="D238" s="51" t="str">
        <v/>
      </c>
      <c r="E238" s="51" t="str">
        <v/>
      </c>
      <c r="F238" s="52" t="e">
        <v>#REF!</v>
      </c>
      <c r="G238" s="48" t="e">
        <v>#REF!</v>
      </c>
      <c r="H238" s="49">
        <v>0</v>
      </c>
      <c r="I238" s="49" t="e">
        <v>#REF!</v>
      </c>
      <c r="J238" s="50"/>
    </row>
    <row r="239" outlineLevel="1" spans="1:10">
      <c r="A239" s="50">
        <v>199</v>
      </c>
      <c r="B239" s="51" t="str">
        <v>楼地面-楼梯间（30厚）</v>
      </c>
      <c r="C239" s="51" t="e">
        <v>#REF!</v>
      </c>
      <c r="D239" s="51" t="str">
        <v/>
      </c>
      <c r="E239" s="51" t="str">
        <v/>
      </c>
      <c r="F239" s="52" t="e">
        <v>#REF!</v>
      </c>
      <c r="G239" s="48" t="e">
        <v>#REF!</v>
      </c>
      <c r="H239" s="49">
        <v>22.24</v>
      </c>
      <c r="I239" s="49" t="e">
        <v>#REF!</v>
      </c>
      <c r="J239" s="50"/>
    </row>
    <row r="240" outlineLevel="1" spans="1:10">
      <c r="A240" s="50">
        <v>200</v>
      </c>
      <c r="B240" s="51" t="str">
        <v>楼地面-筏板（坡道）</v>
      </c>
      <c r="C240" s="51" t="e">
        <v>#REF!</v>
      </c>
      <c r="D240" s="51" t="str">
        <v/>
      </c>
      <c r="E240" s="51" t="str">
        <v/>
      </c>
      <c r="F240" s="52" t="e">
        <v>#REF!</v>
      </c>
      <c r="G240" s="48" t="e">
        <v>#REF!</v>
      </c>
      <c r="H240" s="49">
        <v>0</v>
      </c>
      <c r="I240" s="49" t="e">
        <v>#REF!</v>
      </c>
      <c r="J240" s="50"/>
    </row>
    <row r="241" ht="28.8" outlineLevel="1" spans="1:10">
      <c r="A241" s="50" t="str">
        <v/>
      </c>
      <c r="B241" s="51" t="str">
        <v>地下室底板（含坡道）防水板</v>
      </c>
      <c r="C241" s="51" t="str">
        <v/>
      </c>
      <c r="D241" s="51" t="str">
        <v/>
      </c>
      <c r="E241" s="51" t="str">
        <v/>
      </c>
      <c r="F241" s="52" t="str">
        <v/>
      </c>
      <c r="G241" s="48" t="str">
        <v/>
      </c>
      <c r="H241" s="49">
        <v>0</v>
      </c>
      <c r="I241" s="49">
        <v>0</v>
      </c>
      <c r="J241" s="50"/>
    </row>
    <row r="242" outlineLevel="1" spans="1:10">
      <c r="A242" s="50">
        <v>201</v>
      </c>
      <c r="B242" s="51" t="str">
        <v>楼地面-150厚C25细石砼</v>
      </c>
      <c r="C242" s="51" t="e">
        <v>#REF!</v>
      </c>
      <c r="D242" s="51" t="str">
        <v/>
      </c>
      <c r="E242" s="51" t="str">
        <v/>
      </c>
      <c r="F242" s="52" t="e">
        <v>#REF!</v>
      </c>
      <c r="G242" s="48" t="e">
        <v>#REF!</v>
      </c>
      <c r="H242" s="49">
        <v>0</v>
      </c>
      <c r="I242" s="49" t="e">
        <v>#REF!</v>
      </c>
      <c r="J242" s="50"/>
    </row>
    <row r="243" outlineLevel="1" spans="1:10">
      <c r="A243" s="50">
        <v>202</v>
      </c>
      <c r="B243" s="51" t="str">
        <v>楼地面-塑料膜</v>
      </c>
      <c r="C243" s="51" t="e">
        <v>#REF!</v>
      </c>
      <c r="D243" s="51" t="str">
        <v/>
      </c>
      <c r="E243" s="51" t="str">
        <v/>
      </c>
      <c r="F243" s="52" t="e">
        <v>#REF!</v>
      </c>
      <c r="G243" s="48" t="e">
        <v>#REF!</v>
      </c>
      <c r="H243" s="49">
        <v>0</v>
      </c>
      <c r="I243" s="49" t="e">
        <v>#REF!</v>
      </c>
      <c r="J243" s="50"/>
    </row>
    <row r="244" outlineLevel="1" spans="1:10">
      <c r="A244" s="50">
        <v>203</v>
      </c>
      <c r="B244" s="51" t="str">
        <v>楼地面-素土夯实</v>
      </c>
      <c r="C244" s="51" t="e">
        <v>#REF!</v>
      </c>
      <c r="D244" s="51" t="str">
        <v/>
      </c>
      <c r="E244" s="51" t="str">
        <v/>
      </c>
      <c r="F244" s="52" t="e">
        <v>#REF!</v>
      </c>
      <c r="G244" s="48" t="e">
        <v>#REF!</v>
      </c>
      <c r="H244" s="49">
        <v>0</v>
      </c>
      <c r="I244" s="49" t="e">
        <v>#REF!</v>
      </c>
      <c r="J244" s="50"/>
    </row>
    <row r="245" outlineLevel="1" spans="1:10">
      <c r="A245" s="50">
        <v>204</v>
      </c>
      <c r="B245" s="51" t="str">
        <v>楼地面-φ4@200钢筋网片</v>
      </c>
      <c r="C245" s="51" t="e">
        <v>#REF!</v>
      </c>
      <c r="D245" s="51" t="str">
        <v/>
      </c>
      <c r="E245" s="51" t="str">
        <v/>
      </c>
      <c r="F245" s="52" t="e">
        <v>#REF!</v>
      </c>
      <c r="G245" s="48" t="e">
        <v>#REF!</v>
      </c>
      <c r="H245" s="49">
        <v>0</v>
      </c>
      <c r="I245" s="49" t="e">
        <v>#REF!</v>
      </c>
      <c r="J245" s="50"/>
    </row>
    <row r="246" outlineLevel="1" spans="1:10">
      <c r="A246" s="50">
        <v>205</v>
      </c>
      <c r="B246" s="51" t="str">
        <v>楼地面-自行车坡道</v>
      </c>
      <c r="C246" s="51" t="e">
        <v>#REF!</v>
      </c>
      <c r="D246" s="51" t="str">
        <v/>
      </c>
      <c r="E246" s="51" t="str">
        <v/>
      </c>
      <c r="F246" s="52" t="e">
        <v>#REF!</v>
      </c>
      <c r="G246" s="48" t="e">
        <v>#REF!</v>
      </c>
      <c r="H246" s="49">
        <v>0</v>
      </c>
      <c r="I246" s="49" t="e">
        <v>#REF!</v>
      </c>
      <c r="J246" s="50"/>
    </row>
    <row r="247" outlineLevel="1" spans="1:10">
      <c r="A247" s="50" t="str">
        <v/>
      </c>
      <c r="B247" s="51" t="str">
        <v>水泵房地面（有/无覆土）</v>
      </c>
      <c r="C247" s="51" t="str">
        <v/>
      </c>
      <c r="D247" s="51" t="str">
        <v/>
      </c>
      <c r="E247" s="51" t="str">
        <v/>
      </c>
      <c r="F247" s="52" t="str">
        <v/>
      </c>
      <c r="G247" s="48" t="str">
        <v/>
      </c>
      <c r="H247" s="49">
        <v>0</v>
      </c>
      <c r="I247" s="49">
        <v>0</v>
      </c>
      <c r="J247" s="50"/>
    </row>
    <row r="248" outlineLevel="1" spans="1:10">
      <c r="A248" s="50">
        <v>206</v>
      </c>
      <c r="B248" s="51" t="str">
        <v>楼地面-60厚C15细石砼找坡</v>
      </c>
      <c r="C248" s="51" t="e">
        <v>#REF!</v>
      </c>
      <c r="D248" s="51" t="str">
        <v/>
      </c>
      <c r="E248" s="51" t="str">
        <v/>
      </c>
      <c r="F248" s="52" t="e">
        <v>#REF!</v>
      </c>
      <c r="G248" s="48" t="e">
        <v>#REF!</v>
      </c>
      <c r="H248" s="49">
        <v>0</v>
      </c>
      <c r="I248" s="49" t="e">
        <v>#REF!</v>
      </c>
      <c r="J248" s="50"/>
    </row>
    <row r="249" outlineLevel="1" spans="1:10">
      <c r="A249" s="50">
        <v>207</v>
      </c>
      <c r="B249" s="51" t="str">
        <v>楼地面-20厚C20细石砼找坡</v>
      </c>
      <c r="C249" s="51" t="e">
        <v>#REF!</v>
      </c>
      <c r="D249" s="51" t="str">
        <v/>
      </c>
      <c r="E249" s="51" t="str">
        <v/>
      </c>
      <c r="F249" s="52" t="e">
        <v>#REF!</v>
      </c>
      <c r="G249" s="48" t="e">
        <v>#REF!</v>
      </c>
      <c r="H249" s="49">
        <v>0</v>
      </c>
      <c r="I249" s="49" t="e">
        <v>#REF!</v>
      </c>
      <c r="J249" s="50"/>
    </row>
    <row r="250" ht="28.8" outlineLevel="1" spans="1:10">
      <c r="A250" s="50">
        <v>208</v>
      </c>
      <c r="B250" s="51" t="str">
        <v>楼地面-20厚M20水泥砂浆找坡</v>
      </c>
      <c r="C250" s="51" t="e">
        <v>#REF!</v>
      </c>
      <c r="D250" s="51" t="str">
        <v/>
      </c>
      <c r="E250" s="51" t="str">
        <v/>
      </c>
      <c r="F250" s="52" t="e">
        <v>#REF!</v>
      </c>
      <c r="G250" s="48" t="e">
        <v>#REF!</v>
      </c>
      <c r="H250" s="49">
        <v>0</v>
      </c>
      <c r="I250" s="49" t="e">
        <v>#REF!</v>
      </c>
      <c r="J250" s="50"/>
    </row>
    <row r="251" outlineLevel="1" spans="1:10">
      <c r="A251" s="50">
        <v>209</v>
      </c>
      <c r="B251" s="51" t="str">
        <v>楼地面-柴油电站</v>
      </c>
      <c r="C251" s="51" t="e">
        <v>#REF!</v>
      </c>
      <c r="D251" s="51" t="str">
        <v/>
      </c>
      <c r="E251" s="51" t="str">
        <v/>
      </c>
      <c r="F251" s="52" t="e">
        <v>#REF!</v>
      </c>
      <c r="G251" s="48" t="e">
        <v>#REF!</v>
      </c>
      <c r="H251" s="49">
        <v>0</v>
      </c>
      <c r="I251" s="49" t="e">
        <v>#REF!</v>
      </c>
      <c r="J251" s="50"/>
    </row>
    <row r="252" outlineLevel="1" spans="1:10">
      <c r="A252" s="50" t="str">
        <v/>
      </c>
      <c r="B252" s="51" t="str">
        <v>变配电室地面</v>
      </c>
      <c r="C252" s="51" t="str">
        <v/>
      </c>
      <c r="D252" s="51" t="str">
        <v/>
      </c>
      <c r="E252" s="51" t="str">
        <v/>
      </c>
      <c r="F252" s="52" t="str">
        <v/>
      </c>
      <c r="G252" s="48" t="str">
        <v/>
      </c>
      <c r="H252" s="49">
        <v>0</v>
      </c>
      <c r="I252" s="49">
        <v>0</v>
      </c>
      <c r="J252" s="50"/>
    </row>
    <row r="253" outlineLevel="1" spans="1:10">
      <c r="A253" s="50">
        <v>210</v>
      </c>
      <c r="B253" s="51" t="str">
        <v>楼地面-60厚C20细石砼</v>
      </c>
      <c r="C253" s="51" t="e">
        <v>#REF!</v>
      </c>
      <c r="D253" s="51" t="str">
        <v/>
      </c>
      <c r="E253" s="51" t="str">
        <v/>
      </c>
      <c r="F253" s="52" t="e">
        <v>#REF!</v>
      </c>
      <c r="G253" s="48" t="e">
        <v>#REF!</v>
      </c>
      <c r="H253" s="49">
        <v>0</v>
      </c>
      <c r="I253" s="49" t="e">
        <v>#REF!</v>
      </c>
      <c r="J253" s="50"/>
    </row>
    <row r="254" outlineLevel="1" spans="1:10">
      <c r="A254" s="50">
        <v>211</v>
      </c>
      <c r="B254" s="51" t="str">
        <v>楼地面-素土夯实</v>
      </c>
      <c r="C254" s="51" t="e">
        <v>#REF!</v>
      </c>
      <c r="D254" s="51" t="str">
        <v/>
      </c>
      <c r="E254" s="51" t="str">
        <v/>
      </c>
      <c r="F254" s="52" t="e">
        <v>#REF!</v>
      </c>
      <c r="G254" s="48" t="e">
        <v>#REF!</v>
      </c>
      <c r="H254" s="49">
        <v>0</v>
      </c>
      <c r="I254" s="49" t="e">
        <v>#REF!</v>
      </c>
      <c r="J254" s="50"/>
    </row>
    <row r="255" outlineLevel="1" spans="1:10">
      <c r="A255" s="50">
        <v>212</v>
      </c>
      <c r="B255" s="51" t="str">
        <v>楼地面-竖井</v>
      </c>
      <c r="C255" s="51" t="e">
        <v>#REF!</v>
      </c>
      <c r="D255" s="51" t="str">
        <v/>
      </c>
      <c r="E255" s="51" t="str">
        <v/>
      </c>
      <c r="F255" s="52" t="e">
        <v>#REF!</v>
      </c>
      <c r="G255" s="48" t="e">
        <v>#REF!</v>
      </c>
      <c r="H255" s="49">
        <v>0</v>
      </c>
      <c r="I255" s="49" t="e">
        <v>#REF!</v>
      </c>
      <c r="J255" s="50"/>
    </row>
    <row r="256" outlineLevel="1" spans="1:10">
      <c r="A256" s="50">
        <v>213</v>
      </c>
      <c r="B256" s="51" t="str">
        <v>楼地面-楼梯间（30厚）</v>
      </c>
      <c r="C256" s="51" t="e">
        <v>#REF!</v>
      </c>
      <c r="D256" s="51" t="str">
        <v/>
      </c>
      <c r="E256" s="51" t="str">
        <v/>
      </c>
      <c r="F256" s="52" t="e">
        <v>#REF!</v>
      </c>
      <c r="G256" s="48" t="e">
        <v>#REF!</v>
      </c>
      <c r="H256" s="49">
        <v>0</v>
      </c>
      <c r="I256" s="49" t="e">
        <v>#REF!</v>
      </c>
      <c r="J256" s="50"/>
    </row>
    <row r="257" outlineLevel="1" spans="1:10">
      <c r="A257" s="50">
        <v>214</v>
      </c>
      <c r="B257" s="51" t="str">
        <v>楼地面-自行车斜道</v>
      </c>
      <c r="C257" s="51" t="e">
        <v>#REF!</v>
      </c>
      <c r="D257" s="51" t="str">
        <v/>
      </c>
      <c r="E257" s="51" t="str">
        <v/>
      </c>
      <c r="F257" s="52" t="e">
        <v>#REF!</v>
      </c>
      <c r="G257" s="48" t="e">
        <v>#REF!</v>
      </c>
      <c r="H257" s="49">
        <v>0</v>
      </c>
      <c r="I257" s="49" t="e">
        <v>#REF!</v>
      </c>
      <c r="J257" s="50"/>
    </row>
    <row r="258" outlineLevel="1" spans="1:10">
      <c r="A258" s="50">
        <v>215</v>
      </c>
      <c r="B258" s="51" t="str">
        <v>楼地面-聚氨酯防水涂料</v>
      </c>
      <c r="C258" s="51" t="e">
        <v>#REF!</v>
      </c>
      <c r="D258" s="51" t="str">
        <v/>
      </c>
      <c r="E258" s="51" t="str">
        <v/>
      </c>
      <c r="F258" s="52" t="e">
        <v>#REF!</v>
      </c>
      <c r="G258" s="48" t="e">
        <v>#REF!</v>
      </c>
      <c r="H258" s="49">
        <v>0</v>
      </c>
      <c r="I258" s="49" t="e">
        <v>#REF!</v>
      </c>
      <c r="J258" s="50"/>
    </row>
    <row r="259" outlineLevel="1" spans="1:10">
      <c r="A259" s="50">
        <v>216</v>
      </c>
      <c r="B259" s="51" t="str">
        <v>踢脚线-100mm灰色涂料</v>
      </c>
      <c r="C259" s="51" t="e">
        <v>#REF!</v>
      </c>
      <c r="D259" s="51" t="str">
        <v/>
      </c>
      <c r="E259" s="51" t="str">
        <v/>
      </c>
      <c r="F259" s="52" t="e">
        <v>#REF!</v>
      </c>
      <c r="G259" s="48" t="e">
        <v>#REF!</v>
      </c>
      <c r="H259" s="49">
        <v>0</v>
      </c>
      <c r="I259" s="49" t="e">
        <v>#REF!</v>
      </c>
      <c r="J259" s="50"/>
    </row>
    <row r="260" outlineLevel="1" spans="1:10">
      <c r="A260" s="50" t="str">
        <v/>
      </c>
      <c r="B260" s="51" t="str">
        <v>A.05.02墙柱装饰工程</v>
      </c>
      <c r="C260" s="51" t="str">
        <v/>
      </c>
      <c r="D260" s="51" t="str">
        <v/>
      </c>
      <c r="E260" s="51" t="str">
        <v/>
      </c>
      <c r="F260" s="52" t="str">
        <v/>
      </c>
      <c r="G260" s="48" t="str">
        <v/>
      </c>
      <c r="H260" s="49">
        <v>0</v>
      </c>
      <c r="I260" s="49" t="e">
        <v>#REF!</v>
      </c>
      <c r="J260" s="50"/>
    </row>
    <row r="261" ht="28.8" outlineLevel="1" spans="1:10">
      <c r="A261" s="50" t="str">
        <v/>
      </c>
      <c r="B261" s="51" t="str">
        <v>地下室内墙（二次结构墙体）</v>
      </c>
      <c r="C261" s="51" t="str">
        <v/>
      </c>
      <c r="D261" s="51" t="str">
        <v/>
      </c>
      <c r="E261" s="51" t="str">
        <v/>
      </c>
      <c r="F261" s="52" t="str">
        <v/>
      </c>
      <c r="G261" s="48" t="str">
        <v/>
      </c>
      <c r="H261" s="49">
        <v>0</v>
      </c>
      <c r="I261" s="49">
        <v>0</v>
      </c>
      <c r="J261" s="50"/>
    </row>
    <row r="262" outlineLevel="1" spans="1:10">
      <c r="A262" s="50">
        <v>217</v>
      </c>
      <c r="B262" s="51" t="str">
        <v>内墙面-界面剂</v>
      </c>
      <c r="C262" s="51" t="e">
        <v>#REF!</v>
      </c>
      <c r="D262" s="51" t="str">
        <v/>
      </c>
      <c r="E262" s="51" t="str">
        <v/>
      </c>
      <c r="F262" s="52" t="e">
        <v>#REF!</v>
      </c>
      <c r="G262" s="48" t="e">
        <v>#REF!</v>
      </c>
      <c r="H262" s="49">
        <v>1</v>
      </c>
      <c r="I262" s="49" t="e">
        <v>#REF!</v>
      </c>
      <c r="J262" s="50"/>
    </row>
    <row r="263" outlineLevel="1" spans="1:10">
      <c r="A263" s="50">
        <v>218</v>
      </c>
      <c r="B263" s="51" t="str">
        <v>内墙面-7厚M5石灰砂浆</v>
      </c>
      <c r="C263" s="51" t="e">
        <v>#REF!</v>
      </c>
      <c r="D263" s="51" t="str">
        <v/>
      </c>
      <c r="E263" s="51" t="str">
        <v/>
      </c>
      <c r="F263" s="52" t="e">
        <v>#REF!</v>
      </c>
      <c r="G263" s="48" t="e">
        <v>#REF!</v>
      </c>
      <c r="H263" s="49">
        <v>1</v>
      </c>
      <c r="I263" s="49" t="e">
        <v>#REF!</v>
      </c>
      <c r="J263" s="50"/>
    </row>
    <row r="264" outlineLevel="1" spans="1:10">
      <c r="A264" s="50">
        <v>219</v>
      </c>
      <c r="B264" s="51" t="str">
        <v>内墙面-6厚M7.5水泥砂浆</v>
      </c>
      <c r="C264" s="51" t="e">
        <v>#REF!</v>
      </c>
      <c r="D264" s="51" t="str">
        <v/>
      </c>
      <c r="E264" s="51" t="str">
        <v/>
      </c>
      <c r="F264" s="52" t="e">
        <v>#REF!</v>
      </c>
      <c r="G264" s="48" t="e">
        <v>#REF!</v>
      </c>
      <c r="H264" s="49">
        <v>1</v>
      </c>
      <c r="I264" s="49" t="e">
        <v>#REF!</v>
      </c>
      <c r="J264" s="50"/>
    </row>
    <row r="265" ht="28.8" outlineLevel="1" spans="1:10">
      <c r="A265" s="50" t="str">
        <v/>
      </c>
      <c r="B265" s="51" t="str">
        <v>地下室内墙（二次结构墙体）1</v>
      </c>
      <c r="C265" s="51" t="str">
        <v/>
      </c>
      <c r="D265" s="51" t="str">
        <v/>
      </c>
      <c r="E265" s="51" t="str">
        <v/>
      </c>
      <c r="F265" s="52" t="str">
        <v/>
      </c>
      <c r="G265" s="48" t="str">
        <v/>
      </c>
      <c r="H265" s="49">
        <v>0</v>
      </c>
      <c r="I265" s="49">
        <v>0</v>
      </c>
      <c r="J265" s="50"/>
    </row>
    <row r="266" outlineLevel="1" spans="1:10">
      <c r="A266" s="50">
        <v>220</v>
      </c>
      <c r="B266" s="51" t="str">
        <v>内墙面-界面剂</v>
      </c>
      <c r="C266" s="51" t="e">
        <v>#REF!</v>
      </c>
      <c r="D266" s="51" t="str">
        <v/>
      </c>
      <c r="E266" s="51" t="str">
        <v/>
      </c>
      <c r="F266" s="52" t="e">
        <v>#REF!</v>
      </c>
      <c r="G266" s="48" t="e">
        <v>#REF!</v>
      </c>
      <c r="H266" s="49">
        <v>968.43</v>
      </c>
      <c r="I266" s="49" t="e">
        <v>#REF!</v>
      </c>
      <c r="J266" s="50"/>
    </row>
    <row r="267" outlineLevel="1" spans="1:10">
      <c r="A267" s="50">
        <v>221</v>
      </c>
      <c r="B267" s="51" t="str">
        <v>内墙面-15厚M5水泥砂浆</v>
      </c>
      <c r="C267" s="51" t="e">
        <v>#REF!</v>
      </c>
      <c r="D267" s="51" t="str">
        <v/>
      </c>
      <c r="E267" s="51" t="str">
        <v/>
      </c>
      <c r="F267" s="52" t="e">
        <v>#REF!</v>
      </c>
      <c r="G267" s="48" t="e">
        <v>#REF!</v>
      </c>
      <c r="H267" s="49">
        <v>968.43</v>
      </c>
      <c r="I267" s="49" t="e">
        <v>#REF!</v>
      </c>
      <c r="J267" s="50"/>
    </row>
    <row r="268" ht="28.8" outlineLevel="1" spans="1:10">
      <c r="A268" s="50" t="str">
        <v/>
      </c>
      <c r="B268" s="51" t="str">
        <v>独立车库（带卷帘门）内墙（二次结构墙体）</v>
      </c>
      <c r="C268" s="51" t="str">
        <v/>
      </c>
      <c r="D268" s="51" t="str">
        <v/>
      </c>
      <c r="E268" s="51" t="str">
        <v/>
      </c>
      <c r="F268" s="52" t="str">
        <v/>
      </c>
      <c r="G268" s="48" t="str">
        <v/>
      </c>
      <c r="H268" s="49">
        <v>0</v>
      </c>
      <c r="I268" s="49">
        <v>0</v>
      </c>
      <c r="J268" s="50"/>
    </row>
    <row r="269" outlineLevel="1" spans="1:10">
      <c r="A269" s="50">
        <v>222</v>
      </c>
      <c r="B269" s="51" t="str">
        <v>内墙面-界面剂</v>
      </c>
      <c r="C269" s="51" t="e">
        <v>#REF!</v>
      </c>
      <c r="D269" s="51" t="str">
        <v/>
      </c>
      <c r="E269" s="51" t="str">
        <v/>
      </c>
      <c r="F269" s="52" t="e">
        <v>#REF!</v>
      </c>
      <c r="G269" s="48" t="e">
        <v>#REF!</v>
      </c>
      <c r="H269" s="49">
        <v>1</v>
      </c>
      <c r="I269" s="49" t="e">
        <v>#REF!</v>
      </c>
      <c r="J269" s="50"/>
    </row>
    <row r="270" outlineLevel="1" spans="1:10">
      <c r="A270" s="50">
        <v>223</v>
      </c>
      <c r="B270" s="51" t="str">
        <v>内墙面-7厚M5石灰砂浆</v>
      </c>
      <c r="C270" s="51" t="e">
        <v>#REF!</v>
      </c>
      <c r="D270" s="51" t="str">
        <v/>
      </c>
      <c r="E270" s="51" t="str">
        <v/>
      </c>
      <c r="F270" s="52" t="e">
        <v>#REF!</v>
      </c>
      <c r="G270" s="48" t="e">
        <v>#REF!</v>
      </c>
      <c r="H270" s="49">
        <v>1</v>
      </c>
      <c r="I270" s="49" t="e">
        <v>#REF!</v>
      </c>
      <c r="J270" s="50"/>
    </row>
    <row r="271" outlineLevel="1" spans="1:10">
      <c r="A271" s="50">
        <v>224</v>
      </c>
      <c r="B271" s="51" t="str">
        <v>内墙面-6厚M7.5水泥砂浆</v>
      </c>
      <c r="C271" s="51" t="e">
        <v>#REF!</v>
      </c>
      <c r="D271" s="51" t="str">
        <v/>
      </c>
      <c r="E271" s="51" t="str">
        <v/>
      </c>
      <c r="F271" s="52" t="e">
        <v>#REF!</v>
      </c>
      <c r="G271" s="48" t="e">
        <v>#REF!</v>
      </c>
      <c r="H271" s="49">
        <v>1</v>
      </c>
      <c r="I271" s="49" t="e">
        <v>#REF!</v>
      </c>
      <c r="J271" s="50"/>
    </row>
    <row r="272" outlineLevel="1" spans="1:10">
      <c r="A272" s="50" t="str">
        <v/>
      </c>
      <c r="B272" s="51" t="str">
        <v>楼梯间内墙</v>
      </c>
      <c r="C272" s="51" t="str">
        <v/>
      </c>
      <c r="D272" s="51" t="str">
        <v/>
      </c>
      <c r="E272" s="51" t="str">
        <v/>
      </c>
      <c r="F272" s="52" t="str">
        <v/>
      </c>
      <c r="G272" s="48" t="str">
        <v/>
      </c>
      <c r="H272" s="49">
        <v>0</v>
      </c>
      <c r="I272" s="49">
        <v>0</v>
      </c>
      <c r="J272" s="50"/>
    </row>
    <row r="273" outlineLevel="1" spans="1:10">
      <c r="A273" s="50">
        <v>225</v>
      </c>
      <c r="B273" s="51" t="str">
        <v>内墙面-界面剂</v>
      </c>
      <c r="C273" s="51" t="e">
        <v>#REF!</v>
      </c>
      <c r="D273" s="51" t="str">
        <v/>
      </c>
      <c r="E273" s="51" t="str">
        <v/>
      </c>
      <c r="F273" s="52" t="e">
        <v>#REF!</v>
      </c>
      <c r="G273" s="48" t="e">
        <v>#REF!</v>
      </c>
      <c r="H273" s="49">
        <v>80.73</v>
      </c>
      <c r="I273" s="49" t="e">
        <v>#REF!</v>
      </c>
      <c r="J273" s="50"/>
    </row>
    <row r="274" outlineLevel="1" spans="1:10">
      <c r="A274" s="50">
        <v>226</v>
      </c>
      <c r="B274" s="51" t="str">
        <v>内墙面-7厚M5石灰砂浆</v>
      </c>
      <c r="C274" s="51" t="e">
        <v>#REF!</v>
      </c>
      <c r="D274" s="51" t="str">
        <v/>
      </c>
      <c r="E274" s="51" t="str">
        <v/>
      </c>
      <c r="F274" s="52" t="e">
        <v>#REF!</v>
      </c>
      <c r="G274" s="48" t="e">
        <v>#REF!</v>
      </c>
      <c r="H274" s="49">
        <v>80.73</v>
      </c>
      <c r="I274" s="49" t="e">
        <v>#REF!</v>
      </c>
      <c r="J274" s="50"/>
    </row>
    <row r="275" outlineLevel="1" spans="1:10">
      <c r="A275" s="50">
        <v>227</v>
      </c>
      <c r="B275" s="51" t="str">
        <v>内墙面-6厚M7.5水泥砂浆</v>
      </c>
      <c r="C275" s="51" t="e">
        <v>#REF!</v>
      </c>
      <c r="D275" s="51" t="str">
        <v/>
      </c>
      <c r="E275" s="51" t="str">
        <v/>
      </c>
      <c r="F275" s="52" t="e">
        <v>#REF!</v>
      </c>
      <c r="G275" s="48" t="e">
        <v>#REF!</v>
      </c>
      <c r="H275" s="49">
        <v>80.73</v>
      </c>
      <c r="I275" s="49" t="e">
        <v>#REF!</v>
      </c>
      <c r="J275" s="50"/>
    </row>
    <row r="276" outlineLevel="1" spans="1:10">
      <c r="A276" s="50">
        <v>228</v>
      </c>
      <c r="B276" s="51" t="str">
        <v>砌块墙钢丝网满挂</v>
      </c>
      <c r="C276" s="51" t="e">
        <v>#REF!</v>
      </c>
      <c r="D276" s="51" t="str">
        <v/>
      </c>
      <c r="E276" s="51" t="str">
        <v/>
      </c>
      <c r="F276" s="52" t="e">
        <v>#REF!</v>
      </c>
      <c r="G276" s="48" t="e">
        <v>#REF!</v>
      </c>
      <c r="H276" s="49">
        <v>1</v>
      </c>
      <c r="I276" s="49" t="e">
        <v>#REF!</v>
      </c>
      <c r="J276" s="50"/>
    </row>
    <row r="277" ht="28.8" outlineLevel="1" spans="1:10">
      <c r="A277" s="50" t="str">
        <v/>
      </c>
      <c r="B277" s="51" t="str">
        <v>水暖电井内墙（二次结构墙体）</v>
      </c>
      <c r="C277" s="51" t="str">
        <v/>
      </c>
      <c r="D277" s="51" t="str">
        <v/>
      </c>
      <c r="E277" s="51" t="str">
        <v/>
      </c>
      <c r="F277" s="52" t="str">
        <v/>
      </c>
      <c r="G277" s="48" t="str">
        <v/>
      </c>
      <c r="H277" s="49">
        <v>0</v>
      </c>
      <c r="I277" s="49">
        <v>0</v>
      </c>
      <c r="J277" s="50"/>
    </row>
    <row r="278" outlineLevel="1" spans="1:10">
      <c r="A278" s="50">
        <v>229</v>
      </c>
      <c r="B278" s="51" t="str">
        <v>内墙面-界面剂</v>
      </c>
      <c r="C278" s="51" t="e">
        <v>#REF!</v>
      </c>
      <c r="D278" s="51" t="str">
        <v/>
      </c>
      <c r="E278" s="51" t="str">
        <v/>
      </c>
      <c r="F278" s="52" t="e">
        <v>#REF!</v>
      </c>
      <c r="G278" s="48" t="e">
        <v>#REF!</v>
      </c>
      <c r="H278" s="49">
        <v>1</v>
      </c>
      <c r="I278" s="49" t="e">
        <v>#REF!</v>
      </c>
      <c r="J278" s="50"/>
    </row>
    <row r="279" outlineLevel="1" spans="1:10">
      <c r="A279" s="50">
        <v>230</v>
      </c>
      <c r="B279" s="51" t="str">
        <v>内墙面-7厚M5石灰砂浆</v>
      </c>
      <c r="C279" s="51" t="e">
        <v>#REF!</v>
      </c>
      <c r="D279" s="51" t="str">
        <v/>
      </c>
      <c r="E279" s="51" t="str">
        <v/>
      </c>
      <c r="F279" s="52" t="e">
        <v>#REF!</v>
      </c>
      <c r="G279" s="48" t="e">
        <v>#REF!</v>
      </c>
      <c r="H279" s="49">
        <v>1</v>
      </c>
      <c r="I279" s="49" t="e">
        <v>#REF!</v>
      </c>
      <c r="J279" s="50"/>
    </row>
    <row r="280" outlineLevel="1" spans="1:10">
      <c r="A280" s="50">
        <v>231</v>
      </c>
      <c r="B280" s="51" t="str">
        <v>内墙面-6厚M7.5水泥砂浆</v>
      </c>
      <c r="C280" s="51" t="e">
        <v>#REF!</v>
      </c>
      <c r="D280" s="51" t="str">
        <v/>
      </c>
      <c r="E280" s="51" t="str">
        <v/>
      </c>
      <c r="F280" s="52" t="e">
        <v>#REF!</v>
      </c>
      <c r="G280" s="48" t="e">
        <v>#REF!</v>
      </c>
      <c r="H280" s="49">
        <v>1</v>
      </c>
      <c r="I280" s="49" t="e">
        <v>#REF!</v>
      </c>
      <c r="J280" s="50"/>
    </row>
    <row r="281" ht="28.8" outlineLevel="1" spans="1:10">
      <c r="A281" s="50" t="str">
        <v/>
      </c>
      <c r="B281" s="51" t="str">
        <v>窗井.风井、竖井内墙（二次结构墙体）</v>
      </c>
      <c r="C281" s="51" t="str">
        <v/>
      </c>
      <c r="D281" s="51" t="str">
        <v/>
      </c>
      <c r="E281" s="51" t="str">
        <v/>
      </c>
      <c r="F281" s="52" t="str">
        <v/>
      </c>
      <c r="G281" s="48" t="str">
        <v/>
      </c>
      <c r="H281" s="49">
        <v>0</v>
      </c>
      <c r="I281" s="49">
        <v>0</v>
      </c>
      <c r="J281" s="50"/>
    </row>
    <row r="282" outlineLevel="1" spans="1:10">
      <c r="A282" s="50">
        <v>232</v>
      </c>
      <c r="B282" s="51" t="str">
        <v>内墙面-15厚M20水泥砂浆</v>
      </c>
      <c r="C282" s="51" t="e">
        <v>#REF!</v>
      </c>
      <c r="D282" s="51" t="str">
        <v/>
      </c>
      <c r="E282" s="51" t="str">
        <v/>
      </c>
      <c r="F282" s="52" t="e">
        <v>#REF!</v>
      </c>
      <c r="G282" s="48" t="e">
        <v>#REF!</v>
      </c>
      <c r="H282" s="49">
        <v>118.33</v>
      </c>
      <c r="I282" s="49" t="e">
        <v>#REF!</v>
      </c>
      <c r="J282" s="50"/>
    </row>
    <row r="283" outlineLevel="1" spans="1:10">
      <c r="A283" s="50">
        <v>233</v>
      </c>
      <c r="B283" s="51" t="str">
        <v>内墙面-地下室柱面</v>
      </c>
      <c r="C283" s="51" t="e">
        <v>#REF!</v>
      </c>
      <c r="D283" s="51" t="str">
        <v/>
      </c>
      <c r="E283" s="51" t="str">
        <v/>
      </c>
      <c r="F283" s="52" t="e">
        <v>#REF!</v>
      </c>
      <c r="G283" s="48" t="e">
        <v>#REF!</v>
      </c>
      <c r="H283" s="49">
        <v>0</v>
      </c>
      <c r="I283" s="49" t="e">
        <v>#REF!</v>
      </c>
      <c r="J283" s="50"/>
    </row>
    <row r="284" outlineLevel="1" spans="1:10">
      <c r="A284" s="50" t="str">
        <v/>
      </c>
      <c r="B284" s="51" t="str">
        <v>消防水池内壁</v>
      </c>
      <c r="C284" s="51" t="str">
        <v/>
      </c>
      <c r="D284" s="51" t="str">
        <v/>
      </c>
      <c r="E284" s="51" t="str">
        <v/>
      </c>
      <c r="F284" s="52" t="str">
        <v/>
      </c>
      <c r="G284" s="48" t="str">
        <v/>
      </c>
      <c r="H284" s="49">
        <v>0</v>
      </c>
      <c r="I284" s="49">
        <v>0</v>
      </c>
      <c r="J284" s="50"/>
    </row>
    <row r="285" outlineLevel="1" spans="1:10">
      <c r="A285" s="50">
        <v>234</v>
      </c>
      <c r="B285" s="51" t="str">
        <v>内墙面-1.5厚RG涂料</v>
      </c>
      <c r="C285" s="51" t="e">
        <v>#REF!</v>
      </c>
      <c r="D285" s="51" t="str">
        <v/>
      </c>
      <c r="E285" s="51" t="str">
        <v/>
      </c>
      <c r="F285" s="52" t="e">
        <v>#REF!</v>
      </c>
      <c r="G285" s="48" t="e">
        <v>#REF!</v>
      </c>
      <c r="H285" s="49">
        <v>0</v>
      </c>
      <c r="I285" s="49" t="e">
        <v>#REF!</v>
      </c>
      <c r="J285" s="50"/>
    </row>
    <row r="286" outlineLevel="1" spans="1:10">
      <c r="A286" s="50">
        <v>235</v>
      </c>
      <c r="B286" s="51" t="str">
        <v>内墙面-10厚M15水泥砂浆</v>
      </c>
      <c r="C286" s="51" t="e">
        <v>#REF!</v>
      </c>
      <c r="D286" s="51" t="str">
        <v/>
      </c>
      <c r="E286" s="51" t="str">
        <v/>
      </c>
      <c r="F286" s="52" t="e">
        <v>#REF!</v>
      </c>
      <c r="G286" s="48" t="e">
        <v>#REF!</v>
      </c>
      <c r="H286" s="49">
        <v>0</v>
      </c>
      <c r="I286" s="49" t="e">
        <v>#REF!</v>
      </c>
      <c r="J286" s="50"/>
    </row>
    <row r="287" outlineLevel="1" spans="1:10">
      <c r="A287" s="50" t="str">
        <v/>
      </c>
      <c r="B287" s="51" t="str">
        <v>A.05.04白水泥工程</v>
      </c>
      <c r="C287" s="51" t="str">
        <v/>
      </c>
      <c r="D287" s="51" t="str">
        <v/>
      </c>
      <c r="E287" s="51" t="str">
        <v/>
      </c>
      <c r="F287" s="52" t="str">
        <v/>
      </c>
      <c r="G287" s="48" t="str">
        <v/>
      </c>
      <c r="H287" s="49">
        <v>0</v>
      </c>
      <c r="I287" s="49" t="e">
        <v>#REF!</v>
      </c>
      <c r="J287" s="50"/>
    </row>
    <row r="288" outlineLevel="1" spans="1:10">
      <c r="A288" s="50">
        <v>236</v>
      </c>
      <c r="B288" s="51" t="str">
        <v>内墙面-地下白水泥</v>
      </c>
      <c r="C288" s="51" t="e">
        <v>#REF!</v>
      </c>
      <c r="D288" s="51" t="str">
        <v/>
      </c>
      <c r="E288" s="51" t="str">
        <v/>
      </c>
      <c r="F288" s="52" t="e">
        <v>#REF!</v>
      </c>
      <c r="G288" s="48" t="e">
        <v>#REF!</v>
      </c>
      <c r="H288" s="49">
        <v>634.22</v>
      </c>
      <c r="I288" s="49" t="e">
        <v>#REF!</v>
      </c>
      <c r="J288" s="50"/>
    </row>
    <row r="289" outlineLevel="1" spans="1:10">
      <c r="A289" s="50">
        <v>237</v>
      </c>
      <c r="B289" s="51" t="str">
        <v>内墙面-独立车库白水泥</v>
      </c>
      <c r="C289" s="51" t="e">
        <v>#REF!</v>
      </c>
      <c r="D289" s="51" t="str">
        <v/>
      </c>
      <c r="E289" s="51" t="str">
        <v/>
      </c>
      <c r="F289" s="52" t="e">
        <v>#REF!</v>
      </c>
      <c r="G289" s="48" t="e">
        <v>#REF!</v>
      </c>
      <c r="H289" s="49">
        <v>1950.78</v>
      </c>
      <c r="I289" s="49" t="e">
        <v>#REF!</v>
      </c>
      <c r="J289" s="50"/>
    </row>
    <row r="290" outlineLevel="1" spans="1:10">
      <c r="A290" s="50">
        <v>238</v>
      </c>
      <c r="B290" s="51" t="str">
        <v>内墙面-楼梯间白水泥</v>
      </c>
      <c r="C290" s="51" t="e">
        <v>#REF!</v>
      </c>
      <c r="D290" s="51" t="str">
        <v/>
      </c>
      <c r="E290" s="51" t="str">
        <v/>
      </c>
      <c r="F290" s="52" t="e">
        <v>#REF!</v>
      </c>
      <c r="G290" s="48" t="e">
        <v>#REF!</v>
      </c>
      <c r="H290" s="49">
        <v>80.73</v>
      </c>
      <c r="I290" s="49" t="e">
        <v>#REF!</v>
      </c>
      <c r="J290" s="50"/>
    </row>
    <row r="291" outlineLevel="1" spans="1:10">
      <c r="A291" s="50">
        <v>239</v>
      </c>
      <c r="B291" s="51" t="str">
        <v>天棚-地下室白水泥</v>
      </c>
      <c r="C291" s="51" t="e">
        <v>#REF!</v>
      </c>
      <c r="D291" s="51" t="str">
        <v/>
      </c>
      <c r="E291" s="51" t="str">
        <v/>
      </c>
      <c r="F291" s="52" t="e">
        <v>#REF!</v>
      </c>
      <c r="G291" s="48" t="e">
        <v>#REF!</v>
      </c>
      <c r="H291" s="49">
        <v>678.21</v>
      </c>
      <c r="I291" s="49" t="e">
        <v>#REF!</v>
      </c>
      <c r="J291" s="50"/>
    </row>
    <row r="292" outlineLevel="1" spans="1:10">
      <c r="A292" s="50">
        <v>240</v>
      </c>
      <c r="B292" s="51" t="str">
        <v>天棚-楼梯间白水泥</v>
      </c>
      <c r="C292" s="51" t="e">
        <v>#REF!</v>
      </c>
      <c r="D292" s="51" t="str">
        <v/>
      </c>
      <c r="E292" s="51" t="str">
        <v/>
      </c>
      <c r="F292" s="52" t="e">
        <v>#REF!</v>
      </c>
      <c r="G292" s="48" t="e">
        <v>#REF!</v>
      </c>
      <c r="H292" s="49">
        <v>77.23</v>
      </c>
      <c r="I292" s="49" t="e">
        <v>#REF!</v>
      </c>
      <c r="J292" s="50"/>
    </row>
    <row r="293" ht="28.8" outlineLevel="1" spans="1:10">
      <c r="A293" s="50">
        <v>241</v>
      </c>
      <c r="B293" s="51" t="str">
        <v>内墙面-人防扩散室集气室滤尘室白水泥</v>
      </c>
      <c r="C293" s="51" t="e">
        <v>#REF!</v>
      </c>
      <c r="D293" s="51" t="str">
        <v/>
      </c>
      <c r="E293" s="51" t="str">
        <v/>
      </c>
      <c r="F293" s="52" t="e">
        <v>#REF!</v>
      </c>
      <c r="G293" s="48" t="e">
        <v>#REF!</v>
      </c>
      <c r="H293" s="49">
        <v>0</v>
      </c>
      <c r="I293" s="49" t="e">
        <v>#REF!</v>
      </c>
      <c r="J293" s="50"/>
    </row>
    <row r="294" ht="28.8" outlineLevel="1" spans="1:10">
      <c r="A294" s="50">
        <v>242</v>
      </c>
      <c r="B294" s="51" t="str">
        <v>天棚-人防扩散室集气室滤尘室白水泥</v>
      </c>
      <c r="C294" s="51" t="e">
        <v>#REF!</v>
      </c>
      <c r="D294" s="51" t="str">
        <v/>
      </c>
      <c r="E294" s="51" t="str">
        <v/>
      </c>
      <c r="F294" s="52" t="e">
        <v>#REF!</v>
      </c>
      <c r="G294" s="48" t="e">
        <v>#REF!</v>
      </c>
      <c r="H294" s="49">
        <v>0</v>
      </c>
      <c r="I294" s="49" t="e">
        <v>#REF!</v>
      </c>
      <c r="J294" s="50"/>
    </row>
    <row r="295" outlineLevel="1" spans="1:10">
      <c r="A295" s="50">
        <v>243</v>
      </c>
      <c r="B295" s="51" t="str">
        <v>天棚-地下车道白水泥</v>
      </c>
      <c r="C295" s="51" t="e">
        <v>#REF!</v>
      </c>
      <c r="D295" s="51" t="str">
        <v/>
      </c>
      <c r="E295" s="51" t="str">
        <v/>
      </c>
      <c r="F295" s="52" t="e">
        <v>#REF!</v>
      </c>
      <c r="G295" s="48" t="e">
        <v>#REF!</v>
      </c>
      <c r="H295" s="49">
        <v>0</v>
      </c>
      <c r="I295" s="49" t="e">
        <v>#REF!</v>
      </c>
      <c r="J295" s="50"/>
    </row>
    <row r="296" outlineLevel="1" spans="1:10">
      <c r="A296" s="50">
        <v>244</v>
      </c>
      <c r="B296" s="51" t="str">
        <v>天棚-地下白水泥</v>
      </c>
      <c r="C296" s="51" t="e">
        <v>#REF!</v>
      </c>
      <c r="D296" s="51" t="str">
        <v/>
      </c>
      <c r="E296" s="51" t="str">
        <v/>
      </c>
      <c r="F296" s="52" t="e">
        <v>#REF!</v>
      </c>
      <c r="G296" s="48" t="e">
        <v>#REF!</v>
      </c>
      <c r="H296" s="49">
        <v>0</v>
      </c>
      <c r="I296" s="49" t="e">
        <v>#REF!</v>
      </c>
      <c r="J296" s="50"/>
    </row>
    <row r="297" outlineLevel="1" spans="1:10">
      <c r="A297" s="50">
        <v>245</v>
      </c>
      <c r="B297" s="51" t="str">
        <v>天棚-水泵房白水泥</v>
      </c>
      <c r="C297" s="51" t="e">
        <v>#REF!</v>
      </c>
      <c r="D297" s="51" t="str">
        <v/>
      </c>
      <c r="E297" s="51" t="str">
        <v/>
      </c>
      <c r="F297" s="52" t="e">
        <v>#REF!</v>
      </c>
      <c r="G297" s="48" t="e">
        <v>#REF!</v>
      </c>
      <c r="H297" s="49">
        <v>0</v>
      </c>
      <c r="I297" s="49" t="e">
        <v>#REF!</v>
      </c>
      <c r="J297" s="50"/>
    </row>
    <row r="298" outlineLevel="1" spans="1:10">
      <c r="A298" s="50" t="str">
        <v/>
      </c>
      <c r="B298" s="51" t="str">
        <v>地上工程</v>
      </c>
      <c r="C298" s="51" t="str">
        <v/>
      </c>
      <c r="D298" s="51" t="str">
        <v/>
      </c>
      <c r="E298" s="51" t="str">
        <v/>
      </c>
      <c r="F298" s="52" t="str">
        <v/>
      </c>
      <c r="G298" s="48" t="str">
        <v/>
      </c>
      <c r="H298" s="49">
        <v>0</v>
      </c>
      <c r="I298" s="49" t="e">
        <v>#REF!</v>
      </c>
      <c r="J298" s="50"/>
    </row>
    <row r="299" outlineLevel="1" spans="1:10">
      <c r="A299" s="50" t="str">
        <v/>
      </c>
      <c r="B299" s="51" t="str">
        <v>A.02主体结构工程</v>
      </c>
      <c r="C299" s="51" t="str">
        <v/>
      </c>
      <c r="D299" s="51" t="str">
        <v/>
      </c>
      <c r="E299" s="51" t="str">
        <v/>
      </c>
      <c r="F299" s="52" t="str">
        <v/>
      </c>
      <c r="G299" s="48" t="str">
        <v/>
      </c>
      <c r="H299" s="49">
        <v>0</v>
      </c>
      <c r="I299" s="49" t="e">
        <v>#REF!</v>
      </c>
      <c r="J299" s="50"/>
    </row>
    <row r="300" outlineLevel="1" spans="1:10">
      <c r="A300" s="50" t="str">
        <v/>
      </c>
      <c r="B300" s="51" t="str">
        <v>A.02.01混凝土工程</v>
      </c>
      <c r="C300" s="51" t="str">
        <v/>
      </c>
      <c r="D300" s="51" t="str">
        <v/>
      </c>
      <c r="E300" s="51" t="str">
        <v/>
      </c>
      <c r="F300" s="52" t="str">
        <v/>
      </c>
      <c r="G300" s="48" t="str">
        <v/>
      </c>
      <c r="H300" s="49">
        <v>0</v>
      </c>
      <c r="I300" s="49" t="e">
        <v>#REF!</v>
      </c>
      <c r="J300" s="50"/>
    </row>
    <row r="301" outlineLevel="1" spans="1:10">
      <c r="A301" s="50">
        <v>246</v>
      </c>
      <c r="B301" s="51" t="str">
        <v>柱C30</v>
      </c>
      <c r="C301" s="51" t="e">
        <v>#REF!</v>
      </c>
      <c r="D301" s="51" t="str">
        <v/>
      </c>
      <c r="E301" s="51" t="str">
        <v/>
      </c>
      <c r="F301" s="52" t="e">
        <v>#REF!</v>
      </c>
      <c r="G301" s="48" t="e">
        <v>#REF!</v>
      </c>
      <c r="H301" s="49">
        <v>13.12</v>
      </c>
      <c r="I301" s="49" t="e">
        <v>#REF!</v>
      </c>
      <c r="J301" s="50"/>
    </row>
    <row r="302" outlineLevel="1" spans="1:10">
      <c r="A302" s="50">
        <v>247</v>
      </c>
      <c r="B302" s="51" t="str">
        <v>梁C30</v>
      </c>
      <c r="C302" s="51" t="e">
        <v>#REF!</v>
      </c>
      <c r="D302" s="51" t="str">
        <v/>
      </c>
      <c r="E302" s="51" t="str">
        <v/>
      </c>
      <c r="F302" s="52" t="e">
        <v>#REF!</v>
      </c>
      <c r="G302" s="48" t="e">
        <v>#REF!</v>
      </c>
      <c r="H302" s="49">
        <v>261.521503018262</v>
      </c>
      <c r="I302" s="49" t="e">
        <v>#REF!</v>
      </c>
      <c r="J302" s="50"/>
    </row>
    <row r="303" outlineLevel="1" spans="1:10">
      <c r="A303" s="50">
        <v>248</v>
      </c>
      <c r="B303" s="51" t="str">
        <v>拱形梁C30</v>
      </c>
      <c r="C303" s="51" t="e">
        <v>#REF!</v>
      </c>
      <c r="D303" s="51" t="str">
        <v/>
      </c>
      <c r="E303" s="51" t="str">
        <v/>
      </c>
      <c r="F303" s="52" t="e">
        <v>#REF!</v>
      </c>
      <c r="G303" s="48" t="e">
        <v>#REF!</v>
      </c>
      <c r="H303" s="49">
        <v>4.6</v>
      </c>
      <c r="I303" s="49" t="e">
        <v>#REF!</v>
      </c>
      <c r="J303" s="50"/>
    </row>
    <row r="304" outlineLevel="1" spans="1:10">
      <c r="A304" s="50">
        <v>249</v>
      </c>
      <c r="B304" s="51" t="str">
        <v>墙C30</v>
      </c>
      <c r="C304" s="51" t="e">
        <v>#REF!</v>
      </c>
      <c r="D304" s="51" t="str">
        <v/>
      </c>
      <c r="E304" s="51" t="str">
        <v/>
      </c>
      <c r="F304" s="52" t="e">
        <v>#REF!</v>
      </c>
      <c r="G304" s="48" t="e">
        <v>#REF!</v>
      </c>
      <c r="H304" s="49">
        <v>1254.34903559127</v>
      </c>
      <c r="I304" s="49" t="e">
        <v>#REF!</v>
      </c>
      <c r="J304" s="50"/>
    </row>
    <row r="305" outlineLevel="1" spans="1:10">
      <c r="A305" s="50">
        <v>250</v>
      </c>
      <c r="B305" s="51" t="str">
        <v>墙C35</v>
      </c>
      <c r="C305" s="51" t="e">
        <v>#REF!</v>
      </c>
      <c r="D305" s="51" t="str">
        <v/>
      </c>
      <c r="E305" s="51" t="str">
        <v/>
      </c>
      <c r="F305" s="52" t="e">
        <v>#REF!</v>
      </c>
      <c r="G305" s="48" t="e">
        <v>#REF!</v>
      </c>
      <c r="H305" s="49">
        <v>1</v>
      </c>
      <c r="I305" s="49" t="e">
        <v>#REF!</v>
      </c>
      <c r="J305" s="50"/>
    </row>
    <row r="306" outlineLevel="1" spans="1:10">
      <c r="A306" s="50">
        <v>251</v>
      </c>
      <c r="B306" s="51" t="str">
        <v>电梯井壁墙C30</v>
      </c>
      <c r="C306" s="51" t="e">
        <v>#REF!</v>
      </c>
      <c r="D306" s="51" t="str">
        <v/>
      </c>
      <c r="E306" s="51" t="str">
        <v/>
      </c>
      <c r="F306" s="52" t="e">
        <v>#REF!</v>
      </c>
      <c r="G306" s="48" t="e">
        <v>#REF!</v>
      </c>
      <c r="H306" s="49">
        <v>74.4928831337939</v>
      </c>
      <c r="I306" s="49" t="e">
        <v>#REF!</v>
      </c>
      <c r="J306" s="50"/>
    </row>
    <row r="307" outlineLevel="1" spans="1:10">
      <c r="A307" s="50">
        <v>252</v>
      </c>
      <c r="B307" s="51" t="str">
        <v>电梯井壁墙C35</v>
      </c>
      <c r="C307" s="51" t="e">
        <v>#REF!</v>
      </c>
      <c r="D307" s="51" t="str">
        <v/>
      </c>
      <c r="E307" s="51" t="str">
        <v/>
      </c>
      <c r="F307" s="52" t="e">
        <v>#REF!</v>
      </c>
      <c r="G307" s="48" t="e">
        <v>#REF!</v>
      </c>
      <c r="H307" s="49">
        <v>1</v>
      </c>
      <c r="I307" s="49" t="e">
        <v>#REF!</v>
      </c>
      <c r="J307" s="50"/>
    </row>
    <row r="308" outlineLevel="1" spans="1:10">
      <c r="A308" s="50">
        <v>253</v>
      </c>
      <c r="B308" s="51" t="str">
        <v>平板C30</v>
      </c>
      <c r="C308" s="51" t="e">
        <v>#REF!</v>
      </c>
      <c r="D308" s="51" t="str">
        <v/>
      </c>
      <c r="E308" s="51" t="str">
        <v/>
      </c>
      <c r="F308" s="52" t="e">
        <v>#REF!</v>
      </c>
      <c r="G308" s="48" t="e">
        <v>#REF!</v>
      </c>
      <c r="H308" s="49">
        <v>727.780118361789</v>
      </c>
      <c r="I308" s="49" t="e">
        <v>#REF!</v>
      </c>
      <c r="J308" s="50"/>
    </row>
    <row r="309" outlineLevel="1" spans="1:10">
      <c r="A309" s="50">
        <v>254</v>
      </c>
      <c r="B309" s="51" t="str">
        <v>斜板C30</v>
      </c>
      <c r="C309" s="51" t="e">
        <v>#REF!</v>
      </c>
      <c r="D309" s="51" t="str">
        <v/>
      </c>
      <c r="E309" s="51" t="str">
        <v/>
      </c>
      <c r="F309" s="52" t="e">
        <v>#REF!</v>
      </c>
      <c r="G309" s="48" t="e">
        <v>#REF!</v>
      </c>
      <c r="H309" s="49">
        <v>28.0445973496432</v>
      </c>
      <c r="I309" s="49" t="e">
        <v>#REF!</v>
      </c>
      <c r="J309" s="50"/>
    </row>
    <row r="310" outlineLevel="1" spans="1:10">
      <c r="A310" s="50">
        <v>255</v>
      </c>
      <c r="B310" s="51" t="str">
        <v>拱板C30</v>
      </c>
      <c r="C310" s="51" t="e">
        <v>#REF!</v>
      </c>
      <c r="D310" s="51" t="str">
        <v/>
      </c>
      <c r="E310" s="51" t="str">
        <v/>
      </c>
      <c r="F310" s="52" t="e">
        <v>#REF!</v>
      </c>
      <c r="G310" s="48" t="e">
        <v>#REF!</v>
      </c>
      <c r="H310" s="49">
        <v>5.49</v>
      </c>
      <c r="I310" s="49" t="e">
        <v>#REF!</v>
      </c>
      <c r="J310" s="50"/>
    </row>
    <row r="311" outlineLevel="1" spans="1:10">
      <c r="A311" s="50">
        <v>256</v>
      </c>
      <c r="B311" s="51" t="str">
        <v>叠合板现浇部位C30</v>
      </c>
      <c r="C311" s="51" t="e">
        <v>#REF!</v>
      </c>
      <c r="D311" s="51" t="str">
        <v/>
      </c>
      <c r="E311" s="51" t="str">
        <v/>
      </c>
      <c r="F311" s="52" t="e">
        <v>#REF!</v>
      </c>
      <c r="G311" s="48" t="e">
        <v>#REF!</v>
      </c>
      <c r="H311" s="49">
        <v>0</v>
      </c>
      <c r="I311" s="49" t="e">
        <v>#REF!</v>
      </c>
      <c r="J311" s="50"/>
    </row>
    <row r="312" outlineLevel="1" spans="1:10">
      <c r="A312" s="50">
        <v>257</v>
      </c>
      <c r="B312" s="51" t="str">
        <v>PC板补板缝C30</v>
      </c>
      <c r="C312" s="51" t="e">
        <v>#REF!</v>
      </c>
      <c r="D312" s="51" t="str">
        <v/>
      </c>
      <c r="E312" s="51" t="str">
        <v/>
      </c>
      <c r="F312" s="52" t="e">
        <v>#REF!</v>
      </c>
      <c r="G312" s="48" t="e">
        <v>#REF!</v>
      </c>
      <c r="H312" s="49">
        <v>0</v>
      </c>
      <c r="I312" s="49" t="e">
        <v>#REF!</v>
      </c>
      <c r="J312" s="50"/>
    </row>
    <row r="313" outlineLevel="1" spans="1:10">
      <c r="A313" s="50">
        <v>258</v>
      </c>
      <c r="B313" s="51" t="str">
        <v>雨篷C30</v>
      </c>
      <c r="C313" s="51" t="e">
        <v>#REF!</v>
      </c>
      <c r="D313" s="51" t="str">
        <v/>
      </c>
      <c r="E313" s="51" t="str">
        <v/>
      </c>
      <c r="F313" s="52" t="e">
        <v>#REF!</v>
      </c>
      <c r="G313" s="48" t="e">
        <v>#REF!</v>
      </c>
      <c r="H313" s="49">
        <v>0.33</v>
      </c>
      <c r="I313" s="49" t="e">
        <v>#REF!</v>
      </c>
      <c r="J313" s="50"/>
    </row>
    <row r="314" outlineLevel="1" spans="1:10">
      <c r="A314" s="50">
        <v>259</v>
      </c>
      <c r="B314" s="51" t="str">
        <v>天沟(檐沟）挑檐板C30</v>
      </c>
      <c r="C314" s="51" t="e">
        <v>#REF!</v>
      </c>
      <c r="D314" s="51" t="str">
        <v/>
      </c>
      <c r="E314" s="51" t="str">
        <v/>
      </c>
      <c r="F314" s="52" t="e">
        <v>#REF!</v>
      </c>
      <c r="G314" s="48" t="e">
        <v>#REF!</v>
      </c>
      <c r="H314" s="49">
        <v>80.6072121650978</v>
      </c>
      <c r="I314" s="49" t="e">
        <v>#REF!</v>
      </c>
      <c r="J314" s="50"/>
    </row>
    <row r="315" outlineLevel="1" spans="1:10">
      <c r="A315" s="50">
        <v>260</v>
      </c>
      <c r="B315" s="51" t="str">
        <v>栏板C30</v>
      </c>
      <c r="C315" s="51" t="e">
        <v>#REF!</v>
      </c>
      <c r="D315" s="51" t="str">
        <v/>
      </c>
      <c r="E315" s="51" t="str">
        <v/>
      </c>
      <c r="F315" s="52" t="e">
        <v>#REF!</v>
      </c>
      <c r="G315" s="48" t="e">
        <v>#REF!</v>
      </c>
      <c r="H315" s="49">
        <v>1.44542429284526</v>
      </c>
      <c r="I315" s="49" t="e">
        <v>#REF!</v>
      </c>
      <c r="J315" s="50"/>
    </row>
    <row r="316" outlineLevel="1" spans="1:10">
      <c r="A316" s="50">
        <v>261</v>
      </c>
      <c r="B316" s="51" t="str">
        <v>直形楼梯C30</v>
      </c>
      <c r="C316" s="51" t="e">
        <v>#REF!</v>
      </c>
      <c r="D316" s="51" t="str">
        <v/>
      </c>
      <c r="E316" s="51" t="str">
        <v/>
      </c>
      <c r="F316" s="52" t="e">
        <v>#REF!</v>
      </c>
      <c r="G316" s="48" t="e">
        <v>#REF!</v>
      </c>
      <c r="H316" s="49">
        <v>98.2389105058366</v>
      </c>
      <c r="I316" s="49" t="e">
        <v>#REF!</v>
      </c>
      <c r="J316" s="50"/>
    </row>
    <row r="317" outlineLevel="1" spans="1:10">
      <c r="A317" s="50">
        <v>262</v>
      </c>
      <c r="B317" s="51" t="str">
        <v>设备基础C25</v>
      </c>
      <c r="C317" s="51" t="e">
        <v>#REF!</v>
      </c>
      <c r="D317" s="51" t="str">
        <v/>
      </c>
      <c r="E317" s="51" t="str">
        <v/>
      </c>
      <c r="F317" s="52" t="e">
        <v>#REF!</v>
      </c>
      <c r="G317" s="48" t="e">
        <v>#REF!</v>
      </c>
      <c r="H317" s="49">
        <v>1</v>
      </c>
      <c r="I317" s="49" t="e">
        <v>#REF!</v>
      </c>
      <c r="J317" s="50"/>
    </row>
    <row r="318" outlineLevel="1" spans="1:10">
      <c r="A318" s="50">
        <v>263</v>
      </c>
      <c r="B318" s="51" t="str">
        <v>自密实混凝土-50厚C30</v>
      </c>
      <c r="C318" s="51" t="e">
        <v>#REF!</v>
      </c>
      <c r="D318" s="51" t="str">
        <v/>
      </c>
      <c r="E318" s="51" t="str">
        <v/>
      </c>
      <c r="F318" s="52" t="e">
        <v>#REF!</v>
      </c>
      <c r="G318" s="48" t="e">
        <v>#REF!</v>
      </c>
      <c r="H318" s="49">
        <v>231.425064</v>
      </c>
      <c r="I318" s="49" t="e">
        <v>#REF!</v>
      </c>
      <c r="J318" s="50"/>
    </row>
    <row r="319" outlineLevel="1" spans="1:10">
      <c r="A319" s="50">
        <v>264</v>
      </c>
      <c r="B319" s="51" t="str">
        <v>预制钢筋混凝土叠合楼板</v>
      </c>
      <c r="C319" s="51" t="e">
        <v>#REF!</v>
      </c>
      <c r="D319" s="51" t="str">
        <v/>
      </c>
      <c r="E319" s="51" t="str">
        <v/>
      </c>
      <c r="F319" s="52" t="e">
        <v>#REF!</v>
      </c>
      <c r="G319" s="48" t="e">
        <v>#REF!</v>
      </c>
      <c r="H319" s="49">
        <v>0</v>
      </c>
      <c r="I319" s="49" t="e">
        <v>#REF!</v>
      </c>
      <c r="J319" s="50"/>
    </row>
    <row r="320" outlineLevel="1" spans="1:10">
      <c r="A320" s="50">
        <v>265</v>
      </c>
      <c r="B320" s="51" t="str">
        <v>预制钢筋混凝土空调板</v>
      </c>
      <c r="C320" s="51" t="e">
        <v>#REF!</v>
      </c>
      <c r="D320" s="51" t="str">
        <v/>
      </c>
      <c r="E320" s="51" t="str">
        <v/>
      </c>
      <c r="F320" s="52" t="e">
        <v>#REF!</v>
      </c>
      <c r="G320" s="48" t="e">
        <v>#REF!</v>
      </c>
      <c r="H320" s="49">
        <v>0</v>
      </c>
      <c r="I320" s="49" t="e">
        <v>#REF!</v>
      </c>
      <c r="J320" s="50"/>
    </row>
    <row r="321" outlineLevel="1" spans="1:10">
      <c r="A321" s="50">
        <v>266</v>
      </c>
      <c r="B321" s="51" t="str">
        <v>预制钢筋混凝土楼梯</v>
      </c>
      <c r="C321" s="51" t="e">
        <v>#REF!</v>
      </c>
      <c r="D321" s="51" t="str">
        <v/>
      </c>
      <c r="E321" s="51" t="str">
        <v/>
      </c>
      <c r="F321" s="52" t="e">
        <v>#REF!</v>
      </c>
      <c r="G321" s="48" t="e">
        <v>#REF!</v>
      </c>
      <c r="H321" s="49">
        <v>0</v>
      </c>
      <c r="I321" s="49" t="e">
        <v>#REF!</v>
      </c>
      <c r="J321" s="50"/>
    </row>
    <row r="322" outlineLevel="1" spans="1:10">
      <c r="A322" s="50" t="str">
        <v/>
      </c>
      <c r="B322" s="51" t="str">
        <v>A.02.02钢筋工程</v>
      </c>
      <c r="C322" s="51" t="str">
        <v/>
      </c>
      <c r="D322" s="51" t="str">
        <v/>
      </c>
      <c r="E322" s="51" t="str">
        <v/>
      </c>
      <c r="F322" s="52" t="str">
        <v/>
      </c>
      <c r="G322" s="48" t="str">
        <v/>
      </c>
      <c r="H322" s="49">
        <v>0</v>
      </c>
      <c r="I322" s="49" t="e">
        <v>#REF!</v>
      </c>
      <c r="J322" s="50"/>
    </row>
    <row r="323" outlineLevel="1" spans="1:10">
      <c r="A323" s="50">
        <v>267</v>
      </c>
      <c r="B323" s="51" t="str">
        <v>地上现浇构件钢筋-φ10以内</v>
      </c>
      <c r="C323" s="51" t="e">
        <v>#REF!</v>
      </c>
      <c r="D323" s="51" t="str">
        <v/>
      </c>
      <c r="E323" s="51" t="str">
        <v/>
      </c>
      <c r="F323" s="52" t="e">
        <v>#REF!</v>
      </c>
      <c r="G323" s="48" t="e">
        <v>#REF!</v>
      </c>
      <c r="H323" s="49">
        <v>0.662844036697248</v>
      </c>
      <c r="I323" s="49" t="e">
        <v>#REF!</v>
      </c>
      <c r="J323" s="50"/>
    </row>
    <row r="324" ht="28.8" outlineLevel="1" spans="1:10">
      <c r="A324" s="50">
        <v>268</v>
      </c>
      <c r="B324" s="51" t="str">
        <v>地上现浇构件钢筋-三级钢筋 Φ6</v>
      </c>
      <c r="C324" s="51" t="e">
        <v>#REF!</v>
      </c>
      <c r="D324" s="51" t="str">
        <v/>
      </c>
      <c r="E324" s="51" t="str">
        <v/>
      </c>
      <c r="F324" s="52" t="e">
        <v>#REF!</v>
      </c>
      <c r="G324" s="48" t="e">
        <v>#REF!</v>
      </c>
      <c r="H324" s="49">
        <v>15.3648088093245</v>
      </c>
      <c r="I324" s="49" t="e">
        <v>#REF!</v>
      </c>
      <c r="J324" s="50"/>
    </row>
    <row r="325" ht="28.8" outlineLevel="1" spans="1:10">
      <c r="A325" s="50">
        <v>269</v>
      </c>
      <c r="B325" s="51" t="str">
        <v>地上现浇构件钢筋-三级钢筋 Φ8</v>
      </c>
      <c r="C325" s="51" t="e">
        <v>#REF!</v>
      </c>
      <c r="D325" s="51" t="str">
        <v/>
      </c>
      <c r="E325" s="51" t="str">
        <v/>
      </c>
      <c r="F325" s="52" t="e">
        <v>#REF!</v>
      </c>
      <c r="G325" s="48" t="e">
        <v>#REF!</v>
      </c>
      <c r="H325" s="49">
        <v>100.123376669469</v>
      </c>
      <c r="I325" s="49" t="e">
        <v>#REF!</v>
      </c>
      <c r="J325" s="50"/>
    </row>
    <row r="326" ht="28.8" outlineLevel="1" spans="1:10">
      <c r="A326" s="50">
        <v>270</v>
      </c>
      <c r="B326" s="51" t="str">
        <v>地上现浇构件钢筋-三级钢筋 Φ10</v>
      </c>
      <c r="C326" s="51" t="e">
        <v>#REF!</v>
      </c>
      <c r="D326" s="51" t="str">
        <v/>
      </c>
      <c r="E326" s="51" t="str">
        <v/>
      </c>
      <c r="F326" s="52" t="e">
        <v>#REF!</v>
      </c>
      <c r="G326" s="48" t="e">
        <v>#REF!</v>
      </c>
      <c r="H326" s="49">
        <v>50.512851407188</v>
      </c>
      <c r="I326" s="49" t="e">
        <v>#REF!</v>
      </c>
      <c r="J326" s="50"/>
    </row>
    <row r="327" ht="28.8" outlineLevel="1" spans="1:10">
      <c r="A327" s="50">
        <v>271</v>
      </c>
      <c r="B327" s="51" t="str">
        <v>地上现浇构件钢筋-三级钢筋 Φ12</v>
      </c>
      <c r="C327" s="51" t="e">
        <v>#REF!</v>
      </c>
      <c r="D327" s="51" t="str">
        <v/>
      </c>
      <c r="E327" s="51" t="str">
        <v/>
      </c>
      <c r="F327" s="52" t="e">
        <v>#REF!</v>
      </c>
      <c r="G327" s="48" t="e">
        <v>#REF!</v>
      </c>
      <c r="H327" s="49">
        <v>32.149998698937</v>
      </c>
      <c r="I327" s="49" t="e">
        <v>#REF!</v>
      </c>
      <c r="J327" s="50"/>
    </row>
    <row r="328" ht="28.8" outlineLevel="1" spans="1:10">
      <c r="A328" s="50">
        <v>272</v>
      </c>
      <c r="B328" s="51" t="str">
        <v>地上现浇构件钢筋-三级钢筋 Φ14</v>
      </c>
      <c r="C328" s="51" t="e">
        <v>#REF!</v>
      </c>
      <c r="D328" s="51" t="str">
        <v/>
      </c>
      <c r="E328" s="51" t="str">
        <v/>
      </c>
      <c r="F328" s="52" t="e">
        <v>#REF!</v>
      </c>
      <c r="G328" s="48" t="e">
        <v>#REF!</v>
      </c>
      <c r="H328" s="49">
        <v>15.1421264460154</v>
      </c>
      <c r="I328" s="49" t="e">
        <v>#REF!</v>
      </c>
      <c r="J328" s="50"/>
    </row>
    <row r="329" ht="28.8" outlineLevel="1" spans="1:10">
      <c r="A329" s="50">
        <v>273</v>
      </c>
      <c r="B329" s="51" t="str">
        <v>地上现浇构件钢筋-三级钢筋 Φ16</v>
      </c>
      <c r="C329" s="51" t="e">
        <v>#REF!</v>
      </c>
      <c r="D329" s="51" t="str">
        <v/>
      </c>
      <c r="E329" s="51" t="str">
        <v/>
      </c>
      <c r="F329" s="52" t="e">
        <v>#REF!</v>
      </c>
      <c r="G329" s="48" t="e">
        <v>#REF!</v>
      </c>
      <c r="H329" s="49">
        <v>20.6011377003705</v>
      </c>
      <c r="I329" s="49" t="e">
        <v>#REF!</v>
      </c>
      <c r="J329" s="50"/>
    </row>
    <row r="330" ht="28.8" outlineLevel="1" spans="1:10">
      <c r="A330" s="50">
        <v>274</v>
      </c>
      <c r="B330" s="51" t="str">
        <v>地上现浇构件钢筋-三级钢筋 Φ18</v>
      </c>
      <c r="C330" s="51" t="e">
        <v>#REF!</v>
      </c>
      <c r="D330" s="51" t="str">
        <v/>
      </c>
      <c r="E330" s="51" t="str">
        <v/>
      </c>
      <c r="F330" s="52" t="e">
        <v>#REF!</v>
      </c>
      <c r="G330" s="48" t="e">
        <v>#REF!</v>
      </c>
      <c r="H330" s="49">
        <v>8.39483063465476</v>
      </c>
      <c r="I330" s="49" t="e">
        <v>#REF!</v>
      </c>
      <c r="J330" s="50"/>
    </row>
    <row r="331" ht="28.8" outlineLevel="1" spans="1:10">
      <c r="A331" s="50">
        <v>275</v>
      </c>
      <c r="B331" s="51" t="str">
        <v>地上现浇构件钢筋-三级钢筋 Φ20</v>
      </c>
      <c r="C331" s="51" t="e">
        <v>#REF!</v>
      </c>
      <c r="D331" s="51" t="str">
        <v/>
      </c>
      <c r="E331" s="51" t="str">
        <v/>
      </c>
      <c r="F331" s="52" t="e">
        <v>#REF!</v>
      </c>
      <c r="G331" s="48" t="e">
        <v>#REF!</v>
      </c>
      <c r="H331" s="49">
        <v>10.7284059221581</v>
      </c>
      <c r="I331" s="49" t="e">
        <v>#REF!</v>
      </c>
      <c r="J331" s="50"/>
    </row>
    <row r="332" ht="28.8" outlineLevel="1" spans="1:10">
      <c r="A332" s="50">
        <v>276</v>
      </c>
      <c r="B332" s="51" t="str">
        <v>地上现浇构件钢筋-三级钢筋 Φ22</v>
      </c>
      <c r="C332" s="51" t="e">
        <v>#REF!</v>
      </c>
      <c r="D332" s="51" t="str">
        <v/>
      </c>
      <c r="E332" s="51" t="str">
        <v/>
      </c>
      <c r="F332" s="52" t="e">
        <v>#REF!</v>
      </c>
      <c r="G332" s="48" t="e">
        <v>#REF!</v>
      </c>
      <c r="H332" s="49">
        <v>11.4320189523559</v>
      </c>
      <c r="I332" s="49" t="e">
        <v>#REF!</v>
      </c>
      <c r="J332" s="50"/>
    </row>
    <row r="333" ht="28.8" outlineLevel="1" spans="1:10">
      <c r="A333" s="50">
        <v>277</v>
      </c>
      <c r="B333" s="51" t="str">
        <v>地上现浇构件钢筋-三级钢筋 Φ25</v>
      </c>
      <c r="C333" s="51" t="e">
        <v>#REF!</v>
      </c>
      <c r="D333" s="51" t="str">
        <v/>
      </c>
      <c r="E333" s="51" t="str">
        <v/>
      </c>
      <c r="F333" s="52" t="e">
        <v>#REF!</v>
      </c>
      <c r="G333" s="48" t="e">
        <v>#REF!</v>
      </c>
      <c r="H333" s="49">
        <v>0.755023886378309</v>
      </c>
      <c r="I333" s="49" t="e">
        <v>#REF!</v>
      </c>
      <c r="J333" s="50"/>
    </row>
    <row r="334" ht="28.8" outlineLevel="1" spans="1:10">
      <c r="A334" s="50">
        <v>278</v>
      </c>
      <c r="B334" s="51" t="str">
        <v>地上现浇构件措施钢筋-三级钢筋 Φ10</v>
      </c>
      <c r="C334" s="51" t="e">
        <v>#REF!</v>
      </c>
      <c r="D334" s="51" t="str">
        <v/>
      </c>
      <c r="E334" s="51" t="str">
        <v/>
      </c>
      <c r="F334" s="52" t="e">
        <v>#REF!</v>
      </c>
      <c r="G334" s="48" t="e">
        <v>#REF!</v>
      </c>
      <c r="H334" s="49">
        <v>1.136875</v>
      </c>
      <c r="I334" s="49" t="e">
        <v>#REF!</v>
      </c>
      <c r="J334" s="50"/>
    </row>
    <row r="335" ht="28.8" outlineLevel="1" spans="1:10">
      <c r="A335" s="50">
        <v>279</v>
      </c>
      <c r="B335" s="51" t="str">
        <v>钢筋接头-直螺纹连接-φ20以内</v>
      </c>
      <c r="C335" s="51" t="e">
        <v>#REF!</v>
      </c>
      <c r="D335" s="51" t="str">
        <v/>
      </c>
      <c r="E335" s="51" t="str">
        <v/>
      </c>
      <c r="F335" s="52" t="e">
        <v>#REF!</v>
      </c>
      <c r="G335" s="48" t="e">
        <v>#REF!</v>
      </c>
      <c r="H335" s="49">
        <v>13.6216216216216</v>
      </c>
      <c r="I335" s="49" t="e">
        <v>#REF!</v>
      </c>
      <c r="J335" s="50"/>
    </row>
    <row r="336" ht="28.8" outlineLevel="1" spans="1:10">
      <c r="A336" s="50">
        <v>280</v>
      </c>
      <c r="B336" s="51" t="str">
        <v>钢筋接头-直螺纹连接-Φ30以内</v>
      </c>
      <c r="C336" s="51" t="e">
        <v>#REF!</v>
      </c>
      <c r="D336" s="51" t="str">
        <v/>
      </c>
      <c r="E336" s="51" t="str">
        <v/>
      </c>
      <c r="F336" s="52" t="e">
        <v>#REF!</v>
      </c>
      <c r="G336" s="48" t="e">
        <v>#REF!</v>
      </c>
      <c r="H336" s="49">
        <v>0</v>
      </c>
      <c r="I336" s="49" t="e">
        <v>#REF!</v>
      </c>
      <c r="J336" s="50"/>
    </row>
    <row r="337" outlineLevel="1" spans="1:10">
      <c r="A337" s="50">
        <v>281</v>
      </c>
      <c r="B337" s="51" t="str">
        <v>钢筋接头-电渣压力焊</v>
      </c>
      <c r="C337" s="51" t="e">
        <v>#REF!</v>
      </c>
      <c r="D337" s="51" t="str">
        <v/>
      </c>
      <c r="E337" s="51" t="str">
        <v/>
      </c>
      <c r="F337" s="52" t="e">
        <v>#REF!</v>
      </c>
      <c r="G337" s="48" t="e">
        <v>#REF!</v>
      </c>
      <c r="H337" s="49">
        <v>14210.8145945771</v>
      </c>
      <c r="I337" s="49" t="e">
        <v>#REF!</v>
      </c>
      <c r="J337" s="50"/>
    </row>
    <row r="338" outlineLevel="1" spans="1:10">
      <c r="A338" s="50" t="str">
        <v/>
      </c>
      <c r="B338" s="51" t="str">
        <v>A.03二次结构工程</v>
      </c>
      <c r="C338" s="51" t="str">
        <v/>
      </c>
      <c r="D338" s="51" t="str">
        <v/>
      </c>
      <c r="E338" s="51" t="str">
        <v/>
      </c>
      <c r="F338" s="52" t="str">
        <v/>
      </c>
      <c r="G338" s="48" t="str">
        <v/>
      </c>
      <c r="H338" s="49">
        <v>0</v>
      </c>
      <c r="I338" s="49" t="e">
        <v>#REF!</v>
      </c>
      <c r="J338" s="50"/>
    </row>
    <row r="339" outlineLevel="1" spans="1:10">
      <c r="A339" s="50" t="str">
        <v/>
      </c>
      <c r="B339" s="51" t="str">
        <v>A.03.01砌筑工程</v>
      </c>
      <c r="C339" s="51" t="str">
        <v/>
      </c>
      <c r="D339" s="51" t="str">
        <v/>
      </c>
      <c r="E339" s="51" t="str">
        <v/>
      </c>
      <c r="F339" s="52" t="str">
        <v/>
      </c>
      <c r="G339" s="48" t="str">
        <v/>
      </c>
      <c r="H339" s="49">
        <v>0</v>
      </c>
      <c r="I339" s="49" t="e">
        <v>#REF!</v>
      </c>
      <c r="J339" s="50"/>
    </row>
    <row r="340" outlineLevel="1" spans="1:10">
      <c r="A340" s="50">
        <v>282</v>
      </c>
      <c r="B340" s="51" t="str">
        <v>出屋面砖台阶</v>
      </c>
      <c r="C340" s="51" t="e">
        <v>#REF!</v>
      </c>
      <c r="D340" s="51" t="str">
        <v/>
      </c>
      <c r="E340" s="51" t="str">
        <v/>
      </c>
      <c r="F340" s="52" t="e">
        <v>#REF!</v>
      </c>
      <c r="G340" s="48" t="e">
        <v>#REF!</v>
      </c>
      <c r="H340" s="49">
        <v>5.73</v>
      </c>
      <c r="I340" s="49" t="e">
        <v>#REF!</v>
      </c>
      <c r="J340" s="50"/>
    </row>
    <row r="341" outlineLevel="1" spans="1:10">
      <c r="A341" s="50">
        <v>283</v>
      </c>
      <c r="B341" s="51" t="str">
        <v>加气混凝土砌块</v>
      </c>
      <c r="C341" s="51" t="e">
        <v>#REF!</v>
      </c>
      <c r="D341" s="51" t="str">
        <v/>
      </c>
      <c r="E341" s="51" t="str">
        <v/>
      </c>
      <c r="F341" s="52" t="e">
        <v>#REF!</v>
      </c>
      <c r="G341" s="48" t="e">
        <v>#REF!</v>
      </c>
      <c r="H341" s="49">
        <v>597.24</v>
      </c>
      <c r="I341" s="49" t="e">
        <v>#REF!</v>
      </c>
      <c r="J341" s="50"/>
    </row>
    <row r="342" outlineLevel="1" spans="1:10">
      <c r="A342" s="50">
        <v>284</v>
      </c>
      <c r="B342" s="51" t="str">
        <v>管道包封砌筑</v>
      </c>
      <c r="C342" s="51" t="e">
        <v>#REF!</v>
      </c>
      <c r="D342" s="51" t="str">
        <v/>
      </c>
      <c r="E342" s="51" t="str">
        <v/>
      </c>
      <c r="F342" s="52" t="e">
        <v>#REF!</v>
      </c>
      <c r="G342" s="48" t="e">
        <v>#REF!</v>
      </c>
      <c r="H342" s="49">
        <v>0</v>
      </c>
      <c r="I342" s="49" t="e">
        <v>#REF!</v>
      </c>
      <c r="J342" s="50"/>
    </row>
    <row r="343" ht="28.8" outlineLevel="1" spans="1:10">
      <c r="A343" s="50">
        <v>285</v>
      </c>
      <c r="B343" s="51" t="str">
        <v>轻集料混凝土条板-100mm以内</v>
      </c>
      <c r="C343" s="51" t="e">
        <v>#REF!</v>
      </c>
      <c r="D343" s="51" t="str">
        <v/>
      </c>
      <c r="E343" s="51" t="str">
        <v/>
      </c>
      <c r="F343" s="52" t="e">
        <v>#REF!</v>
      </c>
      <c r="G343" s="48" t="e">
        <v>#REF!</v>
      </c>
      <c r="H343" s="49">
        <v>0</v>
      </c>
      <c r="I343" s="49" t="e">
        <v>#REF!</v>
      </c>
      <c r="J343" s="50"/>
    </row>
    <row r="344" ht="28.8" outlineLevel="1" spans="1:10">
      <c r="A344" s="50">
        <v>286</v>
      </c>
      <c r="B344" s="51" t="str">
        <v>轻集料混凝土条板-200mm以内</v>
      </c>
      <c r="C344" s="51" t="e">
        <v>#REF!</v>
      </c>
      <c r="D344" s="51" t="str">
        <v/>
      </c>
      <c r="E344" s="51" t="str">
        <v/>
      </c>
      <c r="F344" s="52" t="e">
        <v>#REF!</v>
      </c>
      <c r="G344" s="48" t="e">
        <v>#REF!</v>
      </c>
      <c r="H344" s="49">
        <v>0</v>
      </c>
      <c r="I344" s="49" t="e">
        <v>#REF!</v>
      </c>
      <c r="J344" s="50"/>
    </row>
    <row r="345" outlineLevel="1" spans="1:10">
      <c r="A345" s="50">
        <v>287</v>
      </c>
      <c r="B345" s="51" t="str">
        <v>AAC内墙板-180mm以内</v>
      </c>
      <c r="C345" s="51" t="e">
        <v>#REF!</v>
      </c>
      <c r="D345" s="51" t="str">
        <v/>
      </c>
      <c r="E345" s="51" t="str">
        <v/>
      </c>
      <c r="F345" s="52" t="e">
        <v>#REF!</v>
      </c>
      <c r="G345" s="48" t="e">
        <v>#REF!</v>
      </c>
      <c r="H345" s="49">
        <v>0</v>
      </c>
      <c r="I345" s="49" t="e">
        <v>#REF!</v>
      </c>
      <c r="J345" s="50"/>
    </row>
    <row r="346" outlineLevel="1" spans="1:10">
      <c r="A346" s="50">
        <v>288</v>
      </c>
      <c r="B346" s="51" t="str">
        <v>AAC外墙板-100mm以内</v>
      </c>
      <c r="C346" s="51" t="e">
        <v>#REF!</v>
      </c>
      <c r="D346" s="51" t="str">
        <v/>
      </c>
      <c r="E346" s="51" t="str">
        <v/>
      </c>
      <c r="F346" s="52" t="e">
        <v>#REF!</v>
      </c>
      <c r="G346" s="48" t="e">
        <v>#REF!</v>
      </c>
      <c r="H346" s="49">
        <v>0</v>
      </c>
      <c r="I346" s="49" t="e">
        <v>#REF!</v>
      </c>
      <c r="J346" s="50"/>
    </row>
    <row r="347" outlineLevel="1" spans="1:10">
      <c r="A347" s="50">
        <v>289</v>
      </c>
      <c r="B347" s="51" t="str">
        <v>AAC外墙板-180mm以内</v>
      </c>
      <c r="C347" s="51" t="e">
        <v>#REF!</v>
      </c>
      <c r="D347" s="51" t="str">
        <v/>
      </c>
      <c r="E347" s="51" t="str">
        <v/>
      </c>
      <c r="F347" s="52" t="e">
        <v>#REF!</v>
      </c>
      <c r="G347" s="48" t="e">
        <v>#REF!</v>
      </c>
      <c r="H347" s="49">
        <v>0</v>
      </c>
      <c r="I347" s="49" t="e">
        <v>#REF!</v>
      </c>
      <c r="J347" s="50"/>
    </row>
    <row r="348" outlineLevel="1" spans="1:10">
      <c r="A348" s="50">
        <v>290</v>
      </c>
      <c r="B348" s="51" t="str">
        <v>AAC外墙板-280mm以内</v>
      </c>
      <c r="C348" s="51" t="e">
        <v>#REF!</v>
      </c>
      <c r="D348" s="51" t="str">
        <v/>
      </c>
      <c r="E348" s="51" t="str">
        <v/>
      </c>
      <c r="F348" s="52" t="e">
        <v>#REF!</v>
      </c>
      <c r="G348" s="48" t="e">
        <v>#REF!</v>
      </c>
      <c r="H348" s="49">
        <v>0</v>
      </c>
      <c r="I348" s="49" t="e">
        <v>#REF!</v>
      </c>
      <c r="J348" s="50"/>
    </row>
    <row r="349" outlineLevel="1" spans="1:10">
      <c r="A349" s="50">
        <v>291</v>
      </c>
      <c r="B349" s="51" t="str">
        <v>AAC自保温砌块</v>
      </c>
      <c r="C349" s="51" t="e">
        <v>#REF!</v>
      </c>
      <c r="D349" s="51" t="str">
        <v/>
      </c>
      <c r="E349" s="51" t="str">
        <v/>
      </c>
      <c r="F349" s="52" t="e">
        <v>#REF!</v>
      </c>
      <c r="G349" s="48" t="e">
        <v>#REF!</v>
      </c>
      <c r="H349" s="49">
        <v>1</v>
      </c>
      <c r="I349" s="49" t="e">
        <v>#REF!</v>
      </c>
      <c r="J349" s="50"/>
    </row>
    <row r="350" outlineLevel="1" spans="1:10">
      <c r="A350" s="50" t="str">
        <v/>
      </c>
      <c r="B350" s="51" t="str">
        <v>A.03.02混凝土工程</v>
      </c>
      <c r="C350" s="51" t="str">
        <v/>
      </c>
      <c r="D350" s="51" t="str">
        <v/>
      </c>
      <c r="E350" s="51" t="str">
        <v/>
      </c>
      <c r="F350" s="52" t="str">
        <v/>
      </c>
      <c r="G350" s="48" t="str">
        <v/>
      </c>
      <c r="H350" s="49">
        <v>0</v>
      </c>
      <c r="I350" s="49" t="e">
        <v>#REF!</v>
      </c>
      <c r="J350" s="50"/>
    </row>
    <row r="351" outlineLevel="1" spans="1:10">
      <c r="A351" s="50">
        <v>292</v>
      </c>
      <c r="B351" s="51" t="str">
        <v>构造柱C25</v>
      </c>
      <c r="C351" s="51" t="e">
        <v>#REF!</v>
      </c>
      <c r="D351" s="51" t="str">
        <v/>
      </c>
      <c r="E351" s="51" t="str">
        <v/>
      </c>
      <c r="F351" s="52" t="e">
        <v>#REF!</v>
      </c>
      <c r="G351" s="48" t="e">
        <v>#REF!</v>
      </c>
      <c r="H351" s="49">
        <v>43.7068445121951</v>
      </c>
      <c r="I351" s="49" t="e">
        <v>#REF!</v>
      </c>
      <c r="J351" s="50"/>
    </row>
    <row r="352" outlineLevel="1" spans="1:10">
      <c r="A352" s="50">
        <v>293</v>
      </c>
      <c r="B352" s="51" t="str">
        <v>圈梁C25</v>
      </c>
      <c r="C352" s="51" t="e">
        <v>#REF!</v>
      </c>
      <c r="D352" s="51" t="str">
        <v/>
      </c>
      <c r="E352" s="51" t="str">
        <v/>
      </c>
      <c r="F352" s="52" t="e">
        <v>#REF!</v>
      </c>
      <c r="G352" s="48" t="e">
        <v>#REF!</v>
      </c>
      <c r="H352" s="49">
        <v>1.91160839160839</v>
      </c>
      <c r="I352" s="49" t="e">
        <v>#REF!</v>
      </c>
      <c r="J352" s="50"/>
    </row>
    <row r="353" outlineLevel="1" spans="1:10">
      <c r="A353" s="50">
        <v>294</v>
      </c>
      <c r="B353" s="51" t="str">
        <v>门槛C20细石</v>
      </c>
      <c r="C353" s="51" t="e">
        <v>#REF!</v>
      </c>
      <c r="D353" s="51" t="str">
        <v/>
      </c>
      <c r="E353" s="51" t="str">
        <v/>
      </c>
      <c r="F353" s="52" t="e">
        <v>#REF!</v>
      </c>
      <c r="G353" s="48" t="e">
        <v>#REF!</v>
      </c>
      <c r="H353" s="49">
        <v>0.66</v>
      </c>
      <c r="I353" s="49" t="e">
        <v>#REF!</v>
      </c>
      <c r="J353" s="50"/>
    </row>
    <row r="354" outlineLevel="1" spans="1:10">
      <c r="A354" s="50">
        <v>295</v>
      </c>
      <c r="B354" s="51" t="str">
        <v>反坎C20</v>
      </c>
      <c r="C354" s="51" t="e">
        <v>#REF!</v>
      </c>
      <c r="D354" s="51" t="str">
        <v/>
      </c>
      <c r="E354" s="51" t="str">
        <v/>
      </c>
      <c r="F354" s="52" t="e">
        <v>#REF!</v>
      </c>
      <c r="G354" s="48" t="e">
        <v>#REF!</v>
      </c>
      <c r="H354" s="49">
        <v>18.687303856383</v>
      </c>
      <c r="I354" s="49" t="e">
        <v>#REF!</v>
      </c>
      <c r="J354" s="50"/>
    </row>
    <row r="355" outlineLevel="1" spans="1:10">
      <c r="A355" s="50">
        <v>296</v>
      </c>
      <c r="B355" s="51" t="str">
        <v>过梁C25</v>
      </c>
      <c r="C355" s="51" t="e">
        <v>#REF!</v>
      </c>
      <c r="D355" s="51" t="str">
        <v/>
      </c>
      <c r="E355" s="51" t="str">
        <v/>
      </c>
      <c r="F355" s="52" t="e">
        <v>#REF!</v>
      </c>
      <c r="G355" s="48" t="e">
        <v>#REF!</v>
      </c>
      <c r="H355" s="49">
        <v>5.35068493150685</v>
      </c>
      <c r="I355" s="49" t="e">
        <v>#REF!</v>
      </c>
      <c r="J355" s="50"/>
    </row>
    <row r="356" outlineLevel="1" spans="1:10">
      <c r="A356" s="50">
        <v>297</v>
      </c>
      <c r="B356" s="51" t="str">
        <v>压顶C25</v>
      </c>
      <c r="C356" s="51" t="e">
        <v>#REF!</v>
      </c>
      <c r="D356" s="51" t="str">
        <v/>
      </c>
      <c r="E356" s="51" t="str">
        <v/>
      </c>
      <c r="F356" s="52" t="e">
        <v>#REF!</v>
      </c>
      <c r="G356" s="48" t="e">
        <v>#REF!</v>
      </c>
      <c r="H356" s="49">
        <v>6.28609791742784</v>
      </c>
      <c r="I356" s="49" t="e">
        <v>#REF!</v>
      </c>
      <c r="J356" s="50"/>
    </row>
    <row r="357" outlineLevel="1" spans="1:10">
      <c r="A357" s="50" t="str">
        <v/>
      </c>
      <c r="B357" s="51" t="str">
        <v>散水</v>
      </c>
      <c r="C357" s="51" t="str">
        <v/>
      </c>
      <c r="D357" s="51" t="str">
        <v/>
      </c>
      <c r="E357" s="51" t="str">
        <v/>
      </c>
      <c r="F357" s="52" t="str">
        <v/>
      </c>
      <c r="G357" s="48" t="str">
        <v/>
      </c>
      <c r="H357" s="49">
        <v>0</v>
      </c>
      <c r="I357" s="49">
        <v>0</v>
      </c>
      <c r="J357" s="50"/>
    </row>
    <row r="358" outlineLevel="1" spans="1:10">
      <c r="A358" s="50">
        <v>298</v>
      </c>
      <c r="B358" s="51" t="str">
        <v>散水-40厚C20细石</v>
      </c>
      <c r="C358" s="51" t="e">
        <v>#REF!</v>
      </c>
      <c r="D358" s="51" t="str">
        <v/>
      </c>
      <c r="E358" s="51" t="str">
        <v/>
      </c>
      <c r="F358" s="52" t="e">
        <v>#REF!</v>
      </c>
      <c r="G358" s="48" t="e">
        <v>#REF!</v>
      </c>
      <c r="H358" s="49">
        <v>35.7618311765404</v>
      </c>
      <c r="I358" s="49" t="e">
        <v>#REF!</v>
      </c>
      <c r="J358" s="50"/>
    </row>
    <row r="359" outlineLevel="1" spans="1:10">
      <c r="A359" s="50">
        <v>299</v>
      </c>
      <c r="B359" s="51" t="str">
        <v>散水-150厚3:7灰土</v>
      </c>
      <c r="C359" s="51" t="e">
        <v>#REF!</v>
      </c>
      <c r="D359" s="51" t="str">
        <v/>
      </c>
      <c r="E359" s="51" t="str">
        <v/>
      </c>
      <c r="F359" s="52" t="e">
        <v>#REF!</v>
      </c>
      <c r="G359" s="48" t="e">
        <v>#REF!</v>
      </c>
      <c r="H359" s="49">
        <v>35.7618311765404</v>
      </c>
      <c r="I359" s="49" t="e">
        <v>#REF!</v>
      </c>
      <c r="J359" s="50"/>
    </row>
    <row r="360" outlineLevel="1" spans="1:10">
      <c r="A360" s="50">
        <v>300</v>
      </c>
      <c r="B360" s="51" t="str">
        <v>散水-素土夯实</v>
      </c>
      <c r="C360" s="51" t="e">
        <v>#REF!</v>
      </c>
      <c r="D360" s="51" t="str">
        <v/>
      </c>
      <c r="E360" s="51" t="str">
        <v/>
      </c>
      <c r="F360" s="52" t="e">
        <v>#REF!</v>
      </c>
      <c r="G360" s="48" t="e">
        <v>#REF!</v>
      </c>
      <c r="H360" s="49">
        <v>35.7618311765404</v>
      </c>
      <c r="I360" s="49" t="e">
        <v>#REF!</v>
      </c>
      <c r="J360" s="50"/>
    </row>
    <row r="361" outlineLevel="1" spans="1:10">
      <c r="A361" s="50" t="str">
        <v/>
      </c>
      <c r="B361" s="51" t="str">
        <v/>
      </c>
      <c r="C361" s="51" t="str">
        <v>成品明沟</v>
      </c>
      <c r="D361" s="51" t="str">
        <v/>
      </c>
      <c r="E361" s="51" t="str">
        <v/>
      </c>
      <c r="F361" s="52" t="str">
        <v/>
      </c>
      <c r="G361" s="48" t="str">
        <v/>
      </c>
      <c r="H361" s="49">
        <v>0</v>
      </c>
      <c r="I361" s="49">
        <v>0</v>
      </c>
      <c r="J361" s="50"/>
    </row>
    <row r="362" outlineLevel="1" spans="1:10">
      <c r="A362" s="50">
        <v>298</v>
      </c>
      <c r="B362" s="51" t="str">
        <v>成品排水沟（含结构篦子）</v>
      </c>
      <c r="C362" s="51" t="e">
        <v>#REF!</v>
      </c>
      <c r="D362" s="51" t="str">
        <v/>
      </c>
      <c r="E362" s="51" t="str">
        <v/>
      </c>
      <c r="F362" s="52" t="e">
        <v>#REF!</v>
      </c>
      <c r="G362" s="48" t="e">
        <v>#REF!</v>
      </c>
      <c r="H362" s="49">
        <v>67.06</v>
      </c>
      <c r="I362" s="49" t="e">
        <v>#REF!</v>
      </c>
      <c r="J362" s="50"/>
    </row>
    <row r="363" outlineLevel="1" spans="1:10">
      <c r="A363" s="50" t="str">
        <v/>
      </c>
      <c r="B363" s="51" t="str">
        <v>明沟</v>
      </c>
      <c r="C363" s="51" t="str">
        <v/>
      </c>
      <c r="D363" s="51" t="str">
        <v/>
      </c>
      <c r="E363" s="51" t="str">
        <v/>
      </c>
      <c r="F363" s="52" t="str">
        <v/>
      </c>
      <c r="G363" s="48" t="str">
        <v/>
      </c>
      <c r="H363" s="49">
        <v>0</v>
      </c>
      <c r="I363" s="49">
        <v>0</v>
      </c>
      <c r="J363" s="50"/>
    </row>
    <row r="364" outlineLevel="1" spans="1:10">
      <c r="A364" s="50">
        <v>301</v>
      </c>
      <c r="B364" s="51" t="str">
        <v>明沟-雨水篦子</v>
      </c>
      <c r="C364" s="51" t="e">
        <v>#REF!</v>
      </c>
      <c r="D364" s="51" t="str">
        <v/>
      </c>
      <c r="E364" s="51" t="str">
        <v/>
      </c>
      <c r="F364" s="52" t="e">
        <v>#REF!</v>
      </c>
      <c r="G364" s="48" t="e">
        <v>#REF!</v>
      </c>
      <c r="H364" s="49">
        <v>0</v>
      </c>
      <c r="I364" s="49" t="e">
        <v>#REF!</v>
      </c>
      <c r="J364" s="50"/>
    </row>
    <row r="365" outlineLevel="1" spans="1:10">
      <c r="A365" s="50">
        <v>302</v>
      </c>
      <c r="B365" s="51" t="str">
        <v>明沟-20厚M20水泥砂浆</v>
      </c>
      <c r="C365" s="51" t="e">
        <v>#REF!</v>
      </c>
      <c r="D365" s="51" t="str">
        <v/>
      </c>
      <c r="E365" s="51" t="str">
        <v/>
      </c>
      <c r="F365" s="52" t="e">
        <v>#REF!</v>
      </c>
      <c r="G365" s="48" t="e">
        <v>#REF!</v>
      </c>
      <c r="H365" s="49">
        <v>0</v>
      </c>
      <c r="I365" s="49" t="e">
        <v>#REF!</v>
      </c>
      <c r="J365" s="50"/>
    </row>
    <row r="366" outlineLevel="1" spans="1:10">
      <c r="A366" s="50">
        <v>303</v>
      </c>
      <c r="B366" s="51" t="str">
        <v>明沟-20厚C20细石砼找坡</v>
      </c>
      <c r="C366" s="51" t="e">
        <v>#REF!</v>
      </c>
      <c r="D366" s="51" t="str">
        <v/>
      </c>
      <c r="E366" s="51" t="str">
        <v/>
      </c>
      <c r="F366" s="52" t="e">
        <v>#REF!</v>
      </c>
      <c r="G366" s="48" t="e">
        <v>#REF!</v>
      </c>
      <c r="H366" s="49">
        <v>0</v>
      </c>
      <c r="I366" s="49" t="e">
        <v>#REF!</v>
      </c>
      <c r="J366" s="50"/>
    </row>
    <row r="367" outlineLevel="1" spans="1:10">
      <c r="A367" s="50">
        <v>304</v>
      </c>
      <c r="B367" s="51" t="str">
        <v>明沟-80厚C20砼</v>
      </c>
      <c r="C367" s="51" t="e">
        <v>#REF!</v>
      </c>
      <c r="D367" s="51" t="str">
        <v/>
      </c>
      <c r="E367" s="51" t="str">
        <v/>
      </c>
      <c r="F367" s="52" t="e">
        <v>#REF!</v>
      </c>
      <c r="G367" s="48" t="e">
        <v>#REF!</v>
      </c>
      <c r="H367" s="49">
        <v>0</v>
      </c>
      <c r="I367" s="49" t="e">
        <v>#REF!</v>
      </c>
      <c r="J367" s="50"/>
    </row>
    <row r="368" outlineLevel="1" spans="1:10">
      <c r="A368" s="50">
        <v>305</v>
      </c>
      <c r="B368" s="51" t="str">
        <v>明沟-100厚3:7灰土</v>
      </c>
      <c r="C368" s="51" t="e">
        <v>#REF!</v>
      </c>
      <c r="D368" s="51" t="str">
        <v/>
      </c>
      <c r="E368" s="51" t="str">
        <v/>
      </c>
      <c r="F368" s="52" t="e">
        <v>#REF!</v>
      </c>
      <c r="G368" s="48" t="e">
        <v>#REF!</v>
      </c>
      <c r="H368" s="49">
        <v>0</v>
      </c>
      <c r="I368" s="49" t="e">
        <v>#REF!</v>
      </c>
      <c r="J368" s="50"/>
    </row>
    <row r="369" ht="28.8" outlineLevel="1" spans="1:10">
      <c r="A369" s="50" t="str">
        <v/>
      </c>
      <c r="B369" s="51" t="str">
        <v>台阶（参12J1-155-台6，结构面交付）</v>
      </c>
      <c r="C369" s="51" t="str">
        <v/>
      </c>
      <c r="D369" s="51" t="str">
        <v/>
      </c>
      <c r="E369" s="51" t="str">
        <v/>
      </c>
      <c r="F369" s="52" t="str">
        <v/>
      </c>
      <c r="G369" s="48" t="str">
        <v/>
      </c>
      <c r="H369" s="49">
        <v>0</v>
      </c>
      <c r="I369" s="49">
        <v>0</v>
      </c>
      <c r="J369" s="50"/>
    </row>
    <row r="370" outlineLevel="1" spans="1:10">
      <c r="A370" s="50">
        <v>306</v>
      </c>
      <c r="B370" s="51" t="str">
        <v>台阶-60厚C15砼</v>
      </c>
      <c r="C370" s="51" t="e">
        <v>#REF!</v>
      </c>
      <c r="D370" s="51" t="str">
        <v/>
      </c>
      <c r="E370" s="51" t="str">
        <v/>
      </c>
      <c r="F370" s="52" t="e">
        <v>#REF!</v>
      </c>
      <c r="G370" s="48" t="e">
        <v>#REF!</v>
      </c>
      <c r="H370" s="49">
        <v>0</v>
      </c>
      <c r="I370" s="49" t="e">
        <v>#REF!</v>
      </c>
      <c r="J370" s="50"/>
    </row>
    <row r="371" outlineLevel="1" spans="1:10">
      <c r="A371" s="50">
        <v>307</v>
      </c>
      <c r="B371" s="51" t="str">
        <v>台阶-300厚3:7灰土</v>
      </c>
      <c r="C371" s="51" t="e">
        <v>#REF!</v>
      </c>
      <c r="D371" s="51" t="str">
        <v/>
      </c>
      <c r="E371" s="51" t="str">
        <v/>
      </c>
      <c r="F371" s="52" t="e">
        <v>#REF!</v>
      </c>
      <c r="G371" s="48" t="e">
        <v>#REF!</v>
      </c>
      <c r="H371" s="49">
        <v>0</v>
      </c>
      <c r="I371" s="49" t="e">
        <v>#REF!</v>
      </c>
      <c r="J371" s="50"/>
    </row>
    <row r="372" outlineLevel="1" spans="1:10">
      <c r="A372" s="50">
        <v>308</v>
      </c>
      <c r="B372" s="51" t="str">
        <v>台阶-素土夯实</v>
      </c>
      <c r="C372" s="51" t="e">
        <v>#REF!</v>
      </c>
      <c r="D372" s="51" t="str">
        <v/>
      </c>
      <c r="E372" s="51" t="str">
        <v/>
      </c>
      <c r="F372" s="52" t="e">
        <v>#REF!</v>
      </c>
      <c r="G372" s="48" t="e">
        <v>#REF!</v>
      </c>
      <c r="H372" s="49">
        <v>0</v>
      </c>
      <c r="I372" s="49" t="e">
        <v>#REF!</v>
      </c>
      <c r="J372" s="50"/>
    </row>
    <row r="373" ht="28.8" outlineLevel="1" spans="1:10">
      <c r="A373" s="50" t="str">
        <v/>
      </c>
      <c r="B373" s="51" t="str">
        <v>坡道（参12J12-25-3，结构面交付）</v>
      </c>
      <c r="C373" s="51" t="str">
        <v/>
      </c>
      <c r="D373" s="51" t="str">
        <v/>
      </c>
      <c r="E373" s="51" t="str">
        <v/>
      </c>
      <c r="F373" s="52" t="str">
        <v/>
      </c>
      <c r="G373" s="48" t="str">
        <v/>
      </c>
      <c r="H373" s="49">
        <v>0</v>
      </c>
      <c r="I373" s="49">
        <v>0</v>
      </c>
      <c r="J373" s="50"/>
    </row>
    <row r="374" outlineLevel="1" spans="1:10">
      <c r="A374" s="50">
        <v>309</v>
      </c>
      <c r="B374" s="51" t="str">
        <v>坡道-100厚C15</v>
      </c>
      <c r="C374" s="51" t="e">
        <v>#REF!</v>
      </c>
      <c r="D374" s="51" t="str">
        <v/>
      </c>
      <c r="E374" s="51" t="str">
        <v/>
      </c>
      <c r="F374" s="52" t="e">
        <v>#REF!</v>
      </c>
      <c r="G374" s="48" t="e">
        <v>#REF!</v>
      </c>
      <c r="H374" s="49">
        <v>35.54</v>
      </c>
      <c r="I374" s="49" t="e">
        <v>#REF!</v>
      </c>
      <c r="J374" s="50"/>
    </row>
    <row r="375" outlineLevel="1" spans="1:10">
      <c r="A375" s="50">
        <v>310</v>
      </c>
      <c r="B375" s="51" t="str">
        <v>坡道-300厚3:7灰土</v>
      </c>
      <c r="C375" s="51" t="e">
        <v>#REF!</v>
      </c>
      <c r="D375" s="51" t="str">
        <v/>
      </c>
      <c r="E375" s="51" t="str">
        <v/>
      </c>
      <c r="F375" s="52" t="e">
        <v>#REF!</v>
      </c>
      <c r="G375" s="48" t="e">
        <v>#REF!</v>
      </c>
      <c r="H375" s="49">
        <v>35.54</v>
      </c>
      <c r="I375" s="49" t="e">
        <v>#REF!</v>
      </c>
      <c r="J375" s="50"/>
    </row>
    <row r="376" outlineLevel="1" spans="1:10">
      <c r="A376" s="50">
        <v>311</v>
      </c>
      <c r="B376" s="51" t="str">
        <v>坡道-素土夯实</v>
      </c>
      <c r="C376" s="51" t="e">
        <v>#REF!</v>
      </c>
      <c r="D376" s="51" t="str">
        <v/>
      </c>
      <c r="E376" s="51" t="str">
        <v/>
      </c>
      <c r="F376" s="52" t="e">
        <v>#REF!</v>
      </c>
      <c r="G376" s="48" t="e">
        <v>#REF!</v>
      </c>
      <c r="H376" s="49">
        <v>35.54</v>
      </c>
      <c r="I376" s="49" t="e">
        <v>#REF!</v>
      </c>
      <c r="J376" s="50"/>
    </row>
    <row r="377" outlineLevel="1" spans="1:10">
      <c r="A377" s="50">
        <v>312</v>
      </c>
      <c r="B377" s="51" t="str">
        <v>水簸箕-C20细石砼</v>
      </c>
      <c r="C377" s="51" t="e">
        <v>#REF!</v>
      </c>
      <c r="D377" s="51" t="str">
        <v/>
      </c>
      <c r="E377" s="51" t="str">
        <v/>
      </c>
      <c r="F377" s="52" t="e">
        <v>#REF!</v>
      </c>
      <c r="G377" s="48" t="e">
        <v>#REF!</v>
      </c>
      <c r="H377" s="49">
        <v>0.12</v>
      </c>
      <c r="I377" s="49" t="e">
        <v>#REF!</v>
      </c>
      <c r="J377" s="50"/>
    </row>
    <row r="378" outlineLevel="1" spans="1:10">
      <c r="A378" s="50">
        <v>313</v>
      </c>
      <c r="B378" s="51" t="str">
        <v>卫生间排气道</v>
      </c>
      <c r="C378" s="51" t="e">
        <v>#REF!</v>
      </c>
      <c r="D378" s="51" t="str">
        <v/>
      </c>
      <c r="E378" s="51" t="str">
        <v/>
      </c>
      <c r="F378" s="52" t="e">
        <v>#REF!</v>
      </c>
      <c r="G378" s="48" t="e">
        <v>#REF!</v>
      </c>
      <c r="H378" s="49">
        <v>254.56</v>
      </c>
      <c r="I378" s="49" t="e">
        <v>#REF!</v>
      </c>
      <c r="J378" s="50"/>
    </row>
    <row r="379" outlineLevel="1" spans="1:10">
      <c r="A379" s="50">
        <v>314</v>
      </c>
      <c r="B379" s="51" t="str">
        <v>厨房排气道</v>
      </c>
      <c r="C379" s="51" t="e">
        <v>#REF!</v>
      </c>
      <c r="D379" s="51" t="str">
        <v/>
      </c>
      <c r="E379" s="51" t="str">
        <v/>
      </c>
      <c r="F379" s="52" t="e">
        <v>#REF!</v>
      </c>
      <c r="G379" s="48" t="e">
        <v>#REF!</v>
      </c>
      <c r="H379" s="49">
        <v>127.28</v>
      </c>
      <c r="I379" s="49" t="e">
        <v>#REF!</v>
      </c>
      <c r="J379" s="50"/>
    </row>
    <row r="380" outlineLevel="1" spans="1:10">
      <c r="A380" s="50" t="str">
        <v/>
      </c>
      <c r="B380" s="51" t="str">
        <v>A.03.03钢筋工程</v>
      </c>
      <c r="C380" s="51" t="str">
        <v/>
      </c>
      <c r="D380" s="51" t="str">
        <v/>
      </c>
      <c r="E380" s="51" t="str">
        <v/>
      </c>
      <c r="F380" s="52" t="str">
        <v/>
      </c>
      <c r="G380" s="48" t="str">
        <v/>
      </c>
      <c r="H380" s="49">
        <v>0</v>
      </c>
      <c r="I380" s="49" t="e">
        <v>#REF!</v>
      </c>
      <c r="J380" s="50"/>
    </row>
    <row r="381" outlineLevel="1" spans="1:10">
      <c r="A381" s="50">
        <v>315</v>
      </c>
      <c r="B381" s="51" t="str">
        <v>地上现浇构件钢筋-φ10以内</v>
      </c>
      <c r="C381" s="51" t="e">
        <v>#REF!</v>
      </c>
      <c r="D381" s="51" t="str">
        <v/>
      </c>
      <c r="E381" s="51" t="str">
        <v/>
      </c>
      <c r="F381" s="52" t="e">
        <v>#REF!</v>
      </c>
      <c r="G381" s="48" t="e">
        <v>#REF!</v>
      </c>
      <c r="H381" s="49">
        <v>0.154782879632666</v>
      </c>
      <c r="I381" s="49" t="e">
        <v>#REF!</v>
      </c>
      <c r="J381" s="50"/>
    </row>
    <row r="382" ht="28.8" outlineLevel="1" spans="1:10">
      <c r="A382" s="50">
        <v>316</v>
      </c>
      <c r="B382" s="51" t="str">
        <v>地上现浇构件钢筋-三级钢筋 Φ6</v>
      </c>
      <c r="C382" s="51" t="e">
        <v>#REF!</v>
      </c>
      <c r="D382" s="51" t="str">
        <v/>
      </c>
      <c r="E382" s="51" t="str">
        <v/>
      </c>
      <c r="F382" s="52" t="e">
        <v>#REF!</v>
      </c>
      <c r="G382" s="48" t="e">
        <v>#REF!</v>
      </c>
      <c r="H382" s="49">
        <v>0.520013493975904</v>
      </c>
      <c r="I382" s="49" t="e">
        <v>#REF!</v>
      </c>
      <c r="J382" s="50"/>
    </row>
    <row r="383" ht="28.8" outlineLevel="1" spans="1:10">
      <c r="A383" s="50">
        <v>317</v>
      </c>
      <c r="B383" s="51" t="str">
        <v>地上现浇构件钢筋-三级钢筋 Φ8</v>
      </c>
      <c r="C383" s="51" t="e">
        <v>#REF!</v>
      </c>
      <c r="D383" s="51" t="str">
        <v/>
      </c>
      <c r="E383" s="51" t="str">
        <v/>
      </c>
      <c r="F383" s="52" t="e">
        <v>#REF!</v>
      </c>
      <c r="G383" s="48" t="e">
        <v>#REF!</v>
      </c>
      <c r="H383" s="49">
        <v>1.239918200409</v>
      </c>
      <c r="I383" s="49" t="e">
        <v>#REF!</v>
      </c>
      <c r="J383" s="50"/>
    </row>
    <row r="384" ht="28.8" outlineLevel="1" spans="1:10">
      <c r="A384" s="50">
        <v>318</v>
      </c>
      <c r="B384" s="51" t="str">
        <v>地上现浇构件钢筋-三级钢筋 Φ10</v>
      </c>
      <c r="C384" s="51" t="e">
        <v>#REF!</v>
      </c>
      <c r="D384" s="51" t="str">
        <v/>
      </c>
      <c r="E384" s="51" t="str">
        <v/>
      </c>
      <c r="F384" s="52" t="e">
        <v>#REF!</v>
      </c>
      <c r="G384" s="48" t="e">
        <v>#REF!</v>
      </c>
      <c r="H384" s="49">
        <v>0.406773038842346</v>
      </c>
      <c r="I384" s="49" t="e">
        <v>#REF!</v>
      </c>
      <c r="J384" s="50"/>
    </row>
    <row r="385" ht="28.8" outlineLevel="1" spans="1:10">
      <c r="A385" s="50">
        <v>319</v>
      </c>
      <c r="B385" s="51" t="str">
        <v>地上现浇构件钢筋-三级钢筋 Φ12</v>
      </c>
      <c r="C385" s="51" t="e">
        <v>#REF!</v>
      </c>
      <c r="D385" s="51" t="str">
        <v/>
      </c>
      <c r="E385" s="51" t="str">
        <v/>
      </c>
      <c r="F385" s="52" t="e">
        <v>#REF!</v>
      </c>
      <c r="G385" s="48" t="e">
        <v>#REF!</v>
      </c>
      <c r="H385" s="49">
        <v>0</v>
      </c>
      <c r="I385" s="49" t="e">
        <v>#REF!</v>
      </c>
      <c r="J385" s="50"/>
    </row>
    <row r="386" outlineLevel="1" spans="1:10">
      <c r="A386" s="50">
        <v>320</v>
      </c>
      <c r="B386" s="51" t="str">
        <v>地上砌体加筋-三级钢筋 Φ6</v>
      </c>
      <c r="C386" s="51" t="e">
        <v>#REF!</v>
      </c>
      <c r="D386" s="51" t="str">
        <v/>
      </c>
      <c r="E386" s="51" t="str">
        <v/>
      </c>
      <c r="F386" s="52" t="e">
        <v>#REF!</v>
      </c>
      <c r="G386" s="48" t="e">
        <v>#REF!</v>
      </c>
      <c r="H386" s="49">
        <v>6.26933333333333</v>
      </c>
      <c r="I386" s="49" t="e">
        <v>#REF!</v>
      </c>
      <c r="J386" s="50"/>
    </row>
    <row r="387" ht="28.8" outlineLevel="1" spans="1:10">
      <c r="A387" s="50">
        <v>321</v>
      </c>
      <c r="B387" s="51" t="str">
        <v>地上现浇构件钢筋-三级钢筋 Φ20</v>
      </c>
      <c r="C387" s="51" t="e">
        <v>#REF!</v>
      </c>
      <c r="D387" s="51" t="str">
        <v/>
      </c>
      <c r="E387" s="51" t="str">
        <v/>
      </c>
      <c r="F387" s="52" t="e">
        <v>#REF!</v>
      </c>
      <c r="G387" s="48" t="e">
        <v>#REF!</v>
      </c>
      <c r="H387" s="49">
        <v>0</v>
      </c>
      <c r="I387" s="49" t="e">
        <v>#REF!</v>
      </c>
      <c r="J387" s="50"/>
    </row>
    <row r="388" outlineLevel="1" spans="1:10">
      <c r="A388" s="50" t="str">
        <v/>
      </c>
      <c r="B388" s="51" t="str">
        <v>A.03.04金属工程</v>
      </c>
      <c r="C388" s="51" t="str">
        <v/>
      </c>
      <c r="D388" s="51" t="str">
        <v/>
      </c>
      <c r="E388" s="51" t="str">
        <v/>
      </c>
      <c r="F388" s="52" t="str">
        <v/>
      </c>
      <c r="G388" s="48" t="str">
        <v/>
      </c>
      <c r="H388" s="49">
        <v>0</v>
      </c>
      <c r="I388" s="49" t="e">
        <v>#REF!</v>
      </c>
      <c r="J388" s="50"/>
    </row>
    <row r="389" outlineLevel="1" spans="1:10">
      <c r="A389" s="50">
        <v>322</v>
      </c>
      <c r="B389" s="51" t="str">
        <v>钢爬梯-屋面检修</v>
      </c>
      <c r="C389" s="51" t="e">
        <v>#REF!</v>
      </c>
      <c r="D389" s="51" t="str">
        <v/>
      </c>
      <c r="E389" s="51" t="str">
        <v/>
      </c>
      <c r="F389" s="52" t="e">
        <v>#REF!</v>
      </c>
      <c r="G389" s="48" t="e">
        <v>#REF!</v>
      </c>
      <c r="H389" s="49">
        <v>0.0262156978624974</v>
      </c>
      <c r="I389" s="49" t="e">
        <v>#REF!</v>
      </c>
      <c r="J389" s="50"/>
    </row>
    <row r="390" outlineLevel="1" spans="1:10">
      <c r="A390" s="50">
        <v>323</v>
      </c>
      <c r="B390" s="51" t="str">
        <v>机房钢梯</v>
      </c>
      <c r="C390" s="51" t="e">
        <v>#REF!</v>
      </c>
      <c r="D390" s="51" t="str">
        <v/>
      </c>
      <c r="E390" s="51" t="str">
        <v/>
      </c>
      <c r="F390" s="52" t="e">
        <v>#REF!</v>
      </c>
      <c r="G390" s="48" t="e">
        <v>#REF!</v>
      </c>
      <c r="H390" s="49">
        <v>1</v>
      </c>
      <c r="I390" s="49" t="e">
        <v>#REF!</v>
      </c>
      <c r="J390" s="50"/>
    </row>
    <row r="391" ht="28.8" outlineLevel="1" spans="1:10">
      <c r="A391" s="50">
        <v>324</v>
      </c>
      <c r="B391" s="51" t="str">
        <v>不同材质墙体交接处挂钢丝网</v>
      </c>
      <c r="C391" s="51" t="e">
        <v>#REF!</v>
      </c>
      <c r="D391" s="51" t="str">
        <v/>
      </c>
      <c r="E391" s="51" t="str">
        <v/>
      </c>
      <c r="F391" s="52" t="e">
        <v>#REF!</v>
      </c>
      <c r="G391" s="48" t="e">
        <v>#REF!</v>
      </c>
      <c r="H391" s="49">
        <v>2698.592</v>
      </c>
      <c r="I391" s="49" t="e">
        <v>#REF!</v>
      </c>
      <c r="J391" s="50"/>
    </row>
    <row r="392" outlineLevel="1" spans="1:10">
      <c r="A392" s="50">
        <v>325</v>
      </c>
      <c r="B392" s="51" t="str">
        <v>砌块墙钢丝网满挂</v>
      </c>
      <c r="C392" s="51" t="e">
        <v>#REF!</v>
      </c>
      <c r="D392" s="51" t="str">
        <v/>
      </c>
      <c r="E392" s="51" t="str">
        <v/>
      </c>
      <c r="F392" s="52" t="e">
        <v>#REF!</v>
      </c>
      <c r="G392" s="48" t="e">
        <v>#REF!</v>
      </c>
      <c r="H392" s="49">
        <v>0</v>
      </c>
      <c r="I392" s="49" t="e">
        <v>#REF!</v>
      </c>
      <c r="J392" s="50"/>
    </row>
    <row r="393" outlineLevel="1" spans="1:10">
      <c r="A393" s="50">
        <v>326</v>
      </c>
      <c r="B393" s="51" t="str">
        <v>预埋铁件</v>
      </c>
      <c r="C393" s="51" t="e">
        <v>#REF!</v>
      </c>
      <c r="D393" s="51" t="str">
        <v/>
      </c>
      <c r="E393" s="51" t="str">
        <v/>
      </c>
      <c r="F393" s="52" t="e">
        <v>#REF!</v>
      </c>
      <c r="G393" s="48" t="e">
        <v>#REF!</v>
      </c>
      <c r="H393" s="49">
        <v>0</v>
      </c>
      <c r="I393" s="49" t="e">
        <v>#REF!</v>
      </c>
      <c r="J393" s="50"/>
    </row>
    <row r="394" outlineLevel="1" spans="1:10">
      <c r="A394" s="50" t="str">
        <v/>
      </c>
      <c r="B394" s="51" t="str">
        <v>A.04隔热防水工程</v>
      </c>
      <c r="C394" s="51" t="str">
        <v/>
      </c>
      <c r="D394" s="51" t="str">
        <v/>
      </c>
      <c r="E394" s="51" t="str">
        <v/>
      </c>
      <c r="F394" s="52" t="str">
        <v/>
      </c>
      <c r="G394" s="48" t="str">
        <v/>
      </c>
      <c r="H394" s="49">
        <v>0</v>
      </c>
      <c r="I394" s="49" t="e">
        <v>#REF!</v>
      </c>
      <c r="J394" s="50"/>
    </row>
    <row r="395" outlineLevel="1" spans="1:10">
      <c r="A395" s="50" t="str">
        <v/>
      </c>
      <c r="B395" s="51" t="str">
        <v>A.04.02屋面与防水工程</v>
      </c>
      <c r="C395" s="51" t="str">
        <v/>
      </c>
      <c r="D395" s="51" t="str">
        <v/>
      </c>
      <c r="E395" s="51" t="str">
        <v/>
      </c>
      <c r="F395" s="52" t="str">
        <v/>
      </c>
      <c r="G395" s="48" t="str">
        <v/>
      </c>
      <c r="H395" s="49">
        <v>0</v>
      </c>
      <c r="I395" s="49" t="e">
        <v>#REF!</v>
      </c>
      <c r="J395" s="50"/>
    </row>
    <row r="396" outlineLevel="1" spans="1:10">
      <c r="A396" s="50" t="str">
        <v/>
      </c>
      <c r="B396" s="51" t="str">
        <v>住宅上人屋面</v>
      </c>
      <c r="C396" s="51" t="str">
        <v/>
      </c>
      <c r="D396" s="51" t="str">
        <v/>
      </c>
      <c r="E396" s="51" t="str">
        <v/>
      </c>
      <c r="F396" s="52" t="str">
        <v/>
      </c>
      <c r="G396" s="48" t="str">
        <v/>
      </c>
      <c r="H396" s="49">
        <v>0</v>
      </c>
      <c r="I396" s="49">
        <v>0</v>
      </c>
      <c r="J396" s="50"/>
    </row>
    <row r="397" outlineLevel="1" spans="1:10">
      <c r="A397" s="50">
        <v>327</v>
      </c>
      <c r="B397" s="51" t="str">
        <v>屋面-40厚C20细石砼</v>
      </c>
      <c r="C397" s="51" t="e">
        <v>#REF!</v>
      </c>
      <c r="D397" s="51" t="str">
        <v/>
      </c>
      <c r="E397" s="51" t="str">
        <v/>
      </c>
      <c r="F397" s="52" t="e">
        <v>#REF!</v>
      </c>
      <c r="G397" s="48" t="e">
        <v>#REF!</v>
      </c>
      <c r="H397" s="49">
        <v>1</v>
      </c>
      <c r="I397" s="49" t="e">
        <v>#REF!</v>
      </c>
      <c r="J397" s="50"/>
    </row>
    <row r="398" outlineLevel="1" spans="1:10">
      <c r="A398" s="50">
        <v>328</v>
      </c>
      <c r="B398" s="51" t="str">
        <v>屋面-φ4@200钢筋网</v>
      </c>
      <c r="C398" s="51" t="e">
        <v>#REF!</v>
      </c>
      <c r="D398" s="51" t="str">
        <v/>
      </c>
      <c r="E398" s="51" t="str">
        <v/>
      </c>
      <c r="F398" s="52" t="e">
        <v>#REF!</v>
      </c>
      <c r="G398" s="48" t="e">
        <v>#REF!</v>
      </c>
      <c r="H398" s="49">
        <v>1</v>
      </c>
      <c r="I398" s="49" t="e">
        <v>#REF!</v>
      </c>
      <c r="J398" s="50"/>
    </row>
    <row r="399" outlineLevel="1" spans="1:10">
      <c r="A399" s="50">
        <v>329</v>
      </c>
      <c r="B399" s="51" t="str">
        <v>屋面-土工布</v>
      </c>
      <c r="C399" s="51" t="e">
        <v>#REF!</v>
      </c>
      <c r="D399" s="51" t="str">
        <v/>
      </c>
      <c r="E399" s="51" t="str">
        <v/>
      </c>
      <c r="F399" s="52" t="e">
        <v>#REF!</v>
      </c>
      <c r="G399" s="48" t="e">
        <v>#REF!</v>
      </c>
      <c r="H399" s="49">
        <v>1</v>
      </c>
      <c r="I399" s="49" t="e">
        <v>#REF!</v>
      </c>
      <c r="J399" s="50"/>
    </row>
    <row r="400" outlineLevel="1" spans="1:10">
      <c r="A400" s="50">
        <v>330</v>
      </c>
      <c r="B400" s="51" t="str">
        <v>屋面-3+3SBS</v>
      </c>
      <c r="C400" s="51" t="e">
        <v>#REF!</v>
      </c>
      <c r="D400" s="51" t="str">
        <v/>
      </c>
      <c r="E400" s="51" t="str">
        <v/>
      </c>
      <c r="F400" s="52" t="e">
        <v>#REF!</v>
      </c>
      <c r="G400" s="48" t="e">
        <v>#REF!</v>
      </c>
      <c r="H400" s="49">
        <v>1</v>
      </c>
      <c r="I400" s="49" t="e">
        <v>#REF!</v>
      </c>
      <c r="J400" s="50"/>
    </row>
    <row r="401" outlineLevel="1" spans="1:10">
      <c r="A401" s="50">
        <v>331</v>
      </c>
      <c r="B401" s="51" t="str">
        <v>屋面-30厚C20细石砼</v>
      </c>
      <c r="C401" s="51" t="e">
        <v>#REF!</v>
      </c>
      <c r="D401" s="51" t="str">
        <v>屋面</v>
      </c>
      <c r="E401" s="51" t="str">
        <v>屋面</v>
      </c>
      <c r="F401" s="52" t="e">
        <v>#REF!</v>
      </c>
      <c r="G401" s="48" t="e">
        <v>#REF!</v>
      </c>
      <c r="H401" s="49">
        <v>1</v>
      </c>
      <c r="I401" s="49" t="e">
        <v>#REF!</v>
      </c>
      <c r="J401" s="50"/>
    </row>
    <row r="402" outlineLevel="1" spans="1:10">
      <c r="A402" s="50">
        <v>332</v>
      </c>
      <c r="B402" s="51" t="str">
        <v>屋面-最薄处30厚焦渣找坡</v>
      </c>
      <c r="C402" s="51" t="e">
        <v>#REF!</v>
      </c>
      <c r="D402" s="51" t="str">
        <v/>
      </c>
      <c r="E402" s="51" t="str">
        <v/>
      </c>
      <c r="F402" s="52" t="e">
        <v>#REF!</v>
      </c>
      <c r="G402" s="48" t="e">
        <v>#REF!</v>
      </c>
      <c r="H402" s="49">
        <v>1</v>
      </c>
      <c r="I402" s="49" t="e">
        <v>#REF!</v>
      </c>
      <c r="J402" s="50"/>
    </row>
    <row r="403" outlineLevel="1" spans="1:10">
      <c r="A403" s="50">
        <v>333</v>
      </c>
      <c r="B403" s="51" t="str">
        <v>屋面-110厚XPS</v>
      </c>
      <c r="C403" s="51" t="e">
        <v>#REF!</v>
      </c>
      <c r="D403" s="51" t="str">
        <v/>
      </c>
      <c r="E403" s="51" t="str">
        <v/>
      </c>
      <c r="F403" s="52" t="e">
        <v>#REF!</v>
      </c>
      <c r="G403" s="48" t="e">
        <v>#REF!</v>
      </c>
      <c r="H403" s="49">
        <v>0</v>
      </c>
      <c r="I403" s="49" t="e">
        <v>#REF!</v>
      </c>
      <c r="J403" s="50"/>
    </row>
    <row r="404" outlineLevel="1" spans="1:10">
      <c r="A404" s="50">
        <v>334</v>
      </c>
      <c r="B404" s="51" t="str">
        <v>屋面-190厚EPS</v>
      </c>
      <c r="C404" s="51" t="e">
        <v>#REF!</v>
      </c>
      <c r="D404" s="51" t="str">
        <v/>
      </c>
      <c r="E404" s="51" t="str">
        <v/>
      </c>
      <c r="F404" s="52" t="e">
        <v>#REF!</v>
      </c>
      <c r="G404" s="48" t="e">
        <v>#REF!</v>
      </c>
      <c r="H404" s="49">
        <v>1</v>
      </c>
      <c r="I404" s="49" t="e">
        <v>#REF!</v>
      </c>
      <c r="J404" s="50"/>
    </row>
    <row r="405" outlineLevel="1" spans="1:10">
      <c r="A405" s="50" t="str">
        <v/>
      </c>
      <c r="B405" s="51" t="str">
        <v>被动式住宅屋面</v>
      </c>
      <c r="C405" s="51" t="str">
        <v/>
      </c>
      <c r="D405" s="51" t="str">
        <v/>
      </c>
      <c r="E405" s="51" t="str">
        <v/>
      </c>
      <c r="F405" s="52" t="str">
        <v/>
      </c>
      <c r="G405" s="48" t="str">
        <v/>
      </c>
      <c r="H405" s="49">
        <v>0</v>
      </c>
      <c r="I405" s="49">
        <v>0</v>
      </c>
      <c r="J405" s="50"/>
    </row>
    <row r="406" outlineLevel="1" spans="1:10">
      <c r="A406" s="50">
        <v>335</v>
      </c>
      <c r="B406" s="51" t="str">
        <v>屋面-40厚C20细石砼</v>
      </c>
      <c r="C406" s="51" t="e">
        <v>#REF!</v>
      </c>
      <c r="D406" s="51" t="str">
        <v/>
      </c>
      <c r="E406" s="51" t="str">
        <v/>
      </c>
      <c r="F406" s="52" t="e">
        <v>#REF!</v>
      </c>
      <c r="G406" s="48" t="e">
        <v>#REF!</v>
      </c>
      <c r="H406" s="49">
        <v>585.41</v>
      </c>
      <c r="I406" s="49" t="e">
        <v>#REF!</v>
      </c>
      <c r="J406" s="50"/>
    </row>
    <row r="407" outlineLevel="1" spans="1:10">
      <c r="A407" s="50">
        <v>336</v>
      </c>
      <c r="B407" s="51" t="str">
        <v>屋面-φ4@200钢筋网</v>
      </c>
      <c r="C407" s="51" t="e">
        <v>#REF!</v>
      </c>
      <c r="D407" s="51" t="str">
        <v/>
      </c>
      <c r="E407" s="51" t="str">
        <v/>
      </c>
      <c r="F407" s="52" t="e">
        <v>#REF!</v>
      </c>
      <c r="G407" s="48" t="e">
        <v>#REF!</v>
      </c>
      <c r="H407" s="49">
        <v>585.41</v>
      </c>
      <c r="I407" s="49" t="e">
        <v>#REF!</v>
      </c>
      <c r="J407" s="50"/>
    </row>
    <row r="408" outlineLevel="1" spans="1:10">
      <c r="A408" s="50">
        <v>337</v>
      </c>
      <c r="B408" s="51" t="str">
        <v>屋面-M7.5水泥砂浆</v>
      </c>
      <c r="C408" s="51" t="e">
        <v>#REF!</v>
      </c>
      <c r="D408" s="51" t="str">
        <v/>
      </c>
      <c r="E408" s="51" t="str">
        <v/>
      </c>
      <c r="F408" s="52" t="e">
        <v>#REF!</v>
      </c>
      <c r="G408" s="48" t="e">
        <v>#REF!</v>
      </c>
      <c r="H408" s="49">
        <v>585.41</v>
      </c>
      <c r="I408" s="49" t="e">
        <v>#REF!</v>
      </c>
      <c r="J408" s="50"/>
    </row>
    <row r="409" ht="28.8" outlineLevel="1" spans="1:10">
      <c r="A409" s="50">
        <v>338</v>
      </c>
      <c r="B409" s="51" t="str">
        <v>屋面-4厚PE玻纤加强聚酯胎卷材</v>
      </c>
      <c r="C409" s="51" t="e">
        <v>#REF!</v>
      </c>
      <c r="D409" s="51" t="str">
        <v/>
      </c>
      <c r="E409" s="51" t="str">
        <v/>
      </c>
      <c r="F409" s="52" t="e">
        <v>#REF!</v>
      </c>
      <c r="G409" s="48" t="e">
        <v>#REF!</v>
      </c>
      <c r="H409" s="49">
        <v>585.41</v>
      </c>
      <c r="I409" s="49" t="e">
        <v>#REF!</v>
      </c>
      <c r="J409" s="50"/>
    </row>
    <row r="410" outlineLevel="1" spans="1:10">
      <c r="A410" s="50">
        <v>339</v>
      </c>
      <c r="B410" s="51" t="str">
        <v>屋面-3厚PE玻纤胎卷材</v>
      </c>
      <c r="C410" s="51" t="e">
        <v>#REF!</v>
      </c>
      <c r="D410" s="51" t="str">
        <v/>
      </c>
      <c r="E410" s="51" t="str">
        <v/>
      </c>
      <c r="F410" s="52" t="e">
        <v>#REF!</v>
      </c>
      <c r="G410" s="48" t="e">
        <v>#REF!</v>
      </c>
      <c r="H410" s="49">
        <v>585.41</v>
      </c>
      <c r="I410" s="49" t="e">
        <v>#REF!</v>
      </c>
      <c r="J410" s="50"/>
    </row>
    <row r="411" outlineLevel="1" spans="1:10">
      <c r="A411" s="50">
        <v>340</v>
      </c>
      <c r="B411" s="51" t="str">
        <v>屋面-250厚石墨聚苯板</v>
      </c>
      <c r="C411" s="51" t="e">
        <v>#REF!</v>
      </c>
      <c r="D411" s="51" t="str">
        <v/>
      </c>
      <c r="E411" s="51" t="str">
        <v/>
      </c>
      <c r="F411" s="52" t="e">
        <v>#REF!</v>
      </c>
      <c r="G411" s="48" t="e">
        <v>#REF!</v>
      </c>
      <c r="H411" s="49">
        <v>585.41</v>
      </c>
      <c r="I411" s="49" t="e">
        <v>#REF!</v>
      </c>
      <c r="J411" s="50"/>
    </row>
    <row r="412" outlineLevel="1" spans="1:10">
      <c r="A412" s="50">
        <v>341</v>
      </c>
      <c r="B412" s="51" t="str">
        <v>屋面-1.2铝箔面玻纤胎卷材</v>
      </c>
      <c r="C412" s="51" t="e">
        <v>#REF!</v>
      </c>
      <c r="D412" s="51" t="str">
        <v/>
      </c>
      <c r="E412" s="51" t="str">
        <v/>
      </c>
      <c r="F412" s="52" t="e">
        <v>#REF!</v>
      </c>
      <c r="G412" s="48" t="e">
        <v>#REF!</v>
      </c>
      <c r="H412" s="49">
        <v>585.41</v>
      </c>
      <c r="I412" s="49" t="e">
        <v>#REF!</v>
      </c>
      <c r="J412" s="50"/>
    </row>
    <row r="413" outlineLevel="1" spans="1:10">
      <c r="A413" s="50">
        <v>342</v>
      </c>
      <c r="B413" s="51" t="str">
        <v>屋面-30厚C20细石砼找坡</v>
      </c>
      <c r="C413" s="51" t="e">
        <v>#REF!</v>
      </c>
      <c r="D413" s="51" t="str">
        <v/>
      </c>
      <c r="E413" s="51" t="str">
        <v/>
      </c>
      <c r="F413" s="52" t="e">
        <v>#REF!</v>
      </c>
      <c r="G413" s="48" t="e">
        <v>#REF!</v>
      </c>
      <c r="H413" s="49">
        <v>585.41</v>
      </c>
      <c r="I413" s="49" t="e">
        <v>#REF!</v>
      </c>
      <c r="J413" s="50"/>
    </row>
    <row r="414" ht="28.8" outlineLevel="1" spans="1:10">
      <c r="A414" s="50" t="str">
        <v/>
      </c>
      <c r="B414" s="51" t="str">
        <v>住宅非上人屋面（楼梯间.门厅.水箱间等）</v>
      </c>
      <c r="C414" s="51" t="str">
        <v/>
      </c>
      <c r="D414" s="51" t="str">
        <v/>
      </c>
      <c r="E414" s="51" t="str">
        <v/>
      </c>
      <c r="F414" s="52" t="str">
        <v/>
      </c>
      <c r="G414" s="48" t="str">
        <v/>
      </c>
      <c r="H414" s="49">
        <v>0</v>
      </c>
      <c r="I414" s="49">
        <v>0</v>
      </c>
      <c r="J414" s="50"/>
    </row>
    <row r="415" ht="28.8" outlineLevel="1" spans="1:10">
      <c r="A415" s="50">
        <v>343</v>
      </c>
      <c r="B415" s="51" t="str">
        <v>屋面-20厚M15水泥砂浆保护层</v>
      </c>
      <c r="C415" s="51" t="e">
        <v>#REF!</v>
      </c>
      <c r="D415" s="51" t="str">
        <v/>
      </c>
      <c r="E415" s="51" t="str">
        <v/>
      </c>
      <c r="F415" s="52" t="e">
        <v>#REF!</v>
      </c>
      <c r="G415" s="48" t="e">
        <v>#REF!</v>
      </c>
      <c r="H415" s="49">
        <v>85.67</v>
      </c>
      <c r="I415" s="49" t="e">
        <v>#REF!</v>
      </c>
      <c r="J415" s="50"/>
    </row>
    <row r="416" outlineLevel="1" spans="1:10">
      <c r="A416" s="50">
        <v>344</v>
      </c>
      <c r="B416" s="51" t="str">
        <v>屋面-土工布</v>
      </c>
      <c r="C416" s="51" t="e">
        <v>#REF!</v>
      </c>
      <c r="D416" s="51" t="str">
        <v/>
      </c>
      <c r="E416" s="51" t="str">
        <v/>
      </c>
      <c r="F416" s="52" t="e">
        <v>#REF!</v>
      </c>
      <c r="G416" s="48" t="e">
        <v>#REF!</v>
      </c>
      <c r="H416" s="49">
        <v>85.67</v>
      </c>
      <c r="I416" s="49" t="e">
        <v>#REF!</v>
      </c>
      <c r="J416" s="50"/>
    </row>
    <row r="417" outlineLevel="1" spans="1:10">
      <c r="A417" s="50">
        <v>345</v>
      </c>
      <c r="B417" s="51" t="str">
        <v>屋面-3+3SBS</v>
      </c>
      <c r="C417" s="51" t="e">
        <v>#REF!</v>
      </c>
      <c r="D417" s="51" t="str">
        <v/>
      </c>
      <c r="E417" s="51" t="str">
        <v/>
      </c>
      <c r="F417" s="52" t="e">
        <v>#REF!</v>
      </c>
      <c r="G417" s="48" t="e">
        <v>#REF!</v>
      </c>
      <c r="H417" s="49">
        <v>85.67</v>
      </c>
      <c r="I417" s="49" t="e">
        <v>#REF!</v>
      </c>
      <c r="J417" s="50"/>
    </row>
    <row r="418" outlineLevel="1" spans="1:10">
      <c r="A418" s="50">
        <v>346</v>
      </c>
      <c r="B418" s="51" t="str">
        <v>屋面-30厚C20细石砼</v>
      </c>
      <c r="C418" s="51" t="e">
        <v>#REF!</v>
      </c>
      <c r="D418" s="51" t="str">
        <v/>
      </c>
      <c r="E418" s="51" t="str">
        <v/>
      </c>
      <c r="F418" s="52" t="e">
        <v>#REF!</v>
      </c>
      <c r="G418" s="48" t="e">
        <v>#REF!</v>
      </c>
      <c r="H418" s="49">
        <v>85.67</v>
      </c>
      <c r="I418" s="49" t="e">
        <v>#REF!</v>
      </c>
      <c r="J418" s="50"/>
    </row>
    <row r="419" outlineLevel="1" spans="1:10">
      <c r="A419" s="50">
        <v>347</v>
      </c>
      <c r="B419" s="51" t="str">
        <v>屋面-最薄处30厚焦渣找坡</v>
      </c>
      <c r="C419" s="51" t="e">
        <v>#REF!</v>
      </c>
      <c r="D419" s="51" t="str">
        <v/>
      </c>
      <c r="E419" s="51" t="str">
        <v/>
      </c>
      <c r="F419" s="52" t="e">
        <v>#REF!</v>
      </c>
      <c r="G419" s="48" t="e">
        <v>#REF!</v>
      </c>
      <c r="H419" s="49">
        <v>85.67</v>
      </c>
      <c r="I419" s="49" t="e">
        <v>#REF!</v>
      </c>
      <c r="J419" s="50"/>
    </row>
    <row r="420" outlineLevel="1" spans="1:10">
      <c r="A420" s="50">
        <v>348</v>
      </c>
      <c r="B420" s="51" t="str">
        <v>屋面-110厚XPS</v>
      </c>
      <c r="C420" s="51" t="e">
        <v>#REF!</v>
      </c>
      <c r="D420" s="51" t="str">
        <v/>
      </c>
      <c r="E420" s="51" t="str">
        <v/>
      </c>
      <c r="F420" s="52" t="e">
        <v>#REF!</v>
      </c>
      <c r="G420" s="48" t="e">
        <v>#REF!</v>
      </c>
      <c r="H420" s="49">
        <v>0</v>
      </c>
      <c r="I420" s="49" t="e">
        <v>#REF!</v>
      </c>
      <c r="J420" s="50"/>
    </row>
    <row r="421" outlineLevel="1" spans="1:10">
      <c r="A421" s="50">
        <v>349</v>
      </c>
      <c r="B421" s="51" t="str">
        <v>屋面-190厚EPS</v>
      </c>
      <c r="C421" s="51" t="e">
        <v>#REF!</v>
      </c>
      <c r="D421" s="51" t="str">
        <v/>
      </c>
      <c r="E421" s="51" t="str">
        <v/>
      </c>
      <c r="F421" s="52" t="e">
        <v>#REF!</v>
      </c>
      <c r="G421" s="48" t="e">
        <v>#REF!</v>
      </c>
      <c r="H421" s="49">
        <v>85.67</v>
      </c>
      <c r="I421" s="49" t="e">
        <v>#REF!</v>
      </c>
      <c r="J421" s="50"/>
    </row>
    <row r="422" ht="28.8" outlineLevel="1" spans="1:10">
      <c r="A422" s="50" t="str">
        <v/>
      </c>
      <c r="B422" s="51" t="str">
        <v>住宅非上人屋面（楼梯间.门厅.水箱间等）与主楼相连</v>
      </c>
      <c r="C422" s="51" t="str">
        <v/>
      </c>
      <c r="D422" s="51" t="str">
        <v/>
      </c>
      <c r="E422" s="51" t="str">
        <v/>
      </c>
      <c r="F422" s="52" t="str">
        <v/>
      </c>
      <c r="G422" s="48" t="str">
        <v/>
      </c>
      <c r="H422" s="49">
        <v>0</v>
      </c>
      <c r="I422" s="49">
        <v>0</v>
      </c>
      <c r="J422" s="50"/>
    </row>
    <row r="423" ht="28.8" outlineLevel="1" spans="1:10">
      <c r="A423" s="50">
        <v>350</v>
      </c>
      <c r="B423" s="51" t="str">
        <v>屋面-20厚M15水泥砂浆保护层</v>
      </c>
      <c r="C423" s="51" t="e">
        <v>#REF!</v>
      </c>
      <c r="D423" s="51" t="str">
        <v/>
      </c>
      <c r="E423" s="51" t="str">
        <v/>
      </c>
      <c r="F423" s="52" t="e">
        <v>#REF!</v>
      </c>
      <c r="G423" s="48" t="e">
        <v>#REF!</v>
      </c>
      <c r="H423" s="49">
        <v>1</v>
      </c>
      <c r="I423" s="49" t="e">
        <v>#REF!</v>
      </c>
      <c r="J423" s="50"/>
    </row>
    <row r="424" outlineLevel="1" spans="1:10">
      <c r="A424" s="50">
        <v>351</v>
      </c>
      <c r="B424" s="51" t="str">
        <v>屋面-土工布</v>
      </c>
      <c r="C424" s="51" t="e">
        <v>#REF!</v>
      </c>
      <c r="D424" s="51" t="str">
        <v/>
      </c>
      <c r="E424" s="51" t="str">
        <v/>
      </c>
      <c r="F424" s="52" t="e">
        <v>#REF!</v>
      </c>
      <c r="G424" s="48" t="e">
        <v>#REF!</v>
      </c>
      <c r="H424" s="49">
        <v>1</v>
      </c>
      <c r="I424" s="49" t="e">
        <v>#REF!</v>
      </c>
      <c r="J424" s="50"/>
    </row>
    <row r="425" outlineLevel="1" spans="1:10">
      <c r="A425" s="50">
        <v>352</v>
      </c>
      <c r="B425" s="51" t="str">
        <v>屋面-4厚SBS</v>
      </c>
      <c r="C425" s="51" t="e">
        <v>#REF!</v>
      </c>
      <c r="D425" s="51" t="str">
        <v/>
      </c>
      <c r="E425" s="51" t="str">
        <v/>
      </c>
      <c r="F425" s="52" t="e">
        <v>#REF!</v>
      </c>
      <c r="G425" s="48" t="e">
        <v>#REF!</v>
      </c>
      <c r="H425" s="49">
        <v>1</v>
      </c>
      <c r="I425" s="49" t="e">
        <v>#REF!</v>
      </c>
      <c r="J425" s="50"/>
    </row>
    <row r="426" outlineLevel="1" spans="1:10">
      <c r="A426" s="50">
        <v>353</v>
      </c>
      <c r="B426" s="51" t="str">
        <v>屋面-30厚C20细石砼</v>
      </c>
      <c r="C426" s="51" t="e">
        <v>#REF!</v>
      </c>
      <c r="D426" s="51" t="str">
        <v/>
      </c>
      <c r="E426" s="51" t="str">
        <v/>
      </c>
      <c r="F426" s="52" t="e">
        <v>#REF!</v>
      </c>
      <c r="G426" s="48" t="e">
        <v>#REF!</v>
      </c>
      <c r="H426" s="49">
        <v>1</v>
      </c>
      <c r="I426" s="49" t="e">
        <v>#REF!</v>
      </c>
      <c r="J426" s="50"/>
    </row>
    <row r="427" outlineLevel="1" spans="1:10">
      <c r="A427" s="50">
        <v>354</v>
      </c>
      <c r="B427" s="51" t="str">
        <v>屋面-最薄处30厚焦渣找坡</v>
      </c>
      <c r="C427" s="51" t="e">
        <v>#REF!</v>
      </c>
      <c r="D427" s="51" t="str">
        <v/>
      </c>
      <c r="E427" s="51" t="str">
        <v/>
      </c>
      <c r="F427" s="52" t="e">
        <v>#REF!</v>
      </c>
      <c r="G427" s="48" t="e">
        <v>#REF!</v>
      </c>
      <c r="H427" s="49">
        <v>1</v>
      </c>
      <c r="I427" s="49" t="e">
        <v>#REF!</v>
      </c>
      <c r="J427" s="50"/>
    </row>
    <row r="428" outlineLevel="1" spans="1:10">
      <c r="A428" s="50">
        <v>355</v>
      </c>
      <c r="B428" s="51" t="str">
        <v>屋面-190厚EPS</v>
      </c>
      <c r="C428" s="51" t="e">
        <v>#REF!</v>
      </c>
      <c r="D428" s="51" t="str">
        <v/>
      </c>
      <c r="E428" s="51" t="str">
        <v/>
      </c>
      <c r="F428" s="52" t="e">
        <v>#REF!</v>
      </c>
      <c r="G428" s="48" t="e">
        <v>#REF!</v>
      </c>
      <c r="H428" s="49">
        <v>1</v>
      </c>
      <c r="I428" s="49" t="e">
        <v>#REF!</v>
      </c>
      <c r="J428" s="50"/>
    </row>
    <row r="429" ht="28.8" outlineLevel="1" spans="1:10">
      <c r="A429" s="50" t="str">
        <v/>
      </c>
      <c r="B429" s="51" t="str">
        <v>住宅非上人屋面（楼梯间.门厅.水箱间等）不与主楼相连</v>
      </c>
      <c r="C429" s="51" t="str">
        <v/>
      </c>
      <c r="D429" s="51" t="str">
        <v/>
      </c>
      <c r="E429" s="51" t="str">
        <v/>
      </c>
      <c r="F429" s="52" t="str">
        <v/>
      </c>
      <c r="G429" s="48" t="str">
        <v/>
      </c>
      <c r="H429" s="49">
        <v>0</v>
      </c>
      <c r="I429" s="49">
        <v>0</v>
      </c>
      <c r="J429" s="50"/>
    </row>
    <row r="430" ht="28.8" outlineLevel="1" spans="1:10">
      <c r="A430" s="50">
        <v>356</v>
      </c>
      <c r="B430" s="51" t="str">
        <v>屋面-20厚M15水泥砂浆保护层</v>
      </c>
      <c r="C430" s="51" t="e">
        <v>#REF!</v>
      </c>
      <c r="D430" s="51" t="str">
        <v/>
      </c>
      <c r="E430" s="51" t="str">
        <v/>
      </c>
      <c r="F430" s="52" t="e">
        <v>#REF!</v>
      </c>
      <c r="G430" s="48" t="e">
        <v>#REF!</v>
      </c>
      <c r="H430" s="49">
        <v>1</v>
      </c>
      <c r="I430" s="49" t="e">
        <v>#REF!</v>
      </c>
      <c r="J430" s="50"/>
    </row>
    <row r="431" outlineLevel="1" spans="1:10">
      <c r="A431" s="50">
        <v>357</v>
      </c>
      <c r="B431" s="51" t="str">
        <v>屋面-土工布</v>
      </c>
      <c r="C431" s="51" t="e">
        <v>#REF!</v>
      </c>
      <c r="D431" s="51" t="str">
        <v/>
      </c>
      <c r="E431" s="51" t="str">
        <v/>
      </c>
      <c r="F431" s="52" t="e">
        <v>#REF!</v>
      </c>
      <c r="G431" s="48" t="e">
        <v>#REF!</v>
      </c>
      <c r="H431" s="49">
        <v>1</v>
      </c>
      <c r="I431" s="49" t="e">
        <v>#REF!</v>
      </c>
      <c r="J431" s="50"/>
    </row>
    <row r="432" outlineLevel="1" spans="1:10">
      <c r="A432" s="50">
        <v>358</v>
      </c>
      <c r="B432" s="51" t="str">
        <v>屋面-4厚SBS</v>
      </c>
      <c r="C432" s="51" t="e">
        <v>#REF!</v>
      </c>
      <c r="D432" s="51" t="str">
        <v/>
      </c>
      <c r="E432" s="51" t="str">
        <v/>
      </c>
      <c r="F432" s="52" t="e">
        <v>#REF!</v>
      </c>
      <c r="G432" s="48" t="e">
        <v>#REF!</v>
      </c>
      <c r="H432" s="49">
        <v>1</v>
      </c>
      <c r="I432" s="49" t="e">
        <v>#REF!</v>
      </c>
      <c r="J432" s="50"/>
    </row>
    <row r="433" outlineLevel="1" spans="1:10">
      <c r="A433" s="50">
        <v>359</v>
      </c>
      <c r="B433" s="51" t="str">
        <v>屋面-30厚C20细石砼</v>
      </c>
      <c r="C433" s="51" t="e">
        <v>#REF!</v>
      </c>
      <c r="D433" s="51" t="str">
        <v/>
      </c>
      <c r="E433" s="51" t="str">
        <v/>
      </c>
      <c r="F433" s="52" t="e">
        <v>#REF!</v>
      </c>
      <c r="G433" s="48" t="e">
        <v>#REF!</v>
      </c>
      <c r="H433" s="49">
        <v>1</v>
      </c>
      <c r="I433" s="49" t="e">
        <v>#REF!</v>
      </c>
      <c r="J433" s="50"/>
    </row>
    <row r="434" outlineLevel="1" spans="1:10">
      <c r="A434" s="50">
        <v>360</v>
      </c>
      <c r="B434" s="51" t="str">
        <v>屋面-最薄处30厚焦渣找坡</v>
      </c>
      <c r="C434" s="51" t="e">
        <v>#REF!</v>
      </c>
      <c r="D434" s="51" t="str">
        <v/>
      </c>
      <c r="E434" s="51" t="str">
        <v/>
      </c>
      <c r="F434" s="52" t="e">
        <v>#REF!</v>
      </c>
      <c r="G434" s="48" t="e">
        <v>#REF!</v>
      </c>
      <c r="H434" s="49">
        <v>1</v>
      </c>
      <c r="I434" s="49" t="e">
        <v>#REF!</v>
      </c>
      <c r="J434" s="50"/>
    </row>
    <row r="435" outlineLevel="1" spans="1:10">
      <c r="A435" s="50" t="str">
        <v/>
      </c>
      <c r="B435" s="51" t="str">
        <v>住宅屋面挑檐</v>
      </c>
      <c r="C435" s="51" t="str">
        <v/>
      </c>
      <c r="D435" s="51" t="str">
        <v/>
      </c>
      <c r="E435" s="51" t="str">
        <v/>
      </c>
      <c r="F435" s="52" t="str">
        <v/>
      </c>
      <c r="G435" s="48" t="str">
        <v/>
      </c>
      <c r="H435" s="49">
        <v>0</v>
      </c>
      <c r="I435" s="49">
        <v>0</v>
      </c>
      <c r="J435" s="50"/>
    </row>
    <row r="436" ht="28.8" outlineLevel="1" spans="1:10">
      <c r="A436" s="50">
        <v>361</v>
      </c>
      <c r="B436" s="51" t="str">
        <v>屋面-20厚M15水泥砂浆保护层</v>
      </c>
      <c r="C436" s="51" t="e">
        <v>#REF!</v>
      </c>
      <c r="D436" s="51" t="str">
        <v/>
      </c>
      <c r="E436" s="51" t="str">
        <v/>
      </c>
      <c r="F436" s="52" t="e">
        <v>#REF!</v>
      </c>
      <c r="G436" s="48" t="e">
        <v>#REF!</v>
      </c>
      <c r="H436" s="49">
        <v>1</v>
      </c>
      <c r="I436" s="49" t="e">
        <v>#REF!</v>
      </c>
      <c r="J436" s="50"/>
    </row>
    <row r="437" outlineLevel="1" spans="1:10">
      <c r="A437" s="50">
        <v>362</v>
      </c>
      <c r="B437" s="51" t="str">
        <v>屋面-土工布</v>
      </c>
      <c r="C437" s="51" t="e">
        <v>#REF!</v>
      </c>
      <c r="D437" s="51" t="str">
        <v/>
      </c>
      <c r="E437" s="51" t="str">
        <v/>
      </c>
      <c r="F437" s="52" t="e">
        <v>#REF!</v>
      </c>
      <c r="G437" s="48" t="e">
        <v>#REF!</v>
      </c>
      <c r="H437" s="49">
        <v>1</v>
      </c>
      <c r="I437" s="49" t="e">
        <v>#REF!</v>
      </c>
      <c r="J437" s="50"/>
    </row>
    <row r="438" outlineLevel="1" spans="1:10">
      <c r="A438" s="50">
        <v>363</v>
      </c>
      <c r="B438" s="51" t="str">
        <v>屋面-4厚SBS</v>
      </c>
      <c r="C438" s="51" t="e">
        <v>#REF!</v>
      </c>
      <c r="D438" s="51" t="str">
        <v/>
      </c>
      <c r="E438" s="51" t="str">
        <v/>
      </c>
      <c r="F438" s="52" t="e">
        <v>#REF!</v>
      </c>
      <c r="G438" s="48" t="e">
        <v>#REF!</v>
      </c>
      <c r="H438" s="49">
        <v>1</v>
      </c>
      <c r="I438" s="49" t="e">
        <v>#REF!</v>
      </c>
      <c r="J438" s="50"/>
    </row>
    <row r="439" outlineLevel="1" spans="1:10">
      <c r="A439" s="50">
        <v>364</v>
      </c>
      <c r="B439" s="51" t="str">
        <v>屋面-20厚M20水泥砂浆找坡</v>
      </c>
      <c r="C439" s="51" t="e">
        <v>#REF!</v>
      </c>
      <c r="D439" s="51" t="str">
        <v/>
      </c>
      <c r="E439" s="51" t="str">
        <v/>
      </c>
      <c r="F439" s="52" t="e">
        <v>#REF!</v>
      </c>
      <c r="G439" s="48" t="e">
        <v>#REF!</v>
      </c>
      <c r="H439" s="49">
        <v>1</v>
      </c>
      <c r="I439" s="49" t="e">
        <v>#REF!</v>
      </c>
      <c r="J439" s="50"/>
    </row>
    <row r="440" outlineLevel="1" spans="1:10">
      <c r="A440" s="50" t="str">
        <v/>
      </c>
      <c r="B440" s="51" t="str">
        <v>住宅坡屋面</v>
      </c>
      <c r="C440" s="51" t="str">
        <v/>
      </c>
      <c r="D440" s="51" t="str">
        <v/>
      </c>
      <c r="E440" s="51" t="str">
        <v/>
      </c>
      <c r="F440" s="52" t="str">
        <v/>
      </c>
      <c r="G440" s="48" t="str">
        <v/>
      </c>
      <c r="H440" s="49">
        <v>0</v>
      </c>
      <c r="I440" s="49">
        <v>0</v>
      </c>
      <c r="J440" s="50"/>
    </row>
    <row r="441" outlineLevel="1" spans="1:10">
      <c r="A441" s="50">
        <v>365</v>
      </c>
      <c r="B441" s="51" t="str">
        <v>屋面-45厚C20细石砼</v>
      </c>
      <c r="C441" s="51" t="e">
        <v>#REF!</v>
      </c>
      <c r="D441" s="51" t="str">
        <v/>
      </c>
      <c r="E441" s="51" t="str">
        <v/>
      </c>
      <c r="F441" s="52" t="e">
        <v>#REF!</v>
      </c>
      <c r="G441" s="48" t="e">
        <v>#REF!</v>
      </c>
      <c r="H441" s="49">
        <v>1</v>
      </c>
      <c r="I441" s="49" t="e">
        <v>#REF!</v>
      </c>
      <c r="J441" s="50"/>
    </row>
    <row r="442" outlineLevel="1" spans="1:10">
      <c r="A442" s="50">
        <v>366</v>
      </c>
      <c r="B442" s="51" t="str">
        <v>屋面-φ4@200钢筋网</v>
      </c>
      <c r="C442" s="51" t="e">
        <v>#REF!</v>
      </c>
      <c r="D442" s="51" t="str">
        <v/>
      </c>
      <c r="E442" s="51" t="str">
        <v/>
      </c>
      <c r="F442" s="52" t="e">
        <v>#REF!</v>
      </c>
      <c r="G442" s="48" t="e">
        <v>#REF!</v>
      </c>
      <c r="H442" s="49">
        <v>1</v>
      </c>
      <c r="I442" s="49" t="e">
        <v>#REF!</v>
      </c>
      <c r="J442" s="50"/>
    </row>
    <row r="443" outlineLevel="1" spans="1:10">
      <c r="A443" s="50">
        <v>367</v>
      </c>
      <c r="B443" s="51" t="str">
        <v>屋面-土工布</v>
      </c>
      <c r="C443" s="51" t="e">
        <v>#REF!</v>
      </c>
      <c r="D443" s="51" t="str">
        <v/>
      </c>
      <c r="E443" s="51" t="str">
        <v/>
      </c>
      <c r="F443" s="52" t="e">
        <v>#REF!</v>
      </c>
      <c r="G443" s="48" t="e">
        <v>#REF!</v>
      </c>
      <c r="H443" s="49">
        <v>1</v>
      </c>
      <c r="I443" s="49" t="e">
        <v>#REF!</v>
      </c>
      <c r="J443" s="50"/>
    </row>
    <row r="444" outlineLevel="1" spans="1:10">
      <c r="A444" s="50">
        <v>368</v>
      </c>
      <c r="B444" s="51" t="str">
        <v>屋面-4厚SBS</v>
      </c>
      <c r="C444" s="51" t="e">
        <v>#REF!</v>
      </c>
      <c r="D444" s="51" t="str">
        <v/>
      </c>
      <c r="E444" s="51" t="str">
        <v/>
      </c>
      <c r="F444" s="52" t="e">
        <v>#REF!</v>
      </c>
      <c r="G444" s="48" t="e">
        <v>#REF!</v>
      </c>
      <c r="H444" s="49">
        <v>1</v>
      </c>
      <c r="I444" s="49" t="e">
        <v>#REF!</v>
      </c>
      <c r="J444" s="50"/>
    </row>
    <row r="445" outlineLevel="1" spans="1:10">
      <c r="A445" s="50">
        <v>369</v>
      </c>
      <c r="B445" s="51" t="str">
        <v>屋面-30厚C20细石砼</v>
      </c>
      <c r="C445" s="51" t="e">
        <v>#REF!</v>
      </c>
      <c r="D445" s="51" t="str">
        <v/>
      </c>
      <c r="E445" s="51" t="str">
        <v/>
      </c>
      <c r="F445" s="52" t="e">
        <v>#REF!</v>
      </c>
      <c r="G445" s="48" t="e">
        <v>#REF!</v>
      </c>
      <c r="H445" s="49">
        <v>1</v>
      </c>
      <c r="I445" s="49" t="e">
        <v>#REF!</v>
      </c>
      <c r="J445" s="50"/>
    </row>
    <row r="446" outlineLevel="1" spans="1:10">
      <c r="A446" s="50">
        <v>370</v>
      </c>
      <c r="B446" s="51" t="str">
        <v>屋面-190厚EPS聚苯板</v>
      </c>
      <c r="C446" s="51" t="e">
        <v>#REF!</v>
      </c>
      <c r="D446" s="51" t="str">
        <v/>
      </c>
      <c r="E446" s="51" t="str">
        <v/>
      </c>
      <c r="F446" s="52" t="e">
        <v>#REF!</v>
      </c>
      <c r="G446" s="48" t="e">
        <v>#REF!</v>
      </c>
      <c r="H446" s="49">
        <v>1</v>
      </c>
      <c r="I446" s="49" t="e">
        <v>#REF!</v>
      </c>
      <c r="J446" s="50"/>
    </row>
    <row r="447" outlineLevel="1" spans="1:10">
      <c r="A447" s="50" t="str">
        <v/>
      </c>
      <c r="B447" s="51" t="str">
        <v>住宅坡女儿墙（法式）</v>
      </c>
      <c r="C447" s="51" t="str">
        <v/>
      </c>
      <c r="D447" s="51" t="str">
        <v/>
      </c>
      <c r="E447" s="51" t="str">
        <v/>
      </c>
      <c r="F447" s="52" t="str">
        <v/>
      </c>
      <c r="G447" s="48" t="str">
        <v/>
      </c>
      <c r="H447" s="49">
        <v>0</v>
      </c>
      <c r="I447" s="49">
        <v>0</v>
      </c>
      <c r="J447" s="50"/>
    </row>
    <row r="448" outlineLevel="1" spans="1:10">
      <c r="A448" s="50">
        <v>371</v>
      </c>
      <c r="B448" s="51" t="str">
        <v>屋面-屋面瓦</v>
      </c>
      <c r="C448" s="51" t="e">
        <v>#REF!</v>
      </c>
      <c r="D448" s="51" t="str">
        <v/>
      </c>
      <c r="E448" s="51" t="str">
        <v/>
      </c>
      <c r="F448" s="52" t="e">
        <v>#REF!</v>
      </c>
      <c r="G448" s="48" t="e">
        <v>#REF!</v>
      </c>
      <c r="H448" s="49">
        <v>278.88</v>
      </c>
      <c r="I448" s="49" t="e">
        <v>#REF!</v>
      </c>
      <c r="J448" s="50"/>
    </row>
    <row r="449" outlineLevel="1" spans="1:10">
      <c r="A449" s="50">
        <v>372</v>
      </c>
      <c r="B449" s="51" t="str">
        <v>屋面-20厚无机保温砂浆I型</v>
      </c>
      <c r="C449" s="51" t="e">
        <v>#REF!</v>
      </c>
      <c r="D449" s="51" t="str">
        <v/>
      </c>
      <c r="E449" s="51" t="str">
        <v/>
      </c>
      <c r="F449" s="52" t="e">
        <v>#REF!</v>
      </c>
      <c r="G449" s="48" t="e">
        <v>#REF!</v>
      </c>
      <c r="H449" s="49">
        <v>278.88</v>
      </c>
      <c r="I449" s="49" t="e">
        <v>#REF!</v>
      </c>
      <c r="J449" s="50"/>
    </row>
    <row r="450" outlineLevel="1" spans="1:10">
      <c r="A450" s="50">
        <v>373</v>
      </c>
      <c r="B450" s="51" t="str">
        <v>屋面-风井窗井</v>
      </c>
      <c r="C450" s="51" t="e">
        <v>#REF!</v>
      </c>
      <c r="D450" s="51" t="str">
        <v/>
      </c>
      <c r="E450" s="51" t="str">
        <v/>
      </c>
      <c r="F450" s="52" t="e">
        <v>#REF!</v>
      </c>
      <c r="G450" s="48" t="e">
        <v>#REF!</v>
      </c>
      <c r="H450" s="49">
        <v>1</v>
      </c>
      <c r="I450" s="49" t="e">
        <v>#REF!</v>
      </c>
      <c r="J450" s="50"/>
    </row>
    <row r="451" outlineLevel="1" spans="1:10">
      <c r="A451" s="50">
        <v>374</v>
      </c>
      <c r="B451" s="51" t="str">
        <v>屋面-雨棚上</v>
      </c>
      <c r="C451" s="51" t="e">
        <v>#REF!</v>
      </c>
      <c r="D451" s="51" t="str">
        <v/>
      </c>
      <c r="E451" s="51" t="str">
        <v/>
      </c>
      <c r="F451" s="52" t="e">
        <v>#REF!</v>
      </c>
      <c r="G451" s="48" t="e">
        <v>#REF!</v>
      </c>
      <c r="H451" s="49">
        <v>1</v>
      </c>
      <c r="I451" s="49" t="e">
        <v>#REF!</v>
      </c>
      <c r="J451" s="50"/>
    </row>
    <row r="452" outlineLevel="1" spans="1:10">
      <c r="A452" s="50">
        <v>375</v>
      </c>
      <c r="B452" s="51" t="str">
        <v>墙面防水-墙基防潮层</v>
      </c>
      <c r="C452" s="51" t="e">
        <v>#REF!</v>
      </c>
      <c r="D452" s="51" t="str">
        <v/>
      </c>
      <c r="E452" s="51" t="str">
        <v/>
      </c>
      <c r="F452" s="52" t="e">
        <v>#REF!</v>
      </c>
      <c r="G452" s="48" t="e">
        <v>#REF!</v>
      </c>
      <c r="H452" s="49">
        <v>1</v>
      </c>
      <c r="I452" s="49" t="e">
        <v>#REF!</v>
      </c>
      <c r="J452" s="50"/>
    </row>
    <row r="453" outlineLevel="1" spans="1:10">
      <c r="A453" s="50">
        <v>376</v>
      </c>
      <c r="B453" s="51" t="str">
        <v>屋面-出屋面风道保温</v>
      </c>
      <c r="C453" s="51" t="e">
        <v>#REF!</v>
      </c>
      <c r="D453" s="51" t="str">
        <v/>
      </c>
      <c r="E453" s="51" t="str">
        <v/>
      </c>
      <c r="F453" s="52" t="e">
        <v>#REF!</v>
      </c>
      <c r="G453" s="48" t="e">
        <v>#REF!</v>
      </c>
      <c r="H453" s="49">
        <v>1</v>
      </c>
      <c r="I453" s="49" t="e">
        <v>#REF!</v>
      </c>
      <c r="J453" s="50"/>
    </row>
    <row r="454" outlineLevel="1" spans="1:10">
      <c r="A454" s="50" t="str">
        <v/>
      </c>
      <c r="B454" s="51" t="str">
        <v>后贴保温层</v>
      </c>
      <c r="C454" s="51" t="str">
        <v/>
      </c>
      <c r="D454" s="51" t="str">
        <v/>
      </c>
      <c r="E454" s="51" t="str">
        <v/>
      </c>
      <c r="F454" s="52" t="str">
        <v/>
      </c>
      <c r="G454" s="48" t="str">
        <v/>
      </c>
      <c r="H454" s="49">
        <v>0</v>
      </c>
      <c r="I454" s="49">
        <v>0</v>
      </c>
      <c r="J454" s="50"/>
    </row>
    <row r="455" outlineLevel="1" spans="1:10">
      <c r="A455" s="50">
        <v>377</v>
      </c>
      <c r="B455" s="51" t="str">
        <v>外墙面-180厚XPS</v>
      </c>
      <c r="C455" s="51" t="e">
        <v>#REF!</v>
      </c>
      <c r="D455" s="51" t="str">
        <v/>
      </c>
      <c r="E455" s="51" t="str">
        <v/>
      </c>
      <c r="F455" s="52" t="e">
        <v>#REF!</v>
      </c>
      <c r="G455" s="48" t="e">
        <v>#REF!</v>
      </c>
      <c r="H455" s="49">
        <v>0</v>
      </c>
      <c r="I455" s="49" t="e">
        <v>#REF!</v>
      </c>
      <c r="J455" s="50"/>
    </row>
    <row r="456" outlineLevel="1" spans="1:10">
      <c r="A456" s="50">
        <v>378</v>
      </c>
      <c r="B456" s="51" t="str">
        <v>外墙面-3厚抗裂砂浆</v>
      </c>
      <c r="C456" s="51" t="e">
        <v>#REF!</v>
      </c>
      <c r="D456" s="51" t="str">
        <v/>
      </c>
      <c r="E456" s="51" t="str">
        <v/>
      </c>
      <c r="F456" s="52" t="e">
        <v>#REF!</v>
      </c>
      <c r="G456" s="48" t="e">
        <v>#REF!</v>
      </c>
      <c r="H456" s="49">
        <v>0</v>
      </c>
      <c r="I456" s="49" t="e">
        <v>#REF!</v>
      </c>
      <c r="J456" s="50"/>
    </row>
    <row r="457" outlineLevel="1" spans="1:10">
      <c r="A457" s="50">
        <v>379</v>
      </c>
      <c r="B457" s="51" t="str">
        <v>外墙面-网格布</v>
      </c>
      <c r="C457" s="51" t="e">
        <v>#REF!</v>
      </c>
      <c r="D457" s="51" t="str">
        <v/>
      </c>
      <c r="E457" s="51" t="str">
        <v/>
      </c>
      <c r="F457" s="52" t="e">
        <v>#REF!</v>
      </c>
      <c r="G457" s="48" t="e">
        <v>#REF!</v>
      </c>
      <c r="H457" s="49">
        <v>0</v>
      </c>
      <c r="I457" s="49" t="e">
        <v>#REF!</v>
      </c>
      <c r="J457" s="50"/>
    </row>
    <row r="458" outlineLevel="1" spans="1:10">
      <c r="A458" s="50">
        <v>380</v>
      </c>
      <c r="B458" s="51" t="str">
        <v>屋面-Φ110UPVC雨水管</v>
      </c>
      <c r="C458" s="51" t="e">
        <v>#REF!</v>
      </c>
      <c r="D458" s="51" t="str">
        <v/>
      </c>
      <c r="E458" s="51" t="str">
        <v/>
      </c>
      <c r="F458" s="52" t="e">
        <v>#REF!</v>
      </c>
      <c r="G458" s="48" t="e">
        <v>#REF!</v>
      </c>
      <c r="H458" s="49">
        <v>377.2</v>
      </c>
      <c r="I458" s="49" t="e">
        <v>#REF!</v>
      </c>
      <c r="J458" s="50"/>
    </row>
    <row r="459" outlineLevel="1" spans="1:10">
      <c r="A459" s="50">
        <v>381</v>
      </c>
      <c r="B459" s="51" t="str">
        <v>屋面-Φ50泄水口</v>
      </c>
      <c r="C459" s="51" t="e">
        <v>#REF!</v>
      </c>
      <c r="D459" s="51" t="str">
        <v/>
      </c>
      <c r="E459" s="51" t="str">
        <v/>
      </c>
      <c r="F459" s="52" t="e">
        <v>#REF!</v>
      </c>
      <c r="G459" s="48" t="e">
        <v>#REF!</v>
      </c>
      <c r="H459" s="49">
        <v>16</v>
      </c>
      <c r="I459" s="49" t="e">
        <v>#REF!</v>
      </c>
      <c r="J459" s="50"/>
    </row>
    <row r="460" outlineLevel="1" spans="1:10">
      <c r="A460" s="50">
        <v>382</v>
      </c>
      <c r="B460" s="51" t="str">
        <v>外墙（屋面）面-变形缝</v>
      </c>
      <c r="C460" s="51" t="e">
        <v>#REF!</v>
      </c>
      <c r="D460" s="51" t="str">
        <v/>
      </c>
      <c r="E460" s="51" t="str">
        <v/>
      </c>
      <c r="F460" s="52" t="e">
        <v>#REF!</v>
      </c>
      <c r="G460" s="48" t="e">
        <v>#REF!</v>
      </c>
      <c r="H460" s="49">
        <v>71.12</v>
      </c>
      <c r="I460" s="49" t="e">
        <v>#REF!</v>
      </c>
      <c r="J460" s="50"/>
    </row>
    <row r="461" outlineLevel="1" spans="1:10">
      <c r="A461" s="50" t="str">
        <v/>
      </c>
      <c r="B461" s="51" t="str">
        <v>A.04.03保温一体化工程</v>
      </c>
      <c r="C461" s="51" t="str">
        <v/>
      </c>
      <c r="D461" s="51" t="str">
        <v/>
      </c>
      <c r="E461" s="51" t="str">
        <v/>
      </c>
      <c r="F461" s="52" t="str">
        <v/>
      </c>
      <c r="G461" s="48" t="str">
        <v/>
      </c>
      <c r="H461" s="49">
        <v>0</v>
      </c>
      <c r="I461" s="49" t="e">
        <v>#REF!</v>
      </c>
      <c r="J461" s="50"/>
    </row>
    <row r="462" ht="28.8" outlineLevel="1" spans="1:10">
      <c r="A462" s="50">
        <v>383</v>
      </c>
      <c r="B462" s="51" t="str">
        <v>130厚轻质发泡复合保温板-浇筑施工</v>
      </c>
      <c r="C462" s="51" t="e">
        <v>#REF!</v>
      </c>
      <c r="D462" s="51" t="str">
        <v/>
      </c>
      <c r="E462" s="51" t="str">
        <v/>
      </c>
      <c r="F462" s="52" t="e">
        <v>#REF!</v>
      </c>
      <c r="G462" s="48" t="e">
        <v>#REF!</v>
      </c>
      <c r="H462" s="49">
        <v>1</v>
      </c>
      <c r="I462" s="49" t="e">
        <v>#REF!</v>
      </c>
      <c r="J462" s="50"/>
    </row>
    <row r="463" ht="28.8" outlineLevel="1" spans="1:10">
      <c r="A463" s="50">
        <v>384</v>
      </c>
      <c r="B463" s="51" t="str">
        <v>130厚轻质发泡复合保温板-后贴施工</v>
      </c>
      <c r="C463" s="51" t="e">
        <v>#REF!</v>
      </c>
      <c r="D463" s="51" t="str">
        <v/>
      </c>
      <c r="E463" s="51" t="str">
        <v/>
      </c>
      <c r="F463" s="52" t="e">
        <v>#REF!</v>
      </c>
      <c r="G463" s="48" t="e">
        <v>#REF!</v>
      </c>
      <c r="H463" s="49">
        <v>1</v>
      </c>
      <c r="I463" s="49" t="e">
        <v>#REF!</v>
      </c>
      <c r="J463" s="50"/>
    </row>
    <row r="464" ht="28.8" outlineLevel="1" spans="1:10">
      <c r="A464" s="50">
        <v>385</v>
      </c>
      <c r="B464" s="51" t="str">
        <v>120厚轻质发泡复合保温板-浇筑施工</v>
      </c>
      <c r="C464" s="51" t="e">
        <v>#REF!</v>
      </c>
      <c r="D464" s="51" t="str">
        <v/>
      </c>
      <c r="E464" s="51" t="str">
        <v/>
      </c>
      <c r="F464" s="52" t="e">
        <v>#REF!</v>
      </c>
      <c r="G464" s="48" t="e">
        <v>#REF!</v>
      </c>
      <c r="H464" s="49">
        <v>1</v>
      </c>
      <c r="I464" s="49" t="e">
        <v>#REF!</v>
      </c>
      <c r="J464" s="50"/>
    </row>
    <row r="465" ht="28.8" outlineLevel="1" spans="1:10">
      <c r="A465" s="50">
        <v>386</v>
      </c>
      <c r="B465" s="51" t="str">
        <v>120厚轻质发泡复合保温板-后贴施工</v>
      </c>
      <c r="C465" s="51" t="e">
        <v>#REF!</v>
      </c>
      <c r="D465" s="51" t="str">
        <v/>
      </c>
      <c r="E465" s="51" t="str">
        <v/>
      </c>
      <c r="F465" s="52" t="e">
        <v>#REF!</v>
      </c>
      <c r="G465" s="48" t="e">
        <v>#REF!</v>
      </c>
      <c r="H465" s="49">
        <v>1</v>
      </c>
      <c r="I465" s="49" t="e">
        <v>#REF!</v>
      </c>
      <c r="J465" s="50"/>
    </row>
    <row r="466" ht="28.8" outlineLevel="1" spans="1:10">
      <c r="A466" s="50">
        <v>387</v>
      </c>
      <c r="B466" s="51" t="str">
        <v>110厚轻质发泡复合保温板-浇筑施工</v>
      </c>
      <c r="C466" s="51" t="e">
        <v>#REF!</v>
      </c>
      <c r="D466" s="51" t="str">
        <v/>
      </c>
      <c r="E466" s="51" t="str">
        <v/>
      </c>
      <c r="F466" s="52" t="e">
        <v>#REF!</v>
      </c>
      <c r="G466" s="48" t="e">
        <v>#REF!</v>
      </c>
      <c r="H466" s="49">
        <v>1</v>
      </c>
      <c r="I466" s="49" t="e">
        <v>#REF!</v>
      </c>
      <c r="J466" s="50"/>
    </row>
    <row r="467" ht="28.8" outlineLevel="1" spans="1:10">
      <c r="A467" s="50">
        <v>388</v>
      </c>
      <c r="B467" s="51" t="str">
        <v>110厚轻质发泡复合保温板-后贴施工</v>
      </c>
      <c r="C467" s="51" t="e">
        <v>#REF!</v>
      </c>
      <c r="D467" s="51" t="str">
        <v/>
      </c>
      <c r="E467" s="51" t="str">
        <v/>
      </c>
      <c r="F467" s="52" t="e">
        <v>#REF!</v>
      </c>
      <c r="G467" s="48" t="e">
        <v>#REF!</v>
      </c>
      <c r="H467" s="49">
        <v>1</v>
      </c>
      <c r="I467" s="49" t="e">
        <v>#REF!</v>
      </c>
      <c r="J467" s="50"/>
    </row>
    <row r="468" ht="28.8" outlineLevel="1" spans="1:10">
      <c r="A468" s="50">
        <v>389</v>
      </c>
      <c r="B468" s="51" t="str">
        <v>100厚轻质发泡复合保温板-浇筑施工</v>
      </c>
      <c r="C468" s="51" t="e">
        <v>#REF!</v>
      </c>
      <c r="D468" s="51" t="str">
        <v/>
      </c>
      <c r="E468" s="51" t="str">
        <v/>
      </c>
      <c r="F468" s="52" t="e">
        <v>#REF!</v>
      </c>
      <c r="G468" s="48" t="e">
        <v>#REF!</v>
      </c>
      <c r="H468" s="49">
        <v>1</v>
      </c>
      <c r="I468" s="49" t="e">
        <v>#REF!</v>
      </c>
      <c r="J468" s="50"/>
    </row>
    <row r="469" ht="28.8" outlineLevel="1" spans="1:10">
      <c r="A469" s="50">
        <v>390</v>
      </c>
      <c r="B469" s="51" t="str">
        <v>100厚轻质发泡复合保温板-后贴施工</v>
      </c>
      <c r="C469" s="51" t="e">
        <v>#REF!</v>
      </c>
      <c r="D469" s="51" t="str">
        <v/>
      </c>
      <c r="E469" s="51" t="str">
        <v/>
      </c>
      <c r="F469" s="52" t="e">
        <v>#REF!</v>
      </c>
      <c r="G469" s="48" t="e">
        <v>#REF!</v>
      </c>
      <c r="H469" s="49">
        <v>1</v>
      </c>
      <c r="I469" s="49" t="e">
        <v>#REF!</v>
      </c>
      <c r="J469" s="50"/>
    </row>
    <row r="470" ht="28.8" outlineLevel="1" spans="1:10">
      <c r="A470" s="50">
        <v>391</v>
      </c>
      <c r="B470" s="51" t="str">
        <v>90厚轻质发泡复合保温板-浇筑施工</v>
      </c>
      <c r="C470" s="51" t="e">
        <v>#REF!</v>
      </c>
      <c r="D470" s="51" t="str">
        <v/>
      </c>
      <c r="E470" s="51" t="str">
        <v/>
      </c>
      <c r="F470" s="52" t="e">
        <v>#REF!</v>
      </c>
      <c r="G470" s="48" t="e">
        <v>#REF!</v>
      </c>
      <c r="H470" s="49">
        <v>1</v>
      </c>
      <c r="I470" s="49" t="e">
        <v>#REF!</v>
      </c>
      <c r="J470" s="50"/>
    </row>
    <row r="471" ht="28.8" outlineLevel="1" spans="1:10">
      <c r="A471" s="50">
        <v>392</v>
      </c>
      <c r="B471" s="51" t="str">
        <v>90厚轻质发泡复合保温板后贴施工</v>
      </c>
      <c r="C471" s="51" t="e">
        <v>#REF!</v>
      </c>
      <c r="D471" s="51" t="str">
        <v/>
      </c>
      <c r="E471" s="51" t="str">
        <v/>
      </c>
      <c r="F471" s="52" t="e">
        <v>#REF!</v>
      </c>
      <c r="G471" s="48" t="e">
        <v>#REF!</v>
      </c>
      <c r="H471" s="49">
        <v>1</v>
      </c>
      <c r="I471" s="49" t="e">
        <v>#REF!</v>
      </c>
      <c r="J471" s="50"/>
    </row>
    <row r="472" ht="28.8" outlineLevel="1" spans="1:10">
      <c r="A472" s="50">
        <v>393</v>
      </c>
      <c r="B472" s="51" t="str">
        <v>80厚轻质发泡复合保温板-浇筑施工</v>
      </c>
      <c r="C472" s="51" t="e">
        <v>#REF!</v>
      </c>
      <c r="D472" s="51" t="str">
        <v/>
      </c>
      <c r="E472" s="51" t="str">
        <v/>
      </c>
      <c r="F472" s="52" t="e">
        <v>#REF!</v>
      </c>
      <c r="G472" s="48" t="e">
        <v>#REF!</v>
      </c>
      <c r="H472" s="49">
        <v>1</v>
      </c>
      <c r="I472" s="49" t="e">
        <v>#REF!</v>
      </c>
      <c r="J472" s="50"/>
    </row>
    <row r="473" ht="28.8" outlineLevel="1" spans="1:10">
      <c r="A473" s="50">
        <v>394</v>
      </c>
      <c r="B473" s="51" t="str">
        <v>80厚轻质发泡复合保温板-后贴施工</v>
      </c>
      <c r="C473" s="51" t="e">
        <v>#REF!</v>
      </c>
      <c r="D473" s="51" t="str">
        <v/>
      </c>
      <c r="E473" s="51" t="str">
        <v/>
      </c>
      <c r="F473" s="52" t="e">
        <v>#REF!</v>
      </c>
      <c r="G473" s="48" t="e">
        <v>#REF!</v>
      </c>
      <c r="H473" s="49">
        <v>1</v>
      </c>
      <c r="I473" s="49" t="e">
        <v>#REF!</v>
      </c>
      <c r="J473" s="50"/>
    </row>
    <row r="474" ht="28.8" outlineLevel="1" spans="1:10">
      <c r="A474" s="50">
        <v>395</v>
      </c>
      <c r="B474" s="51" t="str">
        <v>70厚轻质发泡复合保温板-浇筑施工</v>
      </c>
      <c r="C474" s="51" t="e">
        <v>#REF!</v>
      </c>
      <c r="D474" s="51" t="str">
        <v/>
      </c>
      <c r="E474" s="51" t="str">
        <v/>
      </c>
      <c r="F474" s="52" t="e">
        <v>#REF!</v>
      </c>
      <c r="G474" s="48" t="e">
        <v>#REF!</v>
      </c>
      <c r="H474" s="49">
        <v>1</v>
      </c>
      <c r="I474" s="49" t="e">
        <v>#REF!</v>
      </c>
      <c r="J474" s="50"/>
    </row>
    <row r="475" ht="28.8" outlineLevel="1" spans="1:10">
      <c r="A475" s="50">
        <v>396</v>
      </c>
      <c r="B475" s="51" t="str">
        <v>70厚轻质发泡复合保温板-后贴施工</v>
      </c>
      <c r="C475" s="51" t="e">
        <v>#REF!</v>
      </c>
      <c r="D475" s="51" t="str">
        <v/>
      </c>
      <c r="E475" s="51" t="str">
        <v/>
      </c>
      <c r="F475" s="52" t="e">
        <v>#REF!</v>
      </c>
      <c r="G475" s="48" t="e">
        <v>#REF!</v>
      </c>
      <c r="H475" s="49">
        <v>1</v>
      </c>
      <c r="I475" s="49" t="e">
        <v>#REF!</v>
      </c>
      <c r="J475" s="50"/>
    </row>
    <row r="476" outlineLevel="1" spans="1:10">
      <c r="A476" s="50" t="str">
        <v/>
      </c>
      <c r="B476" s="51" t="str">
        <v>保温隔热墙面（被动式）</v>
      </c>
      <c r="C476" s="51" t="str">
        <v/>
      </c>
      <c r="D476" s="51" t="str">
        <v/>
      </c>
      <c r="E476" s="51" t="str">
        <v/>
      </c>
      <c r="F476" s="52" t="str">
        <v/>
      </c>
      <c r="G476" s="48" t="str">
        <v/>
      </c>
      <c r="H476" s="49">
        <v>0</v>
      </c>
      <c r="I476" s="49">
        <v>0</v>
      </c>
      <c r="J476" s="50"/>
    </row>
    <row r="477" outlineLevel="1" spans="1:10">
      <c r="A477" s="50">
        <v>397</v>
      </c>
      <c r="B477" s="51" t="str">
        <v>外墙保温-260厚石墨聚苯板</v>
      </c>
      <c r="C477" s="51" t="e">
        <v>#REF!</v>
      </c>
      <c r="D477" s="51" t="str">
        <v/>
      </c>
      <c r="E477" s="51" t="str">
        <v/>
      </c>
      <c r="F477" s="52" t="e">
        <v>#REF!</v>
      </c>
      <c r="G477" s="48" t="e">
        <v>#REF!</v>
      </c>
      <c r="H477" s="49">
        <v>4821.3555</v>
      </c>
      <c r="I477" s="49" t="e">
        <v>#REF!</v>
      </c>
      <c r="J477" s="50"/>
    </row>
    <row r="478" outlineLevel="1" spans="1:10">
      <c r="A478" s="50">
        <v>398</v>
      </c>
      <c r="B478" s="51" t="str">
        <v>外墙保温-界面修补</v>
      </c>
      <c r="C478" s="51" t="e">
        <v>#REF!</v>
      </c>
      <c r="D478" s="51" t="str">
        <v/>
      </c>
      <c r="E478" s="51" t="str">
        <v/>
      </c>
      <c r="F478" s="52" t="e">
        <v>#REF!</v>
      </c>
      <c r="G478" s="48" t="e">
        <v>#REF!</v>
      </c>
      <c r="H478" s="49">
        <v>4821.3555</v>
      </c>
      <c r="I478" s="49" t="e">
        <v>#REF!</v>
      </c>
      <c r="J478" s="50"/>
    </row>
    <row r="479" ht="28.8" outlineLevel="1" spans="1:10">
      <c r="A479" s="50">
        <v>399</v>
      </c>
      <c r="B479" s="51" t="str">
        <v>外墙保温-5厚干粉聚合物砂浆</v>
      </c>
      <c r="C479" s="51" t="e">
        <v>#REF!</v>
      </c>
      <c r="D479" s="51" t="str">
        <v/>
      </c>
      <c r="E479" s="51" t="str">
        <v/>
      </c>
      <c r="F479" s="52" t="e">
        <v>#REF!</v>
      </c>
      <c r="G479" s="48" t="e">
        <v>#REF!</v>
      </c>
      <c r="H479" s="49">
        <v>4821.3555</v>
      </c>
      <c r="I479" s="49" t="e">
        <v>#REF!</v>
      </c>
      <c r="J479" s="50"/>
    </row>
    <row r="480" outlineLevel="1" spans="1:10">
      <c r="A480" s="50">
        <v>400</v>
      </c>
      <c r="B480" s="51" t="str">
        <v>外墙面-网格布</v>
      </c>
      <c r="C480" s="51" t="e">
        <v>#REF!</v>
      </c>
      <c r="D480" s="51" t="str">
        <v/>
      </c>
      <c r="E480" s="51" t="str">
        <v/>
      </c>
      <c r="F480" s="52" t="e">
        <v>#REF!</v>
      </c>
      <c r="G480" s="48" t="e">
        <v>#REF!</v>
      </c>
      <c r="H480" s="49">
        <v>4821.3555</v>
      </c>
      <c r="I480" s="49" t="e">
        <v>#REF!</v>
      </c>
      <c r="J480" s="50"/>
    </row>
    <row r="481" outlineLevel="1" spans="1:10">
      <c r="A481" s="50" t="str">
        <v/>
      </c>
      <c r="B481" s="51" t="str">
        <v>自密实混凝土墙保温</v>
      </c>
      <c r="C481" s="51" t="str">
        <v/>
      </c>
      <c r="D481" s="51" t="str">
        <v/>
      </c>
      <c r="E481" s="51" t="str">
        <v/>
      </c>
      <c r="F481" s="52" t="str">
        <v/>
      </c>
      <c r="G481" s="48" t="str">
        <v/>
      </c>
      <c r="H481" s="49">
        <v>0</v>
      </c>
      <c r="I481" s="49">
        <v>0</v>
      </c>
      <c r="J481" s="50"/>
    </row>
    <row r="482" ht="28.8" outlineLevel="1" spans="1:10">
      <c r="A482" s="50">
        <v>401</v>
      </c>
      <c r="B482" s="51" t="str">
        <v>外墙保温-320厚石墨聚苯板（单层网）</v>
      </c>
      <c r="C482" s="51" t="e">
        <v>#REF!</v>
      </c>
      <c r="D482" s="51" t="str">
        <v/>
      </c>
      <c r="E482" s="51" t="str">
        <v/>
      </c>
      <c r="F482" s="52" t="e">
        <v>#REF!</v>
      </c>
      <c r="G482" s="48" t="e">
        <v>#REF!</v>
      </c>
      <c r="H482" s="49">
        <v>1483.494</v>
      </c>
      <c r="I482" s="49" t="e">
        <v>#REF!</v>
      </c>
      <c r="J482" s="50"/>
    </row>
    <row r="483" outlineLevel="1" spans="1:10">
      <c r="A483" s="50">
        <v>402</v>
      </c>
      <c r="B483" s="51" t="str">
        <v>外墙保温-界面修补</v>
      </c>
      <c r="C483" s="51" t="e">
        <v>#REF!</v>
      </c>
      <c r="D483" s="51" t="str">
        <v/>
      </c>
      <c r="E483" s="51" t="str">
        <v/>
      </c>
      <c r="F483" s="52" t="e">
        <v>#REF!</v>
      </c>
      <c r="G483" s="48" t="e">
        <v>#REF!</v>
      </c>
      <c r="H483" s="49">
        <v>1483.494</v>
      </c>
      <c r="I483" s="49" t="e">
        <v>#REF!</v>
      </c>
      <c r="J483" s="50"/>
    </row>
    <row r="484" ht="28.8" outlineLevel="1" spans="1:10">
      <c r="A484" s="50">
        <v>403</v>
      </c>
      <c r="B484" s="51" t="str">
        <v>外墙保温-5厚干粉聚合物砂浆</v>
      </c>
      <c r="C484" s="51" t="e">
        <v>#REF!</v>
      </c>
      <c r="D484" s="51" t="str">
        <v/>
      </c>
      <c r="E484" s="51" t="str">
        <v/>
      </c>
      <c r="F484" s="52" t="e">
        <v>#REF!</v>
      </c>
      <c r="G484" s="48" t="e">
        <v>#REF!</v>
      </c>
      <c r="H484" s="49">
        <v>1483.494</v>
      </c>
      <c r="I484" s="49" t="e">
        <v>#REF!</v>
      </c>
      <c r="J484" s="50"/>
    </row>
    <row r="485" outlineLevel="1" spans="1:10">
      <c r="A485" s="50">
        <v>404</v>
      </c>
      <c r="B485" s="51" t="str">
        <v>外墙面-网格布</v>
      </c>
      <c r="C485" s="51" t="e">
        <v>#REF!</v>
      </c>
      <c r="D485" s="51" t="str">
        <v/>
      </c>
      <c r="E485" s="51" t="str">
        <v/>
      </c>
      <c r="F485" s="52" t="e">
        <v>#REF!</v>
      </c>
      <c r="G485" s="48" t="e">
        <v>#REF!</v>
      </c>
      <c r="H485" s="49">
        <v>1483.494</v>
      </c>
      <c r="I485" s="49" t="e">
        <v>#REF!</v>
      </c>
      <c r="J485" s="50"/>
    </row>
    <row r="486" outlineLevel="1" spans="1:10">
      <c r="A486" s="50" t="str">
        <v/>
      </c>
      <c r="B486" s="51" t="str">
        <v>自密实混凝土墙保温</v>
      </c>
      <c r="C486" s="51" t="str">
        <v/>
      </c>
      <c r="D486" s="51" t="str">
        <v/>
      </c>
      <c r="E486" s="51" t="str">
        <v/>
      </c>
      <c r="F486" s="52" t="str">
        <v/>
      </c>
      <c r="G486" s="48" t="str">
        <v/>
      </c>
      <c r="H486" s="49">
        <v>0</v>
      </c>
      <c r="I486" s="49">
        <v>0</v>
      </c>
      <c r="J486" s="50"/>
    </row>
    <row r="487" ht="28.8" outlineLevel="1" spans="1:10">
      <c r="A487" s="50">
        <v>405</v>
      </c>
      <c r="B487" s="51" t="str">
        <v>外墙保温-320厚石墨聚苯板（双层网）</v>
      </c>
      <c r="C487" s="51" t="e">
        <v>#REF!</v>
      </c>
      <c r="D487" s="51" t="str">
        <v/>
      </c>
      <c r="E487" s="51" t="str">
        <v/>
      </c>
      <c r="F487" s="52" t="e">
        <v>#REF!</v>
      </c>
      <c r="G487" s="48" t="e">
        <v>#REF!</v>
      </c>
      <c r="H487" s="49">
        <v>1</v>
      </c>
      <c r="I487" s="49" t="e">
        <v>#REF!</v>
      </c>
      <c r="J487" s="50"/>
    </row>
    <row r="488" outlineLevel="1" spans="1:10">
      <c r="A488" s="50">
        <v>406</v>
      </c>
      <c r="B488" s="51" t="str">
        <v>外墙保温-界面修补</v>
      </c>
      <c r="C488" s="51" t="e">
        <v>#REF!</v>
      </c>
      <c r="D488" s="51" t="str">
        <v/>
      </c>
      <c r="E488" s="51" t="str">
        <v/>
      </c>
      <c r="F488" s="52" t="e">
        <v>#REF!</v>
      </c>
      <c r="G488" s="48" t="e">
        <v>#REF!</v>
      </c>
      <c r="H488" s="49">
        <v>1</v>
      </c>
      <c r="I488" s="49" t="e">
        <v>#REF!</v>
      </c>
      <c r="J488" s="50"/>
    </row>
    <row r="489" ht="28.8" outlineLevel="1" spans="1:10">
      <c r="A489" s="50">
        <v>407</v>
      </c>
      <c r="B489" s="51" t="str">
        <v>外墙保温-5厚干粉聚合物砂浆</v>
      </c>
      <c r="C489" s="51" t="e">
        <v>#REF!</v>
      </c>
      <c r="D489" s="51" t="str">
        <v/>
      </c>
      <c r="E489" s="51" t="str">
        <v/>
      </c>
      <c r="F489" s="52" t="e">
        <v>#REF!</v>
      </c>
      <c r="G489" s="48" t="e">
        <v>#REF!</v>
      </c>
      <c r="H489" s="49">
        <v>1</v>
      </c>
      <c r="I489" s="49" t="e">
        <v>#REF!</v>
      </c>
      <c r="J489" s="50"/>
    </row>
    <row r="490" outlineLevel="1" spans="1:10">
      <c r="A490" s="50">
        <v>408</v>
      </c>
      <c r="B490" s="51" t="str">
        <v>外墙面-网格布</v>
      </c>
      <c r="C490" s="51" t="e">
        <v>#REF!</v>
      </c>
      <c r="D490" s="51" t="str">
        <v/>
      </c>
      <c r="E490" s="51" t="str">
        <v/>
      </c>
      <c r="F490" s="52" t="e">
        <v>#REF!</v>
      </c>
      <c r="G490" s="48" t="e">
        <v>#REF!</v>
      </c>
      <c r="H490" s="49">
        <v>1</v>
      </c>
      <c r="I490" s="49" t="e">
        <v>#REF!</v>
      </c>
      <c r="J490" s="50"/>
    </row>
    <row r="491" outlineLevel="1" spans="1:10">
      <c r="A491" s="50" t="str">
        <v/>
      </c>
      <c r="B491" s="51" t="str">
        <v>A.05简易装修工程</v>
      </c>
      <c r="C491" s="51" t="str">
        <v/>
      </c>
      <c r="D491" s="51" t="str">
        <v/>
      </c>
      <c r="E491" s="51" t="str">
        <v/>
      </c>
      <c r="F491" s="52" t="str">
        <v/>
      </c>
      <c r="G491" s="48" t="str">
        <v/>
      </c>
      <c r="H491" s="49">
        <v>0</v>
      </c>
      <c r="I491" s="49" t="e">
        <v>#REF!</v>
      </c>
      <c r="J491" s="50"/>
    </row>
    <row r="492" outlineLevel="1" spans="1:10">
      <c r="A492" s="50" t="str">
        <v/>
      </c>
      <c r="B492" s="51" t="str">
        <v>A.05.01地面装饰工程</v>
      </c>
      <c r="C492" s="51" t="str">
        <v/>
      </c>
      <c r="D492" s="51" t="str">
        <v/>
      </c>
      <c r="E492" s="51" t="str">
        <v/>
      </c>
      <c r="F492" s="52" t="str">
        <v/>
      </c>
      <c r="G492" s="48" t="str">
        <v/>
      </c>
      <c r="H492" s="49">
        <v>0</v>
      </c>
      <c r="I492" s="49" t="e">
        <v>#REF!</v>
      </c>
      <c r="J492" s="50"/>
    </row>
    <row r="493" outlineLevel="1" spans="1:10">
      <c r="A493" s="50">
        <v>409</v>
      </c>
      <c r="B493" s="51" t="str">
        <v>楼地面-楼梯间（30厚）</v>
      </c>
      <c r="C493" s="51" t="e">
        <v>#REF!</v>
      </c>
      <c r="D493" s="51" t="str">
        <v/>
      </c>
      <c r="E493" s="51" t="str">
        <v/>
      </c>
      <c r="F493" s="52" t="e">
        <v>#REF!</v>
      </c>
      <c r="G493" s="48" t="e">
        <v>#REF!</v>
      </c>
      <c r="H493" s="49">
        <v>95.85</v>
      </c>
      <c r="I493" s="49" t="e">
        <v>#REF!</v>
      </c>
      <c r="J493" s="50"/>
    </row>
    <row r="494" outlineLevel="1" spans="1:10">
      <c r="A494" s="50">
        <v>410</v>
      </c>
      <c r="B494" s="51" t="str">
        <v>楼地面-楼梯间（20厚）</v>
      </c>
      <c r="C494" s="51" t="e">
        <v>#REF!</v>
      </c>
      <c r="D494" s="51" t="str">
        <v/>
      </c>
      <c r="E494" s="51" t="str">
        <v/>
      </c>
      <c r="F494" s="52" t="e">
        <v>#REF!</v>
      </c>
      <c r="G494" s="48" t="e">
        <v>#REF!</v>
      </c>
      <c r="H494" s="49">
        <v>0</v>
      </c>
      <c r="I494" s="49" t="e">
        <v>#REF!</v>
      </c>
      <c r="J494" s="50"/>
    </row>
    <row r="495" outlineLevel="1" spans="1:10">
      <c r="A495" s="50" t="str">
        <v/>
      </c>
      <c r="B495" s="51" t="str">
        <v>装配式干法地暖楼地面</v>
      </c>
      <c r="C495" s="51" t="str">
        <v/>
      </c>
      <c r="D495" s="51" t="str">
        <v/>
      </c>
      <c r="E495" s="51" t="str">
        <v/>
      </c>
      <c r="F495" s="52" t="str">
        <v/>
      </c>
      <c r="G495" s="48" t="str">
        <v/>
      </c>
      <c r="H495" s="49">
        <v>0</v>
      </c>
      <c r="I495" s="49">
        <v>0</v>
      </c>
      <c r="J495" s="50"/>
    </row>
    <row r="496" outlineLevel="1" spans="1:10">
      <c r="A496" s="50">
        <v>411</v>
      </c>
      <c r="B496" s="51" t="str">
        <v>楼地面-7厚抗裂砂浆</v>
      </c>
      <c r="C496" s="51" t="e">
        <v>#REF!</v>
      </c>
      <c r="D496" s="51" t="str">
        <v/>
      </c>
      <c r="E496" s="51" t="str">
        <v/>
      </c>
      <c r="F496" s="52" t="e">
        <v>#REF!</v>
      </c>
      <c r="G496" s="48" t="e">
        <v>#REF!</v>
      </c>
      <c r="H496" s="49">
        <v>0</v>
      </c>
      <c r="I496" s="49" t="e">
        <v>#REF!</v>
      </c>
      <c r="J496" s="50"/>
    </row>
    <row r="497" outlineLevel="1" spans="1:10">
      <c r="A497" s="50">
        <v>412</v>
      </c>
      <c r="B497" s="51" t="str">
        <v>楼地面-玻纤网</v>
      </c>
      <c r="C497" s="51" t="e">
        <v>#REF!</v>
      </c>
      <c r="D497" s="51" t="str">
        <v/>
      </c>
      <c r="E497" s="51" t="str">
        <v/>
      </c>
      <c r="F497" s="52" t="e">
        <v>#REF!</v>
      </c>
      <c r="G497" s="48" t="e">
        <v>#REF!</v>
      </c>
      <c r="H497" s="49">
        <v>0</v>
      </c>
      <c r="I497" s="49" t="e">
        <v>#REF!</v>
      </c>
      <c r="J497" s="50"/>
    </row>
    <row r="498" outlineLevel="1" spans="1:10">
      <c r="A498" s="50">
        <v>413</v>
      </c>
      <c r="B498" s="51" t="str">
        <v>楼地面-干法地暖薄粘结剂</v>
      </c>
      <c r="C498" s="51" t="e">
        <v>#REF!</v>
      </c>
      <c r="D498" s="51" t="str">
        <v/>
      </c>
      <c r="E498" s="51" t="str">
        <v/>
      </c>
      <c r="F498" s="52" t="e">
        <v>#REF!</v>
      </c>
      <c r="G498" s="48" t="e">
        <v>#REF!</v>
      </c>
      <c r="H498" s="49">
        <v>0</v>
      </c>
      <c r="I498" s="49" t="e">
        <v>#REF!</v>
      </c>
      <c r="J498" s="50"/>
    </row>
    <row r="499" outlineLevel="1" spans="1:10">
      <c r="A499" s="50">
        <v>414</v>
      </c>
      <c r="B499" s="51" t="str">
        <v>楼地面-干法地暖厚粘结剂</v>
      </c>
      <c r="C499" s="51" t="e">
        <v>#REF!</v>
      </c>
      <c r="D499" s="51" t="str">
        <v/>
      </c>
      <c r="E499" s="51" t="str">
        <v/>
      </c>
      <c r="F499" s="52" t="e">
        <v>#REF!</v>
      </c>
      <c r="G499" s="48" t="e">
        <v>#REF!</v>
      </c>
      <c r="H499" s="49">
        <v>0</v>
      </c>
      <c r="I499" s="49" t="e">
        <v>#REF!</v>
      </c>
      <c r="J499" s="50"/>
    </row>
    <row r="500" outlineLevel="1" spans="1:10">
      <c r="A500" s="50">
        <v>415</v>
      </c>
      <c r="B500" s="51" t="str">
        <v>楼地面-砂浆粘结层</v>
      </c>
      <c r="C500" s="51" t="e">
        <v>#REF!</v>
      </c>
      <c r="D500" s="51" t="str">
        <v/>
      </c>
      <c r="E500" s="51" t="str">
        <v/>
      </c>
      <c r="F500" s="52" t="e">
        <v>#REF!</v>
      </c>
      <c r="G500" s="48" t="e">
        <v>#REF!</v>
      </c>
      <c r="H500" s="49">
        <v>0</v>
      </c>
      <c r="I500" s="49" t="e">
        <v>#REF!</v>
      </c>
      <c r="J500" s="50"/>
    </row>
    <row r="501" ht="28.8" outlineLevel="1" spans="1:10">
      <c r="A501" s="50" t="str">
        <v/>
      </c>
      <c r="B501" s="51" t="str">
        <v>湿法地暖楼地面（通用做法）</v>
      </c>
      <c r="C501" s="51" t="str">
        <v/>
      </c>
      <c r="D501" s="51" t="str">
        <v/>
      </c>
      <c r="E501" s="51" t="str">
        <v/>
      </c>
      <c r="F501" s="52" t="str">
        <v/>
      </c>
      <c r="G501" s="48" t="str">
        <v/>
      </c>
      <c r="H501" s="49">
        <v>0</v>
      </c>
      <c r="I501" s="49">
        <v>0</v>
      </c>
      <c r="J501" s="50"/>
    </row>
    <row r="502" outlineLevel="1" spans="1:10">
      <c r="A502" s="50">
        <v>416</v>
      </c>
      <c r="B502" s="51" t="str">
        <v>楼地面-单层Φ3@50钢筋网</v>
      </c>
      <c r="C502" s="51" t="e">
        <v>#REF!</v>
      </c>
      <c r="D502" s="51" t="str">
        <v/>
      </c>
      <c r="E502" s="51" t="str">
        <v/>
      </c>
      <c r="F502" s="52" t="e">
        <v>#REF!</v>
      </c>
      <c r="G502" s="48" t="e">
        <v>#REF!</v>
      </c>
      <c r="H502" s="49">
        <v>0</v>
      </c>
      <c r="I502" s="49" t="e">
        <v>#REF!</v>
      </c>
      <c r="J502" s="50"/>
    </row>
    <row r="503" outlineLevel="1" spans="1:10">
      <c r="A503" s="50">
        <v>417</v>
      </c>
      <c r="B503" s="51" t="str">
        <v>楼地面-铝箔纸</v>
      </c>
      <c r="C503" s="51" t="e">
        <v>#REF!</v>
      </c>
      <c r="D503" s="51" t="str">
        <v/>
      </c>
      <c r="E503" s="51" t="str">
        <v/>
      </c>
      <c r="F503" s="52" t="e">
        <v>#REF!</v>
      </c>
      <c r="G503" s="48" t="e">
        <v>#REF!</v>
      </c>
      <c r="H503" s="49">
        <v>0</v>
      </c>
      <c r="I503" s="49" t="e">
        <v>#REF!</v>
      </c>
      <c r="J503" s="50"/>
    </row>
    <row r="504" outlineLevel="1" spans="1:10">
      <c r="A504" s="50">
        <v>418</v>
      </c>
      <c r="B504" s="51" t="str">
        <v>楼地面-20厚XPS</v>
      </c>
      <c r="C504" s="51" t="e">
        <v>#REF!</v>
      </c>
      <c r="D504" s="51" t="str">
        <v/>
      </c>
      <c r="E504" s="51" t="str">
        <v/>
      </c>
      <c r="F504" s="52" t="e">
        <v>#REF!</v>
      </c>
      <c r="G504" s="48" t="e">
        <v>#REF!</v>
      </c>
      <c r="H504" s="49">
        <v>0</v>
      </c>
      <c r="I504" s="49" t="e">
        <v>#REF!</v>
      </c>
      <c r="J504" s="50"/>
    </row>
    <row r="505" outlineLevel="1" spans="1:10">
      <c r="A505" s="50" t="str">
        <v/>
      </c>
      <c r="B505" s="51" t="str">
        <v>卫生间地面（有覆土）</v>
      </c>
      <c r="C505" s="51" t="str">
        <v/>
      </c>
      <c r="D505" s="51" t="str">
        <v/>
      </c>
      <c r="E505" s="51" t="str">
        <v/>
      </c>
      <c r="F505" s="52" t="str">
        <v/>
      </c>
      <c r="G505" s="48" t="str">
        <v/>
      </c>
      <c r="H505" s="49">
        <v>0</v>
      </c>
      <c r="I505" s="49">
        <v>0</v>
      </c>
      <c r="J505" s="50"/>
    </row>
    <row r="506" outlineLevel="1" spans="1:10">
      <c r="A506" s="50">
        <v>419</v>
      </c>
      <c r="B506" s="51" t="str">
        <v>楼地面-60厚C15豆石砼找坡</v>
      </c>
      <c r="C506" s="51" t="e">
        <v>#REF!</v>
      </c>
      <c r="D506" s="51" t="str">
        <v/>
      </c>
      <c r="E506" s="51" t="str">
        <v/>
      </c>
      <c r="F506" s="52" t="e">
        <v>#REF!</v>
      </c>
      <c r="G506" s="48" t="e">
        <v>#REF!</v>
      </c>
      <c r="H506" s="49">
        <v>0</v>
      </c>
      <c r="I506" s="49" t="e">
        <v>#REF!</v>
      </c>
      <c r="J506" s="50"/>
    </row>
    <row r="507" outlineLevel="1" spans="1:10">
      <c r="A507" s="50">
        <v>420</v>
      </c>
      <c r="B507" s="51" t="str">
        <v>楼地面-玻纤网</v>
      </c>
      <c r="C507" s="51" t="e">
        <v>#REF!</v>
      </c>
      <c r="D507" s="51" t="str">
        <v/>
      </c>
      <c r="E507" s="51" t="str">
        <v/>
      </c>
      <c r="F507" s="52" t="e">
        <v>#REF!</v>
      </c>
      <c r="G507" s="48" t="e">
        <v>#REF!</v>
      </c>
      <c r="H507" s="49">
        <v>0</v>
      </c>
      <c r="I507" s="49" t="e">
        <v>#REF!</v>
      </c>
      <c r="J507" s="50"/>
    </row>
    <row r="508" outlineLevel="1" spans="1:10">
      <c r="A508" s="50">
        <v>421</v>
      </c>
      <c r="B508" s="51" t="str">
        <v>楼地面-15厚M20水泥砂浆</v>
      </c>
      <c r="C508" s="51" t="e">
        <v>#REF!</v>
      </c>
      <c r="D508" s="51" t="str">
        <v/>
      </c>
      <c r="E508" s="51" t="str">
        <v/>
      </c>
      <c r="F508" s="52" t="e">
        <v>#REF!</v>
      </c>
      <c r="G508" s="48" t="e">
        <v>#REF!</v>
      </c>
      <c r="H508" s="49">
        <v>0</v>
      </c>
      <c r="I508" s="49" t="e">
        <v>#REF!</v>
      </c>
      <c r="J508" s="50"/>
    </row>
    <row r="509" outlineLevel="1" spans="1:10">
      <c r="A509" s="50">
        <v>422</v>
      </c>
      <c r="B509" s="51" t="str">
        <v>楼地面-60厚C15细石砼</v>
      </c>
      <c r="C509" s="51" t="e">
        <v>#REF!</v>
      </c>
      <c r="D509" s="51" t="str">
        <v/>
      </c>
      <c r="E509" s="51" t="str">
        <v/>
      </c>
      <c r="F509" s="52" t="e">
        <v>#REF!</v>
      </c>
      <c r="G509" s="48" t="e">
        <v>#REF!</v>
      </c>
      <c r="H509" s="49">
        <v>0</v>
      </c>
      <c r="I509" s="49" t="e">
        <v>#REF!</v>
      </c>
      <c r="J509" s="50"/>
    </row>
    <row r="510" outlineLevel="1" spans="1:10">
      <c r="A510" s="50">
        <v>423</v>
      </c>
      <c r="B510" s="51" t="str">
        <v>楼地面-塑料膜</v>
      </c>
      <c r="C510" s="51" t="e">
        <v>#REF!</v>
      </c>
      <c r="D510" s="51" t="str">
        <v/>
      </c>
      <c r="E510" s="51" t="str">
        <v/>
      </c>
      <c r="F510" s="52" t="e">
        <v>#REF!</v>
      </c>
      <c r="G510" s="48" t="e">
        <v>#REF!</v>
      </c>
      <c r="H510" s="49">
        <v>0</v>
      </c>
      <c r="I510" s="49" t="e">
        <v>#REF!</v>
      </c>
      <c r="J510" s="50"/>
    </row>
    <row r="511" outlineLevel="1" spans="1:10">
      <c r="A511" s="50">
        <v>424</v>
      </c>
      <c r="B511" s="51" t="str">
        <v>楼地面-150厚3:7灰土夯实</v>
      </c>
      <c r="C511" s="51" t="e">
        <v>#REF!</v>
      </c>
      <c r="D511" s="51" t="str">
        <v/>
      </c>
      <c r="E511" s="51" t="str">
        <v/>
      </c>
      <c r="F511" s="52" t="e">
        <v>#REF!</v>
      </c>
      <c r="G511" s="48" t="e">
        <v>#REF!</v>
      </c>
      <c r="H511" s="49">
        <v>0</v>
      </c>
      <c r="I511" s="49" t="e">
        <v>#REF!</v>
      </c>
      <c r="J511" s="50"/>
    </row>
    <row r="512" outlineLevel="1" spans="1:10">
      <c r="A512" s="50">
        <v>425</v>
      </c>
      <c r="B512" s="51" t="str">
        <v>楼地面-素土夯实</v>
      </c>
      <c r="C512" s="51" t="e">
        <v>#REF!</v>
      </c>
      <c r="D512" s="51" t="str">
        <v/>
      </c>
      <c r="E512" s="51" t="str">
        <v/>
      </c>
      <c r="F512" s="52" t="e">
        <v>#REF!</v>
      </c>
      <c r="G512" s="48" t="e">
        <v>#REF!</v>
      </c>
      <c r="H512" s="49">
        <v>0</v>
      </c>
      <c r="I512" s="49" t="e">
        <v>#REF!</v>
      </c>
      <c r="J512" s="50"/>
    </row>
    <row r="513" outlineLevel="1" spans="1:10">
      <c r="A513" s="50" t="str">
        <v/>
      </c>
      <c r="B513" s="51" t="str">
        <v>卫生间地面（有覆土）</v>
      </c>
      <c r="C513" s="51" t="str">
        <v/>
      </c>
      <c r="D513" s="51" t="str">
        <v/>
      </c>
      <c r="E513" s="51" t="str">
        <v/>
      </c>
      <c r="F513" s="52" t="str">
        <v/>
      </c>
      <c r="G513" s="48" t="str">
        <v/>
      </c>
      <c r="H513" s="49">
        <v>0</v>
      </c>
      <c r="I513" s="49">
        <v>0</v>
      </c>
      <c r="J513" s="50"/>
    </row>
    <row r="514" outlineLevel="1" spans="1:10">
      <c r="A514" s="50">
        <v>426</v>
      </c>
      <c r="B514" s="51" t="str">
        <v>楼地面-60厚C15细石砼</v>
      </c>
      <c r="C514" s="51" t="e">
        <v>#REF!</v>
      </c>
      <c r="D514" s="51" t="str">
        <v/>
      </c>
      <c r="E514" s="51" t="str">
        <v/>
      </c>
      <c r="F514" s="52" t="e">
        <v>#REF!</v>
      </c>
      <c r="G514" s="48" t="e">
        <v>#REF!</v>
      </c>
      <c r="H514" s="49">
        <v>1</v>
      </c>
      <c r="I514" s="49" t="e">
        <v>#REF!</v>
      </c>
      <c r="J514" s="50"/>
    </row>
    <row r="515" outlineLevel="1" spans="1:10">
      <c r="A515" s="50">
        <v>427</v>
      </c>
      <c r="B515" s="51" t="str">
        <v>楼地面-60厚C15砼</v>
      </c>
      <c r="C515" s="51" t="e">
        <v>#REF!</v>
      </c>
      <c r="D515" s="51" t="str">
        <v/>
      </c>
      <c r="E515" s="51" t="str">
        <v/>
      </c>
      <c r="F515" s="52" t="e">
        <v>#REF!</v>
      </c>
      <c r="G515" s="48" t="e">
        <v>#REF!</v>
      </c>
      <c r="H515" s="49">
        <v>1</v>
      </c>
      <c r="I515" s="49" t="e">
        <v>#REF!</v>
      </c>
      <c r="J515" s="50"/>
    </row>
    <row r="516" outlineLevel="1" spans="1:10">
      <c r="A516" s="50">
        <v>428</v>
      </c>
      <c r="B516" s="51" t="str">
        <v>楼地面-双层Φ3@50钢筋网</v>
      </c>
      <c r="C516" s="51" t="e">
        <v>#REF!</v>
      </c>
      <c r="D516" s="51" t="str">
        <v/>
      </c>
      <c r="E516" s="51" t="str">
        <v/>
      </c>
      <c r="F516" s="52" t="e">
        <v>#REF!</v>
      </c>
      <c r="G516" s="48" t="e">
        <v>#REF!</v>
      </c>
      <c r="H516" s="49">
        <v>1</v>
      </c>
      <c r="I516" s="49" t="e">
        <v>#REF!</v>
      </c>
      <c r="J516" s="50"/>
    </row>
    <row r="517" outlineLevel="1" spans="1:10">
      <c r="A517" s="50">
        <v>429</v>
      </c>
      <c r="B517" s="51" t="str">
        <v>楼地面-塑料膜</v>
      </c>
      <c r="C517" s="51" t="e">
        <v>#REF!</v>
      </c>
      <c r="D517" s="51" t="str">
        <v/>
      </c>
      <c r="E517" s="51" t="str">
        <v/>
      </c>
      <c r="F517" s="52" t="e">
        <v>#REF!</v>
      </c>
      <c r="G517" s="48" t="e">
        <v>#REF!</v>
      </c>
      <c r="H517" s="49">
        <v>1</v>
      </c>
      <c r="I517" s="49" t="e">
        <v>#REF!</v>
      </c>
      <c r="J517" s="50"/>
    </row>
    <row r="518" outlineLevel="1" spans="1:10">
      <c r="A518" s="50">
        <v>430</v>
      </c>
      <c r="B518" s="51" t="str">
        <v>楼地面-150厚3:7灰土夯实</v>
      </c>
      <c r="C518" s="51" t="e">
        <v>#REF!</v>
      </c>
      <c r="D518" s="51" t="str">
        <v/>
      </c>
      <c r="E518" s="51" t="str">
        <v/>
      </c>
      <c r="F518" s="52" t="e">
        <v>#REF!</v>
      </c>
      <c r="G518" s="48" t="e">
        <v>#REF!</v>
      </c>
      <c r="H518" s="49">
        <v>1</v>
      </c>
      <c r="I518" s="49" t="e">
        <v>#REF!</v>
      </c>
      <c r="J518" s="50"/>
    </row>
    <row r="519" outlineLevel="1" spans="1:10">
      <c r="A519" s="50">
        <v>431</v>
      </c>
      <c r="B519" s="51" t="str">
        <v>楼地面-素土夯实</v>
      </c>
      <c r="C519" s="51" t="e">
        <v>#REF!</v>
      </c>
      <c r="D519" s="51" t="str">
        <v/>
      </c>
      <c r="E519" s="51" t="str">
        <v/>
      </c>
      <c r="F519" s="52" t="e">
        <v>#REF!</v>
      </c>
      <c r="G519" s="48" t="e">
        <v>#REF!</v>
      </c>
      <c r="H519" s="49">
        <v>1</v>
      </c>
      <c r="I519" s="49" t="e">
        <v>#REF!</v>
      </c>
      <c r="J519" s="50"/>
    </row>
    <row r="520" outlineLevel="1" spans="1:10">
      <c r="A520" s="50" t="str">
        <v/>
      </c>
      <c r="B520" s="51" t="str">
        <v>卫生间地面（有覆土）</v>
      </c>
      <c r="C520" s="51" t="str">
        <v/>
      </c>
      <c r="D520" s="51" t="str">
        <v/>
      </c>
      <c r="E520" s="51" t="str">
        <v/>
      </c>
      <c r="F520" s="52" t="str">
        <v/>
      </c>
      <c r="G520" s="48" t="str">
        <v/>
      </c>
      <c r="H520" s="49">
        <v>0</v>
      </c>
      <c r="I520" s="49">
        <v>0</v>
      </c>
      <c r="J520" s="50"/>
    </row>
    <row r="521" outlineLevel="1" spans="1:10">
      <c r="A521" s="50">
        <v>432</v>
      </c>
      <c r="B521" s="51" t="str">
        <v>楼地面-60厚C15豆石砼找坡</v>
      </c>
      <c r="C521" s="51" t="e">
        <v>#REF!</v>
      </c>
      <c r="D521" s="51" t="str">
        <v/>
      </c>
      <c r="E521" s="51" t="str">
        <v/>
      </c>
      <c r="F521" s="52" t="e">
        <v>#REF!</v>
      </c>
      <c r="G521" s="48" t="e">
        <v>#REF!</v>
      </c>
      <c r="H521" s="49">
        <v>1</v>
      </c>
      <c r="I521" s="49" t="e">
        <v>#REF!</v>
      </c>
      <c r="J521" s="50"/>
    </row>
    <row r="522" outlineLevel="1" spans="1:10">
      <c r="A522" s="50">
        <v>433</v>
      </c>
      <c r="B522" s="51" t="str">
        <v>楼地面-60厚C15细石砼</v>
      </c>
      <c r="C522" s="51" t="e">
        <v>#REF!</v>
      </c>
      <c r="D522" s="51" t="str">
        <v/>
      </c>
      <c r="E522" s="51" t="str">
        <v/>
      </c>
      <c r="F522" s="52" t="e">
        <v>#REF!</v>
      </c>
      <c r="G522" s="48" t="e">
        <v>#REF!</v>
      </c>
      <c r="H522" s="49">
        <v>1</v>
      </c>
      <c r="I522" s="49" t="e">
        <v>#REF!</v>
      </c>
      <c r="J522" s="50"/>
    </row>
    <row r="523" outlineLevel="1" spans="1:10">
      <c r="A523" s="50">
        <v>434</v>
      </c>
      <c r="B523" s="51" t="str">
        <v>楼地面-塑料膜</v>
      </c>
      <c r="C523" s="51" t="e">
        <v>#REF!</v>
      </c>
      <c r="D523" s="51" t="str">
        <v/>
      </c>
      <c r="E523" s="51" t="str">
        <v/>
      </c>
      <c r="F523" s="52" t="e">
        <v>#REF!</v>
      </c>
      <c r="G523" s="48" t="e">
        <v>#REF!</v>
      </c>
      <c r="H523" s="49">
        <v>1</v>
      </c>
      <c r="I523" s="49" t="e">
        <v>#REF!</v>
      </c>
      <c r="J523" s="50"/>
    </row>
    <row r="524" outlineLevel="1" spans="1:10">
      <c r="A524" s="50">
        <v>435</v>
      </c>
      <c r="B524" s="51" t="str">
        <v>楼地面-150厚3:7灰土夯实</v>
      </c>
      <c r="C524" s="51" t="e">
        <v>#REF!</v>
      </c>
      <c r="D524" s="51" t="str">
        <v/>
      </c>
      <c r="E524" s="51" t="str">
        <v/>
      </c>
      <c r="F524" s="52" t="e">
        <v>#REF!</v>
      </c>
      <c r="G524" s="48" t="e">
        <v>#REF!</v>
      </c>
      <c r="H524" s="49">
        <v>1</v>
      </c>
      <c r="I524" s="49" t="e">
        <v>#REF!</v>
      </c>
      <c r="J524" s="50"/>
    </row>
    <row r="525" outlineLevel="1" spans="1:10">
      <c r="A525" s="50">
        <v>436</v>
      </c>
      <c r="B525" s="51" t="str">
        <v>楼地面-素土夯实</v>
      </c>
      <c r="C525" s="51" t="e">
        <v>#REF!</v>
      </c>
      <c r="D525" s="51" t="str">
        <v/>
      </c>
      <c r="E525" s="51" t="str">
        <v/>
      </c>
      <c r="F525" s="52" t="e">
        <v>#REF!</v>
      </c>
      <c r="G525" s="48" t="e">
        <v>#REF!</v>
      </c>
      <c r="H525" s="49">
        <v>1</v>
      </c>
      <c r="I525" s="49" t="e">
        <v>#REF!</v>
      </c>
      <c r="J525" s="50"/>
    </row>
    <row r="526" outlineLevel="1" spans="1:10">
      <c r="A526" s="50" t="str">
        <v/>
      </c>
      <c r="B526" s="51" t="str">
        <v>卫生间地面（无覆土）</v>
      </c>
      <c r="C526" s="51" t="str">
        <v/>
      </c>
      <c r="D526" s="51" t="str">
        <v/>
      </c>
      <c r="E526" s="51" t="str">
        <v/>
      </c>
      <c r="F526" s="52" t="str">
        <v/>
      </c>
      <c r="G526" s="48" t="str">
        <v/>
      </c>
      <c r="H526" s="49">
        <v>0</v>
      </c>
      <c r="I526" s="49">
        <v>0</v>
      </c>
      <c r="J526" s="50"/>
    </row>
    <row r="527" outlineLevel="1" spans="1:10">
      <c r="A527" s="50">
        <v>437</v>
      </c>
      <c r="B527" s="51" t="str">
        <v>楼地面-60厚C15细石砼</v>
      </c>
      <c r="C527" s="51" t="e">
        <v>#REF!</v>
      </c>
      <c r="D527" s="51" t="str">
        <v/>
      </c>
      <c r="E527" s="51" t="str">
        <v/>
      </c>
      <c r="F527" s="52" t="e">
        <v>#REF!</v>
      </c>
      <c r="G527" s="48" t="e">
        <v>#REF!</v>
      </c>
      <c r="H527" s="49">
        <v>400.62</v>
      </c>
      <c r="I527" s="49" t="e">
        <v>#REF!</v>
      </c>
      <c r="J527" s="50"/>
    </row>
    <row r="528" outlineLevel="1" spans="1:10">
      <c r="A528" s="50" t="str">
        <v/>
      </c>
      <c r="B528" s="51" t="str">
        <v>卫生间地面（无覆土）</v>
      </c>
      <c r="C528" s="51" t="str">
        <v/>
      </c>
      <c r="D528" s="51" t="str">
        <v/>
      </c>
      <c r="E528" s="51" t="str">
        <v/>
      </c>
      <c r="F528" s="52" t="str">
        <v/>
      </c>
      <c r="G528" s="48" t="str">
        <v/>
      </c>
      <c r="H528" s="49">
        <v>0</v>
      </c>
      <c r="I528" s="49">
        <v>0</v>
      </c>
      <c r="J528" s="50"/>
    </row>
    <row r="529" outlineLevel="1" spans="1:10">
      <c r="A529" s="50">
        <v>438</v>
      </c>
      <c r="B529" s="51" t="str">
        <v>楼地面-65厚C15豆石砼找坡</v>
      </c>
      <c r="C529" s="51" t="e">
        <v>#REF!</v>
      </c>
      <c r="D529" s="51" t="str">
        <v/>
      </c>
      <c r="E529" s="51" t="str">
        <v/>
      </c>
      <c r="F529" s="52" t="e">
        <v>#REF!</v>
      </c>
      <c r="G529" s="48" t="e">
        <v>#REF!</v>
      </c>
      <c r="H529" s="49">
        <v>1</v>
      </c>
      <c r="I529" s="49" t="e">
        <v>#REF!</v>
      </c>
      <c r="J529" s="50"/>
    </row>
    <row r="530" outlineLevel="1" spans="1:10">
      <c r="A530" s="50">
        <v>439</v>
      </c>
      <c r="B530" s="51" t="str">
        <v>楼地面-玻纤网</v>
      </c>
      <c r="C530" s="51" t="e">
        <v>#REF!</v>
      </c>
      <c r="D530" s="51" t="str">
        <v/>
      </c>
      <c r="E530" s="51" t="str">
        <v/>
      </c>
      <c r="F530" s="52" t="e">
        <v>#REF!</v>
      </c>
      <c r="G530" s="48" t="e">
        <v>#REF!</v>
      </c>
      <c r="H530" s="49">
        <v>1</v>
      </c>
      <c r="I530" s="49" t="e">
        <v>#REF!</v>
      </c>
      <c r="J530" s="50"/>
    </row>
    <row r="531" outlineLevel="1" spans="1:10">
      <c r="A531" s="50">
        <v>440</v>
      </c>
      <c r="B531" s="51" t="str">
        <v>楼地面-15厚M20水泥砂浆</v>
      </c>
      <c r="C531" s="51" t="e">
        <v>#REF!</v>
      </c>
      <c r="D531" s="51" t="str">
        <v/>
      </c>
      <c r="E531" s="51" t="str">
        <v/>
      </c>
      <c r="F531" s="52" t="e">
        <v>#REF!</v>
      </c>
      <c r="G531" s="48" t="e">
        <v>#REF!</v>
      </c>
      <c r="H531" s="49">
        <v>1</v>
      </c>
      <c r="I531" s="49" t="e">
        <v>#REF!</v>
      </c>
      <c r="J531" s="50"/>
    </row>
    <row r="532" ht="28.8" outlineLevel="1" spans="1:10">
      <c r="A532" s="50" t="str">
        <v/>
      </c>
      <c r="B532" s="51" t="str">
        <v>户内除卫生间楼面（有覆土）</v>
      </c>
      <c r="C532" s="51" t="str">
        <v/>
      </c>
      <c r="D532" s="51" t="str">
        <v/>
      </c>
      <c r="E532" s="51" t="str">
        <v/>
      </c>
      <c r="F532" s="52" t="str">
        <v/>
      </c>
      <c r="G532" s="48" t="str">
        <v/>
      </c>
      <c r="H532" s="49">
        <v>0</v>
      </c>
      <c r="I532" s="49">
        <v>0</v>
      </c>
      <c r="J532" s="50"/>
    </row>
    <row r="533" ht="28.8" outlineLevel="1" spans="1:10">
      <c r="A533" s="50">
        <v>441</v>
      </c>
      <c r="B533" s="51" t="str">
        <v>楼地面-50厚C15细石砼（毛坯）</v>
      </c>
      <c r="C533" s="51" t="e">
        <v>#REF!</v>
      </c>
      <c r="D533" s="51" t="str">
        <v/>
      </c>
      <c r="E533" s="51" t="str">
        <v/>
      </c>
      <c r="F533" s="52" t="e">
        <v>#REF!</v>
      </c>
      <c r="G533" s="48" t="e">
        <v>#REF!</v>
      </c>
      <c r="H533" s="49">
        <v>1</v>
      </c>
      <c r="I533" s="49" t="e">
        <v>#REF!</v>
      </c>
      <c r="J533" s="50"/>
    </row>
    <row r="534" outlineLevel="1" spans="1:10">
      <c r="A534" s="50">
        <v>442</v>
      </c>
      <c r="B534" s="51" t="str">
        <v>楼地面-60厚C15砼</v>
      </c>
      <c r="C534" s="51" t="e">
        <v>#REF!</v>
      </c>
      <c r="D534" s="51" t="str">
        <v/>
      </c>
      <c r="E534" s="51" t="str">
        <v/>
      </c>
      <c r="F534" s="52" t="e">
        <v>#REF!</v>
      </c>
      <c r="G534" s="48" t="e">
        <v>#REF!</v>
      </c>
      <c r="H534" s="49">
        <v>1</v>
      </c>
      <c r="I534" s="49" t="e">
        <v>#REF!</v>
      </c>
      <c r="J534" s="50"/>
    </row>
    <row r="535" outlineLevel="1" spans="1:10">
      <c r="A535" s="50">
        <v>443</v>
      </c>
      <c r="B535" s="51" t="str">
        <v>楼地面-双层Φ3@50钢筋网</v>
      </c>
      <c r="C535" s="51" t="e">
        <v>#REF!</v>
      </c>
      <c r="D535" s="51" t="str">
        <v/>
      </c>
      <c r="E535" s="51" t="str">
        <v/>
      </c>
      <c r="F535" s="52" t="e">
        <v>#REF!</v>
      </c>
      <c r="G535" s="48" t="e">
        <v>#REF!</v>
      </c>
      <c r="H535" s="49">
        <v>1</v>
      </c>
      <c r="I535" s="49" t="e">
        <v>#REF!</v>
      </c>
      <c r="J535" s="50"/>
    </row>
    <row r="536" outlineLevel="1" spans="1:10">
      <c r="A536" s="50">
        <v>444</v>
      </c>
      <c r="B536" s="51" t="str">
        <v>楼地面-塑料膜</v>
      </c>
      <c r="C536" s="51" t="e">
        <v>#REF!</v>
      </c>
      <c r="D536" s="51" t="str">
        <v/>
      </c>
      <c r="E536" s="51" t="str">
        <v/>
      </c>
      <c r="F536" s="52" t="e">
        <v>#REF!</v>
      </c>
      <c r="G536" s="48" t="e">
        <v>#REF!</v>
      </c>
      <c r="H536" s="49">
        <v>1</v>
      </c>
      <c r="I536" s="49" t="e">
        <v>#REF!</v>
      </c>
      <c r="J536" s="50"/>
    </row>
    <row r="537" outlineLevel="1" spans="1:10">
      <c r="A537" s="50">
        <v>445</v>
      </c>
      <c r="B537" s="51" t="str">
        <v>楼地面-150厚3:7灰土夯实</v>
      </c>
      <c r="C537" s="51" t="e">
        <v>#REF!</v>
      </c>
      <c r="D537" s="51" t="str">
        <v/>
      </c>
      <c r="E537" s="51" t="str">
        <v/>
      </c>
      <c r="F537" s="52" t="e">
        <v>#REF!</v>
      </c>
      <c r="G537" s="48" t="e">
        <v>#REF!</v>
      </c>
      <c r="H537" s="49">
        <v>1</v>
      </c>
      <c r="I537" s="49" t="e">
        <v>#REF!</v>
      </c>
      <c r="J537" s="50"/>
    </row>
    <row r="538" outlineLevel="1" spans="1:10">
      <c r="A538" s="50">
        <v>446</v>
      </c>
      <c r="B538" s="51" t="str">
        <v>楼地面-素土夯实</v>
      </c>
      <c r="C538" s="51" t="e">
        <v>#REF!</v>
      </c>
      <c r="D538" s="51" t="str">
        <v/>
      </c>
      <c r="E538" s="51" t="str">
        <v/>
      </c>
      <c r="F538" s="52" t="e">
        <v>#REF!</v>
      </c>
      <c r="G538" s="48" t="e">
        <v>#REF!</v>
      </c>
      <c r="H538" s="49">
        <v>1</v>
      </c>
      <c r="I538" s="49" t="e">
        <v>#REF!</v>
      </c>
      <c r="J538" s="50"/>
    </row>
    <row r="539" ht="28.8" outlineLevel="1" spans="1:10">
      <c r="A539" s="50" t="str">
        <v/>
      </c>
      <c r="B539" s="51" t="str">
        <v>户内除卫生间楼面（有覆土）</v>
      </c>
      <c r="C539" s="51" t="str">
        <v/>
      </c>
      <c r="D539" s="51" t="str">
        <v/>
      </c>
      <c r="E539" s="51" t="str">
        <v/>
      </c>
      <c r="F539" s="52" t="str">
        <v/>
      </c>
      <c r="G539" s="48" t="str">
        <v/>
      </c>
      <c r="H539" s="49">
        <v>0</v>
      </c>
      <c r="I539" s="49">
        <v>0</v>
      </c>
      <c r="J539" s="50"/>
    </row>
    <row r="540" outlineLevel="1" spans="1:10">
      <c r="A540" s="50">
        <v>447</v>
      </c>
      <c r="B540" s="51" t="str">
        <v>楼地面-60厚C15细石砼</v>
      </c>
      <c r="C540" s="51" t="e">
        <v>#REF!</v>
      </c>
      <c r="D540" s="51" t="str">
        <v/>
      </c>
      <c r="E540" s="51" t="str">
        <v/>
      </c>
      <c r="F540" s="52" t="e">
        <v>#REF!</v>
      </c>
      <c r="G540" s="48" t="e">
        <v>#REF!</v>
      </c>
      <c r="H540" s="49">
        <v>1</v>
      </c>
      <c r="I540" s="49" t="e">
        <v>#REF!</v>
      </c>
      <c r="J540" s="50"/>
    </row>
    <row r="541" outlineLevel="1" spans="1:10">
      <c r="A541" s="50">
        <v>448</v>
      </c>
      <c r="B541" s="51" t="str">
        <v>楼地面-塑料膜</v>
      </c>
      <c r="C541" s="51" t="e">
        <v>#REF!</v>
      </c>
      <c r="D541" s="51" t="str">
        <v/>
      </c>
      <c r="E541" s="51" t="str">
        <v/>
      </c>
      <c r="F541" s="52" t="e">
        <v>#REF!</v>
      </c>
      <c r="G541" s="48" t="e">
        <v>#REF!</v>
      </c>
      <c r="H541" s="49">
        <v>1</v>
      </c>
      <c r="I541" s="49" t="e">
        <v>#REF!</v>
      </c>
      <c r="J541" s="50"/>
    </row>
    <row r="542" outlineLevel="1" spans="1:10">
      <c r="A542" s="50">
        <v>449</v>
      </c>
      <c r="B542" s="51" t="str">
        <v>楼地面-150厚3:7灰土夯实</v>
      </c>
      <c r="C542" s="51" t="e">
        <v>#REF!</v>
      </c>
      <c r="D542" s="51" t="str">
        <v/>
      </c>
      <c r="E542" s="51" t="str">
        <v/>
      </c>
      <c r="F542" s="52" t="e">
        <v>#REF!</v>
      </c>
      <c r="G542" s="48" t="e">
        <v>#REF!</v>
      </c>
      <c r="H542" s="49">
        <v>1</v>
      </c>
      <c r="I542" s="49" t="e">
        <v>#REF!</v>
      </c>
      <c r="J542" s="50"/>
    </row>
    <row r="543" outlineLevel="1" spans="1:10">
      <c r="A543" s="50">
        <v>450</v>
      </c>
      <c r="B543" s="51" t="str">
        <v>楼地面-素土夯实</v>
      </c>
      <c r="C543" s="51" t="e">
        <v>#REF!</v>
      </c>
      <c r="D543" s="51" t="str">
        <v/>
      </c>
      <c r="E543" s="51" t="str">
        <v/>
      </c>
      <c r="F543" s="52" t="e">
        <v>#REF!</v>
      </c>
      <c r="G543" s="48" t="e">
        <v>#REF!</v>
      </c>
      <c r="H543" s="49">
        <v>1</v>
      </c>
      <c r="I543" s="49" t="e">
        <v>#REF!</v>
      </c>
      <c r="J543" s="50"/>
    </row>
    <row r="544" ht="28.8" outlineLevel="1" spans="1:10">
      <c r="A544" s="50" t="str">
        <v/>
      </c>
      <c r="B544" s="51" t="str">
        <v>卫生间楼面（有覆土）用于售楼部</v>
      </c>
      <c r="C544" s="51" t="str">
        <v/>
      </c>
      <c r="D544" s="51" t="str">
        <v/>
      </c>
      <c r="E544" s="51" t="str">
        <v/>
      </c>
      <c r="F544" s="52" t="str">
        <v/>
      </c>
      <c r="G544" s="48" t="str">
        <v/>
      </c>
      <c r="H544" s="49">
        <v>0</v>
      </c>
      <c r="I544" s="49">
        <v>0</v>
      </c>
      <c r="J544" s="50"/>
    </row>
    <row r="545" outlineLevel="1" spans="1:10">
      <c r="A545" s="50">
        <v>451</v>
      </c>
      <c r="B545" s="51" t="str">
        <v>楼地面-65厚C15豆石砼找坡</v>
      </c>
      <c r="C545" s="51" t="e">
        <v>#REF!</v>
      </c>
      <c r="D545" s="51" t="str">
        <v/>
      </c>
      <c r="E545" s="51" t="str">
        <v/>
      </c>
      <c r="F545" s="52" t="e">
        <v>#REF!</v>
      </c>
      <c r="G545" s="48" t="e">
        <v>#REF!</v>
      </c>
      <c r="H545" s="49">
        <v>0</v>
      </c>
      <c r="I545" s="49" t="e">
        <v>#REF!</v>
      </c>
      <c r="J545" s="50"/>
    </row>
    <row r="546" outlineLevel="1" spans="1:10">
      <c r="A546" s="50">
        <v>452</v>
      </c>
      <c r="B546" s="51" t="str">
        <v>楼地面-玻纤网</v>
      </c>
      <c r="C546" s="51" t="e">
        <v>#REF!</v>
      </c>
      <c r="D546" s="51" t="str">
        <v/>
      </c>
      <c r="E546" s="51" t="str">
        <v/>
      </c>
      <c r="F546" s="52" t="e">
        <v>#REF!</v>
      </c>
      <c r="G546" s="48" t="e">
        <v>#REF!</v>
      </c>
      <c r="H546" s="49">
        <v>0</v>
      </c>
      <c r="I546" s="49" t="e">
        <v>#REF!</v>
      </c>
      <c r="J546" s="50"/>
    </row>
    <row r="547" outlineLevel="1" spans="1:10">
      <c r="A547" s="50">
        <v>453</v>
      </c>
      <c r="B547" s="51" t="str">
        <v>楼地面-100厚C20砼</v>
      </c>
      <c r="C547" s="51" t="e">
        <v>#REF!</v>
      </c>
      <c r="D547" s="51" t="str">
        <v/>
      </c>
      <c r="E547" s="51" t="str">
        <v/>
      </c>
      <c r="F547" s="52" t="e">
        <v>#REF!</v>
      </c>
      <c r="G547" s="48" t="e">
        <v>#REF!</v>
      </c>
      <c r="H547" s="49">
        <v>0</v>
      </c>
      <c r="I547" s="49" t="e">
        <v>#REF!</v>
      </c>
      <c r="J547" s="50"/>
    </row>
    <row r="548" outlineLevel="1" spans="1:10">
      <c r="A548" s="50">
        <v>454</v>
      </c>
      <c r="B548" s="51" t="str">
        <v>楼地面-塑料膜</v>
      </c>
      <c r="C548" s="51" t="e">
        <v>#REF!</v>
      </c>
      <c r="D548" s="51" t="str">
        <v/>
      </c>
      <c r="E548" s="51" t="str">
        <v/>
      </c>
      <c r="F548" s="52" t="e">
        <v>#REF!</v>
      </c>
      <c r="G548" s="48" t="e">
        <v>#REF!</v>
      </c>
      <c r="H548" s="49">
        <v>0</v>
      </c>
      <c r="I548" s="49" t="e">
        <v>#REF!</v>
      </c>
      <c r="J548" s="50"/>
    </row>
    <row r="549" outlineLevel="1" spans="1:10">
      <c r="A549" s="50">
        <v>455</v>
      </c>
      <c r="B549" s="51" t="str">
        <v>楼地面-150厚3:7灰土夯实</v>
      </c>
      <c r="C549" s="51" t="e">
        <v>#REF!</v>
      </c>
      <c r="D549" s="51" t="str">
        <v/>
      </c>
      <c r="E549" s="51" t="str">
        <v/>
      </c>
      <c r="F549" s="52" t="e">
        <v>#REF!</v>
      </c>
      <c r="G549" s="48" t="e">
        <v>#REF!</v>
      </c>
      <c r="H549" s="49">
        <v>0</v>
      </c>
      <c r="I549" s="49" t="e">
        <v>#REF!</v>
      </c>
      <c r="J549" s="50"/>
    </row>
    <row r="550" outlineLevel="1" spans="1:10">
      <c r="A550" s="50">
        <v>456</v>
      </c>
      <c r="B550" s="51" t="str">
        <v>楼地面-素土夯实</v>
      </c>
      <c r="C550" s="51" t="e">
        <v>#REF!</v>
      </c>
      <c r="D550" s="51" t="str">
        <v/>
      </c>
      <c r="E550" s="51" t="str">
        <v/>
      </c>
      <c r="F550" s="52" t="e">
        <v>#REF!</v>
      </c>
      <c r="G550" s="48" t="e">
        <v>#REF!</v>
      </c>
      <c r="H550" s="49">
        <v>0</v>
      </c>
      <c r="I550" s="49" t="e">
        <v>#REF!</v>
      </c>
      <c r="J550" s="50"/>
    </row>
    <row r="551" ht="28.8" outlineLevel="1" spans="1:10">
      <c r="A551" s="50" t="str">
        <v/>
      </c>
      <c r="B551" s="51" t="str">
        <v>户内除卫生间楼面（有覆土）</v>
      </c>
      <c r="C551" s="51" t="str">
        <v/>
      </c>
      <c r="D551" s="51" t="str">
        <v/>
      </c>
      <c r="E551" s="51" t="str">
        <v/>
      </c>
      <c r="F551" s="52" t="str">
        <v/>
      </c>
      <c r="G551" s="48" t="str">
        <v/>
      </c>
      <c r="H551" s="49">
        <v>0</v>
      </c>
      <c r="I551" s="49">
        <v>0</v>
      </c>
      <c r="J551" s="50"/>
    </row>
    <row r="552" outlineLevel="1" spans="1:10">
      <c r="A552" s="50">
        <v>457</v>
      </c>
      <c r="B552" s="51" t="str">
        <v>楼地面-50厚C15豆石砼</v>
      </c>
      <c r="C552" s="51" t="e">
        <v>#REF!</v>
      </c>
      <c r="D552" s="51" t="str">
        <v/>
      </c>
      <c r="E552" s="51" t="str">
        <v/>
      </c>
      <c r="F552" s="52" t="e">
        <v>#REF!</v>
      </c>
      <c r="G552" s="48" t="e">
        <v>#REF!</v>
      </c>
      <c r="H552" s="49">
        <v>0</v>
      </c>
      <c r="I552" s="49" t="e">
        <v>#REF!</v>
      </c>
      <c r="J552" s="50"/>
    </row>
    <row r="553" outlineLevel="1" spans="1:10">
      <c r="A553" s="50">
        <v>458</v>
      </c>
      <c r="B553" s="51" t="str">
        <v>楼地面-玻纤网</v>
      </c>
      <c r="C553" s="51" t="e">
        <v>#REF!</v>
      </c>
      <c r="D553" s="51" t="str">
        <v/>
      </c>
      <c r="E553" s="51" t="str">
        <v/>
      </c>
      <c r="F553" s="52" t="e">
        <v>#REF!</v>
      </c>
      <c r="G553" s="48" t="e">
        <v>#REF!</v>
      </c>
      <c r="H553" s="49">
        <v>0</v>
      </c>
      <c r="I553" s="49" t="e">
        <v>#REF!</v>
      </c>
      <c r="J553" s="50"/>
    </row>
    <row r="554" outlineLevel="1" spans="1:10">
      <c r="A554" s="50">
        <v>459</v>
      </c>
      <c r="B554" s="51" t="str">
        <v>楼地面-15厚M20水泥砂浆</v>
      </c>
      <c r="C554" s="51" t="e">
        <v>#REF!</v>
      </c>
      <c r="D554" s="51" t="str">
        <v/>
      </c>
      <c r="E554" s="51" t="str">
        <v/>
      </c>
      <c r="F554" s="52" t="e">
        <v>#REF!</v>
      </c>
      <c r="G554" s="48" t="e">
        <v>#REF!</v>
      </c>
      <c r="H554" s="49">
        <v>0</v>
      </c>
      <c r="I554" s="49" t="e">
        <v>#REF!</v>
      </c>
      <c r="J554" s="50"/>
    </row>
    <row r="555" outlineLevel="1" spans="1:10">
      <c r="A555" s="50">
        <v>460</v>
      </c>
      <c r="B555" s="51" t="str">
        <v>楼地面-60厚C15细石砼</v>
      </c>
      <c r="C555" s="51" t="e">
        <v>#REF!</v>
      </c>
      <c r="D555" s="51" t="str">
        <v/>
      </c>
      <c r="E555" s="51" t="str">
        <v/>
      </c>
      <c r="F555" s="52" t="e">
        <v>#REF!</v>
      </c>
      <c r="G555" s="48" t="e">
        <v>#REF!</v>
      </c>
      <c r="H555" s="49">
        <v>0</v>
      </c>
      <c r="I555" s="49" t="e">
        <v>#REF!</v>
      </c>
      <c r="J555" s="50"/>
    </row>
    <row r="556" outlineLevel="1" spans="1:10">
      <c r="A556" s="50">
        <v>461</v>
      </c>
      <c r="B556" s="51" t="str">
        <v>楼地面-塑料膜</v>
      </c>
      <c r="C556" s="51" t="e">
        <v>#REF!</v>
      </c>
      <c r="D556" s="51" t="str">
        <v/>
      </c>
      <c r="E556" s="51" t="str">
        <v/>
      </c>
      <c r="F556" s="52" t="e">
        <v>#REF!</v>
      </c>
      <c r="G556" s="48" t="e">
        <v>#REF!</v>
      </c>
      <c r="H556" s="49">
        <v>0</v>
      </c>
      <c r="I556" s="49" t="e">
        <v>#REF!</v>
      </c>
      <c r="J556" s="50"/>
    </row>
    <row r="557" outlineLevel="1" spans="1:10">
      <c r="A557" s="50">
        <v>462</v>
      </c>
      <c r="B557" s="51" t="str">
        <v>楼地面-150厚3:7灰土夯实</v>
      </c>
      <c r="C557" s="51" t="e">
        <v>#REF!</v>
      </c>
      <c r="D557" s="51" t="str">
        <v/>
      </c>
      <c r="E557" s="51" t="str">
        <v/>
      </c>
      <c r="F557" s="52" t="e">
        <v>#REF!</v>
      </c>
      <c r="G557" s="48" t="e">
        <v>#REF!</v>
      </c>
      <c r="H557" s="49">
        <v>0</v>
      </c>
      <c r="I557" s="49" t="e">
        <v>#REF!</v>
      </c>
      <c r="J557" s="50"/>
    </row>
    <row r="558" outlineLevel="1" spans="1:10">
      <c r="A558" s="50">
        <v>463</v>
      </c>
      <c r="B558" s="51" t="str">
        <v>楼地面-素土夯实</v>
      </c>
      <c r="C558" s="51" t="e">
        <v>#REF!</v>
      </c>
      <c r="D558" s="51" t="str">
        <v/>
      </c>
      <c r="E558" s="51" t="str">
        <v/>
      </c>
      <c r="F558" s="52" t="e">
        <v>#REF!</v>
      </c>
      <c r="G558" s="48" t="e">
        <v>#REF!</v>
      </c>
      <c r="H558" s="49">
        <v>0</v>
      </c>
      <c r="I558" s="49" t="e">
        <v>#REF!</v>
      </c>
      <c r="J558" s="50"/>
    </row>
    <row r="559" ht="28.8" outlineLevel="1" spans="1:10">
      <c r="A559" s="50" t="str">
        <v/>
      </c>
      <c r="B559" s="51" t="str">
        <v>有覆土房间，地库以上，地面素土以下做法</v>
      </c>
      <c r="C559" s="51" t="str">
        <v/>
      </c>
      <c r="D559" s="51" t="str">
        <v/>
      </c>
      <c r="E559" s="51" t="str">
        <v/>
      </c>
      <c r="F559" s="52" t="str">
        <v/>
      </c>
      <c r="G559" s="48" t="str">
        <v/>
      </c>
      <c r="H559" s="49">
        <v>0</v>
      </c>
      <c r="I559" s="49">
        <v>0</v>
      </c>
      <c r="J559" s="50"/>
    </row>
    <row r="560" outlineLevel="1" spans="1:10">
      <c r="A560" s="50">
        <v>464</v>
      </c>
      <c r="B560" s="51" t="str">
        <v>楼地面-20厚M20水泥砂浆</v>
      </c>
      <c r="C560" s="51" t="e">
        <v>#REF!</v>
      </c>
      <c r="D560" s="51" t="str">
        <v/>
      </c>
      <c r="E560" s="51" t="str">
        <v/>
      </c>
      <c r="F560" s="52" t="e">
        <v>#REF!</v>
      </c>
      <c r="G560" s="48" t="e">
        <v>#REF!</v>
      </c>
      <c r="H560" s="49">
        <v>1</v>
      </c>
      <c r="I560" s="49" t="e">
        <v>#REF!</v>
      </c>
      <c r="J560" s="50"/>
    </row>
    <row r="561" outlineLevel="1" spans="1:10">
      <c r="A561" s="50">
        <v>465</v>
      </c>
      <c r="B561" s="51" t="str">
        <v>楼地面-聚氨酯防水涂料</v>
      </c>
      <c r="C561" s="51" t="e">
        <v>#REF!</v>
      </c>
      <c r="D561" s="51" t="str">
        <v/>
      </c>
      <c r="E561" s="51" t="str">
        <v/>
      </c>
      <c r="F561" s="52" t="e">
        <v>#REF!</v>
      </c>
      <c r="G561" s="48" t="e">
        <v>#REF!</v>
      </c>
      <c r="H561" s="49">
        <v>1</v>
      </c>
      <c r="I561" s="49" t="e">
        <v>#REF!</v>
      </c>
      <c r="J561" s="50"/>
    </row>
    <row r="562" outlineLevel="1" spans="1:10">
      <c r="A562" s="50">
        <v>466</v>
      </c>
      <c r="B562" s="51" t="str">
        <v>楼地面-20厚M20水泥砂浆</v>
      </c>
      <c r="C562" s="51" t="e">
        <v>#REF!</v>
      </c>
      <c r="D562" s="51" t="str">
        <v/>
      </c>
      <c r="E562" s="51" t="str">
        <v/>
      </c>
      <c r="F562" s="52" t="e">
        <v>#REF!</v>
      </c>
      <c r="G562" s="48" t="e">
        <v>#REF!</v>
      </c>
      <c r="H562" s="49">
        <v>1</v>
      </c>
      <c r="I562" s="49" t="e">
        <v>#REF!</v>
      </c>
      <c r="J562" s="50"/>
    </row>
    <row r="563" outlineLevel="1" spans="1:10">
      <c r="A563" s="50">
        <v>467</v>
      </c>
      <c r="B563" s="51" t="str">
        <v>楼地面-15厚水泥基自流平</v>
      </c>
      <c r="C563" s="51" t="e">
        <v>#REF!</v>
      </c>
      <c r="D563" s="51" t="str">
        <v/>
      </c>
      <c r="E563" s="51" t="str">
        <v/>
      </c>
      <c r="F563" s="52" t="e">
        <v>#REF!</v>
      </c>
      <c r="G563" s="48" t="e">
        <v>#REF!</v>
      </c>
      <c r="H563" s="49">
        <v>0</v>
      </c>
      <c r="I563" s="49" t="e">
        <v>#REF!</v>
      </c>
      <c r="J563" s="50"/>
    </row>
    <row r="564" outlineLevel="1" spans="1:10">
      <c r="A564" s="50">
        <v>468</v>
      </c>
      <c r="B564" s="51" t="str">
        <v>楼地面-20厚水泥基自流平</v>
      </c>
      <c r="C564" s="51" t="e">
        <v>#REF!</v>
      </c>
      <c r="D564" s="51" t="str">
        <v/>
      </c>
      <c r="E564" s="51" t="str">
        <v/>
      </c>
      <c r="F564" s="52" t="e">
        <v>#REF!</v>
      </c>
      <c r="G564" s="48" t="e">
        <v>#REF!</v>
      </c>
      <c r="H564" s="49">
        <v>0</v>
      </c>
      <c r="I564" s="49" t="e">
        <v>#REF!</v>
      </c>
      <c r="J564" s="50"/>
    </row>
    <row r="565" outlineLevel="1" spans="1:10">
      <c r="A565" s="50">
        <v>469</v>
      </c>
      <c r="B565" s="51" t="str">
        <v>楼地面-15厚石膏基自流平</v>
      </c>
      <c r="C565" s="51" t="e">
        <v>#REF!</v>
      </c>
      <c r="D565" s="51" t="str">
        <v/>
      </c>
      <c r="E565" s="51" t="str">
        <v/>
      </c>
      <c r="F565" s="52" t="e">
        <v>#REF!</v>
      </c>
      <c r="G565" s="48" t="e">
        <v>#REF!</v>
      </c>
      <c r="H565" s="49">
        <v>0</v>
      </c>
      <c r="I565" s="49" t="e">
        <v>#REF!</v>
      </c>
      <c r="J565" s="50"/>
    </row>
    <row r="566" outlineLevel="1" spans="1:10">
      <c r="A566" s="50">
        <v>470</v>
      </c>
      <c r="B566" s="51" t="str">
        <v>楼地面-20厚石膏基自流平</v>
      </c>
      <c r="C566" s="51" t="e">
        <v>#REF!</v>
      </c>
      <c r="D566" s="51" t="str">
        <v/>
      </c>
      <c r="E566" s="51" t="str">
        <v/>
      </c>
      <c r="F566" s="52" t="e">
        <v>#REF!</v>
      </c>
      <c r="G566" s="48" t="e">
        <v>#REF!</v>
      </c>
      <c r="H566" s="49">
        <v>0</v>
      </c>
      <c r="I566" s="49" t="e">
        <v>#REF!</v>
      </c>
      <c r="J566" s="50"/>
    </row>
    <row r="567" outlineLevel="1" spans="1:10">
      <c r="A567" s="50" t="str">
        <v/>
      </c>
      <c r="B567" s="51" t="str">
        <v>其他房间</v>
      </c>
      <c r="C567" s="51" t="str">
        <v/>
      </c>
      <c r="D567" s="51" t="str">
        <v/>
      </c>
      <c r="E567" s="51" t="str">
        <v/>
      </c>
      <c r="F567" s="52" t="str">
        <v/>
      </c>
      <c r="G567" s="48" t="str">
        <v/>
      </c>
      <c r="H567" s="49">
        <v>0</v>
      </c>
      <c r="I567" s="49">
        <v>0</v>
      </c>
      <c r="J567" s="50"/>
    </row>
    <row r="568" outlineLevel="1" spans="1:10">
      <c r="A568" s="50">
        <v>471</v>
      </c>
      <c r="B568" s="51" t="str">
        <v>楼地面-50厚C20细石砼</v>
      </c>
      <c r="C568" s="51" t="e">
        <v>#REF!</v>
      </c>
      <c r="D568" s="51" t="str">
        <v/>
      </c>
      <c r="E568" s="51" t="str">
        <v/>
      </c>
      <c r="F568" s="52" t="e">
        <v>#REF!</v>
      </c>
      <c r="G568" s="48" t="e">
        <v>#REF!</v>
      </c>
      <c r="H568" s="49">
        <v>0</v>
      </c>
      <c r="I568" s="49" t="e">
        <v>#REF!</v>
      </c>
      <c r="J568" s="50"/>
    </row>
    <row r="569" outlineLevel="1" spans="1:10">
      <c r="A569" s="50">
        <v>472</v>
      </c>
      <c r="B569" s="51" t="str">
        <v>楼地面-聚氨酯防水涂料</v>
      </c>
      <c r="C569" s="51" t="e">
        <v>#REF!</v>
      </c>
      <c r="D569" s="51" t="str">
        <v/>
      </c>
      <c r="E569" s="51" t="str">
        <v/>
      </c>
      <c r="F569" s="52" t="e">
        <v>#REF!</v>
      </c>
      <c r="G569" s="48" t="e">
        <v>#REF!</v>
      </c>
      <c r="H569" s="49">
        <v>0</v>
      </c>
      <c r="I569" s="49" t="e">
        <v>#REF!</v>
      </c>
      <c r="J569" s="50"/>
    </row>
    <row r="570" outlineLevel="1" spans="1:10">
      <c r="A570" s="50">
        <v>473</v>
      </c>
      <c r="B570" s="51" t="str">
        <v>楼地面-15厚M20水泥砂浆</v>
      </c>
      <c r="C570" s="51" t="e">
        <v>#REF!</v>
      </c>
      <c r="D570" s="51" t="str">
        <v/>
      </c>
      <c r="E570" s="51" t="str">
        <v/>
      </c>
      <c r="F570" s="52" t="e">
        <v>#REF!</v>
      </c>
      <c r="G570" s="48" t="e">
        <v>#REF!</v>
      </c>
      <c r="H570" s="49">
        <v>0</v>
      </c>
      <c r="I570" s="49" t="e">
        <v>#REF!</v>
      </c>
      <c r="J570" s="50"/>
    </row>
    <row r="571" outlineLevel="1" spans="1:10">
      <c r="A571" s="50">
        <v>474</v>
      </c>
      <c r="B571" s="51" t="str">
        <v>楼地面-玻纤网</v>
      </c>
      <c r="C571" s="51" t="e">
        <v>#REF!</v>
      </c>
      <c r="D571" s="51" t="str">
        <v/>
      </c>
      <c r="E571" s="51" t="str">
        <v/>
      </c>
      <c r="F571" s="52" t="e">
        <v>#REF!</v>
      </c>
      <c r="G571" s="48" t="e">
        <v>#REF!</v>
      </c>
      <c r="H571" s="49">
        <v>0</v>
      </c>
      <c r="I571" s="49" t="e">
        <v>#REF!</v>
      </c>
      <c r="J571" s="50"/>
    </row>
    <row r="572" outlineLevel="1" spans="1:10">
      <c r="A572" s="50">
        <v>475</v>
      </c>
      <c r="B572" s="51" t="str">
        <v>楼地面-塑料膜</v>
      </c>
      <c r="C572" s="51" t="e">
        <v>#REF!</v>
      </c>
      <c r="D572" s="51" t="str">
        <v/>
      </c>
      <c r="E572" s="51" t="str">
        <v/>
      </c>
      <c r="F572" s="52" t="e">
        <v>#REF!</v>
      </c>
      <c r="G572" s="48" t="e">
        <v>#REF!</v>
      </c>
      <c r="H572" s="49">
        <v>0</v>
      </c>
      <c r="I572" s="49" t="e">
        <v>#REF!</v>
      </c>
      <c r="J572" s="50"/>
    </row>
    <row r="573" outlineLevel="1" spans="1:10">
      <c r="A573" s="50">
        <v>476</v>
      </c>
      <c r="B573" s="51" t="str">
        <v>楼地面-180厚XPS</v>
      </c>
      <c r="C573" s="51" t="e">
        <v>#REF!</v>
      </c>
      <c r="D573" s="51" t="str">
        <v/>
      </c>
      <c r="E573" s="51" t="str">
        <v/>
      </c>
      <c r="F573" s="52" t="e">
        <v>#REF!</v>
      </c>
      <c r="G573" s="48" t="e">
        <v>#REF!</v>
      </c>
      <c r="H573" s="49">
        <v>0</v>
      </c>
      <c r="I573" s="49" t="e">
        <v>#REF!</v>
      </c>
      <c r="J573" s="50"/>
    </row>
    <row r="574" outlineLevel="1" spans="1:10">
      <c r="A574" s="50">
        <v>477</v>
      </c>
      <c r="B574" s="51" t="str">
        <v>楼地面-15厚M20水泥砂浆</v>
      </c>
      <c r="C574" s="51" t="e">
        <v>#REF!</v>
      </c>
      <c r="D574" s="51" t="str">
        <v/>
      </c>
      <c r="E574" s="51" t="str">
        <v/>
      </c>
      <c r="F574" s="52" t="e">
        <v>#REF!</v>
      </c>
      <c r="G574" s="48" t="e">
        <v>#REF!</v>
      </c>
      <c r="H574" s="49">
        <v>0</v>
      </c>
      <c r="I574" s="49" t="e">
        <v>#REF!</v>
      </c>
      <c r="J574" s="50"/>
    </row>
    <row r="575" outlineLevel="1" spans="1:10">
      <c r="A575" s="50">
        <v>478</v>
      </c>
      <c r="B575" s="51" t="str">
        <v>楼地面-60厚C15细石砼</v>
      </c>
      <c r="C575" s="51" t="e">
        <v>#REF!</v>
      </c>
      <c r="D575" s="51" t="str">
        <v/>
      </c>
      <c r="E575" s="51" t="str">
        <v/>
      </c>
      <c r="F575" s="52" t="e">
        <v>#REF!</v>
      </c>
      <c r="G575" s="48" t="e">
        <v>#REF!</v>
      </c>
      <c r="H575" s="49">
        <v>0</v>
      </c>
      <c r="I575" s="49" t="e">
        <v>#REF!</v>
      </c>
      <c r="J575" s="50"/>
    </row>
    <row r="576" outlineLevel="1" spans="1:10">
      <c r="A576" s="50">
        <v>479</v>
      </c>
      <c r="B576" s="51" t="str">
        <v>楼地面-双层Φ3@50钢筋网</v>
      </c>
      <c r="C576" s="51" t="e">
        <v>#REF!</v>
      </c>
      <c r="D576" s="51" t="str">
        <v/>
      </c>
      <c r="E576" s="51" t="str">
        <v/>
      </c>
      <c r="F576" s="52" t="e">
        <v>#REF!</v>
      </c>
      <c r="G576" s="48" t="e">
        <v>#REF!</v>
      </c>
      <c r="H576" s="49">
        <v>0</v>
      </c>
      <c r="I576" s="49" t="e">
        <v>#REF!</v>
      </c>
      <c r="J576" s="50"/>
    </row>
    <row r="577" outlineLevel="1" spans="1:10">
      <c r="A577" s="50">
        <v>480</v>
      </c>
      <c r="B577" s="51" t="str">
        <v>楼地面-塑料膜</v>
      </c>
      <c r="C577" s="51" t="e">
        <v>#REF!</v>
      </c>
      <c r="D577" s="51" t="str">
        <v/>
      </c>
      <c r="E577" s="51" t="str">
        <v/>
      </c>
      <c r="F577" s="52" t="e">
        <v>#REF!</v>
      </c>
      <c r="G577" s="48" t="e">
        <v>#REF!</v>
      </c>
      <c r="H577" s="49">
        <v>0</v>
      </c>
      <c r="I577" s="49" t="e">
        <v>#REF!</v>
      </c>
      <c r="J577" s="50"/>
    </row>
    <row r="578" outlineLevel="1" spans="1:10">
      <c r="A578" s="50">
        <v>481</v>
      </c>
      <c r="B578" s="51" t="str">
        <v>楼地面-150厚3:7灰土夯实</v>
      </c>
      <c r="C578" s="51" t="e">
        <v>#REF!</v>
      </c>
      <c r="D578" s="51" t="str">
        <v/>
      </c>
      <c r="E578" s="51" t="str">
        <v/>
      </c>
      <c r="F578" s="52" t="e">
        <v>#REF!</v>
      </c>
      <c r="G578" s="48" t="e">
        <v>#REF!</v>
      </c>
      <c r="H578" s="49">
        <v>0</v>
      </c>
      <c r="I578" s="49" t="e">
        <v>#REF!</v>
      </c>
      <c r="J578" s="50"/>
    </row>
    <row r="579" outlineLevel="1" spans="1:10">
      <c r="A579" s="50">
        <v>482</v>
      </c>
      <c r="B579" s="51" t="str">
        <v>楼地面-素土夯实</v>
      </c>
      <c r="C579" s="51" t="e">
        <v>#REF!</v>
      </c>
      <c r="D579" s="51" t="str">
        <v/>
      </c>
      <c r="E579" s="51" t="str">
        <v/>
      </c>
      <c r="F579" s="52" t="e">
        <v>#REF!</v>
      </c>
      <c r="G579" s="48" t="e">
        <v>#REF!</v>
      </c>
      <c r="H579" s="49">
        <v>0</v>
      </c>
      <c r="I579" s="49" t="e">
        <v>#REF!</v>
      </c>
      <c r="J579" s="50"/>
    </row>
    <row r="580" ht="28.8" outlineLevel="1" spans="1:10">
      <c r="A580" s="50">
        <v>483</v>
      </c>
      <c r="B580" s="51" t="str">
        <v>楼地面-50厚C15细石砼（毛坯）</v>
      </c>
      <c r="C580" s="51" t="e">
        <v>#REF!</v>
      </c>
      <c r="D580" s="51" t="str">
        <v/>
      </c>
      <c r="E580" s="51" t="str">
        <v/>
      </c>
      <c r="F580" s="52" t="e">
        <v>#REF!</v>
      </c>
      <c r="G580" s="48" t="e">
        <v>#REF!</v>
      </c>
      <c r="H580" s="49">
        <v>4368.09</v>
      </c>
      <c r="I580" s="49" t="e">
        <v>#REF!</v>
      </c>
      <c r="J580" s="50"/>
    </row>
    <row r="581" ht="28.8" outlineLevel="1" spans="1:10">
      <c r="A581" s="50">
        <v>484</v>
      </c>
      <c r="B581" s="51" t="str">
        <v>楼地面-50厚C15细石砼（毛坯）</v>
      </c>
      <c r="C581" s="51" t="e">
        <v>#REF!</v>
      </c>
      <c r="D581" s="51" t="str">
        <v/>
      </c>
      <c r="E581" s="51" t="str">
        <v/>
      </c>
      <c r="F581" s="52" t="e">
        <v>#REF!</v>
      </c>
      <c r="G581" s="48" t="e">
        <v>#REF!</v>
      </c>
      <c r="H581" s="49">
        <v>365.48</v>
      </c>
      <c r="I581" s="49" t="e">
        <v>#REF!</v>
      </c>
      <c r="J581" s="50"/>
    </row>
    <row r="582" outlineLevel="1" spans="1:10">
      <c r="A582" s="50" t="str">
        <v/>
      </c>
      <c r="B582" s="51" t="str">
        <v>阳台楼面（无覆土）</v>
      </c>
      <c r="C582" s="51" t="str">
        <v/>
      </c>
      <c r="D582" s="51" t="str">
        <v/>
      </c>
      <c r="E582" s="51" t="str">
        <v/>
      </c>
      <c r="F582" s="52" t="str">
        <v/>
      </c>
      <c r="G582" s="48" t="str">
        <v/>
      </c>
      <c r="H582" s="49">
        <v>0</v>
      </c>
      <c r="I582" s="49">
        <v>0</v>
      </c>
      <c r="J582" s="50"/>
    </row>
    <row r="583" outlineLevel="1" spans="1:10">
      <c r="A583" s="50">
        <v>485</v>
      </c>
      <c r="B583" s="51" t="str">
        <v>楼地面-50厚C15豆石砼找坡</v>
      </c>
      <c r="C583" s="51" t="e">
        <v>#REF!</v>
      </c>
      <c r="D583" s="51" t="str">
        <v/>
      </c>
      <c r="E583" s="51" t="str">
        <v/>
      </c>
      <c r="F583" s="52" t="e">
        <v>#REF!</v>
      </c>
      <c r="G583" s="48" t="e">
        <v>#REF!</v>
      </c>
      <c r="H583" s="49">
        <v>274.68</v>
      </c>
      <c r="I583" s="49" t="e">
        <v>#REF!</v>
      </c>
      <c r="J583" s="50"/>
    </row>
    <row r="584" outlineLevel="1" spans="1:10">
      <c r="A584" s="50">
        <v>486</v>
      </c>
      <c r="B584" s="51" t="str">
        <v>楼地面-玻纤网</v>
      </c>
      <c r="C584" s="51" t="e">
        <v>#REF!</v>
      </c>
      <c r="D584" s="51" t="str">
        <v/>
      </c>
      <c r="E584" s="51" t="str">
        <v/>
      </c>
      <c r="F584" s="52" t="e">
        <v>#REF!</v>
      </c>
      <c r="G584" s="48" t="e">
        <v>#REF!</v>
      </c>
      <c r="H584" s="49">
        <v>274.68</v>
      </c>
      <c r="I584" s="49" t="e">
        <v>#REF!</v>
      </c>
      <c r="J584" s="50"/>
    </row>
    <row r="585" outlineLevel="1" spans="1:10">
      <c r="A585" s="50">
        <v>487</v>
      </c>
      <c r="B585" s="51" t="str">
        <v>阳台地面-聚氨酯防水涂料</v>
      </c>
      <c r="C585" s="51" t="e">
        <v>#REF!</v>
      </c>
      <c r="D585" s="51" t="str">
        <v/>
      </c>
      <c r="E585" s="51" t="str">
        <v/>
      </c>
      <c r="F585" s="52" t="e">
        <v>#REF!</v>
      </c>
      <c r="G585" s="48" t="e">
        <v>#REF!</v>
      </c>
      <c r="H585" s="49">
        <v>0</v>
      </c>
      <c r="I585" s="49" t="e">
        <v>#REF!</v>
      </c>
      <c r="J585" s="50"/>
    </row>
    <row r="586" outlineLevel="1" spans="1:10">
      <c r="A586" s="50">
        <v>488</v>
      </c>
      <c r="B586" s="51" t="str">
        <v>楼地面-30厚C15豆石砼找坡</v>
      </c>
      <c r="C586" s="51" t="e">
        <v>#REF!</v>
      </c>
      <c r="D586" s="51" t="str">
        <v/>
      </c>
      <c r="E586" s="51" t="str">
        <v/>
      </c>
      <c r="F586" s="52" t="e">
        <v>#REF!</v>
      </c>
      <c r="G586" s="48" t="e">
        <v>#REF!</v>
      </c>
      <c r="H586" s="49">
        <v>0</v>
      </c>
      <c r="I586" s="49" t="e">
        <v>#REF!</v>
      </c>
      <c r="J586" s="50"/>
    </row>
    <row r="587" ht="28.8" outlineLevel="1" spans="1:10">
      <c r="A587" s="50" t="str">
        <v/>
      </c>
      <c r="B587" s="51" t="str">
        <v>一层有覆土的阳台地漏一米范围内</v>
      </c>
      <c r="C587" s="51" t="str">
        <v/>
      </c>
      <c r="D587" s="51" t="str">
        <v/>
      </c>
      <c r="E587" s="51" t="str">
        <v/>
      </c>
      <c r="F587" s="52" t="str">
        <v/>
      </c>
      <c r="G587" s="48" t="str">
        <v/>
      </c>
      <c r="H587" s="49">
        <v>0</v>
      </c>
      <c r="I587" s="49">
        <v>0</v>
      </c>
      <c r="J587" s="50"/>
    </row>
    <row r="588" outlineLevel="1" spans="1:10">
      <c r="A588" s="50">
        <v>489</v>
      </c>
      <c r="B588" s="51" t="str">
        <v>楼地面-30厚C15豆石砼找坡</v>
      </c>
      <c r="C588" s="51" t="e">
        <v>#REF!</v>
      </c>
      <c r="D588" s="51" t="str">
        <v/>
      </c>
      <c r="E588" s="51" t="str">
        <v/>
      </c>
      <c r="F588" s="52" t="e">
        <v>#REF!</v>
      </c>
      <c r="G588" s="48" t="e">
        <v>#REF!</v>
      </c>
      <c r="H588" s="49">
        <v>0</v>
      </c>
      <c r="I588" s="49" t="e">
        <v>#REF!</v>
      </c>
      <c r="J588" s="50"/>
    </row>
    <row r="589" outlineLevel="1" spans="1:10">
      <c r="A589" s="50">
        <v>490</v>
      </c>
      <c r="B589" s="51" t="str">
        <v>阳台地面-聚氨酯防水涂料</v>
      </c>
      <c r="C589" s="51" t="e">
        <v>#REF!</v>
      </c>
      <c r="D589" s="51" t="str">
        <v/>
      </c>
      <c r="E589" s="51" t="str">
        <v/>
      </c>
      <c r="F589" s="52" t="e">
        <v>#REF!</v>
      </c>
      <c r="G589" s="48" t="e">
        <v>#REF!</v>
      </c>
      <c r="H589" s="49">
        <v>0</v>
      </c>
      <c r="I589" s="49" t="e">
        <v>#REF!</v>
      </c>
      <c r="J589" s="50"/>
    </row>
    <row r="590" outlineLevel="1" spans="1:10">
      <c r="A590" s="50">
        <v>491</v>
      </c>
      <c r="B590" s="51" t="str">
        <v>楼地面-60厚C15细石砼</v>
      </c>
      <c r="C590" s="51" t="e">
        <v>#REF!</v>
      </c>
      <c r="D590" s="51" t="str">
        <v/>
      </c>
      <c r="E590" s="51" t="str">
        <v/>
      </c>
      <c r="F590" s="52" t="e">
        <v>#REF!</v>
      </c>
      <c r="G590" s="48" t="e">
        <v>#REF!</v>
      </c>
      <c r="H590" s="49">
        <v>0</v>
      </c>
      <c r="I590" s="49" t="e">
        <v>#REF!</v>
      </c>
      <c r="J590" s="50"/>
    </row>
    <row r="591" outlineLevel="1" spans="1:10">
      <c r="A591" s="50">
        <v>492</v>
      </c>
      <c r="B591" s="51" t="str">
        <v>楼地面-塑料膜</v>
      </c>
      <c r="C591" s="51" t="e">
        <v>#REF!</v>
      </c>
      <c r="D591" s="51" t="str">
        <v/>
      </c>
      <c r="E591" s="51" t="str">
        <v/>
      </c>
      <c r="F591" s="52" t="e">
        <v>#REF!</v>
      </c>
      <c r="G591" s="48" t="e">
        <v>#REF!</v>
      </c>
      <c r="H591" s="49">
        <v>0</v>
      </c>
      <c r="I591" s="49" t="e">
        <v>#REF!</v>
      </c>
      <c r="J591" s="50"/>
    </row>
    <row r="592" outlineLevel="1" spans="1:10">
      <c r="A592" s="50">
        <v>493</v>
      </c>
      <c r="B592" s="51" t="str">
        <v>楼地面-150厚3:7灰土夯实</v>
      </c>
      <c r="C592" s="51" t="e">
        <v>#REF!</v>
      </c>
      <c r="D592" s="51" t="str">
        <v/>
      </c>
      <c r="E592" s="51" t="str">
        <v/>
      </c>
      <c r="F592" s="52" t="e">
        <v>#REF!</v>
      </c>
      <c r="G592" s="48" t="e">
        <v>#REF!</v>
      </c>
      <c r="H592" s="49">
        <v>0</v>
      </c>
      <c r="I592" s="49" t="e">
        <v>#REF!</v>
      </c>
      <c r="J592" s="50"/>
    </row>
    <row r="593" outlineLevel="1" spans="1:10">
      <c r="A593" s="50">
        <v>494</v>
      </c>
      <c r="B593" s="51" t="str">
        <v>楼地面-水暖电井</v>
      </c>
      <c r="C593" s="51" t="e">
        <v>#REF!</v>
      </c>
      <c r="D593" s="51" t="str">
        <v/>
      </c>
      <c r="E593" s="51" t="str">
        <v/>
      </c>
      <c r="F593" s="52" t="e">
        <v>#REF!</v>
      </c>
      <c r="G593" s="48" t="e">
        <v>#REF!</v>
      </c>
      <c r="H593" s="49">
        <v>196.86</v>
      </c>
      <c r="I593" s="49" t="e">
        <v>#REF!</v>
      </c>
      <c r="J593" s="50"/>
    </row>
    <row r="594" outlineLevel="1" spans="1:10">
      <c r="A594" s="50" t="str">
        <v/>
      </c>
      <c r="B594" s="51" t="str">
        <v>厨房楼面（有覆土）</v>
      </c>
      <c r="C594" s="51" t="str">
        <v/>
      </c>
      <c r="D594" s="51" t="str">
        <v/>
      </c>
      <c r="E594" s="51" t="str">
        <v/>
      </c>
      <c r="F594" s="52" t="str">
        <v/>
      </c>
      <c r="G594" s="48" t="str">
        <v/>
      </c>
      <c r="H594" s="49">
        <v>0</v>
      </c>
      <c r="I594" s="49">
        <v>0</v>
      </c>
      <c r="J594" s="50"/>
    </row>
    <row r="595" outlineLevel="1" spans="1:10">
      <c r="A595" s="50">
        <v>495</v>
      </c>
      <c r="B595" s="51" t="str">
        <v>楼地面-60厚C15细石砼</v>
      </c>
      <c r="C595" s="51" t="e">
        <v>#REF!</v>
      </c>
      <c r="D595" s="51" t="str">
        <v/>
      </c>
      <c r="E595" s="51" t="str">
        <v/>
      </c>
      <c r="F595" s="52" t="e">
        <v>#REF!</v>
      </c>
      <c r="G595" s="48" t="e">
        <v>#REF!</v>
      </c>
      <c r="H595" s="49">
        <v>0</v>
      </c>
      <c r="I595" s="49" t="e">
        <v>#REF!</v>
      </c>
      <c r="J595" s="50"/>
    </row>
    <row r="596" outlineLevel="1" spans="1:10">
      <c r="A596" s="50">
        <v>496</v>
      </c>
      <c r="B596" s="51" t="str">
        <v>楼地面-玻纤网</v>
      </c>
      <c r="C596" s="51" t="e">
        <v>#REF!</v>
      </c>
      <c r="D596" s="51" t="str">
        <v/>
      </c>
      <c r="E596" s="51" t="str">
        <v/>
      </c>
      <c r="F596" s="52" t="e">
        <v>#REF!</v>
      </c>
      <c r="G596" s="48" t="e">
        <v>#REF!</v>
      </c>
      <c r="H596" s="49">
        <v>0</v>
      </c>
      <c r="I596" s="49" t="e">
        <v>#REF!</v>
      </c>
      <c r="J596" s="50"/>
    </row>
    <row r="597" outlineLevel="1" spans="1:10">
      <c r="A597" s="50">
        <v>497</v>
      </c>
      <c r="B597" s="51" t="str">
        <v>楼地面-塑料膜</v>
      </c>
      <c r="C597" s="51" t="e">
        <v>#REF!</v>
      </c>
      <c r="D597" s="51" t="str">
        <v/>
      </c>
      <c r="E597" s="51" t="str">
        <v/>
      </c>
      <c r="F597" s="52" t="e">
        <v>#REF!</v>
      </c>
      <c r="G597" s="48" t="e">
        <v>#REF!</v>
      </c>
      <c r="H597" s="49">
        <v>0</v>
      </c>
      <c r="I597" s="49" t="e">
        <v>#REF!</v>
      </c>
      <c r="J597" s="50"/>
    </row>
    <row r="598" outlineLevel="1" spans="1:10">
      <c r="A598" s="50">
        <v>498</v>
      </c>
      <c r="B598" s="51" t="str">
        <v>楼地面-150厚3:7灰土夯实</v>
      </c>
      <c r="C598" s="51" t="e">
        <v>#REF!</v>
      </c>
      <c r="D598" s="51" t="str">
        <v/>
      </c>
      <c r="E598" s="51" t="str">
        <v/>
      </c>
      <c r="F598" s="52" t="e">
        <v>#REF!</v>
      </c>
      <c r="G598" s="48" t="e">
        <v>#REF!</v>
      </c>
      <c r="H598" s="49">
        <v>0</v>
      </c>
      <c r="I598" s="49" t="e">
        <v>#REF!</v>
      </c>
      <c r="J598" s="50"/>
    </row>
    <row r="599" outlineLevel="1" spans="1:10">
      <c r="A599" s="50">
        <v>499</v>
      </c>
      <c r="B599" s="51" t="str">
        <v>楼地面-素土夯实</v>
      </c>
      <c r="C599" s="51" t="e">
        <v>#REF!</v>
      </c>
      <c r="D599" s="51" t="str">
        <v/>
      </c>
      <c r="E599" s="51" t="str">
        <v/>
      </c>
      <c r="F599" s="52" t="e">
        <v>#REF!</v>
      </c>
      <c r="G599" s="48" t="e">
        <v>#REF!</v>
      </c>
      <c r="H599" s="49">
        <v>0</v>
      </c>
      <c r="I599" s="49" t="e">
        <v>#REF!</v>
      </c>
      <c r="J599" s="50"/>
    </row>
    <row r="600" outlineLevel="1" spans="1:10">
      <c r="A600" s="50" t="str">
        <v/>
      </c>
      <c r="B600" s="51" t="str">
        <v>厨房、阳台楼面（有覆土）</v>
      </c>
      <c r="C600" s="51" t="str">
        <v/>
      </c>
      <c r="D600" s="51" t="str">
        <v/>
      </c>
      <c r="E600" s="51" t="str">
        <v/>
      </c>
      <c r="F600" s="52" t="str">
        <v/>
      </c>
      <c r="G600" s="48" t="str">
        <v/>
      </c>
      <c r="H600" s="49">
        <v>0</v>
      </c>
      <c r="I600" s="49">
        <v>0</v>
      </c>
      <c r="J600" s="50"/>
    </row>
    <row r="601" outlineLevel="1" spans="1:10">
      <c r="A601" s="50">
        <v>500</v>
      </c>
      <c r="B601" s="51" t="str">
        <v>楼地面-50厚C15豆石砼</v>
      </c>
      <c r="C601" s="51" t="e">
        <v>#REF!</v>
      </c>
      <c r="D601" s="51" t="str">
        <v/>
      </c>
      <c r="E601" s="51" t="str">
        <v/>
      </c>
      <c r="F601" s="52" t="e">
        <v>#REF!</v>
      </c>
      <c r="G601" s="48" t="e">
        <v>#REF!</v>
      </c>
      <c r="H601" s="49">
        <v>1</v>
      </c>
      <c r="I601" s="49" t="e">
        <v>#REF!</v>
      </c>
      <c r="J601" s="50"/>
    </row>
    <row r="602" outlineLevel="1" spans="1:10">
      <c r="A602" s="50">
        <v>501</v>
      </c>
      <c r="B602" s="51" t="str">
        <v>楼地面-60厚C15细石砼</v>
      </c>
      <c r="C602" s="51" t="e">
        <v>#REF!</v>
      </c>
      <c r="D602" s="51" t="str">
        <v/>
      </c>
      <c r="E602" s="51" t="str">
        <v/>
      </c>
      <c r="F602" s="52" t="e">
        <v>#REF!</v>
      </c>
      <c r="G602" s="48" t="e">
        <v>#REF!</v>
      </c>
      <c r="H602" s="49">
        <v>1</v>
      </c>
      <c r="I602" s="49" t="e">
        <v>#REF!</v>
      </c>
      <c r="J602" s="50"/>
    </row>
    <row r="603" outlineLevel="1" spans="1:10">
      <c r="A603" s="50">
        <v>502</v>
      </c>
      <c r="B603" s="51" t="str">
        <v>楼地面-玻纤网</v>
      </c>
      <c r="C603" s="51" t="e">
        <v>#REF!</v>
      </c>
      <c r="D603" s="51" t="str">
        <v/>
      </c>
      <c r="E603" s="51" t="str">
        <v/>
      </c>
      <c r="F603" s="52" t="e">
        <v>#REF!</v>
      </c>
      <c r="G603" s="48" t="e">
        <v>#REF!</v>
      </c>
      <c r="H603" s="49">
        <v>1</v>
      </c>
      <c r="I603" s="49" t="e">
        <v>#REF!</v>
      </c>
      <c r="J603" s="50"/>
    </row>
    <row r="604" outlineLevel="1" spans="1:10">
      <c r="A604" s="50">
        <v>503</v>
      </c>
      <c r="B604" s="51" t="str">
        <v>楼地面-塑料膜</v>
      </c>
      <c r="C604" s="51" t="e">
        <v>#REF!</v>
      </c>
      <c r="D604" s="51" t="str">
        <v/>
      </c>
      <c r="E604" s="51" t="str">
        <v/>
      </c>
      <c r="F604" s="52" t="e">
        <v>#REF!</v>
      </c>
      <c r="G604" s="48" t="e">
        <v>#REF!</v>
      </c>
      <c r="H604" s="49">
        <v>1</v>
      </c>
      <c r="I604" s="49" t="e">
        <v>#REF!</v>
      </c>
      <c r="J604" s="50"/>
    </row>
    <row r="605" outlineLevel="1" spans="1:10">
      <c r="A605" s="50">
        <v>504</v>
      </c>
      <c r="B605" s="51" t="str">
        <v>楼地面-150厚3:7灰土夯实</v>
      </c>
      <c r="C605" s="51" t="e">
        <v>#REF!</v>
      </c>
      <c r="D605" s="51" t="str">
        <v/>
      </c>
      <c r="E605" s="51" t="str">
        <v/>
      </c>
      <c r="F605" s="52" t="e">
        <v>#REF!</v>
      </c>
      <c r="G605" s="48" t="e">
        <v>#REF!</v>
      </c>
      <c r="H605" s="49">
        <v>1</v>
      </c>
      <c r="I605" s="49" t="e">
        <v>#REF!</v>
      </c>
      <c r="J605" s="50"/>
    </row>
    <row r="606" outlineLevel="1" spans="1:10">
      <c r="A606" s="50">
        <v>505</v>
      </c>
      <c r="B606" s="51" t="str">
        <v>楼地面-素土夯实</v>
      </c>
      <c r="C606" s="51" t="e">
        <v>#REF!</v>
      </c>
      <c r="D606" s="51" t="str">
        <v/>
      </c>
      <c r="E606" s="51" t="str">
        <v/>
      </c>
      <c r="F606" s="52" t="e">
        <v>#REF!</v>
      </c>
      <c r="G606" s="48" t="e">
        <v>#REF!</v>
      </c>
      <c r="H606" s="49">
        <v>1</v>
      </c>
      <c r="I606" s="49" t="e">
        <v>#REF!</v>
      </c>
      <c r="J606" s="50"/>
    </row>
    <row r="607" ht="28.8" outlineLevel="1" spans="1:10">
      <c r="A607" s="50">
        <v>506</v>
      </c>
      <c r="B607" s="51" t="str">
        <v>楼地面-50厚C15细石砼（毛坯）</v>
      </c>
      <c r="C607" s="51" t="e">
        <v>#REF!</v>
      </c>
      <c r="D607" s="51" t="str">
        <v/>
      </c>
      <c r="E607" s="51" t="str">
        <v/>
      </c>
      <c r="F607" s="52" t="e">
        <v>#REF!</v>
      </c>
      <c r="G607" s="48" t="e">
        <v>#REF!</v>
      </c>
      <c r="H607" s="49">
        <v>388.7</v>
      </c>
      <c r="I607" s="49" t="e">
        <v>#REF!</v>
      </c>
      <c r="J607" s="50"/>
    </row>
    <row r="608" outlineLevel="1" spans="1:10">
      <c r="A608" s="50" t="str">
        <v/>
      </c>
      <c r="B608" s="51" t="str">
        <v>厨房楼面（无覆土）</v>
      </c>
      <c r="C608" s="51" t="str">
        <v/>
      </c>
      <c r="D608" s="51" t="str">
        <v/>
      </c>
      <c r="E608" s="51" t="str">
        <v/>
      </c>
      <c r="F608" s="52" t="str">
        <v/>
      </c>
      <c r="G608" s="48" t="str">
        <v/>
      </c>
      <c r="H608" s="49">
        <v>0</v>
      </c>
      <c r="I608" s="49">
        <v>0</v>
      </c>
      <c r="J608" s="50"/>
    </row>
    <row r="609" outlineLevel="1" spans="1:10">
      <c r="A609" s="50">
        <v>507</v>
      </c>
      <c r="B609" s="51" t="str">
        <v>楼地面-50厚C15豆石砼</v>
      </c>
      <c r="C609" s="51" t="e">
        <v>#REF!</v>
      </c>
      <c r="D609" s="51" t="str">
        <v/>
      </c>
      <c r="E609" s="51" t="str">
        <v/>
      </c>
      <c r="F609" s="52" t="e">
        <v>#REF!</v>
      </c>
      <c r="G609" s="48" t="e">
        <v>#REF!</v>
      </c>
      <c r="H609" s="49">
        <v>1</v>
      </c>
      <c r="I609" s="49" t="e">
        <v>#REF!</v>
      </c>
      <c r="J609" s="50"/>
    </row>
    <row r="610" outlineLevel="1" spans="1:10">
      <c r="A610" s="50">
        <v>508</v>
      </c>
      <c r="B610" s="51" t="str">
        <v>楼地面-玻纤网</v>
      </c>
      <c r="C610" s="51" t="e">
        <v>#REF!</v>
      </c>
      <c r="D610" s="51" t="str">
        <v/>
      </c>
      <c r="E610" s="51" t="str">
        <v/>
      </c>
      <c r="F610" s="52" t="e">
        <v>#REF!</v>
      </c>
      <c r="G610" s="48" t="e">
        <v>#REF!</v>
      </c>
      <c r="H610" s="49">
        <v>1</v>
      </c>
      <c r="I610" s="49" t="e">
        <v>#REF!</v>
      </c>
      <c r="J610" s="50"/>
    </row>
    <row r="611" outlineLevel="1" spans="1:10">
      <c r="A611" s="50" t="str">
        <v/>
      </c>
      <c r="B611" s="51" t="str">
        <v>其他房间-用于其他配套</v>
      </c>
      <c r="C611" s="51" t="str">
        <v/>
      </c>
      <c r="D611" s="51" t="str">
        <v/>
      </c>
      <c r="E611" s="51" t="str">
        <v/>
      </c>
      <c r="F611" s="52" t="str">
        <v/>
      </c>
      <c r="G611" s="48" t="str">
        <v/>
      </c>
      <c r="H611" s="49">
        <v>0</v>
      </c>
      <c r="I611" s="49">
        <v>0</v>
      </c>
      <c r="J611" s="50"/>
    </row>
    <row r="612" outlineLevel="1" spans="1:10">
      <c r="A612" s="50">
        <v>509</v>
      </c>
      <c r="B612" s="51" t="str">
        <v>楼地面-50厚C15豆石砼</v>
      </c>
      <c r="C612" s="51" t="e">
        <v>#REF!</v>
      </c>
      <c r="D612" s="51" t="str">
        <v/>
      </c>
      <c r="E612" s="51" t="str">
        <v/>
      </c>
      <c r="F612" s="52" t="e">
        <v>#REF!</v>
      </c>
      <c r="G612" s="48" t="e">
        <v>#REF!</v>
      </c>
      <c r="H612" s="49">
        <v>0</v>
      </c>
      <c r="I612" s="49" t="e">
        <v>#REF!</v>
      </c>
      <c r="J612" s="50"/>
    </row>
    <row r="613" outlineLevel="1" spans="1:10">
      <c r="A613" s="50">
        <v>510</v>
      </c>
      <c r="B613" s="51" t="str">
        <v>楼地面-玻纤网</v>
      </c>
      <c r="C613" s="51" t="e">
        <v>#REF!</v>
      </c>
      <c r="D613" s="51" t="str">
        <v/>
      </c>
      <c r="E613" s="51" t="str">
        <v/>
      </c>
      <c r="F613" s="52" t="e">
        <v>#REF!</v>
      </c>
      <c r="G613" s="48" t="e">
        <v>#REF!</v>
      </c>
      <c r="H613" s="49">
        <v>0</v>
      </c>
      <c r="I613" s="49" t="e">
        <v>#REF!</v>
      </c>
      <c r="J613" s="50"/>
    </row>
    <row r="614" outlineLevel="1" spans="1:10">
      <c r="A614" s="50">
        <v>511</v>
      </c>
      <c r="B614" s="51" t="str">
        <v>楼地面-60厚C15细石砼</v>
      </c>
      <c r="C614" s="51" t="e">
        <v>#REF!</v>
      </c>
      <c r="D614" s="51" t="str">
        <v/>
      </c>
      <c r="E614" s="51" t="str">
        <v/>
      </c>
      <c r="F614" s="52" t="e">
        <v>#REF!</v>
      </c>
      <c r="G614" s="48" t="e">
        <v>#REF!</v>
      </c>
      <c r="H614" s="49">
        <v>0</v>
      </c>
      <c r="I614" s="49" t="e">
        <v>#REF!</v>
      </c>
      <c r="J614" s="50"/>
    </row>
    <row r="615" outlineLevel="1" spans="1:10">
      <c r="A615" s="50">
        <v>512</v>
      </c>
      <c r="B615" s="51" t="str">
        <v>楼地面-塑料膜</v>
      </c>
      <c r="C615" s="51" t="e">
        <v>#REF!</v>
      </c>
      <c r="D615" s="51" t="str">
        <v/>
      </c>
      <c r="E615" s="51" t="str">
        <v/>
      </c>
      <c r="F615" s="52" t="e">
        <v>#REF!</v>
      </c>
      <c r="G615" s="48" t="e">
        <v>#REF!</v>
      </c>
      <c r="H615" s="49">
        <v>0</v>
      </c>
      <c r="I615" s="49" t="e">
        <v>#REF!</v>
      </c>
      <c r="J615" s="50"/>
    </row>
    <row r="616" outlineLevel="1" spans="1:10">
      <c r="A616" s="50">
        <v>513</v>
      </c>
      <c r="B616" s="51" t="str">
        <v>楼地面-150厚3:7灰土夯实</v>
      </c>
      <c r="C616" s="51" t="e">
        <v>#REF!</v>
      </c>
      <c r="D616" s="51" t="str">
        <v/>
      </c>
      <c r="E616" s="51" t="str">
        <v/>
      </c>
      <c r="F616" s="52" t="e">
        <v>#REF!</v>
      </c>
      <c r="G616" s="48" t="e">
        <v>#REF!</v>
      </c>
      <c r="H616" s="49">
        <v>0</v>
      </c>
      <c r="I616" s="49" t="e">
        <v>#REF!</v>
      </c>
      <c r="J616" s="50"/>
    </row>
    <row r="617" outlineLevel="1" spans="1:10">
      <c r="A617" s="50">
        <v>514</v>
      </c>
      <c r="B617" s="51" t="str">
        <v>楼地面-素土夯实</v>
      </c>
      <c r="C617" s="51" t="e">
        <v>#REF!</v>
      </c>
      <c r="D617" s="51" t="str">
        <v/>
      </c>
      <c r="E617" s="51" t="str">
        <v/>
      </c>
      <c r="F617" s="52" t="e">
        <v>#REF!</v>
      </c>
      <c r="G617" s="48" t="e">
        <v>#REF!</v>
      </c>
      <c r="H617" s="49">
        <v>0</v>
      </c>
      <c r="I617" s="49" t="e">
        <v>#REF!</v>
      </c>
      <c r="J617" s="50"/>
    </row>
    <row r="618" outlineLevel="1" spans="1:10">
      <c r="A618" s="50" t="str">
        <v/>
      </c>
      <c r="B618" s="51" t="str">
        <v>其他房间-用于售楼处</v>
      </c>
      <c r="C618" s="51" t="str">
        <v/>
      </c>
      <c r="D618" s="51" t="str">
        <v/>
      </c>
      <c r="E618" s="51" t="str">
        <v/>
      </c>
      <c r="F618" s="52" t="str">
        <v/>
      </c>
      <c r="G618" s="48" t="str">
        <v/>
      </c>
      <c r="H618" s="49">
        <v>0</v>
      </c>
      <c r="I618" s="49">
        <v>0</v>
      </c>
      <c r="J618" s="50"/>
    </row>
    <row r="619" outlineLevel="1" spans="1:10">
      <c r="A619" s="50">
        <v>515</v>
      </c>
      <c r="B619" s="51" t="str">
        <v>楼地面-50厚C15豆石砼</v>
      </c>
      <c r="C619" s="51" t="e">
        <v>#REF!</v>
      </c>
      <c r="D619" s="51" t="str">
        <v/>
      </c>
      <c r="E619" s="51" t="str">
        <v/>
      </c>
      <c r="F619" s="52" t="e">
        <v>#REF!</v>
      </c>
      <c r="G619" s="48" t="e">
        <v>#REF!</v>
      </c>
      <c r="H619" s="49">
        <v>0</v>
      </c>
      <c r="I619" s="49" t="e">
        <v>#REF!</v>
      </c>
      <c r="J619" s="50"/>
    </row>
    <row r="620" outlineLevel="1" spans="1:10">
      <c r="A620" s="50">
        <v>516</v>
      </c>
      <c r="B620" s="51" t="str">
        <v>楼地面-70厚C15豆石砼</v>
      </c>
      <c r="C620" s="51" t="e">
        <v>#REF!</v>
      </c>
      <c r="D620" s="51" t="str">
        <v/>
      </c>
      <c r="E620" s="51" t="str">
        <v/>
      </c>
      <c r="F620" s="52" t="e">
        <v>#REF!</v>
      </c>
      <c r="G620" s="48" t="e">
        <v>#REF!</v>
      </c>
      <c r="H620" s="49">
        <v>0</v>
      </c>
      <c r="I620" s="49" t="e">
        <v>#REF!</v>
      </c>
      <c r="J620" s="50"/>
    </row>
    <row r="621" outlineLevel="1" spans="1:10">
      <c r="A621" s="50">
        <v>517</v>
      </c>
      <c r="B621" s="51" t="str">
        <v>楼地面-玻纤网</v>
      </c>
      <c r="C621" s="51" t="e">
        <v>#REF!</v>
      </c>
      <c r="D621" s="51" t="str">
        <v/>
      </c>
      <c r="E621" s="51" t="str">
        <v/>
      </c>
      <c r="F621" s="52" t="e">
        <v>#REF!</v>
      </c>
      <c r="G621" s="48" t="e">
        <v>#REF!</v>
      </c>
      <c r="H621" s="49">
        <v>0</v>
      </c>
      <c r="I621" s="49" t="e">
        <v>#REF!</v>
      </c>
      <c r="J621" s="50"/>
    </row>
    <row r="622" outlineLevel="1" spans="1:10">
      <c r="A622" s="50">
        <v>518</v>
      </c>
      <c r="B622" s="51" t="str">
        <v>楼地面-100厚C20砼</v>
      </c>
      <c r="C622" s="51" t="e">
        <v>#REF!</v>
      </c>
      <c r="D622" s="51" t="str">
        <v/>
      </c>
      <c r="E622" s="51" t="str">
        <v/>
      </c>
      <c r="F622" s="52" t="e">
        <v>#REF!</v>
      </c>
      <c r="G622" s="48" t="e">
        <v>#REF!</v>
      </c>
      <c r="H622" s="49">
        <v>0</v>
      </c>
      <c r="I622" s="49" t="e">
        <v>#REF!</v>
      </c>
      <c r="J622" s="50"/>
    </row>
    <row r="623" outlineLevel="1" spans="1:10">
      <c r="A623" s="50">
        <v>519</v>
      </c>
      <c r="B623" s="51" t="str">
        <v>楼地面-塑料膜</v>
      </c>
      <c r="C623" s="51" t="e">
        <v>#REF!</v>
      </c>
      <c r="D623" s="51" t="str">
        <v/>
      </c>
      <c r="E623" s="51" t="str">
        <v/>
      </c>
      <c r="F623" s="52" t="e">
        <v>#REF!</v>
      </c>
      <c r="G623" s="48" t="e">
        <v>#REF!</v>
      </c>
      <c r="H623" s="49">
        <v>0</v>
      </c>
      <c r="I623" s="49" t="e">
        <v>#REF!</v>
      </c>
      <c r="J623" s="50"/>
    </row>
    <row r="624" outlineLevel="1" spans="1:10">
      <c r="A624" s="50">
        <v>520</v>
      </c>
      <c r="B624" s="51" t="str">
        <v>楼地面-150厚3:7灰土夯实</v>
      </c>
      <c r="C624" s="51" t="e">
        <v>#REF!</v>
      </c>
      <c r="D624" s="51" t="str">
        <v/>
      </c>
      <c r="E624" s="51" t="str">
        <v/>
      </c>
      <c r="F624" s="52" t="e">
        <v>#REF!</v>
      </c>
      <c r="G624" s="48" t="e">
        <v>#REF!</v>
      </c>
      <c r="H624" s="49">
        <v>0</v>
      </c>
      <c r="I624" s="49" t="e">
        <v>#REF!</v>
      </c>
      <c r="J624" s="50"/>
    </row>
    <row r="625" outlineLevel="1" spans="1:10">
      <c r="A625" s="50">
        <v>521</v>
      </c>
      <c r="B625" s="51" t="str">
        <v>楼地面-素土夯实</v>
      </c>
      <c r="C625" s="51" t="e">
        <v>#REF!</v>
      </c>
      <c r="D625" s="51" t="str">
        <v/>
      </c>
      <c r="E625" s="51" t="str">
        <v/>
      </c>
      <c r="F625" s="52" t="e">
        <v>#REF!</v>
      </c>
      <c r="G625" s="48" t="e">
        <v>#REF!</v>
      </c>
      <c r="H625" s="49">
        <v>0</v>
      </c>
      <c r="I625" s="49" t="e">
        <v>#REF!</v>
      </c>
      <c r="J625" s="50"/>
    </row>
    <row r="626" outlineLevel="1" spans="1:10">
      <c r="A626" s="50" t="str">
        <v/>
      </c>
      <c r="B626" s="51" t="str">
        <v>电井、进线间、热计量间</v>
      </c>
      <c r="C626" s="51" t="str">
        <v/>
      </c>
      <c r="D626" s="51" t="str">
        <v/>
      </c>
      <c r="E626" s="51" t="str">
        <v/>
      </c>
      <c r="F626" s="52" t="str">
        <v/>
      </c>
      <c r="G626" s="48" t="str">
        <v/>
      </c>
      <c r="H626" s="49">
        <v>0</v>
      </c>
      <c r="I626" s="49">
        <v>0</v>
      </c>
      <c r="J626" s="50"/>
    </row>
    <row r="627" outlineLevel="1" spans="1:10">
      <c r="A627" s="50">
        <v>522</v>
      </c>
      <c r="B627" s="51" t="str">
        <v>楼地面-60厚C15细石砼</v>
      </c>
      <c r="C627" s="51" t="e">
        <v>#REF!</v>
      </c>
      <c r="D627" s="51" t="str">
        <v/>
      </c>
      <c r="E627" s="51" t="str">
        <v/>
      </c>
      <c r="F627" s="52" t="e">
        <v>#REF!</v>
      </c>
      <c r="G627" s="48" t="e">
        <v>#REF!</v>
      </c>
      <c r="H627" s="49">
        <v>0</v>
      </c>
      <c r="I627" s="49" t="e">
        <v>#REF!</v>
      </c>
      <c r="J627" s="50"/>
    </row>
    <row r="628" outlineLevel="1" spans="1:10">
      <c r="A628" s="50">
        <v>523</v>
      </c>
      <c r="B628" s="51" t="str">
        <v>楼地面</v>
      </c>
      <c r="C628" s="51" t="e">
        <v>#REF!</v>
      </c>
      <c r="D628" s="51" t="str">
        <v/>
      </c>
      <c r="E628" s="51" t="str">
        <v/>
      </c>
      <c r="F628" s="52" t="e">
        <v>#REF!</v>
      </c>
      <c r="G628" s="48" t="e">
        <v>#REF!</v>
      </c>
      <c r="H628" s="49">
        <v>0</v>
      </c>
      <c r="I628" s="49" t="e">
        <v>#REF!</v>
      </c>
      <c r="J628" s="50"/>
    </row>
    <row r="629" outlineLevel="1" spans="1:10">
      <c r="A629" s="50">
        <v>524</v>
      </c>
      <c r="B629" s="51" t="str">
        <v>楼地面-塑料膜</v>
      </c>
      <c r="C629" s="51" t="e">
        <v>#REF!</v>
      </c>
      <c r="D629" s="51" t="str">
        <v/>
      </c>
      <c r="E629" s="51" t="str">
        <v/>
      </c>
      <c r="F629" s="52" t="e">
        <v>#REF!</v>
      </c>
      <c r="G629" s="48" t="e">
        <v>#REF!</v>
      </c>
      <c r="H629" s="49">
        <v>0</v>
      </c>
      <c r="I629" s="49" t="e">
        <v>#REF!</v>
      </c>
      <c r="J629" s="50"/>
    </row>
    <row r="630" outlineLevel="1" spans="1:10">
      <c r="A630" s="50">
        <v>525</v>
      </c>
      <c r="B630" s="51" t="str">
        <v>楼地面-150厚3:7灰土夯实</v>
      </c>
      <c r="C630" s="51" t="e">
        <v>#REF!</v>
      </c>
      <c r="D630" s="51" t="str">
        <v/>
      </c>
      <c r="E630" s="51" t="str">
        <v/>
      </c>
      <c r="F630" s="52" t="e">
        <v>#REF!</v>
      </c>
      <c r="G630" s="48" t="e">
        <v>#REF!</v>
      </c>
      <c r="H630" s="49">
        <v>0</v>
      </c>
      <c r="I630" s="49" t="e">
        <v>#REF!</v>
      </c>
      <c r="J630" s="50"/>
    </row>
    <row r="631" outlineLevel="1" spans="1:10">
      <c r="A631" s="50">
        <v>526</v>
      </c>
      <c r="B631" s="51" t="str">
        <v>楼地面-素土夯实</v>
      </c>
      <c r="C631" s="51" t="e">
        <v>#REF!</v>
      </c>
      <c r="D631" s="51" t="str">
        <v/>
      </c>
      <c r="E631" s="51" t="str">
        <v/>
      </c>
      <c r="F631" s="52" t="e">
        <v>#REF!</v>
      </c>
      <c r="G631" s="48" t="e">
        <v>#REF!</v>
      </c>
      <c r="H631" s="49">
        <v>0</v>
      </c>
      <c r="I631" s="49" t="e">
        <v>#REF!</v>
      </c>
      <c r="J631" s="50"/>
    </row>
    <row r="632" outlineLevel="1" spans="1:10">
      <c r="A632" s="50" t="str">
        <v/>
      </c>
      <c r="B632" s="51" t="str">
        <v>住宅室外连廊楼面</v>
      </c>
      <c r="C632" s="51" t="str">
        <v/>
      </c>
      <c r="D632" s="51" t="str">
        <v/>
      </c>
      <c r="E632" s="51" t="str">
        <v/>
      </c>
      <c r="F632" s="52" t="str">
        <v/>
      </c>
      <c r="G632" s="48" t="str">
        <v/>
      </c>
      <c r="H632" s="49">
        <v>0</v>
      </c>
      <c r="I632" s="49">
        <v>0</v>
      </c>
      <c r="J632" s="50"/>
    </row>
    <row r="633" outlineLevel="1" spans="1:10">
      <c r="A633" s="50">
        <v>527</v>
      </c>
      <c r="B633" s="51" t="str">
        <v>楼地面-30厚水泥砂浆找坡</v>
      </c>
      <c r="C633" s="51" t="e">
        <v>#REF!</v>
      </c>
      <c r="D633" s="51" t="str">
        <v/>
      </c>
      <c r="E633" s="51" t="str">
        <v/>
      </c>
      <c r="F633" s="52" t="e">
        <v>#REF!</v>
      </c>
      <c r="G633" s="48" t="e">
        <v>#REF!</v>
      </c>
      <c r="H633" s="49">
        <v>1</v>
      </c>
      <c r="I633" s="49" t="e">
        <v>#REF!</v>
      </c>
      <c r="J633" s="50"/>
    </row>
    <row r="634" outlineLevel="1" spans="1:10">
      <c r="A634" s="50">
        <v>528</v>
      </c>
      <c r="B634" s="51" t="str">
        <v>楼地面-电梯机房地面</v>
      </c>
      <c r="C634" s="51" t="e">
        <v>#REF!</v>
      </c>
      <c r="D634" s="51" t="str">
        <v/>
      </c>
      <c r="E634" s="51" t="str">
        <v/>
      </c>
      <c r="F634" s="52" t="e">
        <v>#REF!</v>
      </c>
      <c r="G634" s="48" t="e">
        <v>#REF!</v>
      </c>
      <c r="H634" s="49">
        <v>1</v>
      </c>
      <c r="I634" s="49" t="e">
        <v>#REF!</v>
      </c>
      <c r="J634" s="50"/>
    </row>
    <row r="635" outlineLevel="1" spans="1:10">
      <c r="A635" s="50" t="str">
        <v/>
      </c>
      <c r="B635" s="51" t="str">
        <v>屋顶加压送风机房地面</v>
      </c>
      <c r="C635" s="51" t="str">
        <v/>
      </c>
      <c r="D635" s="51" t="str">
        <v/>
      </c>
      <c r="E635" s="51" t="str">
        <v/>
      </c>
      <c r="F635" s="52" t="str">
        <v/>
      </c>
      <c r="G635" s="48" t="str">
        <v/>
      </c>
      <c r="H635" s="49">
        <v>0</v>
      </c>
      <c r="I635" s="49">
        <v>0</v>
      </c>
      <c r="J635" s="50"/>
    </row>
    <row r="636" outlineLevel="1" spans="1:10">
      <c r="A636" s="50">
        <v>529</v>
      </c>
      <c r="B636" s="51" t="str">
        <v>楼地面-50厚C20砼</v>
      </c>
      <c r="C636" s="51" t="e">
        <v>#REF!</v>
      </c>
      <c r="D636" s="51" t="str">
        <v/>
      </c>
      <c r="E636" s="51" t="str">
        <v/>
      </c>
      <c r="F636" s="52" t="e">
        <v>#REF!</v>
      </c>
      <c r="G636" s="48" t="e">
        <v>#REF!</v>
      </c>
      <c r="H636" s="49">
        <v>1</v>
      </c>
      <c r="I636" s="49" t="e">
        <v>#REF!</v>
      </c>
      <c r="J636" s="50"/>
    </row>
    <row r="637" outlineLevel="1" spans="1:10">
      <c r="A637" s="50">
        <v>530</v>
      </c>
      <c r="B637" s="51" t="str">
        <v>楼地面-玻纤网</v>
      </c>
      <c r="C637" s="51" t="e">
        <v>#REF!</v>
      </c>
      <c r="D637" s="51" t="str">
        <v/>
      </c>
      <c r="E637" s="51" t="str">
        <v/>
      </c>
      <c r="F637" s="52" t="e">
        <v>#REF!</v>
      </c>
      <c r="G637" s="48" t="e">
        <v>#REF!</v>
      </c>
      <c r="H637" s="49">
        <v>1</v>
      </c>
      <c r="I637" s="49" t="e">
        <v>#REF!</v>
      </c>
      <c r="J637" s="50"/>
    </row>
    <row r="638" outlineLevel="1" spans="1:10">
      <c r="A638" s="50">
        <v>531</v>
      </c>
      <c r="B638" s="51" t="str">
        <v>楼地面-190厚EPS</v>
      </c>
      <c r="C638" s="51" t="e">
        <v>#REF!</v>
      </c>
      <c r="D638" s="51" t="str">
        <v/>
      </c>
      <c r="E638" s="51" t="str">
        <v/>
      </c>
      <c r="F638" s="52" t="e">
        <v>#REF!</v>
      </c>
      <c r="G638" s="48" t="e">
        <v>#REF!</v>
      </c>
      <c r="H638" s="49">
        <v>1</v>
      </c>
      <c r="I638" s="49" t="e">
        <v>#REF!</v>
      </c>
      <c r="J638" s="50"/>
    </row>
    <row r="639" outlineLevel="1" spans="1:10">
      <c r="A639" s="50" t="str">
        <v/>
      </c>
      <c r="B639" s="51" t="str">
        <v>水箱间地面</v>
      </c>
      <c r="C639" s="51" t="str">
        <v/>
      </c>
      <c r="D639" s="51" t="str">
        <v/>
      </c>
      <c r="E639" s="51" t="str">
        <v/>
      </c>
      <c r="F639" s="52" t="str">
        <v/>
      </c>
      <c r="G639" s="48" t="str">
        <v/>
      </c>
      <c r="H639" s="49">
        <v>0</v>
      </c>
      <c r="I639" s="49">
        <v>0</v>
      </c>
      <c r="J639" s="50"/>
    </row>
    <row r="640" outlineLevel="1" spans="1:10">
      <c r="A640" s="50">
        <v>532</v>
      </c>
      <c r="B640" s="51" t="str">
        <v>楼地面-40厚C20细石砼</v>
      </c>
      <c r="C640" s="51" t="e">
        <v>#REF!</v>
      </c>
      <c r="D640" s="51" t="str">
        <v/>
      </c>
      <c r="E640" s="51" t="str">
        <v/>
      </c>
      <c r="F640" s="52" t="e">
        <v>#REF!</v>
      </c>
      <c r="G640" s="48" t="e">
        <v>#REF!</v>
      </c>
      <c r="H640" s="49">
        <v>0</v>
      </c>
      <c r="I640" s="49" t="e">
        <v>#REF!</v>
      </c>
      <c r="J640" s="50"/>
    </row>
    <row r="641" outlineLevel="1" spans="1:10">
      <c r="A641" s="50">
        <v>533</v>
      </c>
      <c r="B641" s="51" t="str">
        <v>楼地面-土工布</v>
      </c>
      <c r="C641" s="51" t="e">
        <v>#REF!</v>
      </c>
      <c r="D641" s="51" t="str">
        <v/>
      </c>
      <c r="E641" s="51" t="str">
        <v/>
      </c>
      <c r="F641" s="52" t="e">
        <v>#REF!</v>
      </c>
      <c r="G641" s="48" t="e">
        <v>#REF!</v>
      </c>
      <c r="H641" s="49">
        <v>0</v>
      </c>
      <c r="I641" s="49" t="e">
        <v>#REF!</v>
      </c>
      <c r="J641" s="50"/>
    </row>
    <row r="642" outlineLevel="1" spans="1:10">
      <c r="A642" s="50">
        <v>534</v>
      </c>
      <c r="B642" s="51" t="str">
        <v>楼地面-3+3厚SBS</v>
      </c>
      <c r="C642" s="51" t="e">
        <v>#REF!</v>
      </c>
      <c r="D642" s="51" t="str">
        <v/>
      </c>
      <c r="E642" s="51" t="str">
        <v/>
      </c>
      <c r="F642" s="52" t="e">
        <v>#REF!</v>
      </c>
      <c r="G642" s="48" t="e">
        <v>#REF!</v>
      </c>
      <c r="H642" s="49">
        <v>0</v>
      </c>
      <c r="I642" s="49" t="e">
        <v>#REF!</v>
      </c>
      <c r="J642" s="50"/>
    </row>
    <row r="643" outlineLevel="1" spans="1:10">
      <c r="A643" s="50">
        <v>535</v>
      </c>
      <c r="B643" s="51" t="str">
        <v>楼地面-20厚M15水泥砂浆</v>
      </c>
      <c r="C643" s="51" t="e">
        <v>#REF!</v>
      </c>
      <c r="D643" s="51" t="str">
        <v/>
      </c>
      <c r="E643" s="51" t="str">
        <v/>
      </c>
      <c r="F643" s="52" t="e">
        <v>#REF!</v>
      </c>
      <c r="G643" s="48" t="e">
        <v>#REF!</v>
      </c>
      <c r="H643" s="49">
        <v>0</v>
      </c>
      <c r="I643" s="49" t="e">
        <v>#REF!</v>
      </c>
      <c r="J643" s="50"/>
    </row>
    <row r="644" outlineLevel="1" spans="1:10">
      <c r="A644" s="50" t="str">
        <v/>
      </c>
      <c r="B644" s="51" t="str">
        <v>消防控制室</v>
      </c>
      <c r="C644" s="51" t="str">
        <v/>
      </c>
      <c r="D644" s="51" t="str">
        <v/>
      </c>
      <c r="E644" s="51" t="str">
        <v/>
      </c>
      <c r="F644" s="52" t="str">
        <v/>
      </c>
      <c r="G644" s="48" t="str">
        <v/>
      </c>
      <c r="H644" s="49">
        <v>0</v>
      </c>
      <c r="I644" s="49">
        <v>0</v>
      </c>
      <c r="J644" s="50"/>
    </row>
    <row r="645" outlineLevel="1" spans="1:10">
      <c r="A645" s="50">
        <v>536</v>
      </c>
      <c r="B645" s="51" t="str">
        <v>楼地面-60厚C15砼</v>
      </c>
      <c r="C645" s="51" t="e">
        <v>#REF!</v>
      </c>
      <c r="D645" s="51" t="str">
        <v/>
      </c>
      <c r="E645" s="51" t="str">
        <v/>
      </c>
      <c r="F645" s="52" t="e">
        <v>#REF!</v>
      </c>
      <c r="G645" s="48" t="e">
        <v>#REF!</v>
      </c>
      <c r="H645" s="49">
        <v>0</v>
      </c>
      <c r="I645" s="49" t="e">
        <v>#REF!</v>
      </c>
      <c r="J645" s="50"/>
    </row>
    <row r="646" outlineLevel="1" spans="1:10">
      <c r="A646" s="50">
        <v>537</v>
      </c>
      <c r="B646" s="51" t="str">
        <v>楼地面-塑料膜</v>
      </c>
      <c r="C646" s="51" t="e">
        <v>#REF!</v>
      </c>
      <c r="D646" s="51" t="str">
        <v/>
      </c>
      <c r="E646" s="51" t="str">
        <v/>
      </c>
      <c r="F646" s="52" t="e">
        <v>#REF!</v>
      </c>
      <c r="G646" s="48" t="e">
        <v>#REF!</v>
      </c>
      <c r="H646" s="49">
        <v>0</v>
      </c>
      <c r="I646" s="49" t="e">
        <v>#REF!</v>
      </c>
      <c r="J646" s="50"/>
    </row>
    <row r="647" outlineLevel="1" spans="1:10">
      <c r="A647" s="50">
        <v>538</v>
      </c>
      <c r="B647" s="51" t="str">
        <v>楼地面-150厚3:7灰土夯实</v>
      </c>
      <c r="C647" s="51" t="e">
        <v>#REF!</v>
      </c>
      <c r="D647" s="51" t="str">
        <v/>
      </c>
      <c r="E647" s="51" t="str">
        <v/>
      </c>
      <c r="F647" s="52" t="e">
        <v>#REF!</v>
      </c>
      <c r="G647" s="48" t="e">
        <v>#REF!</v>
      </c>
      <c r="H647" s="49">
        <v>0</v>
      </c>
      <c r="I647" s="49" t="e">
        <v>#REF!</v>
      </c>
      <c r="J647" s="50"/>
    </row>
    <row r="648" outlineLevel="1" spans="1:10">
      <c r="A648" s="50">
        <v>539</v>
      </c>
      <c r="B648" s="51" t="str">
        <v>楼地面-素土夯实</v>
      </c>
      <c r="C648" s="51" t="e">
        <v>#REF!</v>
      </c>
      <c r="D648" s="51" t="str">
        <v/>
      </c>
      <c r="E648" s="51" t="str">
        <v/>
      </c>
      <c r="F648" s="52" t="e">
        <v>#REF!</v>
      </c>
      <c r="G648" s="48" t="e">
        <v>#REF!</v>
      </c>
      <c r="H648" s="49">
        <v>0</v>
      </c>
      <c r="I648" s="49" t="e">
        <v>#REF!</v>
      </c>
      <c r="J648" s="50"/>
    </row>
    <row r="649" outlineLevel="1" spans="1:10">
      <c r="A649" s="50">
        <v>540</v>
      </c>
      <c r="B649" s="51" t="str">
        <v>踢脚线-100mm灰色涂料</v>
      </c>
      <c r="C649" s="51" t="e">
        <v>#REF!</v>
      </c>
      <c r="D649" s="51" t="str">
        <v/>
      </c>
      <c r="E649" s="51" t="str">
        <v/>
      </c>
      <c r="F649" s="52" t="e">
        <v>#REF!</v>
      </c>
      <c r="G649" s="48" t="e">
        <v>#REF!</v>
      </c>
      <c r="H649" s="49">
        <v>1</v>
      </c>
      <c r="I649" s="49" t="e">
        <v>#REF!</v>
      </c>
      <c r="J649" s="50"/>
    </row>
    <row r="650" outlineLevel="1" spans="1:10">
      <c r="A650" s="50">
        <v>541</v>
      </c>
      <c r="B650" s="51" t="str">
        <v>楼地面-聚氨酯防水涂料</v>
      </c>
      <c r="C650" s="51" t="e">
        <v>#REF!</v>
      </c>
      <c r="D650" s="51" t="str">
        <v/>
      </c>
      <c r="E650" s="51" t="str">
        <v/>
      </c>
      <c r="F650" s="52" t="e">
        <v>#REF!</v>
      </c>
      <c r="G650" s="48" t="e">
        <v>#REF!</v>
      </c>
      <c r="H650" s="49">
        <v>838.62</v>
      </c>
      <c r="I650" s="49" t="e">
        <v>#REF!</v>
      </c>
      <c r="J650" s="50"/>
    </row>
    <row r="651" outlineLevel="1" spans="1:10">
      <c r="A651" s="50" t="str">
        <v/>
      </c>
      <c r="B651" s="51" t="str">
        <v>A.05.02墙柱装饰工程</v>
      </c>
      <c r="C651" s="51" t="str">
        <v/>
      </c>
      <c r="D651" s="51" t="str">
        <v/>
      </c>
      <c r="E651" s="51" t="str">
        <v/>
      </c>
      <c r="F651" s="52" t="str">
        <v/>
      </c>
      <c r="G651" s="48" t="str">
        <v/>
      </c>
      <c r="H651" s="49">
        <v>0</v>
      </c>
      <c r="I651" s="49" t="e">
        <v>#REF!</v>
      </c>
      <c r="J651" s="50"/>
    </row>
    <row r="652" outlineLevel="1" spans="1:10">
      <c r="A652" s="50" t="str">
        <v/>
      </c>
      <c r="B652" s="51" t="str">
        <v>分户墙(其他）</v>
      </c>
      <c r="C652" s="51" t="str">
        <v/>
      </c>
      <c r="D652" s="51" t="str">
        <v/>
      </c>
      <c r="E652" s="51" t="str">
        <v/>
      </c>
      <c r="F652" s="52" t="str">
        <v/>
      </c>
      <c r="G652" s="48" t="str">
        <v/>
      </c>
      <c r="H652" s="49">
        <v>0</v>
      </c>
      <c r="I652" s="49">
        <v>0</v>
      </c>
      <c r="J652" s="50"/>
    </row>
    <row r="653" outlineLevel="1" spans="1:10">
      <c r="A653" s="50">
        <v>542</v>
      </c>
      <c r="B653" s="51" t="str">
        <v>内墙面-界面剂</v>
      </c>
      <c r="C653" s="51" t="e">
        <v>#REF!</v>
      </c>
      <c r="D653" s="51" t="str">
        <v/>
      </c>
      <c r="E653" s="51" t="str">
        <v/>
      </c>
      <c r="F653" s="52" t="e">
        <v>#REF!</v>
      </c>
      <c r="G653" s="48" t="e">
        <v>#REF!</v>
      </c>
      <c r="H653" s="49">
        <v>660.854648815704</v>
      </c>
      <c r="I653" s="49" t="e">
        <v>#REF!</v>
      </c>
      <c r="J653" s="50"/>
    </row>
    <row r="654" outlineLevel="1" spans="1:10">
      <c r="A654" s="50">
        <v>543</v>
      </c>
      <c r="B654" s="51" t="str">
        <v>内墙面-15厚无机保温砂浆</v>
      </c>
      <c r="C654" s="51" t="e">
        <v>#REF!</v>
      </c>
      <c r="D654" s="51" t="str">
        <v/>
      </c>
      <c r="E654" s="51" t="str">
        <v/>
      </c>
      <c r="F654" s="52" t="e">
        <v>#REF!</v>
      </c>
      <c r="G654" s="48" t="e">
        <v>#REF!</v>
      </c>
      <c r="H654" s="49">
        <v>660.854648815704</v>
      </c>
      <c r="I654" s="49" t="e">
        <v>#REF!</v>
      </c>
      <c r="J654" s="50"/>
    </row>
    <row r="655" outlineLevel="1" spans="1:10">
      <c r="A655" s="50">
        <v>544</v>
      </c>
      <c r="B655" s="51" t="str">
        <v>内墙面-10厚无机保温砂浆</v>
      </c>
      <c r="C655" s="51" t="e">
        <v>#REF!</v>
      </c>
      <c r="D655" s="51" t="str">
        <v/>
      </c>
      <c r="E655" s="51" t="str">
        <v/>
      </c>
      <c r="F655" s="52" t="e">
        <v>#REF!</v>
      </c>
      <c r="G655" s="48" t="e">
        <v>#REF!</v>
      </c>
      <c r="H655" s="49">
        <v>0</v>
      </c>
      <c r="I655" s="49" t="e">
        <v>#REF!</v>
      </c>
      <c r="J655" s="50"/>
    </row>
    <row r="656" outlineLevel="1" spans="1:10">
      <c r="A656" s="50">
        <v>545</v>
      </c>
      <c r="B656" s="51" t="str">
        <v>内墙面-3厚抗裂砂浆</v>
      </c>
      <c r="C656" s="51" t="e">
        <v>#REF!</v>
      </c>
      <c r="D656" s="51" t="str">
        <v/>
      </c>
      <c r="E656" s="51" t="str">
        <v/>
      </c>
      <c r="F656" s="52" t="e">
        <v>#REF!</v>
      </c>
      <c r="G656" s="48" t="e">
        <v>#REF!</v>
      </c>
      <c r="H656" s="49">
        <v>660.854648815704</v>
      </c>
      <c r="I656" s="49" t="e">
        <v>#REF!</v>
      </c>
      <c r="J656" s="50"/>
    </row>
    <row r="657" outlineLevel="1" spans="1:10">
      <c r="A657" s="50">
        <v>546</v>
      </c>
      <c r="B657" s="51" t="str">
        <v>内墙面-玻纤网</v>
      </c>
      <c r="C657" s="51" t="e">
        <v>#REF!</v>
      </c>
      <c r="D657" s="51" t="str">
        <v/>
      </c>
      <c r="E657" s="51" t="str">
        <v/>
      </c>
      <c r="F657" s="52" t="e">
        <v>#REF!</v>
      </c>
      <c r="G657" s="48" t="e">
        <v>#REF!</v>
      </c>
      <c r="H657" s="49">
        <v>660.854648815704</v>
      </c>
      <c r="I657" s="49" t="e">
        <v>#REF!</v>
      </c>
      <c r="J657" s="50"/>
    </row>
    <row r="658" outlineLevel="1" spans="1:10">
      <c r="A658" s="50">
        <v>547</v>
      </c>
      <c r="B658" s="51" t="str">
        <v>内墙面-交接处玻纤网</v>
      </c>
      <c r="C658" s="51" t="e">
        <v>#REF!</v>
      </c>
      <c r="D658" s="51" t="str">
        <v/>
      </c>
      <c r="E658" s="51" t="str">
        <v/>
      </c>
      <c r="F658" s="52" t="e">
        <v>#REF!</v>
      </c>
      <c r="G658" s="48" t="e">
        <v>#REF!</v>
      </c>
      <c r="H658" s="49">
        <v>1</v>
      </c>
      <c r="I658" s="49" t="e">
        <v>#REF!</v>
      </c>
      <c r="J658" s="50"/>
    </row>
    <row r="659" outlineLevel="1" spans="1:10">
      <c r="A659" s="50" t="str">
        <v/>
      </c>
      <c r="B659" s="51" t="str">
        <v>采暖与不采暖房间的隔墙</v>
      </c>
      <c r="C659" s="51" t="str">
        <v/>
      </c>
      <c r="D659" s="51" t="str">
        <v/>
      </c>
      <c r="E659" s="51" t="str">
        <v/>
      </c>
      <c r="F659" s="52" t="str">
        <v/>
      </c>
      <c r="G659" s="48" t="str">
        <v/>
      </c>
      <c r="H659" s="49">
        <v>0</v>
      </c>
      <c r="I659" s="49">
        <v>0</v>
      </c>
      <c r="J659" s="50"/>
    </row>
    <row r="660" outlineLevel="1" spans="1:10">
      <c r="A660" s="50">
        <v>548</v>
      </c>
      <c r="B660" s="51" t="str">
        <v>内墙面-界面剂</v>
      </c>
      <c r="C660" s="51" t="e">
        <v>#REF!</v>
      </c>
      <c r="D660" s="51" t="str">
        <v/>
      </c>
      <c r="E660" s="51" t="str">
        <v/>
      </c>
      <c r="F660" s="52" t="e">
        <v>#REF!</v>
      </c>
      <c r="G660" s="48" t="e">
        <v>#REF!</v>
      </c>
      <c r="H660" s="49">
        <v>0</v>
      </c>
      <c r="I660" s="49" t="e">
        <v>#REF!</v>
      </c>
      <c r="J660" s="50"/>
    </row>
    <row r="661" outlineLevel="1" spans="1:10">
      <c r="A661" s="50">
        <v>549</v>
      </c>
      <c r="B661" s="51" t="str">
        <v>内墙面-20厚无机保温砂浆</v>
      </c>
      <c r="C661" s="51" t="e">
        <v>#REF!</v>
      </c>
      <c r="D661" s="51" t="str">
        <v/>
      </c>
      <c r="E661" s="51" t="str">
        <v/>
      </c>
      <c r="F661" s="52" t="e">
        <v>#REF!</v>
      </c>
      <c r="G661" s="48" t="e">
        <v>#REF!</v>
      </c>
      <c r="H661" s="49">
        <v>0</v>
      </c>
      <c r="I661" s="49" t="e">
        <v>#REF!</v>
      </c>
      <c r="J661" s="50"/>
    </row>
    <row r="662" outlineLevel="1" spans="1:10">
      <c r="A662" s="50">
        <v>550</v>
      </c>
      <c r="B662" s="51" t="str">
        <v>内墙面-3厚抗裂砂浆</v>
      </c>
      <c r="C662" s="51" t="e">
        <v>#REF!</v>
      </c>
      <c r="D662" s="51" t="str">
        <v/>
      </c>
      <c r="E662" s="51" t="str">
        <v/>
      </c>
      <c r="F662" s="52" t="e">
        <v>#REF!</v>
      </c>
      <c r="G662" s="48" t="e">
        <v>#REF!</v>
      </c>
      <c r="H662" s="49">
        <v>0</v>
      </c>
      <c r="I662" s="49" t="e">
        <v>#REF!</v>
      </c>
      <c r="J662" s="50"/>
    </row>
    <row r="663" outlineLevel="1" spans="1:10">
      <c r="A663" s="50">
        <v>551</v>
      </c>
      <c r="B663" s="51" t="str">
        <v>内墙面-玻纤网</v>
      </c>
      <c r="C663" s="51" t="e">
        <v>#REF!</v>
      </c>
      <c r="D663" s="51" t="str">
        <v/>
      </c>
      <c r="E663" s="51" t="str">
        <v/>
      </c>
      <c r="F663" s="52" t="e">
        <v>#REF!</v>
      </c>
      <c r="G663" s="48" t="e">
        <v>#REF!</v>
      </c>
      <c r="H663" s="49">
        <v>0</v>
      </c>
      <c r="I663" s="49" t="e">
        <v>#REF!</v>
      </c>
      <c r="J663" s="50"/>
    </row>
    <row r="664" outlineLevel="1" spans="1:10">
      <c r="A664" s="50" t="str">
        <v/>
      </c>
      <c r="B664" s="51" t="str">
        <v>分户墙处卫生间内墙</v>
      </c>
      <c r="C664" s="51" t="str">
        <v/>
      </c>
      <c r="D664" s="51" t="str">
        <v/>
      </c>
      <c r="E664" s="51" t="str">
        <v/>
      </c>
      <c r="F664" s="52" t="str">
        <v/>
      </c>
      <c r="G664" s="48" t="str">
        <v/>
      </c>
      <c r="H664" s="49">
        <v>0</v>
      </c>
      <c r="I664" s="49">
        <v>0</v>
      </c>
      <c r="J664" s="50"/>
    </row>
    <row r="665" outlineLevel="1" spans="1:10">
      <c r="A665" s="50">
        <v>552</v>
      </c>
      <c r="B665" s="51" t="str">
        <v>内墙面-界面剂</v>
      </c>
      <c r="C665" s="51" t="e">
        <v>#REF!</v>
      </c>
      <c r="D665" s="51" t="str">
        <v/>
      </c>
      <c r="E665" s="51" t="str">
        <v/>
      </c>
      <c r="F665" s="52" t="e">
        <v>#REF!</v>
      </c>
      <c r="G665" s="48" t="e">
        <v>#REF!</v>
      </c>
      <c r="H665" s="49">
        <v>1</v>
      </c>
      <c r="I665" s="49" t="e">
        <v>#REF!</v>
      </c>
      <c r="J665" s="50"/>
    </row>
    <row r="666" outlineLevel="1" spans="1:10">
      <c r="A666" s="50">
        <v>553</v>
      </c>
      <c r="B666" s="51" t="str">
        <v>内墙面-15厚无机保温砂浆</v>
      </c>
      <c r="C666" s="51" t="e">
        <v>#REF!</v>
      </c>
      <c r="D666" s="51" t="str">
        <v/>
      </c>
      <c r="E666" s="51" t="str">
        <v/>
      </c>
      <c r="F666" s="52" t="e">
        <v>#REF!</v>
      </c>
      <c r="G666" s="48" t="e">
        <v>#REF!</v>
      </c>
      <c r="H666" s="49">
        <v>1</v>
      </c>
      <c r="I666" s="49" t="e">
        <v>#REF!</v>
      </c>
      <c r="J666" s="50"/>
    </row>
    <row r="667" outlineLevel="1" spans="1:10">
      <c r="A667" s="50">
        <v>554</v>
      </c>
      <c r="B667" s="51" t="str">
        <v>内墙面-10厚无机保温砂浆</v>
      </c>
      <c r="C667" s="51" t="e">
        <v>#REF!</v>
      </c>
      <c r="D667" s="51" t="str">
        <v/>
      </c>
      <c r="E667" s="51" t="str">
        <v/>
      </c>
      <c r="F667" s="52" t="e">
        <v>#REF!</v>
      </c>
      <c r="G667" s="48" t="e">
        <v>#REF!</v>
      </c>
      <c r="H667" s="49">
        <v>0</v>
      </c>
      <c r="I667" s="49" t="e">
        <v>#REF!</v>
      </c>
      <c r="J667" s="50"/>
    </row>
    <row r="668" outlineLevel="1" spans="1:10">
      <c r="A668" s="50">
        <v>555</v>
      </c>
      <c r="B668" s="51" t="str">
        <v>内墙面-3厚抗裂砂浆</v>
      </c>
      <c r="C668" s="51" t="e">
        <v>#REF!</v>
      </c>
      <c r="D668" s="51" t="str">
        <v/>
      </c>
      <c r="E668" s="51" t="str">
        <v/>
      </c>
      <c r="F668" s="52" t="e">
        <v>#REF!</v>
      </c>
      <c r="G668" s="48" t="e">
        <v>#REF!</v>
      </c>
      <c r="H668" s="49">
        <v>1</v>
      </c>
      <c r="I668" s="49" t="e">
        <v>#REF!</v>
      </c>
      <c r="J668" s="50"/>
    </row>
    <row r="669" outlineLevel="1" spans="1:10">
      <c r="A669" s="50">
        <v>556</v>
      </c>
      <c r="B669" s="51" t="str">
        <v>内墙面-镀锌钢丝网</v>
      </c>
      <c r="C669" s="51" t="e">
        <v>#REF!</v>
      </c>
      <c r="D669" s="51" t="str">
        <v/>
      </c>
      <c r="E669" s="51" t="str">
        <v/>
      </c>
      <c r="F669" s="52" t="e">
        <v>#REF!</v>
      </c>
      <c r="G669" s="48" t="e">
        <v>#REF!</v>
      </c>
      <c r="H669" s="49">
        <v>1</v>
      </c>
      <c r="I669" s="49" t="e">
        <v>#REF!</v>
      </c>
      <c r="J669" s="50"/>
    </row>
    <row r="670" ht="28.8" outlineLevel="1" spans="1:10">
      <c r="A670" s="50" t="str">
        <v/>
      </c>
      <c r="B670" s="51" t="str">
        <v>交通核非精装区域与住宅相邻内墙（交通核侧）</v>
      </c>
      <c r="C670" s="51" t="str">
        <v/>
      </c>
      <c r="D670" s="51" t="str">
        <v/>
      </c>
      <c r="E670" s="51" t="str">
        <v/>
      </c>
      <c r="F670" s="52" t="str">
        <v/>
      </c>
      <c r="G670" s="48" t="str">
        <v/>
      </c>
      <c r="H670" s="49">
        <v>0</v>
      </c>
      <c r="I670" s="49">
        <v>0</v>
      </c>
      <c r="J670" s="50"/>
    </row>
    <row r="671" outlineLevel="1" spans="1:10">
      <c r="A671" s="50">
        <v>557</v>
      </c>
      <c r="B671" s="51" t="str">
        <v>内墙面-30厚MPC</v>
      </c>
      <c r="C671" s="51" t="e">
        <v>#REF!</v>
      </c>
      <c r="D671" s="51" t="str">
        <v/>
      </c>
      <c r="E671" s="51" t="str">
        <v/>
      </c>
      <c r="F671" s="52" t="e">
        <v>#REF!</v>
      </c>
      <c r="G671" s="48" t="e">
        <v>#REF!</v>
      </c>
      <c r="H671" s="49">
        <v>730.57</v>
      </c>
      <c r="I671" s="49" t="e">
        <v>#REF!</v>
      </c>
      <c r="J671" s="50"/>
    </row>
    <row r="672" outlineLevel="1" spans="1:10">
      <c r="A672" s="50">
        <v>558</v>
      </c>
      <c r="B672" s="51" t="str">
        <v>内墙面-玻纤网</v>
      </c>
      <c r="C672" s="51" t="e">
        <v>#REF!</v>
      </c>
      <c r="D672" s="51" t="str">
        <v/>
      </c>
      <c r="E672" s="51" t="str">
        <v/>
      </c>
      <c r="F672" s="52" t="e">
        <v>#REF!</v>
      </c>
      <c r="G672" s="48" t="e">
        <v>#REF!</v>
      </c>
      <c r="H672" s="49">
        <v>730.57</v>
      </c>
      <c r="I672" s="49" t="e">
        <v>#REF!</v>
      </c>
      <c r="J672" s="50"/>
    </row>
    <row r="673" ht="28.8" outlineLevel="1" spans="1:10">
      <c r="A673" s="50" t="str">
        <v/>
      </c>
      <c r="B673" s="51" t="str">
        <v>交通核非精装区域不与住宅相邻内墙（交通核侧）</v>
      </c>
      <c r="C673" s="51" t="str">
        <v/>
      </c>
      <c r="D673" s="51" t="str">
        <v/>
      </c>
      <c r="E673" s="51" t="str">
        <v/>
      </c>
      <c r="F673" s="52" t="str">
        <v/>
      </c>
      <c r="G673" s="48" t="str">
        <v/>
      </c>
      <c r="H673" s="49">
        <v>0</v>
      </c>
      <c r="I673" s="49">
        <v>0</v>
      </c>
      <c r="J673" s="50"/>
    </row>
    <row r="674" outlineLevel="1" spans="1:10">
      <c r="A674" s="50">
        <v>559</v>
      </c>
      <c r="B674" s="51" t="str">
        <v>内墙面-15厚M20水泥砂浆</v>
      </c>
      <c r="C674" s="51" t="e">
        <v>#REF!</v>
      </c>
      <c r="D674" s="51" t="str">
        <v/>
      </c>
      <c r="E674" s="51" t="str">
        <v/>
      </c>
      <c r="F674" s="52" t="e">
        <v>#REF!</v>
      </c>
      <c r="G674" s="48" t="e">
        <v>#REF!</v>
      </c>
      <c r="H674" s="49">
        <v>431.56</v>
      </c>
      <c r="I674" s="49" t="e">
        <v>#REF!</v>
      </c>
      <c r="J674" s="50"/>
    </row>
    <row r="675" outlineLevel="1" spans="1:10">
      <c r="A675" s="50">
        <v>560</v>
      </c>
      <c r="B675" s="51" t="str">
        <v>内墙面-玻纤网</v>
      </c>
      <c r="C675" s="51" t="e">
        <v>#REF!</v>
      </c>
      <c r="D675" s="51" t="str">
        <v/>
      </c>
      <c r="E675" s="51" t="str">
        <v/>
      </c>
      <c r="F675" s="52" t="e">
        <v>#REF!</v>
      </c>
      <c r="G675" s="48" t="e">
        <v>#REF!</v>
      </c>
      <c r="H675" s="49">
        <v>431.56</v>
      </c>
      <c r="I675" s="49" t="e">
        <v>#REF!</v>
      </c>
      <c r="J675" s="50"/>
    </row>
    <row r="676" ht="43.2" outlineLevel="1" spans="1:10">
      <c r="A676" s="50" t="str">
        <v/>
      </c>
      <c r="B676" s="51" t="str">
        <v>一层与户内相邻的门厅.合用前室的隔墙的一侧,及一层楼梯间</v>
      </c>
      <c r="C676" s="51" t="str">
        <v/>
      </c>
      <c r="D676" s="51" t="str">
        <v/>
      </c>
      <c r="E676" s="51" t="str">
        <v/>
      </c>
      <c r="F676" s="52" t="str">
        <v/>
      </c>
      <c r="G676" s="48" t="str">
        <v/>
      </c>
      <c r="H676" s="49">
        <v>0</v>
      </c>
      <c r="I676" s="49">
        <v>0</v>
      </c>
      <c r="J676" s="50"/>
    </row>
    <row r="677" outlineLevel="1" spans="1:10">
      <c r="A677" s="50">
        <v>561</v>
      </c>
      <c r="B677" s="51" t="str">
        <v>内墙面-界面剂</v>
      </c>
      <c r="C677" s="51" t="e">
        <v>#REF!</v>
      </c>
      <c r="D677" s="51" t="str">
        <v/>
      </c>
      <c r="E677" s="51" t="str">
        <v/>
      </c>
      <c r="F677" s="52" t="e">
        <v>#REF!</v>
      </c>
      <c r="G677" s="48" t="e">
        <v>#REF!</v>
      </c>
      <c r="H677" s="49">
        <v>1</v>
      </c>
      <c r="I677" s="49" t="e">
        <v>#REF!</v>
      </c>
      <c r="J677" s="50"/>
    </row>
    <row r="678" outlineLevel="1" spans="1:10">
      <c r="A678" s="50">
        <v>562</v>
      </c>
      <c r="B678" s="51" t="str">
        <v>内墙面-20厚无机保温砂浆</v>
      </c>
      <c r="C678" s="51" t="e">
        <v>#REF!</v>
      </c>
      <c r="D678" s="51" t="str">
        <v/>
      </c>
      <c r="E678" s="51" t="str">
        <v/>
      </c>
      <c r="F678" s="52" t="e">
        <v>#REF!</v>
      </c>
      <c r="G678" s="48" t="e">
        <v>#REF!</v>
      </c>
      <c r="H678" s="49">
        <v>1</v>
      </c>
      <c r="I678" s="49" t="e">
        <v>#REF!</v>
      </c>
      <c r="J678" s="50"/>
    </row>
    <row r="679" ht="28.8" outlineLevel="1" spans="1:10">
      <c r="A679" s="50" t="str">
        <v/>
      </c>
      <c r="B679" s="51" t="str">
        <v>不与户内相邻的门厅.合用前室的隔墙的一侧</v>
      </c>
      <c r="C679" s="51" t="str">
        <v/>
      </c>
      <c r="D679" s="51" t="str">
        <v/>
      </c>
      <c r="E679" s="51" t="str">
        <v/>
      </c>
      <c r="F679" s="52" t="str">
        <v/>
      </c>
      <c r="G679" s="48" t="str">
        <v/>
      </c>
      <c r="H679" s="49">
        <v>0</v>
      </c>
      <c r="I679" s="49">
        <v>0</v>
      </c>
      <c r="J679" s="50"/>
    </row>
    <row r="680" outlineLevel="1" spans="1:10">
      <c r="A680" s="50">
        <v>563</v>
      </c>
      <c r="B680" s="51" t="str">
        <v>内墙面-界面剂</v>
      </c>
      <c r="C680" s="51" t="e">
        <v>#REF!</v>
      </c>
      <c r="D680" s="51" t="str">
        <v/>
      </c>
      <c r="E680" s="51" t="str">
        <v/>
      </c>
      <c r="F680" s="52" t="e">
        <v>#REF!</v>
      </c>
      <c r="G680" s="48" t="e">
        <v>#REF!</v>
      </c>
      <c r="H680" s="49">
        <v>1</v>
      </c>
      <c r="I680" s="49" t="e">
        <v>#REF!</v>
      </c>
      <c r="J680" s="50"/>
    </row>
    <row r="681" outlineLevel="1" spans="1:10">
      <c r="A681" s="50">
        <v>564</v>
      </c>
      <c r="B681" s="51" t="str">
        <v>内墙面-9厚M7.5水泥砂浆</v>
      </c>
      <c r="C681" s="51" t="e">
        <v>#REF!</v>
      </c>
      <c r="D681" s="51" t="str">
        <v/>
      </c>
      <c r="E681" s="51" t="str">
        <v/>
      </c>
      <c r="F681" s="52" t="e">
        <v>#REF!</v>
      </c>
      <c r="G681" s="48" t="e">
        <v>#REF!</v>
      </c>
      <c r="H681" s="49">
        <v>1</v>
      </c>
      <c r="I681" s="49" t="e">
        <v>#REF!</v>
      </c>
      <c r="J681" s="50"/>
    </row>
    <row r="682" ht="43.2" outlineLevel="1" spans="1:10">
      <c r="A682" s="50" t="str">
        <v/>
      </c>
      <c r="B682" s="51" t="str">
        <v>不与户内相邻的门厅.合用前室的隔墙的一侧/配套电井、进线间、热计量间或其他</v>
      </c>
      <c r="C682" s="51" t="str">
        <v/>
      </c>
      <c r="D682" s="51" t="str">
        <v/>
      </c>
      <c r="E682" s="51" t="str">
        <v/>
      </c>
      <c r="F682" s="52" t="str">
        <v/>
      </c>
      <c r="G682" s="48" t="str">
        <v/>
      </c>
      <c r="H682" s="49">
        <v>0</v>
      </c>
      <c r="I682" s="49">
        <v>0</v>
      </c>
      <c r="J682" s="50"/>
    </row>
    <row r="683" outlineLevel="1" spans="1:10">
      <c r="A683" s="50">
        <v>565</v>
      </c>
      <c r="B683" s="51" t="str">
        <v>内墙面-界面剂</v>
      </c>
      <c r="C683" s="51" t="e">
        <v>#REF!</v>
      </c>
      <c r="D683" s="51" t="str">
        <v/>
      </c>
      <c r="E683" s="51" t="str">
        <v/>
      </c>
      <c r="F683" s="52" t="e">
        <v>#REF!</v>
      </c>
      <c r="G683" s="48" t="e">
        <v>#REF!</v>
      </c>
      <c r="H683" s="49">
        <v>1</v>
      </c>
      <c r="I683" s="49" t="e">
        <v>#REF!</v>
      </c>
      <c r="J683" s="50"/>
    </row>
    <row r="684" outlineLevel="1" spans="1:10">
      <c r="A684" s="50">
        <v>566</v>
      </c>
      <c r="B684" s="51" t="str">
        <v>内墙面-7厚M5石灰砂浆</v>
      </c>
      <c r="C684" s="51" t="e">
        <v>#REF!</v>
      </c>
      <c r="D684" s="51" t="str">
        <v/>
      </c>
      <c r="E684" s="51" t="str">
        <v/>
      </c>
      <c r="F684" s="52" t="e">
        <v>#REF!</v>
      </c>
      <c r="G684" s="48" t="e">
        <v>#REF!</v>
      </c>
      <c r="H684" s="49">
        <v>1</v>
      </c>
      <c r="I684" s="49" t="e">
        <v>#REF!</v>
      </c>
      <c r="J684" s="50"/>
    </row>
    <row r="685" outlineLevel="1" spans="1:10">
      <c r="A685" s="50">
        <v>567</v>
      </c>
      <c r="B685" s="51" t="str">
        <v>内墙面-6厚M7.5石灰砂浆</v>
      </c>
      <c r="C685" s="51" t="e">
        <v>#REF!</v>
      </c>
      <c r="D685" s="51" t="str">
        <v/>
      </c>
      <c r="E685" s="51" t="str">
        <v/>
      </c>
      <c r="F685" s="52" t="e">
        <v>#REF!</v>
      </c>
      <c r="G685" s="48" t="e">
        <v>#REF!</v>
      </c>
      <c r="H685" s="49">
        <v>1</v>
      </c>
      <c r="I685" s="49" t="e">
        <v>#REF!</v>
      </c>
      <c r="J685" s="50"/>
    </row>
    <row r="686" ht="28.8" outlineLevel="1" spans="1:10">
      <c r="A686" s="50" t="str">
        <v/>
      </c>
      <c r="B686" s="51" t="str">
        <v>不与户内相邻的门厅.合用前室的隔墙的一侧</v>
      </c>
      <c r="C686" s="51" t="str">
        <v/>
      </c>
      <c r="D686" s="51" t="str">
        <v/>
      </c>
      <c r="E686" s="51" t="str">
        <v/>
      </c>
      <c r="F686" s="52" t="str">
        <v/>
      </c>
      <c r="G686" s="48" t="str">
        <v/>
      </c>
      <c r="H686" s="49">
        <v>0</v>
      </c>
      <c r="I686" s="49">
        <v>0</v>
      </c>
      <c r="J686" s="50"/>
    </row>
    <row r="687" outlineLevel="1" spans="1:10">
      <c r="A687" s="50">
        <v>568</v>
      </c>
      <c r="B687" s="51" t="str">
        <v>内墙面-玻纤网</v>
      </c>
      <c r="C687" s="51" t="e">
        <v>#REF!</v>
      </c>
      <c r="D687" s="51" t="str">
        <v/>
      </c>
      <c r="E687" s="51" t="str">
        <v/>
      </c>
      <c r="F687" s="52" t="e">
        <v>#REF!</v>
      </c>
      <c r="G687" s="48" t="e">
        <v>#REF!</v>
      </c>
      <c r="H687" s="49">
        <v>0</v>
      </c>
      <c r="I687" s="49" t="e">
        <v>#REF!</v>
      </c>
      <c r="J687" s="50"/>
    </row>
    <row r="688" outlineLevel="1" spans="1:10">
      <c r="A688" s="50">
        <v>569</v>
      </c>
      <c r="B688" s="51" t="str">
        <v>内墙面-界面剂</v>
      </c>
      <c r="C688" s="51" t="e">
        <v>#REF!</v>
      </c>
      <c r="D688" s="51" t="str">
        <v/>
      </c>
      <c r="E688" s="51" t="str">
        <v/>
      </c>
      <c r="F688" s="52" t="e">
        <v>#REF!</v>
      </c>
      <c r="G688" s="48" t="e">
        <v>#REF!</v>
      </c>
      <c r="H688" s="49">
        <v>0</v>
      </c>
      <c r="I688" s="49" t="e">
        <v>#REF!</v>
      </c>
      <c r="J688" s="50"/>
    </row>
    <row r="689" outlineLevel="1" spans="1:10">
      <c r="A689" s="50">
        <v>570</v>
      </c>
      <c r="B689" s="51" t="str">
        <v>内墙面-3-5厚砂浆打底</v>
      </c>
      <c r="C689" s="51" t="e">
        <v>#REF!</v>
      </c>
      <c r="D689" s="51" t="str">
        <v/>
      </c>
      <c r="E689" s="51" t="str">
        <v/>
      </c>
      <c r="F689" s="52" t="e">
        <v>#REF!</v>
      </c>
      <c r="G689" s="48" t="e">
        <v>#REF!</v>
      </c>
      <c r="H689" s="49">
        <v>0</v>
      </c>
      <c r="I689" s="49" t="e">
        <v>#REF!</v>
      </c>
      <c r="J689" s="50"/>
    </row>
    <row r="690" ht="28.8" outlineLevel="1" spans="1:10">
      <c r="A690" s="50" t="str">
        <v/>
      </c>
      <c r="B690" s="51" t="str">
        <v>二层及以上合用前室不与住宅户内相邻的隔墙</v>
      </c>
      <c r="C690" s="51" t="str">
        <v/>
      </c>
      <c r="D690" s="51" t="str">
        <v/>
      </c>
      <c r="E690" s="51" t="str">
        <v/>
      </c>
      <c r="F690" s="52" t="str">
        <v/>
      </c>
      <c r="G690" s="48" t="str">
        <v/>
      </c>
      <c r="H690" s="49">
        <v>0</v>
      </c>
      <c r="I690" s="49">
        <v>0</v>
      </c>
      <c r="J690" s="50"/>
    </row>
    <row r="691" outlineLevel="1" spans="1:10">
      <c r="A691" s="50">
        <v>571</v>
      </c>
      <c r="B691" s="51" t="str">
        <v>内墙面-玻纤网</v>
      </c>
      <c r="C691" s="51" t="e">
        <v>#REF!</v>
      </c>
      <c r="D691" s="51" t="str">
        <v/>
      </c>
      <c r="E691" s="51" t="str">
        <v/>
      </c>
      <c r="F691" s="52" t="e">
        <v>#REF!</v>
      </c>
      <c r="G691" s="48" t="e">
        <v>#REF!</v>
      </c>
      <c r="H691" s="49">
        <v>0</v>
      </c>
      <c r="I691" s="49" t="e">
        <v>#REF!</v>
      </c>
      <c r="J691" s="50"/>
    </row>
    <row r="692" outlineLevel="1" spans="1:10">
      <c r="A692" s="50">
        <v>572</v>
      </c>
      <c r="B692" s="51" t="str">
        <v>内墙面-界面剂</v>
      </c>
      <c r="C692" s="51" t="e">
        <v>#REF!</v>
      </c>
      <c r="D692" s="51" t="str">
        <v/>
      </c>
      <c r="E692" s="51" t="str">
        <v/>
      </c>
      <c r="F692" s="52" t="e">
        <v>#REF!</v>
      </c>
      <c r="G692" s="48" t="e">
        <v>#REF!</v>
      </c>
      <c r="H692" s="49">
        <v>0</v>
      </c>
      <c r="I692" s="49" t="e">
        <v>#REF!</v>
      </c>
      <c r="J692" s="50"/>
    </row>
    <row r="693" outlineLevel="1" spans="1:10">
      <c r="A693" s="50">
        <v>573</v>
      </c>
      <c r="B693" s="51" t="str">
        <v>内墙面-3-5厚砂浆打底</v>
      </c>
      <c r="C693" s="51" t="e">
        <v>#REF!</v>
      </c>
      <c r="D693" s="51" t="str">
        <v/>
      </c>
      <c r="E693" s="51" t="str">
        <v/>
      </c>
      <c r="F693" s="52" t="e">
        <v>#REF!</v>
      </c>
      <c r="G693" s="48" t="e">
        <v>#REF!</v>
      </c>
      <c r="H693" s="49">
        <v>0</v>
      </c>
      <c r="I693" s="49" t="e">
        <v>#REF!</v>
      </c>
      <c r="J693" s="50"/>
    </row>
    <row r="694" outlineLevel="1" spans="1:10">
      <c r="A694" s="50">
        <v>574</v>
      </c>
      <c r="B694" s="51" t="str">
        <v>内墙面-6厚M7.5石灰砂浆</v>
      </c>
      <c r="C694" s="51" t="e">
        <v>#REF!</v>
      </c>
      <c r="D694" s="51" t="str">
        <v/>
      </c>
      <c r="E694" s="51" t="str">
        <v/>
      </c>
      <c r="F694" s="52" t="e">
        <v>#REF!</v>
      </c>
      <c r="G694" s="48" t="e">
        <v>#REF!</v>
      </c>
      <c r="H694" s="49">
        <v>0</v>
      </c>
      <c r="I694" s="49" t="e">
        <v>#REF!</v>
      </c>
      <c r="J694" s="50"/>
    </row>
    <row r="695" ht="43.2" outlineLevel="1" spans="1:10">
      <c r="A695" s="50" t="str">
        <v/>
      </c>
      <c r="B695" s="51" t="str">
        <v>二层及以上楼梯间与住宅户内相邻的隔墙的楼梯间一侧 及一层楼梯间</v>
      </c>
      <c r="C695" s="51" t="str">
        <v/>
      </c>
      <c r="D695" s="51" t="str">
        <v/>
      </c>
      <c r="E695" s="51" t="str">
        <v/>
      </c>
      <c r="F695" s="52" t="str">
        <v/>
      </c>
      <c r="G695" s="48" t="str">
        <v/>
      </c>
      <c r="H695" s="49">
        <v>0</v>
      </c>
      <c r="I695" s="49">
        <v>0</v>
      </c>
      <c r="J695" s="50"/>
    </row>
    <row r="696" outlineLevel="1" spans="1:10">
      <c r="A696" s="50">
        <v>575</v>
      </c>
      <c r="B696" s="51" t="str">
        <v>内墙面-界面剂</v>
      </c>
      <c r="C696" s="51" t="e">
        <v>#REF!</v>
      </c>
      <c r="D696" s="51" t="str">
        <v/>
      </c>
      <c r="E696" s="51" t="str">
        <v/>
      </c>
      <c r="F696" s="52" t="e">
        <v>#REF!</v>
      </c>
      <c r="G696" s="48" t="e">
        <v>#REF!</v>
      </c>
      <c r="H696" s="49">
        <v>1</v>
      </c>
      <c r="I696" s="49" t="e">
        <v>#REF!</v>
      </c>
      <c r="J696" s="50"/>
    </row>
    <row r="697" outlineLevel="1" spans="1:10">
      <c r="A697" s="50">
        <v>576</v>
      </c>
      <c r="B697" s="51" t="str">
        <v>内墙面-20厚无机保温砂浆</v>
      </c>
      <c r="C697" s="51" t="e">
        <v>#REF!</v>
      </c>
      <c r="D697" s="51" t="str">
        <v/>
      </c>
      <c r="E697" s="51" t="str">
        <v/>
      </c>
      <c r="F697" s="52" t="e">
        <v>#REF!</v>
      </c>
      <c r="G697" s="48" t="e">
        <v>#REF!</v>
      </c>
      <c r="H697" s="49">
        <v>1</v>
      </c>
      <c r="I697" s="49" t="e">
        <v>#REF!</v>
      </c>
      <c r="J697" s="50"/>
    </row>
    <row r="698" outlineLevel="1" spans="1:10">
      <c r="A698" s="50">
        <v>577</v>
      </c>
      <c r="B698" s="51" t="str">
        <v>内墙面-3厚抗裂砂浆</v>
      </c>
      <c r="C698" s="51" t="e">
        <v>#REF!</v>
      </c>
      <c r="D698" s="51" t="str">
        <v/>
      </c>
      <c r="E698" s="51" t="str">
        <v/>
      </c>
      <c r="F698" s="52" t="e">
        <v>#REF!</v>
      </c>
      <c r="G698" s="48" t="e">
        <v>#REF!</v>
      </c>
      <c r="H698" s="49">
        <v>1</v>
      </c>
      <c r="I698" s="49" t="e">
        <v>#REF!</v>
      </c>
      <c r="J698" s="50"/>
    </row>
    <row r="699" outlineLevel="1" spans="1:10">
      <c r="A699" s="50">
        <v>578</v>
      </c>
      <c r="B699" s="51" t="str">
        <v>内墙面-玻纤网</v>
      </c>
      <c r="C699" s="51" t="e">
        <v>#REF!</v>
      </c>
      <c r="D699" s="51" t="str">
        <v/>
      </c>
      <c r="E699" s="51" t="str">
        <v/>
      </c>
      <c r="F699" s="52" t="e">
        <v>#REF!</v>
      </c>
      <c r="G699" s="48" t="e">
        <v>#REF!</v>
      </c>
      <c r="H699" s="49">
        <v>1</v>
      </c>
      <c r="I699" s="49" t="e">
        <v>#REF!</v>
      </c>
      <c r="J699" s="50"/>
    </row>
    <row r="700" ht="43.2" outlineLevel="1" spans="1:10">
      <c r="A700" s="50" t="str">
        <v/>
      </c>
      <c r="B700" s="51" t="str">
        <v>二层及以上合用前室、电梯厅不与住宅户内相邻隔墙的
合用前室、电梯厅一侧</v>
      </c>
      <c r="C700" s="51" t="str">
        <v/>
      </c>
      <c r="D700" s="51" t="str">
        <v/>
      </c>
      <c r="E700" s="51" t="str">
        <v/>
      </c>
      <c r="F700" s="52" t="str">
        <v/>
      </c>
      <c r="G700" s="48" t="str">
        <v/>
      </c>
      <c r="H700" s="49">
        <v>0</v>
      </c>
      <c r="I700" s="49">
        <v>0</v>
      </c>
      <c r="J700" s="50"/>
    </row>
    <row r="701" outlineLevel="1" spans="1:10">
      <c r="A701" s="50">
        <v>579</v>
      </c>
      <c r="B701" s="51" t="str">
        <v>内墙面-界面剂</v>
      </c>
      <c r="C701" s="51" t="e">
        <v>#REF!</v>
      </c>
      <c r="D701" s="51" t="str">
        <v/>
      </c>
      <c r="E701" s="51" t="str">
        <v/>
      </c>
      <c r="F701" s="52" t="e">
        <v>#REF!</v>
      </c>
      <c r="G701" s="48" t="e">
        <v>#REF!</v>
      </c>
      <c r="H701" s="49">
        <v>1</v>
      </c>
      <c r="I701" s="49" t="e">
        <v>#REF!</v>
      </c>
      <c r="J701" s="50"/>
    </row>
    <row r="702" outlineLevel="1" spans="1:10">
      <c r="A702" s="50">
        <v>580</v>
      </c>
      <c r="B702" s="51" t="str">
        <v>内墙面-7厚M5石灰砂浆</v>
      </c>
      <c r="C702" s="51" t="e">
        <v>#REF!</v>
      </c>
      <c r="D702" s="51" t="str">
        <v/>
      </c>
      <c r="E702" s="51" t="str">
        <v/>
      </c>
      <c r="F702" s="52" t="e">
        <v>#REF!</v>
      </c>
      <c r="G702" s="48" t="e">
        <v>#REF!</v>
      </c>
      <c r="H702" s="49">
        <v>1</v>
      </c>
      <c r="I702" s="49" t="e">
        <v>#REF!</v>
      </c>
      <c r="J702" s="50"/>
    </row>
    <row r="703" outlineLevel="1" spans="1:10">
      <c r="A703" s="50">
        <v>581</v>
      </c>
      <c r="B703" s="51" t="str">
        <v>内墙面-6厚M7.5石灰砂浆</v>
      </c>
      <c r="C703" s="51" t="e">
        <v>#REF!</v>
      </c>
      <c r="D703" s="51" t="str">
        <v/>
      </c>
      <c r="E703" s="51" t="str">
        <v/>
      </c>
      <c r="F703" s="52" t="e">
        <v>#REF!</v>
      </c>
      <c r="G703" s="48" t="e">
        <v>#REF!</v>
      </c>
      <c r="H703" s="49">
        <v>1</v>
      </c>
      <c r="I703" s="49" t="e">
        <v>#REF!</v>
      </c>
      <c r="J703" s="50"/>
    </row>
    <row r="704" outlineLevel="1" spans="1:10">
      <c r="A704" s="50" t="str">
        <v/>
      </c>
      <c r="B704" s="51" t="str">
        <v>卫生间.厨房内墙</v>
      </c>
      <c r="C704" s="51" t="str">
        <v/>
      </c>
      <c r="D704" s="51" t="str">
        <v/>
      </c>
      <c r="E704" s="51" t="str">
        <v/>
      </c>
      <c r="F704" s="52" t="str">
        <v/>
      </c>
      <c r="G704" s="48" t="str">
        <v/>
      </c>
      <c r="H704" s="49">
        <v>0</v>
      </c>
      <c r="I704" s="49">
        <v>0</v>
      </c>
      <c r="J704" s="50"/>
    </row>
    <row r="705" outlineLevel="1" spans="1:10">
      <c r="A705" s="50">
        <v>582</v>
      </c>
      <c r="B705" s="51" t="str">
        <v>内墙面-10厚M20水泥砂浆</v>
      </c>
      <c r="C705" s="51" t="e">
        <v>#REF!</v>
      </c>
      <c r="D705" s="51" t="str">
        <v/>
      </c>
      <c r="E705" s="51" t="str">
        <v/>
      </c>
      <c r="F705" s="52" t="e">
        <v>#REF!</v>
      </c>
      <c r="G705" s="48" t="e">
        <v>#REF!</v>
      </c>
      <c r="H705" s="49">
        <v>3298.7</v>
      </c>
      <c r="I705" s="49" t="e">
        <v>#REF!</v>
      </c>
      <c r="J705" s="50"/>
    </row>
    <row r="706" outlineLevel="1" spans="1:10">
      <c r="A706" s="50">
        <v>583</v>
      </c>
      <c r="B706" s="51" t="str">
        <v>内墙面-玻纤网</v>
      </c>
      <c r="C706" s="51" t="e">
        <v>#REF!</v>
      </c>
      <c r="D706" s="51" t="str">
        <v/>
      </c>
      <c r="E706" s="51" t="str">
        <v/>
      </c>
      <c r="F706" s="52" t="e">
        <v>#REF!</v>
      </c>
      <c r="G706" s="48" t="e">
        <v>#REF!</v>
      </c>
      <c r="H706" s="49">
        <v>3298.7</v>
      </c>
      <c r="I706" s="49" t="e">
        <v>#REF!</v>
      </c>
      <c r="J706" s="50"/>
    </row>
    <row r="707" outlineLevel="1" spans="1:10">
      <c r="A707" s="50" t="str">
        <v/>
      </c>
      <c r="B707" s="51" t="str">
        <v>卫生间、厨房内墙</v>
      </c>
      <c r="C707" s="51" t="str">
        <v/>
      </c>
      <c r="D707" s="51" t="str">
        <v/>
      </c>
      <c r="E707" s="51" t="str">
        <v/>
      </c>
      <c r="F707" s="52" t="str">
        <v/>
      </c>
      <c r="G707" s="48" t="str">
        <v/>
      </c>
      <c r="H707" s="49">
        <v>0</v>
      </c>
      <c r="I707" s="49">
        <v>0</v>
      </c>
      <c r="J707" s="50"/>
    </row>
    <row r="708" outlineLevel="1" spans="1:10">
      <c r="A708" s="50">
        <v>584</v>
      </c>
      <c r="B708" s="51" t="str">
        <v>内墙面-界面剂</v>
      </c>
      <c r="C708" s="51" t="e">
        <v>#REF!</v>
      </c>
      <c r="D708" s="51" t="str">
        <v/>
      </c>
      <c r="E708" s="51" t="str">
        <v/>
      </c>
      <c r="F708" s="52" t="e">
        <v>#REF!</v>
      </c>
      <c r="G708" s="48" t="e">
        <v>#REF!</v>
      </c>
      <c r="H708" s="49">
        <v>1</v>
      </c>
      <c r="I708" s="49" t="e">
        <v>#REF!</v>
      </c>
      <c r="J708" s="50"/>
    </row>
    <row r="709" outlineLevel="1" spans="1:10">
      <c r="A709" s="50">
        <v>585</v>
      </c>
      <c r="B709" s="51" t="str">
        <v>内墙面-15厚M7.5水泥砂浆</v>
      </c>
      <c r="C709" s="51" t="e">
        <v>#REF!</v>
      </c>
      <c r="D709" s="51" t="str">
        <v/>
      </c>
      <c r="E709" s="51" t="str">
        <v/>
      </c>
      <c r="F709" s="52" t="e">
        <v>#REF!</v>
      </c>
      <c r="G709" s="48" t="e">
        <v>#REF!</v>
      </c>
      <c r="H709" s="49">
        <v>1</v>
      </c>
      <c r="I709" s="49" t="e">
        <v>#REF!</v>
      </c>
      <c r="J709" s="50"/>
    </row>
    <row r="710" outlineLevel="1" spans="1:10">
      <c r="A710" s="50" t="str">
        <v/>
      </c>
      <c r="B710" s="51" t="str">
        <v>卫生间.厨房内墙</v>
      </c>
      <c r="C710" s="51" t="str">
        <v/>
      </c>
      <c r="D710" s="51" t="str">
        <v/>
      </c>
      <c r="E710" s="51" t="str">
        <v/>
      </c>
      <c r="F710" s="52" t="str">
        <v/>
      </c>
      <c r="G710" s="48" t="str">
        <v/>
      </c>
      <c r="H710" s="49">
        <v>0</v>
      </c>
      <c r="I710" s="49">
        <v>0</v>
      </c>
      <c r="J710" s="50"/>
    </row>
    <row r="711" outlineLevel="1" spans="1:10">
      <c r="A711" s="50">
        <v>586</v>
      </c>
      <c r="B711" s="51" t="str">
        <v>内墙面-玻纤网</v>
      </c>
      <c r="C711" s="51" t="e">
        <v>#REF!</v>
      </c>
      <c r="D711" s="51" t="str">
        <v/>
      </c>
      <c r="E711" s="51" t="str">
        <v/>
      </c>
      <c r="F711" s="52" t="e">
        <v>#REF!</v>
      </c>
      <c r="G711" s="48" t="e">
        <v>#REF!</v>
      </c>
      <c r="H711" s="49">
        <v>0</v>
      </c>
      <c r="I711" s="49" t="e">
        <v>#REF!</v>
      </c>
      <c r="J711" s="50"/>
    </row>
    <row r="712" outlineLevel="1" spans="1:10">
      <c r="A712" s="50">
        <v>587</v>
      </c>
      <c r="B712" s="51" t="str">
        <v>内墙面-界面剂</v>
      </c>
      <c r="C712" s="51" t="e">
        <v>#REF!</v>
      </c>
      <c r="D712" s="51" t="str">
        <v/>
      </c>
      <c r="E712" s="51" t="str">
        <v/>
      </c>
      <c r="F712" s="52" t="e">
        <v>#REF!</v>
      </c>
      <c r="G712" s="48" t="e">
        <v>#REF!</v>
      </c>
      <c r="H712" s="49">
        <v>0</v>
      </c>
      <c r="I712" s="49" t="e">
        <v>#REF!</v>
      </c>
      <c r="J712" s="50"/>
    </row>
    <row r="713" outlineLevel="1" spans="1:10">
      <c r="A713" s="50">
        <v>588</v>
      </c>
      <c r="B713" s="51" t="str">
        <v>内墙面-3-5厚砂浆打底</v>
      </c>
      <c r="C713" s="51" t="e">
        <v>#REF!</v>
      </c>
      <c r="D713" s="51" t="str">
        <v/>
      </c>
      <c r="E713" s="51" t="str">
        <v/>
      </c>
      <c r="F713" s="52" t="e">
        <v>#REF!</v>
      </c>
      <c r="G713" s="48" t="e">
        <v>#REF!</v>
      </c>
      <c r="H713" s="49">
        <v>0</v>
      </c>
      <c r="I713" s="49" t="e">
        <v>#REF!</v>
      </c>
      <c r="J713" s="50"/>
    </row>
    <row r="714" outlineLevel="1" spans="1:10">
      <c r="A714" s="50" t="str">
        <v/>
      </c>
      <c r="B714" s="51" t="str">
        <v>卫生间.厨房内墙</v>
      </c>
      <c r="C714" s="51" t="str">
        <v/>
      </c>
      <c r="D714" s="51" t="str">
        <v/>
      </c>
      <c r="E714" s="51" t="str">
        <v/>
      </c>
      <c r="F714" s="52" t="str">
        <v/>
      </c>
      <c r="G714" s="48" t="str">
        <v/>
      </c>
      <c r="H714" s="49">
        <v>0</v>
      </c>
      <c r="I714" s="49">
        <v>0</v>
      </c>
      <c r="J714" s="50"/>
    </row>
    <row r="715" outlineLevel="1" spans="1:10">
      <c r="A715" s="50">
        <v>589</v>
      </c>
      <c r="B715" s="51" t="str">
        <v>内墙面-界面剂</v>
      </c>
      <c r="C715" s="51" t="e">
        <v>#REF!</v>
      </c>
      <c r="D715" s="51" t="str">
        <v/>
      </c>
      <c r="E715" s="51" t="str">
        <v/>
      </c>
      <c r="F715" s="52" t="e">
        <v>#REF!</v>
      </c>
      <c r="G715" s="48" t="e">
        <v>#REF!</v>
      </c>
      <c r="H715" s="49">
        <v>1</v>
      </c>
      <c r="I715" s="49" t="e">
        <v>#REF!</v>
      </c>
      <c r="J715" s="50"/>
    </row>
    <row r="716" outlineLevel="1" spans="1:10">
      <c r="A716" s="50">
        <v>590</v>
      </c>
      <c r="B716" s="51" t="str">
        <v>内墙面-7厚M5石灰砂浆</v>
      </c>
      <c r="C716" s="51" t="e">
        <v>#REF!</v>
      </c>
      <c r="D716" s="51" t="str">
        <v/>
      </c>
      <c r="E716" s="51" t="str">
        <v/>
      </c>
      <c r="F716" s="52" t="e">
        <v>#REF!</v>
      </c>
      <c r="G716" s="48" t="e">
        <v>#REF!</v>
      </c>
      <c r="H716" s="49">
        <v>1</v>
      </c>
      <c r="I716" s="49" t="e">
        <v>#REF!</v>
      </c>
      <c r="J716" s="50"/>
    </row>
    <row r="717" outlineLevel="1" spans="1:10">
      <c r="A717" s="50">
        <v>591</v>
      </c>
      <c r="B717" s="51" t="str">
        <v>内墙面-6厚M7.5石灰砂浆</v>
      </c>
      <c r="C717" s="51" t="e">
        <v>#REF!</v>
      </c>
      <c r="D717" s="51" t="str">
        <v/>
      </c>
      <c r="E717" s="51" t="str">
        <v/>
      </c>
      <c r="F717" s="52" t="e">
        <v>#REF!</v>
      </c>
      <c r="G717" s="48" t="e">
        <v>#REF!</v>
      </c>
      <c r="H717" s="49">
        <v>1</v>
      </c>
      <c r="I717" s="49" t="e">
        <v>#REF!</v>
      </c>
      <c r="J717" s="50"/>
    </row>
    <row r="718" ht="28.8" outlineLevel="1" spans="1:10">
      <c r="A718" s="50" t="str">
        <v/>
      </c>
      <c r="B718" s="51" t="str">
        <v>用于客厅.餐厅.卧室.书房内墙</v>
      </c>
      <c r="C718" s="51" t="str">
        <v/>
      </c>
      <c r="D718" s="51" t="str">
        <v/>
      </c>
      <c r="E718" s="51" t="str">
        <v/>
      </c>
      <c r="F718" s="52" t="str">
        <v/>
      </c>
      <c r="G718" s="48" t="str">
        <v/>
      </c>
      <c r="H718" s="49">
        <v>0</v>
      </c>
      <c r="I718" s="49">
        <v>0</v>
      </c>
      <c r="J718" s="50"/>
    </row>
    <row r="719" outlineLevel="1" spans="1:10">
      <c r="A719" s="50">
        <v>592</v>
      </c>
      <c r="B719" s="51" t="str">
        <v>内墙面-界面剂</v>
      </c>
      <c r="C719" s="51" t="e">
        <v>#REF!</v>
      </c>
      <c r="D719" s="51" t="str">
        <v/>
      </c>
      <c r="E719" s="51" t="str">
        <v/>
      </c>
      <c r="F719" s="52" t="e">
        <v>#REF!</v>
      </c>
      <c r="G719" s="48" t="e">
        <v>#REF!</v>
      </c>
      <c r="H719" s="49">
        <v>9608.9</v>
      </c>
      <c r="I719" s="49" t="e">
        <v>#REF!</v>
      </c>
      <c r="J719" s="50"/>
    </row>
    <row r="720" outlineLevel="1" spans="1:10">
      <c r="A720" s="50">
        <v>593</v>
      </c>
      <c r="B720" s="51" t="str">
        <v>内墙面-9厚M5石灰砂浆</v>
      </c>
      <c r="C720" s="51" t="e">
        <v>#REF!</v>
      </c>
      <c r="D720" s="51" t="str">
        <v/>
      </c>
      <c r="E720" s="51" t="str">
        <v/>
      </c>
      <c r="F720" s="52" t="e">
        <v>#REF!</v>
      </c>
      <c r="G720" s="48" t="e">
        <v>#REF!</v>
      </c>
      <c r="H720" s="49">
        <v>9608.9</v>
      </c>
      <c r="I720" s="49" t="e">
        <v>#REF!</v>
      </c>
      <c r="J720" s="50"/>
    </row>
    <row r="721" outlineLevel="1" spans="1:10">
      <c r="A721" s="50">
        <v>594</v>
      </c>
      <c r="B721" s="51" t="str">
        <v>内墙面-6厚M7.5石灰砂浆</v>
      </c>
      <c r="C721" s="51" t="e">
        <v>#REF!</v>
      </c>
      <c r="D721" s="51" t="str">
        <v/>
      </c>
      <c r="E721" s="51" t="str">
        <v/>
      </c>
      <c r="F721" s="52" t="e">
        <v>#REF!</v>
      </c>
      <c r="G721" s="48" t="e">
        <v>#REF!</v>
      </c>
      <c r="H721" s="49">
        <v>9608.9</v>
      </c>
      <c r="I721" s="49" t="e">
        <v>#REF!</v>
      </c>
      <c r="J721" s="50"/>
    </row>
    <row r="722" outlineLevel="1" spans="1:10">
      <c r="A722" s="50">
        <v>595</v>
      </c>
      <c r="B722" s="51" t="str">
        <v>内墙面-玻纤网</v>
      </c>
      <c r="C722" s="51" t="e">
        <v>#REF!</v>
      </c>
      <c r="D722" s="51" t="str">
        <v/>
      </c>
      <c r="E722" s="51" t="str">
        <v/>
      </c>
      <c r="F722" s="52" t="e">
        <v>#REF!</v>
      </c>
      <c r="G722" s="48" t="e">
        <v>#REF!</v>
      </c>
      <c r="H722" s="49">
        <v>9608.9</v>
      </c>
      <c r="I722" s="49" t="e">
        <v>#REF!</v>
      </c>
      <c r="J722" s="50"/>
    </row>
    <row r="723" outlineLevel="1" spans="1:10">
      <c r="A723" s="50" t="str">
        <v/>
      </c>
      <c r="B723" s="51" t="str">
        <v>户内除厨房.卫生间外的房间</v>
      </c>
      <c r="C723" s="51" t="str">
        <v/>
      </c>
      <c r="D723" s="51" t="str">
        <v/>
      </c>
      <c r="E723" s="51" t="str">
        <v/>
      </c>
      <c r="F723" s="52" t="str">
        <v/>
      </c>
      <c r="G723" s="48" t="str">
        <v/>
      </c>
      <c r="H723" s="49">
        <v>0</v>
      </c>
      <c r="I723" s="49">
        <v>0</v>
      </c>
      <c r="J723" s="50"/>
    </row>
    <row r="724" outlineLevel="1" spans="1:10">
      <c r="A724" s="50">
        <v>596</v>
      </c>
      <c r="B724" s="51" t="str">
        <v>内墙面-界面剂</v>
      </c>
      <c r="C724" s="51" t="e">
        <v>#REF!</v>
      </c>
      <c r="D724" s="51" t="str">
        <v/>
      </c>
      <c r="E724" s="51" t="str">
        <v/>
      </c>
      <c r="F724" s="52" t="e">
        <v>#REF!</v>
      </c>
      <c r="G724" s="48" t="e">
        <v>#REF!</v>
      </c>
      <c r="H724" s="49">
        <v>1</v>
      </c>
      <c r="I724" s="49" t="e">
        <v>#REF!</v>
      </c>
      <c r="J724" s="50"/>
    </row>
    <row r="725" outlineLevel="1" spans="1:10">
      <c r="A725" s="50">
        <v>597</v>
      </c>
      <c r="B725" s="51" t="str">
        <v>内墙面-7厚M5石灰砂浆</v>
      </c>
      <c r="C725" s="51" t="e">
        <v>#REF!</v>
      </c>
      <c r="D725" s="51" t="str">
        <v/>
      </c>
      <c r="E725" s="51" t="str">
        <v/>
      </c>
      <c r="F725" s="52" t="e">
        <v>#REF!</v>
      </c>
      <c r="G725" s="48" t="e">
        <v>#REF!</v>
      </c>
      <c r="H725" s="49">
        <v>1</v>
      </c>
      <c r="I725" s="49" t="e">
        <v>#REF!</v>
      </c>
      <c r="J725" s="50"/>
    </row>
    <row r="726" outlineLevel="1" spans="1:10">
      <c r="A726" s="50">
        <v>598</v>
      </c>
      <c r="B726" s="51" t="str">
        <v>内墙面-6厚M7.5石灰砂浆</v>
      </c>
      <c r="C726" s="51" t="e">
        <v>#REF!</v>
      </c>
      <c r="D726" s="51" t="str">
        <v/>
      </c>
      <c r="E726" s="51" t="str">
        <v/>
      </c>
      <c r="F726" s="52" t="e">
        <v>#REF!</v>
      </c>
      <c r="G726" s="48" t="e">
        <v>#REF!</v>
      </c>
      <c r="H726" s="49">
        <v>1</v>
      </c>
      <c r="I726" s="49" t="e">
        <v>#REF!</v>
      </c>
      <c r="J726" s="50"/>
    </row>
    <row r="727" outlineLevel="1" spans="1:10">
      <c r="A727" s="50">
        <v>599</v>
      </c>
      <c r="B727" s="51" t="str">
        <v>内墙面-15厚粉刷石膏</v>
      </c>
      <c r="C727" s="51" t="e">
        <v>#REF!</v>
      </c>
      <c r="D727" s="51" t="str">
        <v/>
      </c>
      <c r="E727" s="51" t="str">
        <v/>
      </c>
      <c r="F727" s="52" t="e">
        <v>#REF!</v>
      </c>
      <c r="G727" s="48" t="e">
        <v>#REF!</v>
      </c>
      <c r="H727" s="49">
        <v>0</v>
      </c>
      <c r="I727" s="49" t="e">
        <v>#REF!</v>
      </c>
      <c r="J727" s="50"/>
    </row>
    <row r="728" outlineLevel="1" spans="1:10">
      <c r="A728" s="50">
        <v>600</v>
      </c>
      <c r="B728" s="51" t="str">
        <v>内墙面-玻纤网</v>
      </c>
      <c r="C728" s="51" t="e">
        <v>#REF!</v>
      </c>
      <c r="D728" s="51" t="str">
        <v/>
      </c>
      <c r="E728" s="51" t="str">
        <v/>
      </c>
      <c r="F728" s="52" t="e">
        <v>#REF!</v>
      </c>
      <c r="G728" s="48" t="e">
        <v>#REF!</v>
      </c>
      <c r="H728" s="49">
        <v>1</v>
      </c>
      <c r="I728" s="49" t="e">
        <v>#REF!</v>
      </c>
      <c r="J728" s="50"/>
    </row>
    <row r="729" outlineLevel="1" spans="1:10">
      <c r="A729" s="50" t="str">
        <v/>
      </c>
      <c r="B729" s="51" t="str">
        <v>户内除厨房.卫生间外的房间</v>
      </c>
      <c r="C729" s="51" t="str">
        <v/>
      </c>
      <c r="D729" s="51" t="str">
        <v/>
      </c>
      <c r="E729" s="51" t="str">
        <v/>
      </c>
      <c r="F729" s="52" t="str">
        <v/>
      </c>
      <c r="G729" s="48" t="str">
        <v/>
      </c>
      <c r="H729" s="49">
        <v>0</v>
      </c>
      <c r="I729" s="49">
        <v>0</v>
      </c>
      <c r="J729" s="50"/>
    </row>
    <row r="730" outlineLevel="1" spans="1:10">
      <c r="A730" s="50">
        <v>601</v>
      </c>
      <c r="B730" s="51" t="str">
        <v>内墙面-6厚M7.5石灰砂浆</v>
      </c>
      <c r="C730" s="51" t="e">
        <v>#REF!</v>
      </c>
      <c r="D730" s="51" t="str">
        <v/>
      </c>
      <c r="E730" s="51" t="str">
        <v/>
      </c>
      <c r="F730" s="52" t="e">
        <v>#REF!</v>
      </c>
      <c r="G730" s="48" t="e">
        <v>#REF!</v>
      </c>
      <c r="H730" s="49">
        <v>0</v>
      </c>
      <c r="I730" s="49" t="e">
        <v>#REF!</v>
      </c>
      <c r="J730" s="50"/>
    </row>
    <row r="731" outlineLevel="1" spans="1:10">
      <c r="A731" s="50">
        <v>602</v>
      </c>
      <c r="B731" s="51" t="str">
        <v>内墙面-玻纤网</v>
      </c>
      <c r="C731" s="51" t="e">
        <v>#REF!</v>
      </c>
      <c r="D731" s="51" t="str">
        <v/>
      </c>
      <c r="E731" s="51" t="str">
        <v/>
      </c>
      <c r="F731" s="52" t="e">
        <v>#REF!</v>
      </c>
      <c r="G731" s="48" t="e">
        <v>#REF!</v>
      </c>
      <c r="H731" s="49">
        <v>0</v>
      </c>
      <c r="I731" s="49" t="e">
        <v>#REF!</v>
      </c>
      <c r="J731" s="50"/>
    </row>
    <row r="732" outlineLevel="1" spans="1:10">
      <c r="A732" s="50">
        <v>603</v>
      </c>
      <c r="B732" s="51" t="str">
        <v>内墙面-界面剂</v>
      </c>
      <c r="C732" s="51" t="e">
        <v>#REF!</v>
      </c>
      <c r="D732" s="51" t="str">
        <v/>
      </c>
      <c r="E732" s="51" t="str">
        <v/>
      </c>
      <c r="F732" s="52" t="e">
        <v>#REF!</v>
      </c>
      <c r="G732" s="48" t="e">
        <v>#REF!</v>
      </c>
      <c r="H732" s="49">
        <v>0</v>
      </c>
      <c r="I732" s="49" t="e">
        <v>#REF!</v>
      </c>
      <c r="J732" s="50"/>
    </row>
    <row r="733" outlineLevel="1" spans="1:10">
      <c r="A733" s="50">
        <v>604</v>
      </c>
      <c r="B733" s="51" t="str">
        <v>内墙面-3-5厚砂浆打底</v>
      </c>
      <c r="C733" s="51" t="e">
        <v>#REF!</v>
      </c>
      <c r="D733" s="51" t="str">
        <v/>
      </c>
      <c r="E733" s="51" t="str">
        <v/>
      </c>
      <c r="F733" s="52" t="e">
        <v>#REF!</v>
      </c>
      <c r="G733" s="48" t="e">
        <v>#REF!</v>
      </c>
      <c r="H733" s="49">
        <v>0</v>
      </c>
      <c r="I733" s="49" t="e">
        <v>#REF!</v>
      </c>
      <c r="J733" s="50"/>
    </row>
    <row r="734" outlineLevel="1" spans="1:10">
      <c r="A734" s="50">
        <v>605</v>
      </c>
      <c r="B734" s="51" t="str">
        <v>内墙面-6厚M7.5石灰砂浆</v>
      </c>
      <c r="C734" s="51" t="e">
        <v>#REF!</v>
      </c>
      <c r="D734" s="51" t="str">
        <v/>
      </c>
      <c r="E734" s="51" t="str">
        <v/>
      </c>
      <c r="F734" s="52" t="e">
        <v>#REF!</v>
      </c>
      <c r="G734" s="48" t="e">
        <v>#REF!</v>
      </c>
      <c r="H734" s="49">
        <v>0</v>
      </c>
      <c r="I734" s="49" t="e">
        <v>#REF!</v>
      </c>
      <c r="J734" s="50"/>
    </row>
    <row r="735" outlineLevel="1" spans="1:10">
      <c r="A735" s="50">
        <v>606</v>
      </c>
      <c r="B735" s="51" t="str">
        <v>通风道真空绝热板</v>
      </c>
      <c r="C735" s="51" t="e">
        <v>#REF!</v>
      </c>
      <c r="D735" s="51" t="str">
        <v/>
      </c>
      <c r="E735" s="51" t="str">
        <v/>
      </c>
      <c r="F735" s="52" t="e">
        <v>#REF!</v>
      </c>
      <c r="G735" s="48" t="e">
        <v>#REF!</v>
      </c>
      <c r="H735" s="49">
        <v>90.94</v>
      </c>
      <c r="I735" s="49" t="e">
        <v>#REF!</v>
      </c>
      <c r="J735" s="50"/>
    </row>
    <row r="736" outlineLevel="1" spans="1:10">
      <c r="A736" s="50">
        <v>607</v>
      </c>
      <c r="B736" s="51" t="str">
        <v>砌块墙钢丝网满挂</v>
      </c>
      <c r="C736" s="51" t="e">
        <v>#REF!</v>
      </c>
      <c r="D736" s="51" t="str">
        <v/>
      </c>
      <c r="E736" s="51" t="str">
        <v/>
      </c>
      <c r="F736" s="52" t="e">
        <v>#REF!</v>
      </c>
      <c r="G736" s="48" t="e">
        <v>#REF!</v>
      </c>
      <c r="H736" s="49">
        <v>0</v>
      </c>
      <c r="I736" s="49" t="e">
        <v>#REF!</v>
      </c>
      <c r="J736" s="50"/>
    </row>
    <row r="737" outlineLevel="1" spans="1:10">
      <c r="A737" s="50">
        <v>608</v>
      </c>
      <c r="B737" s="51" t="str">
        <v>内墙面-界面剂</v>
      </c>
      <c r="C737" s="51" t="e">
        <v>#REF!</v>
      </c>
      <c r="D737" s="51" t="str">
        <v/>
      </c>
      <c r="E737" s="51" t="str">
        <v/>
      </c>
      <c r="F737" s="52" t="e">
        <v>#REF!</v>
      </c>
      <c r="G737" s="48" t="e">
        <v>#REF!</v>
      </c>
      <c r="H737" s="49">
        <v>1</v>
      </c>
      <c r="I737" s="49" t="e">
        <v>#REF!</v>
      </c>
      <c r="J737" s="50"/>
    </row>
    <row r="738" outlineLevel="1" spans="1:10">
      <c r="A738" s="50">
        <v>609</v>
      </c>
      <c r="B738" s="51" t="str">
        <v>内墙面-15厚M7.5水泥砂浆</v>
      </c>
      <c r="C738" s="51" t="e">
        <v>#REF!</v>
      </c>
      <c r="D738" s="51" t="str">
        <v/>
      </c>
      <c r="E738" s="51" t="str">
        <v/>
      </c>
      <c r="F738" s="52" t="e">
        <v>#REF!</v>
      </c>
      <c r="G738" s="48" t="e">
        <v>#REF!</v>
      </c>
      <c r="H738" s="49">
        <v>1</v>
      </c>
      <c r="I738" s="49" t="e">
        <v>#REF!</v>
      </c>
      <c r="J738" s="50"/>
    </row>
    <row r="739" outlineLevel="1" spans="1:10">
      <c r="A739" s="50">
        <v>610</v>
      </c>
      <c r="B739" s="51" t="str">
        <v>内墙面-15厚M7.5石灰砂浆</v>
      </c>
      <c r="C739" s="51" t="e">
        <v>#REF!</v>
      </c>
      <c r="D739" s="51" t="str">
        <v/>
      </c>
      <c r="E739" s="51" t="str">
        <v/>
      </c>
      <c r="F739" s="52" t="e">
        <v>#REF!</v>
      </c>
      <c r="G739" s="48" t="e">
        <v>#REF!</v>
      </c>
      <c r="H739" s="49">
        <v>1</v>
      </c>
      <c r="I739" s="49" t="e">
        <v>#REF!</v>
      </c>
      <c r="J739" s="50"/>
    </row>
    <row r="740" outlineLevel="1" spans="1:10">
      <c r="A740" s="50">
        <v>611</v>
      </c>
      <c r="B740" s="51" t="str">
        <v>内墙面-13厚M7.5石灰砂浆</v>
      </c>
      <c r="C740" s="51" t="e">
        <v>#REF!</v>
      </c>
      <c r="D740" s="51" t="str">
        <v/>
      </c>
      <c r="E740" s="51" t="str">
        <v/>
      </c>
      <c r="F740" s="52" t="e">
        <v>#REF!</v>
      </c>
      <c r="G740" s="48" t="e">
        <v>#REF!</v>
      </c>
      <c r="H740" s="49">
        <v>1</v>
      </c>
      <c r="I740" s="49" t="e">
        <v>#REF!</v>
      </c>
      <c r="J740" s="50"/>
    </row>
    <row r="741" outlineLevel="1" spans="1:10">
      <c r="A741" s="50">
        <v>612</v>
      </c>
      <c r="B741" s="51" t="str">
        <v>内墙面-13厚M7.5水泥砂浆</v>
      </c>
      <c r="C741" s="51" t="e">
        <v>#REF!</v>
      </c>
      <c r="D741" s="51" t="str">
        <v/>
      </c>
      <c r="E741" s="51" t="str">
        <v/>
      </c>
      <c r="F741" s="52" t="e">
        <v>#REF!</v>
      </c>
      <c r="G741" s="48" t="e">
        <v>#REF!</v>
      </c>
      <c r="H741" s="49">
        <v>1</v>
      </c>
      <c r="I741" s="49" t="e">
        <v>#REF!</v>
      </c>
      <c r="J741" s="50"/>
    </row>
    <row r="742" outlineLevel="1" spans="1:10">
      <c r="A742" s="50">
        <v>613</v>
      </c>
      <c r="B742" s="51" t="str">
        <v>内墙面-15厚M5水泥砂浆</v>
      </c>
      <c r="C742" s="51" t="e">
        <v>#REF!</v>
      </c>
      <c r="D742" s="51" t="str">
        <v/>
      </c>
      <c r="E742" s="51" t="str">
        <v/>
      </c>
      <c r="F742" s="52" t="e">
        <v>#REF!</v>
      </c>
      <c r="G742" s="48" t="e">
        <v>#REF!</v>
      </c>
      <c r="H742" s="49">
        <v>1</v>
      </c>
      <c r="I742" s="49" t="e">
        <v>#REF!</v>
      </c>
      <c r="J742" s="50"/>
    </row>
    <row r="743" outlineLevel="1" spans="1:10">
      <c r="A743" s="50">
        <v>614</v>
      </c>
      <c r="B743" s="51" t="str">
        <v>内墙面-15厚M5石灰砂浆</v>
      </c>
      <c r="C743" s="51" t="e">
        <v>#REF!</v>
      </c>
      <c r="D743" s="51" t="str">
        <v/>
      </c>
      <c r="E743" s="51" t="str">
        <v/>
      </c>
      <c r="F743" s="52" t="e">
        <v>#REF!</v>
      </c>
      <c r="G743" s="48" t="e">
        <v>#REF!</v>
      </c>
      <c r="H743" s="49">
        <v>1</v>
      </c>
      <c r="I743" s="49" t="e">
        <v>#REF!</v>
      </c>
      <c r="J743" s="50"/>
    </row>
    <row r="744" outlineLevel="1" spans="1:10">
      <c r="A744" s="50">
        <v>615</v>
      </c>
      <c r="B744" s="51" t="str">
        <v>内墙面-13厚M5水泥砂浆</v>
      </c>
      <c r="C744" s="51" t="e">
        <v>#REF!</v>
      </c>
      <c r="D744" s="51" t="str">
        <v/>
      </c>
      <c r="E744" s="51" t="str">
        <v/>
      </c>
      <c r="F744" s="52" t="e">
        <v>#REF!</v>
      </c>
      <c r="G744" s="48" t="e">
        <v>#REF!</v>
      </c>
      <c r="H744" s="49">
        <v>1</v>
      </c>
      <c r="I744" s="49" t="e">
        <v>#REF!</v>
      </c>
      <c r="J744" s="50"/>
    </row>
    <row r="745" outlineLevel="1" spans="1:10">
      <c r="A745" s="50">
        <v>616</v>
      </c>
      <c r="B745" s="51" t="str">
        <v>内墙面-13厚M5石灰砂浆</v>
      </c>
      <c r="C745" s="51" t="e">
        <v>#REF!</v>
      </c>
      <c r="D745" s="51" t="str">
        <v/>
      </c>
      <c r="E745" s="51" t="str">
        <v/>
      </c>
      <c r="F745" s="52" t="e">
        <v>#REF!</v>
      </c>
      <c r="G745" s="48" t="e">
        <v>#REF!</v>
      </c>
      <c r="H745" s="49">
        <v>1</v>
      </c>
      <c r="I745" s="49" t="e">
        <v>#REF!</v>
      </c>
      <c r="J745" s="50"/>
    </row>
    <row r="746" outlineLevel="1" spans="1:10">
      <c r="A746" s="50">
        <v>617</v>
      </c>
      <c r="B746" s="51" t="str">
        <v>内墙面-12厚M5水泥砂浆</v>
      </c>
      <c r="C746" s="51" t="e">
        <v>#REF!</v>
      </c>
      <c r="D746" s="51" t="str">
        <v/>
      </c>
      <c r="E746" s="51" t="str">
        <v/>
      </c>
      <c r="F746" s="52" t="e">
        <v>#REF!</v>
      </c>
      <c r="G746" s="48" t="e">
        <v>#REF!</v>
      </c>
      <c r="H746" s="49">
        <v>1</v>
      </c>
      <c r="I746" s="49" t="e">
        <v>#REF!</v>
      </c>
      <c r="J746" s="50"/>
    </row>
    <row r="747" outlineLevel="1" spans="1:10">
      <c r="A747" s="50">
        <v>618</v>
      </c>
      <c r="B747" s="51" t="str">
        <v>内墙面-12厚M5石灰砂浆</v>
      </c>
      <c r="C747" s="51" t="e">
        <v>#REF!</v>
      </c>
      <c r="D747" s="51" t="str">
        <v/>
      </c>
      <c r="E747" s="51" t="str">
        <v/>
      </c>
      <c r="F747" s="52" t="e">
        <v>#REF!</v>
      </c>
      <c r="G747" s="48" t="e">
        <v>#REF!</v>
      </c>
      <c r="H747" s="49">
        <v>1</v>
      </c>
      <c r="I747" s="49" t="e">
        <v>#REF!</v>
      </c>
      <c r="J747" s="50"/>
    </row>
    <row r="748" outlineLevel="1" spans="1:10">
      <c r="A748" s="50">
        <v>619</v>
      </c>
      <c r="B748" s="51" t="str">
        <v>内墙面-镀锌钢丝网</v>
      </c>
      <c r="C748" s="51" t="e">
        <v>#REF!</v>
      </c>
      <c r="D748" s="51" t="str">
        <v/>
      </c>
      <c r="E748" s="51" t="str">
        <v/>
      </c>
      <c r="F748" s="52" t="e">
        <v>#REF!</v>
      </c>
      <c r="G748" s="48" t="e">
        <v>#REF!</v>
      </c>
      <c r="H748" s="49">
        <v>1</v>
      </c>
      <c r="I748" s="49" t="e">
        <v>#REF!</v>
      </c>
      <c r="J748" s="50"/>
    </row>
    <row r="749" ht="28.8" outlineLevel="1" spans="1:10">
      <c r="A749" s="50" t="str">
        <v/>
      </c>
      <c r="B749" s="51" t="str">
        <v>水暖电井内墙（二次结构墙体）</v>
      </c>
      <c r="C749" s="51" t="str">
        <v/>
      </c>
      <c r="D749" s="51" t="str">
        <v/>
      </c>
      <c r="E749" s="51" t="str">
        <v/>
      </c>
      <c r="F749" s="52" t="str">
        <v/>
      </c>
      <c r="G749" s="48" t="str">
        <v/>
      </c>
      <c r="H749" s="49">
        <v>0</v>
      </c>
      <c r="I749" s="49">
        <v>0</v>
      </c>
      <c r="J749" s="50"/>
    </row>
    <row r="750" outlineLevel="1" spans="1:10">
      <c r="A750" s="50">
        <v>620</v>
      </c>
      <c r="B750" s="51" t="str">
        <v>内墙面-界面剂</v>
      </c>
      <c r="C750" s="51" t="e">
        <v>#REF!</v>
      </c>
      <c r="D750" s="51" t="str">
        <v/>
      </c>
      <c r="E750" s="51" t="str">
        <v/>
      </c>
      <c r="F750" s="52" t="e">
        <v>#REF!</v>
      </c>
      <c r="G750" s="48" t="e">
        <v>#REF!</v>
      </c>
      <c r="H750" s="49">
        <v>158.36</v>
      </c>
      <c r="I750" s="49" t="e">
        <v>#REF!</v>
      </c>
      <c r="J750" s="50"/>
    </row>
    <row r="751" outlineLevel="1" spans="1:10">
      <c r="A751" s="50">
        <v>621</v>
      </c>
      <c r="B751" s="51" t="str">
        <v>内墙面-7厚M5石灰砂浆</v>
      </c>
      <c r="C751" s="51" t="e">
        <v>#REF!</v>
      </c>
      <c r="D751" s="51" t="str">
        <v/>
      </c>
      <c r="E751" s="51" t="str">
        <v/>
      </c>
      <c r="F751" s="52" t="e">
        <v>#REF!</v>
      </c>
      <c r="G751" s="48" t="e">
        <v>#REF!</v>
      </c>
      <c r="H751" s="49">
        <v>158.36</v>
      </c>
      <c r="I751" s="49" t="e">
        <v>#REF!</v>
      </c>
      <c r="J751" s="50"/>
    </row>
    <row r="752" outlineLevel="1" spans="1:10">
      <c r="A752" s="50">
        <v>622</v>
      </c>
      <c r="B752" s="51" t="str">
        <v>内墙面-6厚M7.5石灰砂浆</v>
      </c>
      <c r="C752" s="51" t="e">
        <v>#REF!</v>
      </c>
      <c r="D752" s="51" t="str">
        <v/>
      </c>
      <c r="E752" s="51" t="str">
        <v/>
      </c>
      <c r="F752" s="52" t="e">
        <v>#REF!</v>
      </c>
      <c r="G752" s="48" t="e">
        <v>#REF!</v>
      </c>
      <c r="H752" s="49">
        <v>158.36</v>
      </c>
      <c r="I752" s="49" t="e">
        <v>#REF!</v>
      </c>
      <c r="J752" s="50"/>
    </row>
    <row r="753" ht="28.8" outlineLevel="1" spans="1:10">
      <c r="A753" s="50" t="str">
        <v/>
      </c>
      <c r="B753" s="51" t="str">
        <v>水箱间.电梯机房内墙（二次结构墙）</v>
      </c>
      <c r="C753" s="51" t="str">
        <v/>
      </c>
      <c r="D753" s="51" t="str">
        <v/>
      </c>
      <c r="E753" s="51" t="str">
        <v/>
      </c>
      <c r="F753" s="52" t="str">
        <v/>
      </c>
      <c r="G753" s="48" t="str">
        <v/>
      </c>
      <c r="H753" s="49">
        <v>0</v>
      </c>
      <c r="I753" s="49">
        <v>0</v>
      </c>
      <c r="J753" s="50"/>
    </row>
    <row r="754" outlineLevel="1" spans="1:10">
      <c r="A754" s="50">
        <v>623</v>
      </c>
      <c r="B754" s="51" t="str">
        <v>内墙面-界面剂</v>
      </c>
      <c r="C754" s="51" t="e">
        <v>#REF!</v>
      </c>
      <c r="D754" s="51" t="str">
        <v/>
      </c>
      <c r="E754" s="51" t="str">
        <v/>
      </c>
      <c r="F754" s="52" t="e">
        <v>#REF!</v>
      </c>
      <c r="G754" s="48" t="e">
        <v>#REF!</v>
      </c>
      <c r="H754" s="49">
        <v>64.0955856780622</v>
      </c>
      <c r="I754" s="49" t="e">
        <v>#REF!</v>
      </c>
      <c r="J754" s="50"/>
    </row>
    <row r="755" outlineLevel="1" spans="1:10">
      <c r="A755" s="50">
        <v>624</v>
      </c>
      <c r="B755" s="51" t="str">
        <v>内墙面-7厚M5石灰砂浆</v>
      </c>
      <c r="C755" s="51" t="e">
        <v>#REF!</v>
      </c>
      <c r="D755" s="51" t="str">
        <v/>
      </c>
      <c r="E755" s="51" t="str">
        <v/>
      </c>
      <c r="F755" s="52" t="e">
        <v>#REF!</v>
      </c>
      <c r="G755" s="48" t="e">
        <v>#REF!</v>
      </c>
      <c r="H755" s="49">
        <v>64.0955856780622</v>
      </c>
      <c r="I755" s="49" t="e">
        <v>#REF!</v>
      </c>
      <c r="J755" s="50"/>
    </row>
    <row r="756" outlineLevel="1" spans="1:10">
      <c r="A756" s="50">
        <v>625</v>
      </c>
      <c r="B756" s="51" t="str">
        <v>内墙面-6厚M7.5石灰砂浆</v>
      </c>
      <c r="C756" s="51" t="e">
        <v>#REF!</v>
      </c>
      <c r="D756" s="51" t="str">
        <v/>
      </c>
      <c r="E756" s="51" t="str">
        <v/>
      </c>
      <c r="F756" s="52" t="e">
        <v>#REF!</v>
      </c>
      <c r="G756" s="48" t="e">
        <v>#REF!</v>
      </c>
      <c r="H756" s="49">
        <v>64.0955856780622</v>
      </c>
      <c r="I756" s="49" t="e">
        <v>#REF!</v>
      </c>
      <c r="J756" s="50"/>
    </row>
    <row r="757" outlineLevel="1" spans="1:10">
      <c r="A757" s="50">
        <v>626</v>
      </c>
      <c r="B757" s="51" t="str">
        <v>内墙面-7厚M5水泥砂浆</v>
      </c>
      <c r="C757" s="51" t="e">
        <v>#REF!</v>
      </c>
      <c r="D757" s="51" t="str">
        <v/>
      </c>
      <c r="E757" s="51" t="str">
        <v/>
      </c>
      <c r="F757" s="52" t="e">
        <v>#REF!</v>
      </c>
      <c r="G757" s="48" t="e">
        <v>#REF!</v>
      </c>
      <c r="H757" s="49">
        <v>1</v>
      </c>
      <c r="I757" s="49" t="e">
        <v>#REF!</v>
      </c>
      <c r="J757" s="50"/>
    </row>
    <row r="758" outlineLevel="1" spans="1:10">
      <c r="A758" s="50">
        <v>627</v>
      </c>
      <c r="B758" s="51" t="str">
        <v>内墙面-6厚M7.5水泥砂浆</v>
      </c>
      <c r="C758" s="51" t="e">
        <v>#REF!</v>
      </c>
      <c r="D758" s="51" t="str">
        <v/>
      </c>
      <c r="E758" s="51" t="str">
        <v/>
      </c>
      <c r="F758" s="52" t="e">
        <v>#REF!</v>
      </c>
      <c r="G758" s="48" t="e">
        <v>#REF!</v>
      </c>
      <c r="H758" s="49">
        <v>1</v>
      </c>
      <c r="I758" s="49" t="e">
        <v>#REF!</v>
      </c>
      <c r="J758" s="50"/>
    </row>
    <row r="759" outlineLevel="1" spans="1:10">
      <c r="A759" s="50">
        <v>628</v>
      </c>
      <c r="B759" s="51" t="str">
        <v>内墙面-窗井风井</v>
      </c>
      <c r="C759" s="51" t="e">
        <v>#REF!</v>
      </c>
      <c r="D759" s="51" t="str">
        <v/>
      </c>
      <c r="E759" s="51" t="str">
        <v/>
      </c>
      <c r="F759" s="52" t="e">
        <v>#REF!</v>
      </c>
      <c r="G759" s="48" t="e">
        <v>#REF!</v>
      </c>
      <c r="H759" s="49">
        <v>0</v>
      </c>
      <c r="I759" s="49" t="e">
        <v>#REF!</v>
      </c>
      <c r="J759" s="50"/>
    </row>
    <row r="760" outlineLevel="1" spans="1:10">
      <c r="A760" s="50" t="str">
        <v/>
      </c>
      <c r="B760" s="51" t="str">
        <v>A.05.03天棚装饰工程</v>
      </c>
      <c r="C760" s="51" t="str">
        <v/>
      </c>
      <c r="D760" s="51" t="str">
        <v/>
      </c>
      <c r="E760" s="51" t="str">
        <v/>
      </c>
      <c r="F760" s="52" t="str">
        <v/>
      </c>
      <c r="G760" s="48" t="str">
        <v/>
      </c>
      <c r="H760" s="49">
        <v>0</v>
      </c>
      <c r="I760" s="49" t="e">
        <v>#REF!</v>
      </c>
      <c r="J760" s="50"/>
    </row>
    <row r="761" outlineLevel="1" spans="1:10">
      <c r="A761" s="50">
        <v>629</v>
      </c>
      <c r="B761" s="51" t="str">
        <v>天棚-腻子两遍</v>
      </c>
      <c r="C761" s="51" t="e">
        <v>#REF!</v>
      </c>
      <c r="D761" s="51" t="str">
        <v/>
      </c>
      <c r="E761" s="51" t="str">
        <v/>
      </c>
      <c r="F761" s="52" t="e">
        <v>#REF!</v>
      </c>
      <c r="G761" s="48" t="e">
        <v>#REF!</v>
      </c>
      <c r="H761" s="49">
        <v>5640.8</v>
      </c>
      <c r="I761" s="49" t="e">
        <v>#REF!</v>
      </c>
      <c r="J761" s="50"/>
    </row>
    <row r="762" outlineLevel="1" spans="1:10">
      <c r="A762" s="50" t="str">
        <v/>
      </c>
      <c r="B762" s="51" t="str">
        <v>A.05.04白水泥工程</v>
      </c>
      <c r="C762" s="51" t="str">
        <v/>
      </c>
      <c r="D762" s="51" t="str">
        <v/>
      </c>
      <c r="E762" s="51" t="str">
        <v/>
      </c>
      <c r="F762" s="52" t="str">
        <v/>
      </c>
      <c r="G762" s="48" t="str">
        <v/>
      </c>
      <c r="H762" s="49">
        <v>0</v>
      </c>
      <c r="I762" s="49" t="e">
        <v>#REF!</v>
      </c>
      <c r="J762" s="50"/>
    </row>
    <row r="763" outlineLevel="1" spans="1:10">
      <c r="A763" s="50">
        <v>630</v>
      </c>
      <c r="B763" s="51" t="str">
        <v>内墙面-地上白水泥</v>
      </c>
      <c r="C763" s="51" t="e">
        <v>#REF!</v>
      </c>
      <c r="D763" s="51" t="str">
        <v/>
      </c>
      <c r="E763" s="51" t="str">
        <v/>
      </c>
      <c r="F763" s="52" t="e">
        <v>#REF!</v>
      </c>
      <c r="G763" s="48" t="e">
        <v>#REF!</v>
      </c>
      <c r="H763" s="49">
        <v>655.52</v>
      </c>
      <c r="I763" s="49" t="e">
        <v>#REF!</v>
      </c>
      <c r="J763" s="50"/>
    </row>
    <row r="764" outlineLevel="1" spans="1:10">
      <c r="A764" s="50">
        <v>631</v>
      </c>
      <c r="B764" s="51" t="str">
        <v>天棚-地上白水泥</v>
      </c>
      <c r="C764" s="51" t="e">
        <v>#REF!</v>
      </c>
      <c r="D764" s="51" t="str">
        <v/>
      </c>
      <c r="E764" s="51" t="str">
        <v/>
      </c>
      <c r="F764" s="52" t="e">
        <v>#REF!</v>
      </c>
      <c r="G764" s="48" t="e">
        <v>#REF!</v>
      </c>
      <c r="H764" s="49">
        <v>220.8</v>
      </c>
      <c r="I764" s="49" t="e">
        <v>#REF!</v>
      </c>
      <c r="J764" s="50"/>
    </row>
    <row r="765" outlineLevel="1" spans="1:10">
      <c r="A765" s="50" t="str">
        <v/>
      </c>
      <c r="B765" s="51" t="str">
        <v>A.06外墙装饰工程</v>
      </c>
      <c r="C765" s="51" t="str">
        <v/>
      </c>
      <c r="D765" s="51" t="str">
        <v/>
      </c>
      <c r="E765" s="51" t="str">
        <v/>
      </c>
      <c r="F765" s="52" t="str">
        <v/>
      </c>
      <c r="G765" s="48" t="str">
        <v/>
      </c>
      <c r="H765" s="49">
        <v>0</v>
      </c>
      <c r="I765" s="49" t="e">
        <v>#REF!</v>
      </c>
      <c r="J765" s="50"/>
    </row>
    <row r="766" outlineLevel="1" spans="1:10">
      <c r="A766" s="50" t="str">
        <v/>
      </c>
      <c r="B766" s="51" t="str">
        <v>A.06.01保温隔热工程</v>
      </c>
      <c r="C766" s="51" t="str">
        <v/>
      </c>
      <c r="D766" s="51" t="str">
        <v/>
      </c>
      <c r="E766" s="51" t="str">
        <v/>
      </c>
      <c r="F766" s="52" t="str">
        <v/>
      </c>
      <c r="G766" s="48" t="str">
        <v/>
      </c>
      <c r="H766" s="49" t="e">
        <v>#REF!</v>
      </c>
      <c r="I766" s="49" t="e">
        <v>#REF!</v>
      </c>
      <c r="J766" s="50"/>
    </row>
    <row r="767" outlineLevel="1" spans="1:10">
      <c r="A767" s="50">
        <v>632</v>
      </c>
      <c r="B767" s="51" t="str">
        <v>外墙面-3厚抗裂砂浆</v>
      </c>
      <c r="C767" s="51" t="e">
        <v>#REF!</v>
      </c>
      <c r="D767" s="51" t="str">
        <v/>
      </c>
      <c r="E767" s="51" t="str">
        <v/>
      </c>
      <c r="F767" s="52" t="e">
        <v>#REF!</v>
      </c>
      <c r="G767" s="48" t="e">
        <v>#REF!</v>
      </c>
      <c r="H767" s="49" t="e">
        <v>#REF!</v>
      </c>
      <c r="I767" s="49" t="e">
        <v>#REF!</v>
      </c>
      <c r="J767" s="50"/>
    </row>
    <row r="768" outlineLevel="1" spans="1:10">
      <c r="A768" s="50">
        <v>633</v>
      </c>
      <c r="B768" s="51" t="str">
        <v>外墙面-5厚防水抗裂砂浆</v>
      </c>
      <c r="C768" s="51" t="e">
        <v>#REF!</v>
      </c>
      <c r="D768" s="51" t="str">
        <v/>
      </c>
      <c r="E768" s="51" t="str">
        <v/>
      </c>
      <c r="F768" s="52" t="e">
        <v>#REF!</v>
      </c>
      <c r="G768" s="48" t="e">
        <v>#REF!</v>
      </c>
      <c r="H768" s="49" t="e">
        <v>#REF!</v>
      </c>
      <c r="I768" s="49" t="e">
        <v>#REF!</v>
      </c>
      <c r="J768" s="50"/>
    </row>
    <row r="769" outlineLevel="1" spans="1:10">
      <c r="A769" s="50">
        <v>634</v>
      </c>
      <c r="B769" s="51" t="str">
        <v>外墙面-网格布</v>
      </c>
      <c r="C769" s="51" t="e">
        <v>#REF!</v>
      </c>
      <c r="D769" s="51" t="str">
        <v/>
      </c>
      <c r="E769" s="51" t="str">
        <v/>
      </c>
      <c r="F769" s="52" t="e">
        <v>#REF!</v>
      </c>
      <c r="G769" s="48" t="e">
        <v>#REF!</v>
      </c>
      <c r="H769" s="49" t="e">
        <v>#REF!</v>
      </c>
      <c r="I769" s="49" t="e">
        <v>#REF!</v>
      </c>
      <c r="J769" s="50"/>
    </row>
    <row r="770" outlineLevel="1" spans="1:10">
      <c r="A770" s="50">
        <v>635</v>
      </c>
      <c r="B770" s="51" t="str">
        <v>外墙保温-200厚AEPS</v>
      </c>
      <c r="C770" s="51" t="e">
        <v>#REF!</v>
      </c>
      <c r="D770" s="51" t="str">
        <v/>
      </c>
      <c r="E770" s="51" t="str">
        <v/>
      </c>
      <c r="F770" s="52" t="e">
        <v>#REF!</v>
      </c>
      <c r="G770" s="48" t="e">
        <v>#REF!</v>
      </c>
      <c r="H770" s="49" t="e">
        <v>#REF!</v>
      </c>
      <c r="I770" s="49" t="e">
        <v>#REF!</v>
      </c>
      <c r="J770" s="50"/>
    </row>
    <row r="771" outlineLevel="1" spans="1:10">
      <c r="A771" s="50">
        <v>636</v>
      </c>
      <c r="B771" s="51" t="str">
        <v>外墙保温-100厚AEPS</v>
      </c>
      <c r="C771" s="51" t="e">
        <v>#REF!</v>
      </c>
      <c r="D771" s="51" t="str">
        <v/>
      </c>
      <c r="E771" s="51" t="str">
        <v/>
      </c>
      <c r="F771" s="52" t="e">
        <v>#REF!</v>
      </c>
      <c r="G771" s="48" t="e">
        <v>#REF!</v>
      </c>
      <c r="H771" s="49" t="e">
        <v>#REF!</v>
      </c>
      <c r="I771" s="49" t="e">
        <v>#REF!</v>
      </c>
      <c r="J771" s="50"/>
    </row>
    <row r="772" outlineLevel="1" spans="1:10">
      <c r="A772" s="50">
        <v>637</v>
      </c>
      <c r="B772" s="51" t="str">
        <v>外墙保温-20厚无机保温砂浆</v>
      </c>
      <c r="C772" s="51" t="e">
        <v>#REF!</v>
      </c>
      <c r="D772" s="51" t="str">
        <v/>
      </c>
      <c r="E772" s="51" t="str">
        <v/>
      </c>
      <c r="F772" s="52" t="e">
        <v>#REF!</v>
      </c>
      <c r="G772" s="48" t="e">
        <v>#REF!</v>
      </c>
      <c r="H772" s="49" t="e">
        <v>#REF!</v>
      </c>
      <c r="I772" s="49" t="e">
        <v>#REF!</v>
      </c>
      <c r="J772" s="50"/>
    </row>
    <row r="773" outlineLevel="1" spans="1:10">
      <c r="A773" s="50">
        <v>638</v>
      </c>
      <c r="B773" s="51" t="str">
        <v>外墙保温-20厚胶粉聚苯颗粒</v>
      </c>
      <c r="C773" s="51" t="e">
        <v>#REF!</v>
      </c>
      <c r="D773" s="51" t="str">
        <v/>
      </c>
      <c r="E773" s="51" t="str">
        <v/>
      </c>
      <c r="F773" s="52" t="e">
        <v>#REF!</v>
      </c>
      <c r="G773" s="48" t="e">
        <v>#REF!</v>
      </c>
      <c r="H773" s="49">
        <v>0</v>
      </c>
      <c r="I773" s="49" t="e">
        <v>#REF!</v>
      </c>
      <c r="J773" s="50"/>
    </row>
    <row r="774" outlineLevel="1" spans="1:10">
      <c r="A774" s="50">
        <v>639</v>
      </c>
      <c r="B774" s="51" t="str">
        <v>外墙保温-30厚无机保温砂浆</v>
      </c>
      <c r="C774" s="51" t="e">
        <v>#REF!</v>
      </c>
      <c r="D774" s="51" t="str">
        <v/>
      </c>
      <c r="E774" s="51" t="str">
        <v/>
      </c>
      <c r="F774" s="52" t="e">
        <v>#REF!</v>
      </c>
      <c r="G774" s="48" t="e">
        <v>#REF!</v>
      </c>
      <c r="H774" s="49" t="e">
        <v>#REF!</v>
      </c>
      <c r="I774" s="49" t="e">
        <v>#REF!</v>
      </c>
      <c r="J774" s="50"/>
    </row>
    <row r="775" outlineLevel="1" spans="1:10">
      <c r="A775" s="50" t="str">
        <v/>
      </c>
      <c r="B775" s="51" t="str">
        <v>被动式墙保温</v>
      </c>
      <c r="C775" s="51" t="str">
        <v/>
      </c>
      <c r="D775" s="51" t="str">
        <v/>
      </c>
      <c r="E775" s="51" t="str">
        <v/>
      </c>
      <c r="F775" s="52" t="str">
        <v/>
      </c>
      <c r="G775" s="48" t="str">
        <v/>
      </c>
      <c r="H775" s="49">
        <v>0</v>
      </c>
      <c r="I775" s="49">
        <v>0</v>
      </c>
      <c r="J775" s="50"/>
    </row>
    <row r="776" ht="28.8" outlineLevel="1" spans="1:10">
      <c r="A776" s="50">
        <v>640</v>
      </c>
      <c r="B776" s="51" t="str">
        <v>外墙保温-320厚石墨聚苯板（双层网）</v>
      </c>
      <c r="C776" s="51" t="e">
        <v>#REF!</v>
      </c>
      <c r="D776" s="51" t="str">
        <v/>
      </c>
      <c r="E776" s="51" t="str">
        <v/>
      </c>
      <c r="F776" s="52" t="e">
        <v>#REF!</v>
      </c>
      <c r="G776" s="48" t="e">
        <v>#REF!</v>
      </c>
      <c r="H776" s="49" t="e">
        <v>#REF!</v>
      </c>
      <c r="I776" s="49" t="e">
        <v>#REF!</v>
      </c>
      <c r="J776" s="50"/>
    </row>
    <row r="777" outlineLevel="1" spans="1:10">
      <c r="A777" s="50">
        <v>641</v>
      </c>
      <c r="B777" s="51" t="str">
        <v>自密实混凝土-50厚C30</v>
      </c>
      <c r="C777" s="51" t="e">
        <v>#REF!</v>
      </c>
      <c r="D777" s="51" t="str">
        <v/>
      </c>
      <c r="E777" s="51" t="str">
        <v/>
      </c>
      <c r="F777" s="52" t="e">
        <v>#REF!</v>
      </c>
      <c r="G777" s="48" t="e">
        <v>#REF!</v>
      </c>
      <c r="H777" s="49" t="e">
        <v>#REF!</v>
      </c>
      <c r="I777" s="49" t="e">
        <v>#REF!</v>
      </c>
      <c r="J777" s="50"/>
    </row>
    <row r="778" outlineLevel="1" spans="1:10">
      <c r="A778" s="50">
        <v>642</v>
      </c>
      <c r="B778" s="51" t="str">
        <v>外墙保温-界面修补</v>
      </c>
      <c r="C778" s="51" t="e">
        <v>#REF!</v>
      </c>
      <c r="D778" s="51" t="str">
        <v/>
      </c>
      <c r="E778" s="51" t="str">
        <v/>
      </c>
      <c r="F778" s="52" t="e">
        <v>#REF!</v>
      </c>
      <c r="G778" s="48" t="e">
        <v>#REF!</v>
      </c>
      <c r="H778" s="49" t="e">
        <v>#REF!</v>
      </c>
      <c r="I778" s="49" t="e">
        <v>#REF!</v>
      </c>
      <c r="J778" s="50"/>
    </row>
    <row r="779" ht="28.8" outlineLevel="1" spans="1:10">
      <c r="A779" s="50">
        <v>643</v>
      </c>
      <c r="B779" s="51" t="str">
        <v>外墙保温-5厚干粉聚合物砂浆</v>
      </c>
      <c r="C779" s="51" t="e">
        <v>#REF!</v>
      </c>
      <c r="D779" s="51" t="str">
        <v/>
      </c>
      <c r="E779" s="51" t="str">
        <v/>
      </c>
      <c r="F779" s="52" t="e">
        <v>#REF!</v>
      </c>
      <c r="G779" s="48" t="e">
        <v>#REF!</v>
      </c>
      <c r="H779" s="49" t="e">
        <v>#REF!</v>
      </c>
      <c r="I779" s="49" t="e">
        <v>#REF!</v>
      </c>
      <c r="J779" s="50"/>
    </row>
    <row r="780" outlineLevel="1" spans="1:10">
      <c r="A780" s="50" t="str">
        <v/>
      </c>
      <c r="B780" s="51" t="str">
        <v>被动式墙保温</v>
      </c>
      <c r="C780" s="51" t="str">
        <v/>
      </c>
      <c r="D780" s="51" t="str">
        <v/>
      </c>
      <c r="E780" s="51" t="str">
        <v/>
      </c>
      <c r="F780" s="52" t="str">
        <v/>
      </c>
      <c r="G780" s="48" t="str">
        <v/>
      </c>
      <c r="H780" s="49">
        <v>0</v>
      </c>
      <c r="I780" s="49">
        <v>0</v>
      </c>
      <c r="J780" s="50"/>
    </row>
    <row r="781" ht="28.8" outlineLevel="1" spans="1:10">
      <c r="A781" s="50">
        <v>644</v>
      </c>
      <c r="B781" s="51" t="str">
        <v>外墙保温-260厚石墨聚苯板（双层网）</v>
      </c>
      <c r="C781" s="51" t="e">
        <v>#REF!</v>
      </c>
      <c r="D781" s="51" t="str">
        <v/>
      </c>
      <c r="E781" s="51" t="str">
        <v/>
      </c>
      <c r="F781" s="52" t="e">
        <v>#REF!</v>
      </c>
      <c r="G781" s="48" t="e">
        <v>#REF!</v>
      </c>
      <c r="H781" s="49" t="e">
        <v>#REF!</v>
      </c>
      <c r="I781" s="49" t="e">
        <v>#REF!</v>
      </c>
      <c r="J781" s="50"/>
    </row>
    <row r="782" outlineLevel="1" spans="1:10">
      <c r="A782" s="50">
        <v>645</v>
      </c>
      <c r="B782" s="51" t="str">
        <v>自密实混凝土-50厚C35</v>
      </c>
      <c r="C782" s="51" t="e">
        <v>#REF!</v>
      </c>
      <c r="D782" s="51" t="str">
        <v/>
      </c>
      <c r="E782" s="51" t="str">
        <v/>
      </c>
      <c r="F782" s="52" t="e">
        <v>#REF!</v>
      </c>
      <c r="G782" s="48" t="e">
        <v>#REF!</v>
      </c>
      <c r="H782" s="49" t="e">
        <v>#REF!</v>
      </c>
      <c r="I782" s="49" t="e">
        <v>#REF!</v>
      </c>
      <c r="J782" s="50"/>
    </row>
    <row r="783" outlineLevel="1" spans="1:10">
      <c r="A783" s="50">
        <v>646</v>
      </c>
      <c r="B783" s="51" t="str">
        <v>自密实混凝土-50厚C30</v>
      </c>
      <c r="C783" s="51" t="e">
        <v>#REF!</v>
      </c>
      <c r="D783" s="51" t="str">
        <v/>
      </c>
      <c r="E783" s="51" t="str">
        <v/>
      </c>
      <c r="F783" s="52" t="e">
        <v>#REF!</v>
      </c>
      <c r="G783" s="48" t="e">
        <v>#REF!</v>
      </c>
      <c r="H783" s="49" t="e">
        <v>#REF!</v>
      </c>
      <c r="I783" s="49" t="e">
        <v>#REF!</v>
      </c>
      <c r="J783" s="50"/>
    </row>
    <row r="784" outlineLevel="1" spans="1:10">
      <c r="A784" s="50">
        <v>647</v>
      </c>
      <c r="B784" s="51" t="str">
        <v>外墙保温-50厚C35细石砼</v>
      </c>
      <c r="C784" s="51" t="e">
        <v>#REF!</v>
      </c>
      <c r="D784" s="51" t="str">
        <v/>
      </c>
      <c r="E784" s="51" t="str">
        <v/>
      </c>
      <c r="F784" s="52" t="e">
        <v>#REF!</v>
      </c>
      <c r="G784" s="48" t="e">
        <v>#REF!</v>
      </c>
      <c r="H784" s="49" t="e">
        <v>#REF!</v>
      </c>
      <c r="I784" s="49" t="e">
        <v>#REF!</v>
      </c>
      <c r="J784" s="50"/>
    </row>
    <row r="785" outlineLevel="1" spans="1:10">
      <c r="A785" s="50">
        <v>648</v>
      </c>
      <c r="B785" s="51" t="str">
        <v>外墙保温-50厚C30细石砼</v>
      </c>
      <c r="C785" s="51" t="e">
        <v>#REF!</v>
      </c>
      <c r="D785" s="51" t="str">
        <v/>
      </c>
      <c r="E785" s="51" t="str">
        <v/>
      </c>
      <c r="F785" s="52" t="e">
        <v>#REF!</v>
      </c>
      <c r="G785" s="48" t="e">
        <v>#REF!</v>
      </c>
      <c r="H785" s="49" t="e">
        <v>#REF!</v>
      </c>
      <c r="I785" s="49" t="e">
        <v>#REF!</v>
      </c>
      <c r="J785" s="50"/>
    </row>
    <row r="786" outlineLevel="1" spans="1:10">
      <c r="A786" s="50">
        <v>649</v>
      </c>
      <c r="B786" s="51" t="str">
        <v>外墙保温-50厚C25细石砼</v>
      </c>
      <c r="C786" s="51" t="e">
        <v>#REF!</v>
      </c>
      <c r="D786" s="51" t="str">
        <v/>
      </c>
      <c r="E786" s="51" t="str">
        <v/>
      </c>
      <c r="F786" s="52" t="e">
        <v>#REF!</v>
      </c>
      <c r="G786" s="48" t="e">
        <v>#REF!</v>
      </c>
      <c r="H786" s="49" t="e">
        <v>#REF!</v>
      </c>
      <c r="I786" s="49" t="e">
        <v>#REF!</v>
      </c>
      <c r="J786" s="50"/>
    </row>
    <row r="787" outlineLevel="1" spans="1:10">
      <c r="A787" s="50">
        <v>650</v>
      </c>
      <c r="B787" s="51" t="str">
        <v>外墙保温-50厚C20细石砼</v>
      </c>
      <c r="C787" s="51" t="e">
        <v>#REF!</v>
      </c>
      <c r="D787" s="51" t="str">
        <v/>
      </c>
      <c r="E787" s="51" t="str">
        <v/>
      </c>
      <c r="F787" s="52" t="e">
        <v>#REF!</v>
      </c>
      <c r="G787" s="48" t="e">
        <v>#REF!</v>
      </c>
      <c r="H787" s="49" t="e">
        <v>#REF!</v>
      </c>
      <c r="I787" s="49" t="e">
        <v>#REF!</v>
      </c>
      <c r="J787" s="50"/>
    </row>
    <row r="788" outlineLevel="1" spans="1:10">
      <c r="A788" s="50">
        <v>651</v>
      </c>
      <c r="B788" s="51" t="str">
        <v>外墙保温-界面修补</v>
      </c>
      <c r="C788" s="51" t="e">
        <v>#REF!</v>
      </c>
      <c r="D788" s="51" t="str">
        <v/>
      </c>
      <c r="E788" s="51" t="str">
        <v/>
      </c>
      <c r="F788" s="52" t="e">
        <v>#REF!</v>
      </c>
      <c r="G788" s="48" t="e">
        <v>#REF!</v>
      </c>
      <c r="H788" s="49" t="e">
        <v>#REF!</v>
      </c>
      <c r="I788" s="49" t="e">
        <v>#REF!</v>
      </c>
      <c r="J788" s="50"/>
    </row>
    <row r="789" ht="28.8" outlineLevel="1" spans="1:10">
      <c r="A789" s="50">
        <v>652</v>
      </c>
      <c r="B789" s="51" t="str">
        <v>外墙保温-5厚干粉聚合物砂浆</v>
      </c>
      <c r="C789" s="51" t="e">
        <v>#REF!</v>
      </c>
      <c r="D789" s="51" t="str">
        <v/>
      </c>
      <c r="E789" s="51" t="str">
        <v/>
      </c>
      <c r="F789" s="52" t="e">
        <v>#REF!</v>
      </c>
      <c r="G789" s="48" t="e">
        <v>#REF!</v>
      </c>
      <c r="H789" s="49" t="e">
        <v>#REF!</v>
      </c>
      <c r="I789" s="49" t="e">
        <v>#REF!</v>
      </c>
      <c r="J789" s="50"/>
    </row>
    <row r="790" outlineLevel="1" spans="1:10">
      <c r="A790" s="50">
        <v>653</v>
      </c>
      <c r="B790" s="51" t="str">
        <v>外墙保温-20厚真空绝热板</v>
      </c>
      <c r="C790" s="51" t="e">
        <v>#REF!</v>
      </c>
      <c r="D790" s="51" t="str">
        <v/>
      </c>
      <c r="E790" s="51" t="str">
        <v/>
      </c>
      <c r="F790" s="52" t="e">
        <v>#REF!</v>
      </c>
      <c r="G790" s="48" t="e">
        <v>#REF!</v>
      </c>
      <c r="H790" s="49" t="e">
        <v>#REF!</v>
      </c>
      <c r="I790" s="49" t="e">
        <v>#REF!</v>
      </c>
      <c r="J790" s="50"/>
    </row>
    <row r="791" outlineLevel="1" spans="1:10">
      <c r="A791" s="50">
        <v>654</v>
      </c>
      <c r="B791" s="51" t="str">
        <v>外墙保温-10厚真空绝热板</v>
      </c>
      <c r="C791" s="51" t="e">
        <v>#REF!</v>
      </c>
      <c r="D791" s="51" t="str">
        <v/>
      </c>
      <c r="E791" s="51" t="str">
        <v/>
      </c>
      <c r="F791" s="52" t="e">
        <v>#REF!</v>
      </c>
      <c r="G791" s="48" t="e">
        <v>#REF!</v>
      </c>
      <c r="H791" s="49" t="e">
        <v>#REF!</v>
      </c>
      <c r="I791" s="49" t="e">
        <v>#REF!</v>
      </c>
      <c r="J791" s="50"/>
    </row>
    <row r="792" ht="28.8" outlineLevel="1" spans="1:10">
      <c r="A792" s="50">
        <v>655</v>
      </c>
      <c r="B792" s="51" t="str">
        <v>外保温-连廊设备平台100厚岩棉保温</v>
      </c>
      <c r="C792" s="51" t="e">
        <v>#REF!</v>
      </c>
      <c r="D792" s="51" t="str">
        <v/>
      </c>
      <c r="E792" s="51" t="str">
        <v/>
      </c>
      <c r="F792" s="52" t="e">
        <v>#REF!</v>
      </c>
      <c r="G792" s="48" t="e">
        <v>#REF!</v>
      </c>
      <c r="H792" s="49" t="e">
        <v>#REF!</v>
      </c>
      <c r="I792" s="49" t="e">
        <v>#REF!</v>
      </c>
      <c r="J792" s="50"/>
    </row>
    <row r="793" ht="28.8" outlineLevel="1" spans="1:10">
      <c r="A793" s="50">
        <v>656</v>
      </c>
      <c r="B793" s="51" t="str">
        <v>外保温-连廊设备平台100厚石墨聚苯板保温</v>
      </c>
      <c r="C793" s="51" t="e">
        <v>#REF!</v>
      </c>
      <c r="D793" s="51" t="str">
        <v/>
      </c>
      <c r="E793" s="51" t="str">
        <v/>
      </c>
      <c r="F793" s="52" t="e">
        <v>#REF!</v>
      </c>
      <c r="G793" s="48" t="e">
        <v>#REF!</v>
      </c>
      <c r="H793" s="49" t="e">
        <v>#REF!</v>
      </c>
      <c r="I793" s="49" t="e">
        <v>#REF!</v>
      </c>
      <c r="J793" s="50"/>
    </row>
    <row r="794" outlineLevel="1" spans="1:10">
      <c r="A794" s="50" t="str">
        <v/>
      </c>
      <c r="B794" s="51" t="str">
        <v>复合岩棉板外墙保温</v>
      </c>
      <c r="C794" s="51" t="str">
        <v/>
      </c>
      <c r="D794" s="51" t="str">
        <v/>
      </c>
      <c r="E794" s="51" t="str">
        <v/>
      </c>
      <c r="F794" s="52" t="str">
        <v/>
      </c>
      <c r="G794" s="48" t="str">
        <v/>
      </c>
      <c r="H794" s="49">
        <v>0</v>
      </c>
      <c r="I794" s="49">
        <v>0</v>
      </c>
      <c r="J794" s="50"/>
    </row>
    <row r="795" outlineLevel="1" spans="1:10">
      <c r="A795" s="50">
        <v>657</v>
      </c>
      <c r="B795" s="51" t="str">
        <v>外墙面-5厚防水砂浆</v>
      </c>
      <c r="C795" s="51" t="e">
        <v>#REF!</v>
      </c>
      <c r="D795" s="51" t="str">
        <v/>
      </c>
      <c r="E795" s="51" t="str">
        <v/>
      </c>
      <c r="F795" s="52" t="e">
        <v>#REF!</v>
      </c>
      <c r="G795" s="48" t="e">
        <v>#REF!</v>
      </c>
      <c r="H795" s="49" t="e">
        <v>#REF!</v>
      </c>
      <c r="I795" s="49" t="e">
        <v>#REF!</v>
      </c>
      <c r="J795" s="50"/>
    </row>
    <row r="796" outlineLevel="1" spans="1:10">
      <c r="A796" s="50">
        <v>658</v>
      </c>
      <c r="B796" s="51" t="str">
        <v>外墙面-网格布</v>
      </c>
      <c r="C796" s="51" t="e">
        <v>#REF!</v>
      </c>
      <c r="D796" s="51" t="str">
        <v/>
      </c>
      <c r="E796" s="51" t="str">
        <v/>
      </c>
      <c r="F796" s="52" t="e">
        <v>#REF!</v>
      </c>
      <c r="G796" s="48" t="e">
        <v>#REF!</v>
      </c>
      <c r="H796" s="49" t="e">
        <v>#REF!</v>
      </c>
      <c r="I796" s="49" t="e">
        <v>#REF!</v>
      </c>
      <c r="J796" s="50"/>
    </row>
    <row r="797" outlineLevel="1" spans="1:10">
      <c r="A797" s="50">
        <v>659</v>
      </c>
      <c r="B797" s="51" t="str">
        <v>外墙面-5厚防水砂浆</v>
      </c>
      <c r="C797" s="51" t="e">
        <v>#REF!</v>
      </c>
      <c r="D797" s="51" t="str">
        <v/>
      </c>
      <c r="E797" s="51" t="str">
        <v/>
      </c>
      <c r="F797" s="52" t="e">
        <v>#REF!</v>
      </c>
      <c r="G797" s="48" t="e">
        <v>#REF!</v>
      </c>
      <c r="H797" s="49" t="e">
        <v>#REF!</v>
      </c>
      <c r="I797" s="49" t="e">
        <v>#REF!</v>
      </c>
      <c r="J797" s="50"/>
    </row>
    <row r="798" outlineLevel="1" spans="1:10">
      <c r="A798" s="50">
        <v>660</v>
      </c>
      <c r="B798" s="51" t="str">
        <v>外墙保温-250厚复合岩棉板</v>
      </c>
      <c r="C798" s="51" t="e">
        <v>#REF!</v>
      </c>
      <c r="D798" s="51" t="str">
        <v/>
      </c>
      <c r="E798" s="51" t="str">
        <v/>
      </c>
      <c r="F798" s="52" t="e">
        <v>#REF!</v>
      </c>
      <c r="G798" s="48" t="e">
        <v>#REF!</v>
      </c>
      <c r="H798" s="49" t="e">
        <v>#REF!</v>
      </c>
      <c r="I798" s="49" t="e">
        <v>#REF!</v>
      </c>
      <c r="J798" s="50"/>
    </row>
    <row r="799" outlineLevel="1" spans="1:10">
      <c r="A799" s="50">
        <v>661</v>
      </c>
      <c r="B799" s="51" t="str">
        <v>外墙保温-150厚复合岩棉板</v>
      </c>
      <c r="C799" s="51" t="e">
        <v>#REF!</v>
      </c>
      <c r="D799" s="51" t="str">
        <v/>
      </c>
      <c r="E799" s="51" t="str">
        <v/>
      </c>
      <c r="F799" s="52" t="e">
        <v>#REF!</v>
      </c>
      <c r="G799" s="48" t="e">
        <v>#REF!</v>
      </c>
      <c r="H799" s="49" t="e">
        <v>#REF!</v>
      </c>
      <c r="I799" s="49" t="e">
        <v>#REF!</v>
      </c>
      <c r="J799" s="50"/>
    </row>
    <row r="800" outlineLevel="1" spans="1:10">
      <c r="A800" s="50">
        <v>662</v>
      </c>
      <c r="B800" s="51" t="str">
        <v>外墙保温-100厚复合岩棉板</v>
      </c>
      <c r="C800" s="51" t="e">
        <v>#REF!</v>
      </c>
      <c r="D800" s="51" t="str">
        <v/>
      </c>
      <c r="E800" s="51" t="str">
        <v/>
      </c>
      <c r="F800" s="52" t="e">
        <v>#REF!</v>
      </c>
      <c r="G800" s="48" t="e">
        <v>#REF!</v>
      </c>
      <c r="H800" s="49" t="e">
        <v>#REF!</v>
      </c>
      <c r="I800" s="49" t="e">
        <v>#REF!</v>
      </c>
      <c r="J800" s="50"/>
    </row>
    <row r="801" outlineLevel="1" spans="1:10">
      <c r="A801" s="50" t="str">
        <v/>
      </c>
      <c r="B801" s="51" t="str">
        <v>复合保温砂浆墙面</v>
      </c>
      <c r="C801" s="51" t="str">
        <v/>
      </c>
      <c r="D801" s="51" t="str">
        <v/>
      </c>
      <c r="E801" s="51" t="str">
        <v/>
      </c>
      <c r="F801" s="52" t="str">
        <v/>
      </c>
      <c r="G801" s="48" t="str">
        <v/>
      </c>
      <c r="H801" s="49">
        <v>0</v>
      </c>
      <c r="I801" s="49">
        <v>0</v>
      </c>
      <c r="J801" s="50"/>
    </row>
    <row r="802" outlineLevel="1" spans="1:10">
      <c r="A802" s="50">
        <v>663</v>
      </c>
      <c r="B802" s="51" t="str">
        <v>外墙面-界面剂</v>
      </c>
      <c r="C802" s="51" t="e">
        <v>#REF!</v>
      </c>
      <c r="D802" s="51" t="str">
        <v/>
      </c>
      <c r="E802" s="51" t="str">
        <v/>
      </c>
      <c r="F802" s="52" t="e">
        <v>#REF!</v>
      </c>
      <c r="G802" s="48" t="e">
        <v>#REF!</v>
      </c>
      <c r="H802" s="49">
        <v>0</v>
      </c>
      <c r="I802" s="49" t="e">
        <v>#REF!</v>
      </c>
      <c r="J802" s="50"/>
    </row>
    <row r="803" outlineLevel="1" spans="1:10">
      <c r="A803" s="50">
        <v>664</v>
      </c>
      <c r="B803" s="51" t="str">
        <v>外墙保温-20厚MPC</v>
      </c>
      <c r="C803" s="51" t="e">
        <v>#REF!</v>
      </c>
      <c r="D803" s="51" t="str">
        <v/>
      </c>
      <c r="E803" s="51" t="str">
        <v/>
      </c>
      <c r="F803" s="52" t="e">
        <v>#REF!</v>
      </c>
      <c r="G803" s="48" t="e">
        <v>#REF!</v>
      </c>
      <c r="H803" s="49">
        <v>0</v>
      </c>
      <c r="I803" s="49" t="e">
        <v>#REF!</v>
      </c>
      <c r="J803" s="50"/>
    </row>
    <row r="804" outlineLevel="1" spans="1:10">
      <c r="A804" s="50">
        <v>665</v>
      </c>
      <c r="B804" s="51" t="str">
        <v>外墙保温-15厚MPC</v>
      </c>
      <c r="C804" s="51" t="e">
        <v>#REF!</v>
      </c>
      <c r="D804" s="51" t="str">
        <v/>
      </c>
      <c r="E804" s="51" t="str">
        <v/>
      </c>
      <c r="F804" s="52" t="e">
        <v>#REF!</v>
      </c>
      <c r="G804" s="48" t="e">
        <v>#REF!</v>
      </c>
      <c r="H804" s="49">
        <v>0</v>
      </c>
      <c r="I804" s="49" t="e">
        <v>#REF!</v>
      </c>
      <c r="J804" s="50"/>
    </row>
    <row r="805" outlineLevel="1" spans="1:10">
      <c r="A805" s="50">
        <v>666</v>
      </c>
      <c r="B805" s="51" t="str">
        <v>外墙保温-30厚MPC</v>
      </c>
      <c r="C805" s="51" t="e">
        <v>#REF!</v>
      </c>
      <c r="D805" s="51" t="str">
        <v/>
      </c>
      <c r="E805" s="51" t="str">
        <v/>
      </c>
      <c r="F805" s="52" t="e">
        <v>#REF!</v>
      </c>
      <c r="G805" s="48" t="e">
        <v>#REF!</v>
      </c>
      <c r="H805" s="49">
        <v>0</v>
      </c>
      <c r="I805" s="49" t="e">
        <v>#REF!</v>
      </c>
      <c r="J805" s="50"/>
    </row>
    <row r="806" outlineLevel="1" spans="1:10">
      <c r="A806" s="50" t="str">
        <v/>
      </c>
      <c r="B806" s="51" t="str">
        <v>A.06.02线条装饰工程</v>
      </c>
      <c r="C806" s="51" t="str">
        <v/>
      </c>
      <c r="D806" s="51" t="str">
        <v/>
      </c>
      <c r="E806" s="51" t="str">
        <v/>
      </c>
      <c r="F806" s="52" t="str">
        <v/>
      </c>
      <c r="G806" s="48" t="str">
        <v/>
      </c>
      <c r="H806" s="49">
        <v>0</v>
      </c>
      <c r="I806" s="49" t="e">
        <v>#REF!</v>
      </c>
      <c r="J806" s="50"/>
    </row>
    <row r="807" outlineLevel="1" spans="1:10">
      <c r="A807" s="50">
        <v>667</v>
      </c>
      <c r="B807" s="51" t="str">
        <v>AAC保温条</v>
      </c>
      <c r="C807" s="51" t="e">
        <v>#REF!</v>
      </c>
      <c r="D807" s="51" t="str">
        <v/>
      </c>
      <c r="E807" s="51" t="str">
        <v/>
      </c>
      <c r="F807" s="52" t="e">
        <v>#REF!</v>
      </c>
      <c r="G807" s="48" t="e">
        <v>#REF!</v>
      </c>
      <c r="H807" s="49" t="e">
        <v>#REF!</v>
      </c>
      <c r="I807" s="49" t="e">
        <v>#REF!</v>
      </c>
      <c r="J807" s="50"/>
    </row>
    <row r="808" outlineLevel="1" spans="1:10">
      <c r="A808" s="50" t="str">
        <v/>
      </c>
      <c r="B808" s="51" t="str">
        <v>岩棉线条</v>
      </c>
      <c r="C808" s="51" t="str">
        <v/>
      </c>
      <c r="D808" s="51" t="str">
        <v/>
      </c>
      <c r="E808" s="51" t="str">
        <v/>
      </c>
      <c r="F808" s="52" t="str">
        <v/>
      </c>
      <c r="G808" s="48" t="str">
        <v/>
      </c>
      <c r="H808" s="49">
        <v>0</v>
      </c>
      <c r="I808" s="49">
        <v>0</v>
      </c>
      <c r="J808" s="50"/>
    </row>
    <row r="809" outlineLevel="1" spans="1:10">
      <c r="A809" s="50">
        <v>668</v>
      </c>
      <c r="B809" s="51" t="str">
        <v>外墙面-岩棉线条150*150</v>
      </c>
      <c r="C809" s="51" t="e">
        <v>#REF!</v>
      </c>
      <c r="D809" s="51" t="str">
        <v/>
      </c>
      <c r="E809" s="51" t="str">
        <v/>
      </c>
      <c r="F809" s="52" t="e">
        <v>#REF!</v>
      </c>
      <c r="G809" s="48" t="e">
        <v>#REF!</v>
      </c>
      <c r="H809" s="49" t="e">
        <v>#REF!</v>
      </c>
      <c r="I809" s="49" t="e">
        <v>#REF!</v>
      </c>
      <c r="J809" s="50"/>
    </row>
    <row r="810" ht="28.8" outlineLevel="1" spans="1:10">
      <c r="A810" s="50">
        <v>669</v>
      </c>
      <c r="B810" s="51" t="str">
        <v>外墙保温-5厚干粉聚合物砂浆</v>
      </c>
      <c r="C810" s="51" t="e">
        <v>#REF!</v>
      </c>
      <c r="D810" s="51" t="str">
        <v/>
      </c>
      <c r="E810" s="51" t="str">
        <v/>
      </c>
      <c r="F810" s="52" t="e">
        <v>#REF!</v>
      </c>
      <c r="G810" s="48" t="e">
        <v>#REF!</v>
      </c>
      <c r="H810" s="49" t="e">
        <v>#REF!</v>
      </c>
      <c r="I810" s="49" t="e">
        <v>#REF!</v>
      </c>
      <c r="J810" s="50"/>
    </row>
    <row r="811" outlineLevel="1" spans="1:10">
      <c r="A811" s="50">
        <v>670</v>
      </c>
      <c r="B811" s="51" t="str">
        <v>外墙面-网格布</v>
      </c>
      <c r="C811" s="51" t="e">
        <v>#REF!</v>
      </c>
      <c r="D811" s="51" t="str">
        <v/>
      </c>
      <c r="E811" s="51" t="str">
        <v/>
      </c>
      <c r="F811" s="52" t="e">
        <v>#REF!</v>
      </c>
      <c r="G811" s="48" t="e">
        <v>#REF!</v>
      </c>
      <c r="H811" s="49" t="e">
        <v>#REF!</v>
      </c>
      <c r="I811" s="49" t="e">
        <v>#REF!</v>
      </c>
      <c r="J811" s="50"/>
    </row>
    <row r="812" outlineLevel="1" spans="1:10">
      <c r="A812" s="50" t="str">
        <v/>
      </c>
      <c r="B812" s="51" t="str">
        <v>EPS线条</v>
      </c>
      <c r="C812" s="51" t="str">
        <v/>
      </c>
      <c r="D812" s="51" t="str">
        <v/>
      </c>
      <c r="E812" s="51" t="str">
        <v/>
      </c>
      <c r="F812" s="52" t="str">
        <v/>
      </c>
      <c r="G812" s="48" t="str">
        <v/>
      </c>
      <c r="H812" s="49">
        <v>0</v>
      </c>
      <c r="I812" s="49">
        <v>0</v>
      </c>
      <c r="J812" s="50"/>
    </row>
    <row r="813" outlineLevel="1" spans="1:10">
      <c r="A813" s="50">
        <v>671</v>
      </c>
      <c r="B813" s="51" t="str">
        <v>外墙EPS线条-线条100*50</v>
      </c>
      <c r="C813" s="51" t="e">
        <v>#REF!</v>
      </c>
      <c r="D813" s="51" t="str">
        <v/>
      </c>
      <c r="E813" s="51" t="str">
        <v/>
      </c>
      <c r="F813" s="52" t="e">
        <v>#REF!</v>
      </c>
      <c r="G813" s="48" t="e">
        <v>#REF!</v>
      </c>
      <c r="H813" s="49" t="e">
        <v>#REF!</v>
      </c>
      <c r="I813" s="49" t="e">
        <v>#REF!</v>
      </c>
      <c r="J813" s="50"/>
    </row>
    <row r="814" outlineLevel="1" spans="1:10">
      <c r="A814" s="50">
        <v>672</v>
      </c>
      <c r="B814" s="51" t="str">
        <v>外墙EPS线条-线条120*100</v>
      </c>
      <c r="C814" s="51" t="e">
        <v>#REF!</v>
      </c>
      <c r="D814" s="51" t="str">
        <v/>
      </c>
      <c r="E814" s="51" t="str">
        <v/>
      </c>
      <c r="F814" s="52" t="e">
        <v>#REF!</v>
      </c>
      <c r="G814" s="48" t="e">
        <v>#REF!</v>
      </c>
      <c r="H814" s="49" t="e">
        <v>#REF!</v>
      </c>
      <c r="I814" s="49" t="e">
        <v>#REF!</v>
      </c>
      <c r="J814" s="50"/>
    </row>
    <row r="815" outlineLevel="1" spans="1:10">
      <c r="A815" s="50">
        <v>673</v>
      </c>
      <c r="B815" s="51" t="str">
        <v>外墙EPS线条-线条70*30</v>
      </c>
      <c r="C815" s="51" t="e">
        <v>#REF!</v>
      </c>
      <c r="D815" s="51" t="str">
        <v/>
      </c>
      <c r="E815" s="51" t="str">
        <v/>
      </c>
      <c r="F815" s="52" t="e">
        <v>#REF!</v>
      </c>
      <c r="G815" s="48" t="e">
        <v>#REF!</v>
      </c>
      <c r="H815" s="49" t="e">
        <v>#REF!</v>
      </c>
      <c r="I815" s="49" t="e">
        <v>#REF!</v>
      </c>
      <c r="J815" s="50"/>
    </row>
    <row r="816" outlineLevel="1" spans="1:10">
      <c r="A816" s="50">
        <v>674</v>
      </c>
      <c r="B816" s="51" t="str">
        <v>外墙EPS线条-线条120*240</v>
      </c>
      <c r="C816" s="51" t="e">
        <v>#REF!</v>
      </c>
      <c r="D816" s="51" t="str">
        <v/>
      </c>
      <c r="E816" s="51" t="str">
        <v/>
      </c>
      <c r="F816" s="52" t="e">
        <v>#REF!</v>
      </c>
      <c r="G816" s="48" t="e">
        <v>#REF!</v>
      </c>
      <c r="H816" s="49" t="e">
        <v>#REF!</v>
      </c>
      <c r="I816" s="49" t="e">
        <v>#REF!</v>
      </c>
      <c r="J816" s="50"/>
    </row>
    <row r="817" outlineLevel="1" spans="1:10">
      <c r="A817" s="50">
        <v>675</v>
      </c>
      <c r="B817" s="51" t="str">
        <v>外墙EPS线条-线条120*70</v>
      </c>
      <c r="C817" s="51" t="e">
        <v>#REF!</v>
      </c>
      <c r="D817" s="51" t="str">
        <v/>
      </c>
      <c r="E817" s="51" t="str">
        <v/>
      </c>
      <c r="F817" s="52" t="e">
        <v>#REF!</v>
      </c>
      <c r="G817" s="48" t="e">
        <v>#REF!</v>
      </c>
      <c r="H817" s="49" t="e">
        <v>#REF!</v>
      </c>
      <c r="I817" s="49" t="e">
        <v>#REF!</v>
      </c>
      <c r="J817" s="50"/>
    </row>
    <row r="818" outlineLevel="1" spans="1:10">
      <c r="A818" s="50">
        <v>676</v>
      </c>
      <c r="B818" s="51" t="str">
        <v>外墙EPS线条-线条50*50</v>
      </c>
      <c r="C818" s="51" t="e">
        <v>#REF!</v>
      </c>
      <c r="D818" s="51" t="str">
        <v/>
      </c>
      <c r="E818" s="51" t="str">
        <v/>
      </c>
      <c r="F818" s="52" t="e">
        <v>#REF!</v>
      </c>
      <c r="G818" s="48" t="e">
        <v>#REF!</v>
      </c>
      <c r="H818" s="49" t="e">
        <v>#REF!</v>
      </c>
      <c r="I818" s="49" t="e">
        <v>#REF!</v>
      </c>
      <c r="J818" s="50"/>
    </row>
    <row r="819" ht="28.8" outlineLevel="1" spans="1:10">
      <c r="A819" s="50">
        <v>677</v>
      </c>
      <c r="B819" s="51" t="str">
        <v>外墙EPS线条-线条L型800*220</v>
      </c>
      <c r="C819" s="51" t="e">
        <v>#REF!</v>
      </c>
      <c r="D819" s="51" t="str">
        <v/>
      </c>
      <c r="E819" s="51" t="str">
        <v/>
      </c>
      <c r="F819" s="52" t="e">
        <v>#REF!</v>
      </c>
      <c r="G819" s="48" t="e">
        <v>#REF!</v>
      </c>
      <c r="H819" s="49" t="e">
        <v>#REF!</v>
      </c>
      <c r="I819" s="49" t="e">
        <v>#REF!</v>
      </c>
      <c r="J819" s="50"/>
    </row>
    <row r="820" outlineLevel="1" spans="1:10">
      <c r="A820" s="50">
        <v>678</v>
      </c>
      <c r="B820" s="51" t="str">
        <v>外墙EPS线条-线条100*70</v>
      </c>
      <c r="C820" s="51" t="e">
        <v>#REF!</v>
      </c>
      <c r="D820" s="51" t="str">
        <v/>
      </c>
      <c r="E820" s="51" t="str">
        <v/>
      </c>
      <c r="F820" s="52" t="e">
        <v>#REF!</v>
      </c>
      <c r="G820" s="48" t="e">
        <v>#REF!</v>
      </c>
      <c r="H820" s="49" t="e">
        <v>#REF!</v>
      </c>
      <c r="I820" s="49" t="e">
        <v>#REF!</v>
      </c>
      <c r="J820" s="50"/>
    </row>
    <row r="821" ht="28.8" outlineLevel="1" spans="1:10">
      <c r="A821" s="50">
        <v>679</v>
      </c>
      <c r="B821" s="51" t="str">
        <v>外墙EPS线条-线条L型240*120</v>
      </c>
      <c r="C821" s="51" t="e">
        <v>#REF!</v>
      </c>
      <c r="D821" s="51" t="str">
        <v/>
      </c>
      <c r="E821" s="51" t="str">
        <v/>
      </c>
      <c r="F821" s="52" t="e">
        <v>#REF!</v>
      </c>
      <c r="G821" s="48" t="e">
        <v>#REF!</v>
      </c>
      <c r="H821" s="49" t="e">
        <v>#REF!</v>
      </c>
      <c r="I821" s="49" t="e">
        <v>#REF!</v>
      </c>
      <c r="J821" s="50"/>
    </row>
    <row r="822" outlineLevel="1" spans="1:10">
      <c r="A822" s="50">
        <v>680</v>
      </c>
      <c r="B822" s="51" t="str">
        <v>外墙EPS线条-线条120*50</v>
      </c>
      <c r="C822" s="51" t="e">
        <v>#REF!</v>
      </c>
      <c r="D822" s="51" t="str">
        <v/>
      </c>
      <c r="E822" s="51" t="str">
        <v/>
      </c>
      <c r="F822" s="52" t="e">
        <v>#REF!</v>
      </c>
      <c r="G822" s="48" t="e">
        <v>#REF!</v>
      </c>
      <c r="H822" s="49" t="e">
        <v>#REF!</v>
      </c>
      <c r="I822" s="49" t="e">
        <v>#REF!</v>
      </c>
      <c r="J822" s="50"/>
    </row>
    <row r="823" outlineLevel="1" spans="1:10">
      <c r="A823" s="50">
        <v>681</v>
      </c>
      <c r="B823" s="51" t="str">
        <v>外墙EPS线条-线条70*100</v>
      </c>
      <c r="C823" s="51" t="e">
        <v>#REF!</v>
      </c>
      <c r="D823" s="51" t="str">
        <v/>
      </c>
      <c r="E823" s="51" t="str">
        <v/>
      </c>
      <c r="F823" s="52" t="e">
        <v>#REF!</v>
      </c>
      <c r="G823" s="48" t="e">
        <v>#REF!</v>
      </c>
      <c r="H823" s="49" t="e">
        <v>#REF!</v>
      </c>
      <c r="I823" s="49" t="e">
        <v>#REF!</v>
      </c>
      <c r="J823" s="50"/>
    </row>
    <row r="824" outlineLevel="1" spans="1:10">
      <c r="A824" s="50">
        <v>682</v>
      </c>
      <c r="B824" s="51" t="str">
        <v>外墙EPS线条-线条30*50</v>
      </c>
      <c r="C824" s="51" t="e">
        <v>#REF!</v>
      </c>
      <c r="D824" s="51" t="str">
        <v/>
      </c>
      <c r="E824" s="51" t="str">
        <v/>
      </c>
      <c r="F824" s="52" t="e">
        <v>#REF!</v>
      </c>
      <c r="G824" s="48" t="e">
        <v>#REF!</v>
      </c>
      <c r="H824" s="49" t="e">
        <v>#REF!</v>
      </c>
      <c r="I824" s="49" t="e">
        <v>#REF!</v>
      </c>
      <c r="J824" s="50"/>
    </row>
    <row r="825" ht="28.8" outlineLevel="1" spans="1:10">
      <c r="A825" s="50">
        <v>683</v>
      </c>
      <c r="B825" s="51" t="str">
        <v>外墙EPS线条-线条L型220*100</v>
      </c>
      <c r="C825" s="51" t="e">
        <v>#REF!</v>
      </c>
      <c r="D825" s="51" t="str">
        <v/>
      </c>
      <c r="E825" s="51" t="str">
        <v/>
      </c>
      <c r="F825" s="52" t="e">
        <v>#REF!</v>
      </c>
      <c r="G825" s="48" t="e">
        <v>#REF!</v>
      </c>
      <c r="H825" s="49" t="e">
        <v>#REF!</v>
      </c>
      <c r="I825" s="49" t="e">
        <v>#REF!</v>
      </c>
      <c r="J825" s="50"/>
    </row>
    <row r="826" outlineLevel="1" spans="1:10">
      <c r="A826" s="50">
        <v>684</v>
      </c>
      <c r="B826" s="51" t="str">
        <v>外墙EPS线条-线条30*70</v>
      </c>
      <c r="C826" s="51" t="e">
        <v>#REF!</v>
      </c>
      <c r="D826" s="51" t="str">
        <v/>
      </c>
      <c r="E826" s="51" t="str">
        <v/>
      </c>
      <c r="F826" s="52" t="e">
        <v>#REF!</v>
      </c>
      <c r="G826" s="48" t="e">
        <v>#REF!</v>
      </c>
      <c r="H826" s="49" t="e">
        <v>#REF!</v>
      </c>
      <c r="I826" s="49" t="e">
        <v>#REF!</v>
      </c>
      <c r="J826" s="50"/>
    </row>
    <row r="827" outlineLevel="1" spans="1:10">
      <c r="A827" s="50">
        <v>685</v>
      </c>
      <c r="B827" s="51" t="str">
        <v>外墙EPS线条-线条70*70</v>
      </c>
      <c r="C827" s="51" t="e">
        <v>#REF!</v>
      </c>
      <c r="D827" s="51" t="str">
        <v/>
      </c>
      <c r="E827" s="51" t="str">
        <v/>
      </c>
      <c r="F827" s="52" t="e">
        <v>#REF!</v>
      </c>
      <c r="G827" s="48" t="e">
        <v>#REF!</v>
      </c>
      <c r="H827" s="49" t="e">
        <v>#REF!</v>
      </c>
      <c r="I827" s="49" t="e">
        <v>#REF!</v>
      </c>
      <c r="J827" s="50"/>
    </row>
    <row r="828" outlineLevel="1" spans="1:10">
      <c r="A828" s="50">
        <v>686</v>
      </c>
      <c r="B828" s="51" t="str">
        <v>外墙EPS线条-线条70*210</v>
      </c>
      <c r="C828" s="51" t="e">
        <v>#REF!</v>
      </c>
      <c r="D828" s="51" t="str">
        <v/>
      </c>
      <c r="E828" s="51" t="str">
        <v/>
      </c>
      <c r="F828" s="52" t="e">
        <v>#REF!</v>
      </c>
      <c r="G828" s="48" t="e">
        <v>#REF!</v>
      </c>
      <c r="H828" s="49" t="e">
        <v>#REF!</v>
      </c>
      <c r="I828" s="49" t="e">
        <v>#REF!</v>
      </c>
      <c r="J828" s="50"/>
    </row>
    <row r="829" outlineLevel="1" spans="1:10">
      <c r="A829" s="50">
        <v>687</v>
      </c>
      <c r="B829" s="51" t="str">
        <v>外墙EPS线条-线条70*390</v>
      </c>
      <c r="C829" s="51" t="e">
        <v>#REF!</v>
      </c>
      <c r="D829" s="51" t="str">
        <v/>
      </c>
      <c r="E829" s="51" t="str">
        <v/>
      </c>
      <c r="F829" s="52" t="e">
        <v>#REF!</v>
      </c>
      <c r="G829" s="48" t="e">
        <v>#REF!</v>
      </c>
      <c r="H829" s="49" t="e">
        <v>#REF!</v>
      </c>
      <c r="I829" s="49" t="e">
        <v>#REF!</v>
      </c>
      <c r="J829" s="50"/>
    </row>
    <row r="830" outlineLevel="1" spans="1:10">
      <c r="A830" s="50">
        <v>688</v>
      </c>
      <c r="B830" s="51" t="str">
        <v>外墙EPS线条-线条50*100</v>
      </c>
      <c r="C830" s="51" t="e">
        <v>#REF!</v>
      </c>
      <c r="D830" s="51" t="str">
        <v/>
      </c>
      <c r="E830" s="51" t="str">
        <v/>
      </c>
      <c r="F830" s="52" t="e">
        <v>#REF!</v>
      </c>
      <c r="G830" s="48" t="e">
        <v>#REF!</v>
      </c>
      <c r="H830" s="49" t="e">
        <v>#REF!</v>
      </c>
      <c r="I830" s="49" t="e">
        <v>#REF!</v>
      </c>
      <c r="J830" s="50"/>
    </row>
    <row r="831" outlineLevel="1" spans="1:10">
      <c r="A831" s="50">
        <v>689</v>
      </c>
      <c r="B831" s="51" t="str">
        <v>外墙EPS线条-线条160*100</v>
      </c>
      <c r="C831" s="51" t="e">
        <v>#REF!</v>
      </c>
      <c r="D831" s="51" t="str">
        <v/>
      </c>
      <c r="E831" s="51" t="str">
        <v/>
      </c>
      <c r="F831" s="52" t="e">
        <v>#REF!</v>
      </c>
      <c r="G831" s="48" t="e">
        <v>#REF!</v>
      </c>
      <c r="H831" s="49" t="e">
        <v>#REF!</v>
      </c>
      <c r="I831" s="49" t="e">
        <v>#REF!</v>
      </c>
      <c r="J831" s="50"/>
    </row>
    <row r="832" outlineLevel="1" spans="1:10">
      <c r="A832" s="50">
        <v>690</v>
      </c>
      <c r="B832" s="51" t="str">
        <v>外墙EPS线条-线条120*40</v>
      </c>
      <c r="C832" s="51" t="e">
        <v>#REF!</v>
      </c>
      <c r="D832" s="51" t="str">
        <v/>
      </c>
      <c r="E832" s="51" t="str">
        <v/>
      </c>
      <c r="F832" s="52" t="e">
        <v>#REF!</v>
      </c>
      <c r="G832" s="48" t="e">
        <v>#REF!</v>
      </c>
      <c r="H832" s="49" t="e">
        <v>#REF!</v>
      </c>
      <c r="I832" s="49" t="e">
        <v>#REF!</v>
      </c>
      <c r="J832" s="50"/>
    </row>
    <row r="833" outlineLevel="1" spans="1:10">
      <c r="A833" s="50">
        <v>691</v>
      </c>
      <c r="B833" s="51" t="str">
        <v>外墙EPS线条-线条100*280</v>
      </c>
      <c r="C833" s="51" t="e">
        <v>#REF!</v>
      </c>
      <c r="D833" s="51" t="str">
        <v/>
      </c>
      <c r="E833" s="51" t="str">
        <v/>
      </c>
      <c r="F833" s="52" t="e">
        <v>#REF!</v>
      </c>
      <c r="G833" s="48" t="e">
        <v>#REF!</v>
      </c>
      <c r="H833" s="49" t="e">
        <v>#REF!</v>
      </c>
      <c r="I833" s="49" t="e">
        <v>#REF!</v>
      </c>
      <c r="J833" s="50"/>
    </row>
    <row r="834" outlineLevel="1" spans="1:10">
      <c r="A834" s="50">
        <v>692</v>
      </c>
      <c r="B834" s="51" t="str">
        <v>外墙EPS线条-线条100*140</v>
      </c>
      <c r="C834" s="51" t="e">
        <v>#REF!</v>
      </c>
      <c r="D834" s="51" t="str">
        <v/>
      </c>
      <c r="E834" s="51" t="str">
        <v/>
      </c>
      <c r="F834" s="52" t="e">
        <v>#REF!</v>
      </c>
      <c r="G834" s="48" t="e">
        <v>#REF!</v>
      </c>
      <c r="H834" s="49" t="e">
        <v>#REF!</v>
      </c>
      <c r="I834" s="49" t="e">
        <v>#REF!</v>
      </c>
      <c r="J834" s="50"/>
    </row>
    <row r="835" outlineLevel="1" spans="1:10">
      <c r="A835" s="50">
        <v>693</v>
      </c>
      <c r="B835" s="51" t="str">
        <v>外墙EPS线条-线条130*100</v>
      </c>
      <c r="C835" s="51" t="e">
        <v>#REF!</v>
      </c>
      <c r="D835" s="51" t="str">
        <v/>
      </c>
      <c r="E835" s="51" t="str">
        <v/>
      </c>
      <c r="F835" s="52" t="e">
        <v>#REF!</v>
      </c>
      <c r="G835" s="48" t="e">
        <v>#REF!</v>
      </c>
      <c r="H835" s="49" t="e">
        <v>#REF!</v>
      </c>
      <c r="I835" s="49" t="e">
        <v>#REF!</v>
      </c>
      <c r="J835" s="50"/>
    </row>
    <row r="836" outlineLevel="1" spans="1:10">
      <c r="A836" s="50">
        <v>694</v>
      </c>
      <c r="B836" s="51" t="str">
        <v>外墙EPS线条-线条130*240</v>
      </c>
      <c r="C836" s="51" t="e">
        <v>#REF!</v>
      </c>
      <c r="D836" s="51" t="str">
        <v/>
      </c>
      <c r="E836" s="51" t="str">
        <v/>
      </c>
      <c r="F836" s="52" t="e">
        <v>#REF!</v>
      </c>
      <c r="G836" s="48" t="e">
        <v>#REF!</v>
      </c>
      <c r="H836" s="49" t="e">
        <v>#REF!</v>
      </c>
      <c r="I836" s="49" t="e">
        <v>#REF!</v>
      </c>
      <c r="J836" s="50"/>
    </row>
    <row r="837" outlineLevel="1" spans="1:10">
      <c r="A837" s="50">
        <v>695</v>
      </c>
      <c r="B837" s="51" t="str">
        <v>外墙EPS线条-线条80*50</v>
      </c>
      <c r="C837" s="51" t="e">
        <v>#REF!</v>
      </c>
      <c r="D837" s="51" t="str">
        <v/>
      </c>
      <c r="E837" s="51" t="str">
        <v/>
      </c>
      <c r="F837" s="52" t="e">
        <v>#REF!</v>
      </c>
      <c r="G837" s="48" t="e">
        <v>#REF!</v>
      </c>
      <c r="H837" s="49" t="e">
        <v>#REF!</v>
      </c>
      <c r="I837" s="49" t="e">
        <v>#REF!</v>
      </c>
      <c r="J837" s="50"/>
    </row>
    <row r="838" outlineLevel="1" spans="1:10">
      <c r="A838" s="50">
        <v>696</v>
      </c>
      <c r="B838" s="51" t="str">
        <v>外墙EPS线条-线条60*50</v>
      </c>
      <c r="C838" s="51" t="e">
        <v>#REF!</v>
      </c>
      <c r="D838" s="51" t="str">
        <v/>
      </c>
      <c r="E838" s="51" t="str">
        <v/>
      </c>
      <c r="F838" s="52" t="e">
        <v>#REF!</v>
      </c>
      <c r="G838" s="48" t="e">
        <v>#REF!</v>
      </c>
      <c r="H838" s="49" t="e">
        <v>#REF!</v>
      </c>
      <c r="I838" s="49" t="e">
        <v>#REF!</v>
      </c>
      <c r="J838" s="50"/>
    </row>
    <row r="839" outlineLevel="1" spans="1:10">
      <c r="A839" s="50">
        <v>697</v>
      </c>
      <c r="B839" s="51" t="str">
        <v>外墙EPS线条-线条35*50</v>
      </c>
      <c r="C839" s="51" t="e">
        <v>#REF!</v>
      </c>
      <c r="D839" s="51" t="str">
        <v/>
      </c>
      <c r="E839" s="51" t="str">
        <v/>
      </c>
      <c r="F839" s="52" t="e">
        <v>#REF!</v>
      </c>
      <c r="G839" s="48" t="e">
        <v>#REF!</v>
      </c>
      <c r="H839" s="49" t="e">
        <v>#REF!</v>
      </c>
      <c r="I839" s="49" t="e">
        <v>#REF!</v>
      </c>
      <c r="J839" s="50"/>
    </row>
    <row r="840" outlineLevel="1" spans="1:10">
      <c r="A840" s="50">
        <v>698</v>
      </c>
      <c r="B840" s="51" t="str">
        <v>外墙EPS线条-线条120*500</v>
      </c>
      <c r="C840" s="51" t="e">
        <v>#REF!</v>
      </c>
      <c r="D840" s="51" t="str">
        <v/>
      </c>
      <c r="E840" s="51" t="str">
        <v/>
      </c>
      <c r="F840" s="52" t="e">
        <v>#REF!</v>
      </c>
      <c r="G840" s="48" t="e">
        <v>#REF!</v>
      </c>
      <c r="H840" s="49" t="e">
        <v>#REF!</v>
      </c>
      <c r="I840" s="49" t="e">
        <v>#REF!</v>
      </c>
      <c r="J840" s="50"/>
    </row>
    <row r="841" outlineLevel="1" spans="1:10">
      <c r="A841" s="50">
        <v>699</v>
      </c>
      <c r="B841" s="51" t="str">
        <v>外墙EPS线条-线条1082*140</v>
      </c>
      <c r="C841" s="51" t="e">
        <v>#REF!</v>
      </c>
      <c r="D841" s="51" t="str">
        <v/>
      </c>
      <c r="E841" s="51" t="str">
        <v/>
      </c>
      <c r="F841" s="52" t="e">
        <v>#REF!</v>
      </c>
      <c r="G841" s="48" t="e">
        <v>#REF!</v>
      </c>
      <c r="H841" s="49" t="e">
        <v>#REF!</v>
      </c>
      <c r="I841" s="49" t="e">
        <v>#REF!</v>
      </c>
      <c r="J841" s="50"/>
    </row>
    <row r="842" ht="28.8" outlineLevel="1" spans="1:10">
      <c r="A842" s="50">
        <v>700</v>
      </c>
      <c r="B842" s="51" t="str">
        <v>外墙EPS线条-不规则EPS线条410*100</v>
      </c>
      <c r="C842" s="51" t="e">
        <v>#REF!</v>
      </c>
      <c r="D842" s="51" t="str">
        <v/>
      </c>
      <c r="E842" s="51" t="str">
        <v/>
      </c>
      <c r="F842" s="52" t="e">
        <v>#REF!</v>
      </c>
      <c r="G842" s="48" t="e">
        <v>#REF!</v>
      </c>
      <c r="H842" s="49" t="e">
        <v>#REF!</v>
      </c>
      <c r="I842" s="49" t="e">
        <v>#REF!</v>
      </c>
      <c r="J842" s="50"/>
    </row>
    <row r="843" outlineLevel="1" spans="1:10">
      <c r="A843" s="50">
        <v>701</v>
      </c>
      <c r="B843" s="51" t="str">
        <v>外墙EPS线条-线条150*80</v>
      </c>
      <c r="C843" s="51" t="e">
        <v>#REF!</v>
      </c>
      <c r="D843" s="51" t="str">
        <v/>
      </c>
      <c r="E843" s="51" t="str">
        <v/>
      </c>
      <c r="F843" s="52" t="e">
        <v>#REF!</v>
      </c>
      <c r="G843" s="48" t="e">
        <v>#REF!</v>
      </c>
      <c r="H843" s="49" t="e">
        <v>#REF!</v>
      </c>
      <c r="I843" s="49" t="e">
        <v>#REF!</v>
      </c>
      <c r="J843" s="50"/>
    </row>
    <row r="844" outlineLevel="1" spans="1:10">
      <c r="A844" s="50">
        <v>702</v>
      </c>
      <c r="B844" s="51" t="str">
        <v>外墙EPS线条-线条480*170</v>
      </c>
      <c r="C844" s="51" t="e">
        <v>#REF!</v>
      </c>
      <c r="D844" s="51" t="str">
        <v/>
      </c>
      <c r="E844" s="51" t="str">
        <v/>
      </c>
      <c r="F844" s="52" t="e">
        <v>#REF!</v>
      </c>
      <c r="G844" s="48" t="e">
        <v>#REF!</v>
      </c>
      <c r="H844" s="49" t="e">
        <v>#REF!</v>
      </c>
      <c r="I844" s="49" t="e">
        <v>#REF!</v>
      </c>
      <c r="J844" s="50"/>
    </row>
    <row r="845" outlineLevel="1" spans="1:10">
      <c r="A845" s="50">
        <v>703</v>
      </c>
      <c r="B845" s="51" t="str">
        <v>外墙EPS线条-线条1840*150</v>
      </c>
      <c r="C845" s="51" t="e">
        <v>#REF!</v>
      </c>
      <c r="D845" s="51" t="str">
        <v/>
      </c>
      <c r="E845" s="51" t="str">
        <v/>
      </c>
      <c r="F845" s="52" t="e">
        <v>#REF!</v>
      </c>
      <c r="G845" s="48" t="e">
        <v>#REF!</v>
      </c>
      <c r="H845" s="49" t="e">
        <v>#REF!</v>
      </c>
      <c r="I845" s="49" t="e">
        <v>#REF!</v>
      </c>
      <c r="J845" s="50"/>
    </row>
    <row r="846" outlineLevel="1" spans="1:10">
      <c r="A846" s="50">
        <v>704</v>
      </c>
      <c r="B846" s="51" t="str">
        <v>外墙EPS线条-线条450*50</v>
      </c>
      <c r="C846" s="51" t="e">
        <v>#REF!</v>
      </c>
      <c r="D846" s="51" t="str">
        <v/>
      </c>
      <c r="E846" s="51" t="str">
        <v/>
      </c>
      <c r="F846" s="52" t="e">
        <v>#REF!</v>
      </c>
      <c r="G846" s="48" t="e">
        <v>#REF!</v>
      </c>
      <c r="H846" s="49" t="e">
        <v>#REF!</v>
      </c>
      <c r="I846" s="49" t="e">
        <v>#REF!</v>
      </c>
      <c r="J846" s="50"/>
    </row>
    <row r="847" outlineLevel="1" spans="1:10">
      <c r="A847" s="50">
        <v>705</v>
      </c>
      <c r="B847" s="51" t="str">
        <v>外墙EPS线条-线条695*150</v>
      </c>
      <c r="C847" s="51" t="e">
        <v>#REF!</v>
      </c>
      <c r="D847" s="51" t="str">
        <v/>
      </c>
      <c r="E847" s="51" t="str">
        <v/>
      </c>
      <c r="F847" s="52" t="e">
        <v>#REF!</v>
      </c>
      <c r="G847" s="48" t="e">
        <v>#REF!</v>
      </c>
      <c r="H847" s="49" t="e">
        <v>#REF!</v>
      </c>
      <c r="I847" s="49" t="e">
        <v>#REF!</v>
      </c>
      <c r="J847" s="50"/>
    </row>
    <row r="848" outlineLevel="1" spans="1:10">
      <c r="A848" s="50">
        <v>706</v>
      </c>
      <c r="B848" s="51" t="str">
        <v>外墙EPS线条-线条70*50</v>
      </c>
      <c r="C848" s="51" t="e">
        <v>#REF!</v>
      </c>
      <c r="D848" s="51" t="str">
        <v/>
      </c>
      <c r="E848" s="51" t="str">
        <v/>
      </c>
      <c r="F848" s="52" t="e">
        <v>#REF!</v>
      </c>
      <c r="G848" s="48" t="e">
        <v>#REF!</v>
      </c>
      <c r="H848" s="49" t="e">
        <v>#REF!</v>
      </c>
      <c r="I848" s="49" t="e">
        <v>#REF!</v>
      </c>
      <c r="J848" s="50"/>
    </row>
    <row r="849" outlineLevel="1" spans="1:10">
      <c r="A849" s="50">
        <v>707</v>
      </c>
      <c r="B849" s="51" t="str">
        <v>外墙EPS线条-线条300*100</v>
      </c>
      <c r="C849" s="51" t="e">
        <v>#REF!</v>
      </c>
      <c r="D849" s="51" t="str">
        <v/>
      </c>
      <c r="E849" s="51" t="str">
        <v/>
      </c>
      <c r="F849" s="52" t="e">
        <v>#REF!</v>
      </c>
      <c r="G849" s="48" t="e">
        <v>#REF!</v>
      </c>
      <c r="H849" s="49" t="e">
        <v>#REF!</v>
      </c>
      <c r="I849" s="49" t="e">
        <v>#REF!</v>
      </c>
      <c r="J849" s="50"/>
    </row>
    <row r="850" outlineLevel="1" spans="1:10">
      <c r="A850" s="50">
        <v>708</v>
      </c>
      <c r="B850" s="51" t="str">
        <v>外墙EPS线条-线条200*100</v>
      </c>
      <c r="C850" s="51" t="e">
        <v>#REF!</v>
      </c>
      <c r="D850" s="51" t="str">
        <v/>
      </c>
      <c r="E850" s="51" t="str">
        <v/>
      </c>
      <c r="F850" s="52" t="e">
        <v>#REF!</v>
      </c>
      <c r="G850" s="48" t="e">
        <v>#REF!</v>
      </c>
      <c r="H850" s="49" t="e">
        <v>#REF!</v>
      </c>
      <c r="I850" s="49" t="e">
        <v>#REF!</v>
      </c>
      <c r="J850" s="50"/>
    </row>
    <row r="851" ht="28.8" outlineLevel="1" spans="1:10">
      <c r="A851" s="50">
        <v>709</v>
      </c>
      <c r="B851" s="51" t="str">
        <v>外墙EPS线条-不规则EPS线条1750*420（顶层挑檐下）</v>
      </c>
      <c r="C851" s="51" t="e">
        <v>#REF!</v>
      </c>
      <c r="D851" s="51" t="str">
        <v/>
      </c>
      <c r="E851" s="51" t="str">
        <v/>
      </c>
      <c r="F851" s="52" t="e">
        <v>#REF!</v>
      </c>
      <c r="G851" s="48" t="e">
        <v>#REF!</v>
      </c>
      <c r="H851" s="49" t="e">
        <v>#REF!</v>
      </c>
      <c r="I851" s="49" t="e">
        <v>#REF!</v>
      </c>
      <c r="J851" s="50"/>
    </row>
    <row r="852" ht="28.8" outlineLevel="1" spans="1:10">
      <c r="A852" s="50">
        <v>710</v>
      </c>
      <c r="B852" s="51" t="str">
        <v>外墙EPS线条-不规则EPS线条1250*300（顶层挑檐下）</v>
      </c>
      <c r="C852" s="51" t="e">
        <v>#REF!</v>
      </c>
      <c r="D852" s="51" t="str">
        <v/>
      </c>
      <c r="E852" s="51" t="str">
        <v/>
      </c>
      <c r="F852" s="52" t="e">
        <v>#REF!</v>
      </c>
      <c r="G852" s="48" t="e">
        <v>#REF!</v>
      </c>
      <c r="H852" s="49" t="e">
        <v>#REF!</v>
      </c>
      <c r="I852" s="49" t="e">
        <v>#REF!</v>
      </c>
      <c r="J852" s="50"/>
    </row>
    <row r="853" outlineLevel="1" spans="1:10">
      <c r="A853" s="50">
        <v>711</v>
      </c>
      <c r="B853" s="51" t="str">
        <v>外墙EPS线条-L型120*100</v>
      </c>
      <c r="C853" s="51" t="e">
        <v>#REF!</v>
      </c>
      <c r="D853" s="51" t="str">
        <v/>
      </c>
      <c r="E853" s="51" t="str">
        <v/>
      </c>
      <c r="F853" s="52" t="e">
        <v>#REF!</v>
      </c>
      <c r="G853" s="48" t="e">
        <v>#REF!</v>
      </c>
      <c r="H853" s="49" t="e">
        <v>#REF!</v>
      </c>
      <c r="I853" s="49" t="e">
        <v>#REF!</v>
      </c>
      <c r="J853" s="50"/>
    </row>
    <row r="854" outlineLevel="1" spans="1:10">
      <c r="A854" s="50">
        <v>712</v>
      </c>
      <c r="B854" s="51" t="str">
        <v>柱头1</v>
      </c>
      <c r="C854" s="51" t="e">
        <v>#REF!</v>
      </c>
      <c r="D854" s="51" t="str">
        <v/>
      </c>
      <c r="E854" s="51" t="str">
        <v/>
      </c>
      <c r="F854" s="52" t="e">
        <v>#REF!</v>
      </c>
      <c r="G854" s="48" t="e">
        <v>#REF!</v>
      </c>
      <c r="H854" s="49" t="e">
        <v>#REF!</v>
      </c>
      <c r="I854" s="49" t="e">
        <v>#REF!</v>
      </c>
      <c r="J854" s="50"/>
    </row>
    <row r="855" outlineLevel="1" spans="1:10">
      <c r="A855" s="50">
        <v>713</v>
      </c>
      <c r="B855" s="51" t="str">
        <v>柱头2</v>
      </c>
      <c r="C855" s="51" t="e">
        <v>#REF!</v>
      </c>
      <c r="D855" s="51" t="str">
        <v/>
      </c>
      <c r="E855" s="51" t="str">
        <v/>
      </c>
      <c r="F855" s="52" t="e">
        <v>#REF!</v>
      </c>
      <c r="G855" s="48" t="e">
        <v>#REF!</v>
      </c>
      <c r="H855" s="49" t="e">
        <v>#REF!</v>
      </c>
      <c r="I855" s="49" t="e">
        <v>#REF!</v>
      </c>
      <c r="J855" s="50"/>
    </row>
    <row r="856" outlineLevel="1" spans="1:10">
      <c r="A856" s="50">
        <v>714</v>
      </c>
      <c r="B856" s="51" t="str">
        <v>柱头3</v>
      </c>
      <c r="C856" s="51" t="e">
        <v>#REF!</v>
      </c>
      <c r="D856" s="51" t="str">
        <v/>
      </c>
      <c r="E856" s="51" t="str">
        <v/>
      </c>
      <c r="F856" s="52" t="e">
        <v>#REF!</v>
      </c>
      <c r="G856" s="48" t="e">
        <v>#REF!</v>
      </c>
      <c r="H856" s="49" t="e">
        <v>#REF!</v>
      </c>
      <c r="I856" s="49" t="e">
        <v>#REF!</v>
      </c>
      <c r="J856" s="50"/>
    </row>
    <row r="857" outlineLevel="1" spans="1:10">
      <c r="A857" s="50">
        <v>715</v>
      </c>
      <c r="B857" s="51" t="str">
        <v>方柱1</v>
      </c>
      <c r="C857" s="51" t="e">
        <v>#REF!</v>
      </c>
      <c r="D857" s="51" t="str">
        <v/>
      </c>
      <c r="E857" s="51" t="str">
        <v/>
      </c>
      <c r="F857" s="52" t="e">
        <v>#REF!</v>
      </c>
      <c r="G857" s="48" t="e">
        <v>#REF!</v>
      </c>
      <c r="H857" s="49" t="e">
        <v>#REF!</v>
      </c>
      <c r="I857" s="49" t="e">
        <v>#REF!</v>
      </c>
      <c r="J857" s="50"/>
    </row>
    <row r="858" outlineLevel="1" spans="1:10">
      <c r="A858" s="50">
        <v>716</v>
      </c>
      <c r="B858" s="51" t="str">
        <v>方柱2</v>
      </c>
      <c r="C858" s="51" t="e">
        <v>#REF!</v>
      </c>
      <c r="D858" s="51" t="str">
        <v/>
      </c>
      <c r="E858" s="51" t="str">
        <v/>
      </c>
      <c r="F858" s="52" t="e">
        <v>#REF!</v>
      </c>
      <c r="G858" s="48" t="e">
        <v>#REF!</v>
      </c>
      <c r="H858" s="49" t="e">
        <v>#REF!</v>
      </c>
      <c r="I858" s="49" t="e">
        <v>#REF!</v>
      </c>
      <c r="J858" s="50"/>
    </row>
    <row r="859" outlineLevel="1" spans="1:10">
      <c r="A859" s="50">
        <v>717</v>
      </c>
      <c r="B859" s="51" t="str">
        <v>方柱3</v>
      </c>
      <c r="C859" s="51" t="e">
        <v>#REF!</v>
      </c>
      <c r="D859" s="51" t="str">
        <v/>
      </c>
      <c r="E859" s="51" t="str">
        <v/>
      </c>
      <c r="F859" s="52" t="e">
        <v>#REF!</v>
      </c>
      <c r="G859" s="48" t="e">
        <v>#REF!</v>
      </c>
      <c r="H859" s="49" t="e">
        <v>#REF!</v>
      </c>
      <c r="I859" s="49" t="e">
        <v>#REF!</v>
      </c>
      <c r="J859" s="50"/>
    </row>
    <row r="860" outlineLevel="1" spans="1:10">
      <c r="A860" s="50">
        <v>718</v>
      </c>
      <c r="B860" s="51" t="str">
        <v>扶手墩1</v>
      </c>
      <c r="C860" s="51" t="e">
        <v>#REF!</v>
      </c>
      <c r="D860" s="51" t="str">
        <v/>
      </c>
      <c r="E860" s="51" t="str">
        <v/>
      </c>
      <c r="F860" s="52" t="e">
        <v>#REF!</v>
      </c>
      <c r="G860" s="48" t="e">
        <v>#REF!</v>
      </c>
      <c r="H860" s="49" t="e">
        <v>#REF!</v>
      </c>
      <c r="I860" s="49" t="e">
        <v>#REF!</v>
      </c>
      <c r="J860" s="50"/>
    </row>
    <row r="861" outlineLevel="1" spans="1:10">
      <c r="A861" s="50">
        <v>719</v>
      </c>
      <c r="B861" s="51" t="str">
        <v>顶部EPS装饰檐线</v>
      </c>
      <c r="C861" s="51" t="e">
        <v>#REF!</v>
      </c>
      <c r="D861" s="51" t="str">
        <v/>
      </c>
      <c r="E861" s="51" t="str">
        <v/>
      </c>
      <c r="F861" s="52" t="e">
        <v>#REF!</v>
      </c>
      <c r="G861" s="48" t="e">
        <v>#REF!</v>
      </c>
      <c r="H861" s="49" t="e">
        <v>#REF!</v>
      </c>
      <c r="I861" s="49" t="e">
        <v>#REF!</v>
      </c>
      <c r="J861" s="50"/>
    </row>
    <row r="862" outlineLevel="1" spans="1:10">
      <c r="A862" s="50">
        <v>720</v>
      </c>
      <c r="B862" s="51" t="str">
        <v>顶部EPS檐线内造型</v>
      </c>
      <c r="C862" s="51" t="e">
        <v>#REF!</v>
      </c>
      <c r="D862" s="51" t="str">
        <v/>
      </c>
      <c r="E862" s="51" t="str">
        <v/>
      </c>
      <c r="F862" s="52" t="e">
        <v>#REF!</v>
      </c>
      <c r="G862" s="48" t="e">
        <v>#REF!</v>
      </c>
      <c r="H862" s="49" t="e">
        <v>#REF!</v>
      </c>
      <c r="I862" s="49" t="e">
        <v>#REF!</v>
      </c>
      <c r="J862" s="50"/>
    </row>
    <row r="863" outlineLevel="1" spans="1:10">
      <c r="A863" s="50">
        <v>721</v>
      </c>
      <c r="B863" s="51" t="str">
        <v>柱身突出造型EPS439*480</v>
      </c>
      <c r="C863" s="51" t="e">
        <v>#REF!</v>
      </c>
      <c r="D863" s="51" t="str">
        <v/>
      </c>
      <c r="E863" s="51" t="str">
        <v/>
      </c>
      <c r="F863" s="52" t="e">
        <v>#REF!</v>
      </c>
      <c r="G863" s="48" t="e">
        <v>#REF!</v>
      </c>
      <c r="H863" s="49" t="e">
        <v>#REF!</v>
      </c>
      <c r="I863" s="49" t="e">
        <v>#REF!</v>
      </c>
      <c r="J863" s="50"/>
    </row>
    <row r="864" outlineLevel="1" spans="1:10">
      <c r="A864" s="50">
        <v>722</v>
      </c>
      <c r="B864" s="51" t="str">
        <v>上扶手线（含砼及埋件）</v>
      </c>
      <c r="C864" s="51" t="e">
        <v>#REF!</v>
      </c>
      <c r="D864" s="51" t="str">
        <v/>
      </c>
      <c r="E864" s="51" t="str">
        <v/>
      </c>
      <c r="F864" s="52" t="e">
        <v>#REF!</v>
      </c>
      <c r="G864" s="48" t="e">
        <v>#REF!</v>
      </c>
      <c r="H864" s="49" t="e">
        <v>#REF!</v>
      </c>
      <c r="I864" s="49" t="e">
        <v>#REF!</v>
      </c>
      <c r="J864" s="50"/>
    </row>
    <row r="865" outlineLevel="1" spans="1:10">
      <c r="A865" s="50">
        <v>723</v>
      </c>
      <c r="B865" s="51" t="str">
        <v>下扶手线</v>
      </c>
      <c r="C865" s="51" t="e">
        <v>#REF!</v>
      </c>
      <c r="D865" s="51" t="str">
        <v/>
      </c>
      <c r="E865" s="51" t="str">
        <v/>
      </c>
      <c r="F865" s="52" t="e">
        <v>#REF!</v>
      </c>
      <c r="G865" s="48" t="e">
        <v>#REF!</v>
      </c>
      <c r="H865" s="49" t="e">
        <v>#REF!</v>
      </c>
      <c r="I865" s="49" t="e">
        <v>#REF!</v>
      </c>
      <c r="J865" s="50"/>
    </row>
    <row r="866" outlineLevel="1" spans="1:10">
      <c r="A866" s="50">
        <v>724</v>
      </c>
      <c r="B866" s="51" t="str">
        <v>车库出入口成品宝瓶栏杆柱</v>
      </c>
      <c r="C866" s="51" t="e">
        <v>#REF!</v>
      </c>
      <c r="D866" s="51" t="str">
        <v/>
      </c>
      <c r="E866" s="51" t="str">
        <v/>
      </c>
      <c r="F866" s="52" t="e">
        <v>#REF!</v>
      </c>
      <c r="G866" s="48" t="e">
        <v>#REF!</v>
      </c>
      <c r="H866" s="49" t="e">
        <v>#REF!</v>
      </c>
      <c r="I866" s="49" t="e">
        <v>#REF!</v>
      </c>
      <c r="J866" s="50"/>
    </row>
    <row r="867" outlineLevel="1" spans="1:10">
      <c r="A867" s="50" t="str">
        <v/>
      </c>
      <c r="B867" s="51" t="str">
        <v>A.06.03外墙饰面工程</v>
      </c>
      <c r="C867" s="51" t="str">
        <v/>
      </c>
      <c r="D867" s="51" t="str">
        <v/>
      </c>
      <c r="E867" s="51" t="str">
        <v/>
      </c>
      <c r="F867" s="52" t="str">
        <v/>
      </c>
      <c r="G867" s="48" t="str">
        <v/>
      </c>
      <c r="H867" s="49">
        <v>0</v>
      </c>
      <c r="I867" s="49" t="e">
        <v>#REF!</v>
      </c>
      <c r="J867" s="50"/>
    </row>
    <row r="868" outlineLevel="1" spans="1:10">
      <c r="A868" s="50" t="str">
        <v/>
      </c>
      <c r="B868" s="51" t="str">
        <v>外墙大面涂料</v>
      </c>
      <c r="C868" s="51" t="str">
        <v/>
      </c>
      <c r="D868" s="51" t="str">
        <v/>
      </c>
      <c r="E868" s="51" t="str">
        <v/>
      </c>
      <c r="F868" s="52" t="str">
        <v/>
      </c>
      <c r="G868" s="48" t="str">
        <v/>
      </c>
      <c r="H868" s="49">
        <v>0</v>
      </c>
      <c r="I868" s="49">
        <v>0</v>
      </c>
      <c r="J868" s="50"/>
    </row>
    <row r="869" outlineLevel="1" spans="1:10">
      <c r="A869" s="50">
        <v>725</v>
      </c>
      <c r="B869" s="51" t="str">
        <v>外墙涂料-米黄色水包水</v>
      </c>
      <c r="C869" s="51" t="e">
        <v>#REF!</v>
      </c>
      <c r="D869" s="51" t="str">
        <v/>
      </c>
      <c r="E869" s="51" t="str">
        <v/>
      </c>
      <c r="F869" s="52" t="e">
        <v>#REF!</v>
      </c>
      <c r="G869" s="48" t="e">
        <v>#REF!</v>
      </c>
      <c r="H869" s="49" t="e">
        <v>#REF!</v>
      </c>
      <c r="I869" s="49" t="e">
        <v>#REF!</v>
      </c>
      <c r="J869" s="50"/>
    </row>
    <row r="870" outlineLevel="1" spans="1:10">
      <c r="A870" s="50">
        <v>726</v>
      </c>
      <c r="B870" s="51" t="str">
        <v>外墙涂料-水包砂</v>
      </c>
      <c r="C870" s="51" t="e">
        <v>#REF!</v>
      </c>
      <c r="D870" s="51" t="str">
        <v/>
      </c>
      <c r="E870" s="51" t="str">
        <v/>
      </c>
      <c r="F870" s="52" t="e">
        <v>#REF!</v>
      </c>
      <c r="G870" s="48" t="e">
        <v>#REF!</v>
      </c>
      <c r="H870" s="49">
        <v>0</v>
      </c>
      <c r="I870" s="49" t="e">
        <v>#REF!</v>
      </c>
      <c r="J870" s="50"/>
    </row>
    <row r="871" outlineLevel="1" spans="1:10">
      <c r="A871" s="50">
        <v>727</v>
      </c>
      <c r="B871" s="51" t="str">
        <v>外墙涂料-米黄色质感涂料</v>
      </c>
      <c r="C871" s="51" t="e">
        <v>#REF!</v>
      </c>
      <c r="D871" s="51" t="str">
        <v/>
      </c>
      <c r="E871" s="51" t="str">
        <v/>
      </c>
      <c r="F871" s="52" t="e">
        <v>#REF!</v>
      </c>
      <c r="G871" s="48" t="e">
        <v>#REF!</v>
      </c>
      <c r="H871" s="49">
        <v>3194.97696502594</v>
      </c>
      <c r="I871" s="49" t="e">
        <v>#REF!</v>
      </c>
      <c r="J871" s="50"/>
    </row>
    <row r="872" outlineLevel="1" spans="1:10">
      <c r="A872" s="50">
        <v>728</v>
      </c>
      <c r="B872" s="51" t="str">
        <v>外墙涂料-深褐色质感涂料</v>
      </c>
      <c r="C872" s="51" t="e">
        <v>#REF!</v>
      </c>
      <c r="D872" s="51" t="str">
        <v/>
      </c>
      <c r="E872" s="51" t="str">
        <v/>
      </c>
      <c r="F872" s="52" t="e">
        <v>#REF!</v>
      </c>
      <c r="G872" s="48" t="e">
        <v>#REF!</v>
      </c>
      <c r="H872" s="49" t="e">
        <v>#REF!</v>
      </c>
      <c r="I872" s="49" t="e">
        <v>#REF!</v>
      </c>
      <c r="J872" s="50"/>
    </row>
    <row r="873" outlineLevel="1" spans="1:10">
      <c r="A873" s="50">
        <v>729</v>
      </c>
      <c r="B873" s="51" t="str">
        <v>外墙涂料-咖色质感涂料</v>
      </c>
      <c r="C873" s="51" t="e">
        <v>#REF!</v>
      </c>
      <c r="D873" s="51" t="str">
        <v/>
      </c>
      <c r="E873" s="51" t="str">
        <v/>
      </c>
      <c r="F873" s="52" t="e">
        <v>#REF!</v>
      </c>
      <c r="G873" s="48" t="e">
        <v>#REF!</v>
      </c>
      <c r="H873" s="49" t="e">
        <v>#REF!</v>
      </c>
      <c r="I873" s="49" t="e">
        <v>#REF!</v>
      </c>
      <c r="J873" s="50"/>
    </row>
    <row r="874" ht="28.8" outlineLevel="1" spans="1:10">
      <c r="A874" s="50">
        <v>730</v>
      </c>
      <c r="B874" s="51" t="str">
        <v>外墙涂料-仿葡萄牙米黄水包水</v>
      </c>
      <c r="C874" s="51" t="e">
        <v>#REF!</v>
      </c>
      <c r="D874" s="51" t="str">
        <v/>
      </c>
      <c r="E874" s="51" t="str">
        <v/>
      </c>
      <c r="F874" s="52" t="e">
        <v>#REF!</v>
      </c>
      <c r="G874" s="48" t="e">
        <v>#REF!</v>
      </c>
      <c r="H874" s="49" t="e">
        <v>#REF!</v>
      </c>
      <c r="I874" s="49" t="e">
        <v>#REF!</v>
      </c>
      <c r="J874" s="50"/>
    </row>
    <row r="875" outlineLevel="1" spans="1:10">
      <c r="A875" s="50">
        <v>731</v>
      </c>
      <c r="B875" s="51" t="str">
        <v>外墙涂料-古典棕水包水</v>
      </c>
      <c r="C875" s="51" t="e">
        <v>#REF!</v>
      </c>
      <c r="D875" s="51" t="str">
        <v/>
      </c>
      <c r="E875" s="51" t="str">
        <v/>
      </c>
      <c r="F875" s="52" t="e">
        <v>#REF!</v>
      </c>
      <c r="G875" s="48" t="e">
        <v>#REF!</v>
      </c>
      <c r="H875" s="49" t="e">
        <v>#REF!</v>
      </c>
      <c r="I875" s="49" t="e">
        <v>#REF!</v>
      </c>
      <c r="J875" s="50"/>
    </row>
    <row r="876" outlineLevel="1" spans="1:10">
      <c r="A876" s="50">
        <v>732</v>
      </c>
      <c r="B876" s="51" t="str">
        <v>外墙涂料-米黄色真石漆</v>
      </c>
      <c r="C876" s="51" t="e">
        <v>#REF!</v>
      </c>
      <c r="D876" s="51" t="str">
        <v/>
      </c>
      <c r="E876" s="51" t="str">
        <v/>
      </c>
      <c r="F876" s="52" t="e">
        <v>#REF!</v>
      </c>
      <c r="G876" s="48" t="e">
        <v>#REF!</v>
      </c>
      <c r="H876" s="49" t="e">
        <v>#REF!</v>
      </c>
      <c r="I876" s="49" t="e">
        <v>#REF!</v>
      </c>
      <c r="J876" s="50"/>
    </row>
    <row r="877" ht="28.8" outlineLevel="1" spans="1:10">
      <c r="A877" s="50">
        <v>733</v>
      </c>
      <c r="B877" s="51" t="str">
        <v>外墙涂料-仿葡萄牙米黄真石漆</v>
      </c>
      <c r="C877" s="51" t="e">
        <v>#REF!</v>
      </c>
      <c r="D877" s="51" t="str">
        <v/>
      </c>
      <c r="E877" s="51" t="str">
        <v/>
      </c>
      <c r="F877" s="52" t="e">
        <v>#REF!</v>
      </c>
      <c r="G877" s="48" t="e">
        <v>#REF!</v>
      </c>
      <c r="H877" s="49" t="e">
        <v>#REF!</v>
      </c>
      <c r="I877" s="49" t="e">
        <v>#REF!</v>
      </c>
      <c r="J877" s="50"/>
    </row>
    <row r="878" outlineLevel="1" spans="1:10">
      <c r="A878" s="50">
        <v>734</v>
      </c>
      <c r="B878" s="51" t="str">
        <v>外墙涂料-米白色真石漆</v>
      </c>
      <c r="C878" s="51" t="e">
        <v>#REF!</v>
      </c>
      <c r="D878" s="51" t="str">
        <v/>
      </c>
      <c r="E878" s="51" t="str">
        <v/>
      </c>
      <c r="F878" s="52" t="e">
        <v>#REF!</v>
      </c>
      <c r="G878" s="48" t="e">
        <v>#REF!</v>
      </c>
      <c r="H878" s="49" t="e">
        <v>#REF!</v>
      </c>
      <c r="I878" s="49" t="e">
        <v>#REF!</v>
      </c>
      <c r="J878" s="50"/>
    </row>
    <row r="879" outlineLevel="1" spans="1:10">
      <c r="A879" s="50">
        <v>735</v>
      </c>
      <c r="B879" s="51" t="str">
        <v>外墙涂料-深咖色真石漆</v>
      </c>
      <c r="C879" s="51" t="e">
        <v>#REF!</v>
      </c>
      <c r="D879" s="51" t="str">
        <v/>
      </c>
      <c r="E879" s="51" t="str">
        <v/>
      </c>
      <c r="F879" s="52" t="e">
        <v>#REF!</v>
      </c>
      <c r="G879" s="48" t="e">
        <v>#REF!</v>
      </c>
      <c r="H879" s="49" t="e">
        <v>#REF!</v>
      </c>
      <c r="I879" s="49" t="e">
        <v>#REF!</v>
      </c>
      <c r="J879" s="50"/>
    </row>
    <row r="880" outlineLevel="1" spans="1:10">
      <c r="A880" s="50">
        <v>736</v>
      </c>
      <c r="B880" s="51" t="str">
        <v>外墙涂料-弹涂</v>
      </c>
      <c r="C880" s="51" t="e">
        <v>#REF!</v>
      </c>
      <c r="D880" s="51" t="str">
        <v/>
      </c>
      <c r="E880" s="51" t="str">
        <v/>
      </c>
      <c r="F880" s="52" t="e">
        <v>#REF!</v>
      </c>
      <c r="G880" s="48" t="e">
        <v>#REF!</v>
      </c>
      <c r="H880" s="49">
        <v>0</v>
      </c>
      <c r="I880" s="49" t="e">
        <v>#REF!</v>
      </c>
      <c r="J880" s="50"/>
    </row>
    <row r="881" outlineLevel="1" spans="1:10">
      <c r="A881" s="50">
        <v>737</v>
      </c>
      <c r="B881" s="51" t="str">
        <v>外墙涂料</v>
      </c>
      <c r="C881" s="51" t="e">
        <v>#REF!</v>
      </c>
      <c r="D881" s="51" t="str">
        <v/>
      </c>
      <c r="E881" s="51" t="str">
        <v/>
      </c>
      <c r="F881" s="52" t="e">
        <v>#REF!</v>
      </c>
      <c r="G881" s="48" t="e">
        <v>#REF!</v>
      </c>
      <c r="H881" s="49">
        <v>0</v>
      </c>
      <c r="I881" s="49" t="e">
        <v>#REF!</v>
      </c>
      <c r="J881" s="50"/>
    </row>
    <row r="882" outlineLevel="1" spans="1:10">
      <c r="A882" s="50">
        <v>738</v>
      </c>
      <c r="B882" s="51" t="str">
        <v>外墙涂料-管线涂料</v>
      </c>
      <c r="C882" s="51" t="e">
        <v>#REF!</v>
      </c>
      <c r="D882" s="51" t="str">
        <v/>
      </c>
      <c r="E882" s="51" t="str">
        <v/>
      </c>
      <c r="F882" s="52" t="e">
        <v>#REF!</v>
      </c>
      <c r="G882" s="48" t="e">
        <v>#REF!</v>
      </c>
      <c r="H882" s="49">
        <v>0</v>
      </c>
      <c r="I882" s="49" t="e">
        <v>#REF!</v>
      </c>
      <c r="J882" s="50"/>
    </row>
    <row r="883" outlineLevel="1" spans="1:10">
      <c r="A883" s="50" t="str">
        <v/>
      </c>
      <c r="B883" s="51" t="str">
        <v>外墙外挑构件涂料</v>
      </c>
      <c r="C883" s="51" t="str">
        <v/>
      </c>
      <c r="D883" s="51" t="str">
        <v/>
      </c>
      <c r="E883" s="51" t="str">
        <v/>
      </c>
      <c r="F883" s="52" t="str">
        <v/>
      </c>
      <c r="G883" s="48" t="str">
        <v/>
      </c>
      <c r="H883" s="49">
        <v>0</v>
      </c>
      <c r="I883" s="49">
        <v>0</v>
      </c>
      <c r="J883" s="50"/>
    </row>
    <row r="884" outlineLevel="1" spans="1:10">
      <c r="A884" s="50">
        <v>739</v>
      </c>
      <c r="B884" s="51" t="str">
        <v>外墙外挑涂料-米黄色水包水</v>
      </c>
      <c r="C884" s="51" t="e">
        <v>#REF!</v>
      </c>
      <c r="D884" s="51" t="str">
        <v/>
      </c>
      <c r="E884" s="51" t="str">
        <v/>
      </c>
      <c r="F884" s="52" t="e">
        <v>#REF!</v>
      </c>
      <c r="G884" s="48" t="e">
        <v>#REF!</v>
      </c>
      <c r="H884" s="49" t="e">
        <v>#REF!</v>
      </c>
      <c r="I884" s="49" t="e">
        <v>#REF!</v>
      </c>
      <c r="J884" s="50"/>
    </row>
    <row r="885" ht="28.8" outlineLevel="1" spans="1:10">
      <c r="A885" s="50">
        <v>740</v>
      </c>
      <c r="B885" s="51" t="str">
        <v>外墙外挑涂料-米黄色质感涂料</v>
      </c>
      <c r="C885" s="51" t="e">
        <v>#REF!</v>
      </c>
      <c r="D885" s="51" t="str">
        <v/>
      </c>
      <c r="E885" s="51" t="str">
        <v/>
      </c>
      <c r="F885" s="52" t="e">
        <v>#REF!</v>
      </c>
      <c r="G885" s="48" t="e">
        <v>#REF!</v>
      </c>
      <c r="H885" s="49" t="e">
        <v>#REF!</v>
      </c>
      <c r="I885" s="49" t="e">
        <v>#REF!</v>
      </c>
      <c r="J885" s="50"/>
    </row>
    <row r="886" ht="28.8" outlineLevel="1" spans="1:10">
      <c r="A886" s="50">
        <v>741</v>
      </c>
      <c r="B886" s="51" t="str">
        <v>外墙外挑涂料-深褐色质感涂料</v>
      </c>
      <c r="C886" s="51" t="e">
        <v>#REF!</v>
      </c>
      <c r="D886" s="51" t="str">
        <v/>
      </c>
      <c r="E886" s="51" t="str">
        <v/>
      </c>
      <c r="F886" s="52" t="e">
        <v>#REF!</v>
      </c>
      <c r="G886" s="48" t="e">
        <v>#REF!</v>
      </c>
      <c r="H886" s="49" t="e">
        <v>#REF!</v>
      </c>
      <c r="I886" s="49" t="e">
        <v>#REF!</v>
      </c>
      <c r="J886" s="50"/>
    </row>
    <row r="887" outlineLevel="1" spans="1:10">
      <c r="A887" s="50">
        <v>742</v>
      </c>
      <c r="B887" s="51" t="str">
        <v>外墙涂料-空调仓</v>
      </c>
      <c r="C887" s="51" t="e">
        <v>#REF!</v>
      </c>
      <c r="D887" s="51" t="str">
        <v/>
      </c>
      <c r="E887" s="51" t="str">
        <v/>
      </c>
      <c r="F887" s="52" t="e">
        <v>#REF!</v>
      </c>
      <c r="G887" s="48" t="e">
        <v>#REF!</v>
      </c>
      <c r="H887" s="49" t="e">
        <v>#REF!</v>
      </c>
      <c r="I887" s="49" t="e">
        <v>#REF!</v>
      </c>
      <c r="J887" s="50"/>
    </row>
    <row r="888" outlineLevel="1" spans="1:10">
      <c r="A888" s="50">
        <v>743</v>
      </c>
      <c r="B888" s="51" t="str">
        <v>外墙防水-空调仓</v>
      </c>
      <c r="C888" s="51" t="e">
        <v>#REF!</v>
      </c>
      <c r="D888" s="51" t="str">
        <v/>
      </c>
      <c r="E888" s="51" t="str">
        <v/>
      </c>
      <c r="F888" s="52" t="e">
        <v>#REF!</v>
      </c>
      <c r="G888" s="48" t="e">
        <v>#REF!</v>
      </c>
      <c r="H888" s="49" t="e">
        <v>#REF!</v>
      </c>
      <c r="I888" s="49" t="e">
        <v>#REF!</v>
      </c>
      <c r="J888" s="50"/>
    </row>
    <row r="889" outlineLevel="1" spans="1:10">
      <c r="A889" s="50">
        <v>744</v>
      </c>
      <c r="B889" s="51" t="str">
        <v>外墙面-空调仓保护层</v>
      </c>
      <c r="C889" s="51" t="e">
        <v>#REF!</v>
      </c>
      <c r="D889" s="51" t="str">
        <v/>
      </c>
      <c r="E889" s="51" t="str">
        <v/>
      </c>
      <c r="F889" s="52" t="e">
        <v>#REF!</v>
      </c>
      <c r="G889" s="48" t="e">
        <v>#REF!</v>
      </c>
      <c r="H889" s="49" t="e">
        <v>#REF!</v>
      </c>
      <c r="I889" s="49" t="e">
        <v>#REF!</v>
      </c>
      <c r="J889" s="50"/>
    </row>
    <row r="890" outlineLevel="1" spans="1:10">
      <c r="A890" s="50">
        <v>745</v>
      </c>
      <c r="B890" s="51" t="str">
        <v>外墙面-空调板防水</v>
      </c>
      <c r="C890" s="51" t="e">
        <v>#REF!</v>
      </c>
      <c r="D890" s="51" t="str">
        <v/>
      </c>
      <c r="E890" s="51" t="str">
        <v/>
      </c>
      <c r="F890" s="52" t="e">
        <v>#REF!</v>
      </c>
      <c r="G890" s="48" t="e">
        <v>#REF!</v>
      </c>
      <c r="H890" s="49" t="e">
        <v>#REF!</v>
      </c>
      <c r="I890" s="49" t="e">
        <v>#REF!</v>
      </c>
      <c r="J890" s="50"/>
    </row>
    <row r="891" ht="28.8" outlineLevel="1" spans="1:10">
      <c r="A891" s="50">
        <v>746</v>
      </c>
      <c r="B891" s="51" t="str">
        <v>外墙面-15厚聚合物M15水泥（防水）砂浆</v>
      </c>
      <c r="C891" s="51" t="e">
        <v>#REF!</v>
      </c>
      <c r="D891" s="51" t="str">
        <v/>
      </c>
      <c r="E891" s="51" t="str">
        <v/>
      </c>
      <c r="F891" s="52" t="e">
        <v>#REF!</v>
      </c>
      <c r="G891" s="48" t="e">
        <v>#REF!</v>
      </c>
      <c r="H891" s="49" t="e">
        <v>#REF!</v>
      </c>
      <c r="I891" s="49" t="e">
        <v>#REF!</v>
      </c>
      <c r="J891" s="50"/>
    </row>
    <row r="892" outlineLevel="1" spans="1:10">
      <c r="A892" s="50" t="str">
        <v/>
      </c>
      <c r="B892" s="51" t="str">
        <v>外墙保温与普通砂浆找平层</v>
      </c>
      <c r="C892" s="51" t="str">
        <v/>
      </c>
      <c r="D892" s="51" t="str">
        <v/>
      </c>
      <c r="E892" s="51" t="str">
        <v/>
      </c>
      <c r="F892" s="52" t="str">
        <v/>
      </c>
      <c r="G892" s="48" t="str">
        <v/>
      </c>
      <c r="H892" s="49">
        <v>0</v>
      </c>
      <c r="I892" s="49">
        <v>0</v>
      </c>
      <c r="J892" s="50"/>
    </row>
    <row r="893" outlineLevel="1" spans="1:10">
      <c r="A893" s="50">
        <v>747</v>
      </c>
      <c r="B893" s="51" t="str">
        <v>外墙面-界面剂</v>
      </c>
      <c r="C893" s="51" t="e">
        <v>#REF!</v>
      </c>
      <c r="D893" s="51" t="str">
        <v/>
      </c>
      <c r="E893" s="51" t="str">
        <v/>
      </c>
      <c r="F893" s="52" t="e">
        <v>#REF!</v>
      </c>
      <c r="G893" s="48" t="e">
        <v>#REF!</v>
      </c>
      <c r="H893" s="49" t="e">
        <v>#REF!</v>
      </c>
      <c r="I893" s="49" t="e">
        <v>#REF!</v>
      </c>
      <c r="J893" s="50"/>
    </row>
    <row r="894" outlineLevel="1" spans="1:10">
      <c r="A894" s="50">
        <v>748</v>
      </c>
      <c r="B894" s="51" t="str">
        <v>外墙面-12厚轻质砂浆</v>
      </c>
      <c r="C894" s="51" t="e">
        <v>#REF!</v>
      </c>
      <c r="D894" s="51" t="str">
        <v/>
      </c>
      <c r="E894" s="51" t="str">
        <v/>
      </c>
      <c r="F894" s="52" t="e">
        <v>#REF!</v>
      </c>
      <c r="G894" s="48" t="e">
        <v>#REF!</v>
      </c>
      <c r="H894" s="49" t="e">
        <v>#REF!</v>
      </c>
      <c r="I894" s="49" t="e">
        <v>#REF!</v>
      </c>
      <c r="J894" s="50"/>
    </row>
    <row r="895" outlineLevel="1" spans="1:10">
      <c r="A895" s="50">
        <v>749</v>
      </c>
      <c r="B895" s="51" t="str">
        <v>外墙面-15厚轻质砂浆</v>
      </c>
      <c r="C895" s="51" t="e">
        <v>#REF!</v>
      </c>
      <c r="D895" s="51" t="str">
        <v/>
      </c>
      <c r="E895" s="51" t="str">
        <v/>
      </c>
      <c r="F895" s="52" t="e">
        <v>#REF!</v>
      </c>
      <c r="G895" s="48" t="e">
        <v>#REF!</v>
      </c>
      <c r="H895" s="49">
        <v>0</v>
      </c>
      <c r="I895" s="49" t="e">
        <v>#REF!</v>
      </c>
      <c r="J895" s="50"/>
    </row>
    <row r="896" outlineLevel="1" spans="1:10">
      <c r="A896" s="50">
        <v>750</v>
      </c>
      <c r="B896" s="51" t="str">
        <v>外墙保温-20厚有机保温砂浆</v>
      </c>
      <c r="C896" s="51" t="e">
        <v>#REF!</v>
      </c>
      <c r="D896" s="51" t="str">
        <v/>
      </c>
      <c r="E896" s="51" t="str">
        <v/>
      </c>
      <c r="F896" s="52" t="e">
        <v>#REF!</v>
      </c>
      <c r="G896" s="48" t="e">
        <v>#REF!</v>
      </c>
      <c r="H896" s="49" t="e">
        <v>#REF!</v>
      </c>
      <c r="I896" s="49" t="e">
        <v>#REF!</v>
      </c>
      <c r="J896" s="50"/>
    </row>
    <row r="897" outlineLevel="1" spans="1:10">
      <c r="A897" s="50">
        <v>751</v>
      </c>
      <c r="B897" s="51" t="str">
        <v>外墙面-3厚抗裂砂浆</v>
      </c>
      <c r="C897" s="51" t="e">
        <v>#REF!</v>
      </c>
      <c r="D897" s="51" t="str">
        <v/>
      </c>
      <c r="E897" s="51" t="str">
        <v/>
      </c>
      <c r="F897" s="52" t="e">
        <v>#REF!</v>
      </c>
      <c r="G897" s="48" t="e">
        <v>#REF!</v>
      </c>
      <c r="H897" s="49" t="e">
        <v>#REF!</v>
      </c>
      <c r="I897" s="49" t="e">
        <v>#REF!</v>
      </c>
      <c r="J897" s="50"/>
    </row>
    <row r="898" outlineLevel="1" spans="1:10">
      <c r="A898" s="50">
        <v>752</v>
      </c>
      <c r="B898" s="51" t="str">
        <v>外墙面-网格布</v>
      </c>
      <c r="C898" s="51" t="e">
        <v>#REF!</v>
      </c>
      <c r="D898" s="51" t="str">
        <v/>
      </c>
      <c r="E898" s="51" t="str">
        <v/>
      </c>
      <c r="F898" s="52" t="e">
        <v>#REF!</v>
      </c>
      <c r="G898" s="48" t="e">
        <v>#REF!</v>
      </c>
      <c r="H898" s="49" t="e">
        <v>#REF!</v>
      </c>
      <c r="I898" s="49" t="e">
        <v>#REF!</v>
      </c>
      <c r="J898" s="50"/>
    </row>
    <row r="899" outlineLevel="1" spans="1:10">
      <c r="A899" s="50">
        <v>753</v>
      </c>
      <c r="B899" s="51" t="str">
        <v>外墙面-12厚M5水泥砂浆</v>
      </c>
      <c r="C899" s="51" t="e">
        <v>#REF!</v>
      </c>
      <c r="D899" s="51" t="str">
        <v/>
      </c>
      <c r="E899" s="51" t="str">
        <v/>
      </c>
      <c r="F899" s="52" t="e">
        <v>#REF!</v>
      </c>
      <c r="G899" s="48" t="e">
        <v>#REF!</v>
      </c>
      <c r="H899" s="49" t="e">
        <v>#REF!</v>
      </c>
      <c r="I899" s="49" t="e">
        <v>#REF!</v>
      </c>
      <c r="J899" s="50"/>
    </row>
    <row r="900" outlineLevel="1" spans="1:10">
      <c r="A900" s="50">
        <v>754</v>
      </c>
      <c r="B900" s="51" t="str">
        <v>外墙面-13厚M5水泥砂浆</v>
      </c>
      <c r="C900" s="51" t="e">
        <v>#REF!</v>
      </c>
      <c r="D900" s="51" t="str">
        <v/>
      </c>
      <c r="E900" s="51" t="str">
        <v/>
      </c>
      <c r="F900" s="52" t="e">
        <v>#REF!</v>
      </c>
      <c r="G900" s="48" t="e">
        <v>#REF!</v>
      </c>
      <c r="H900" s="49" t="e">
        <v>#REF!</v>
      </c>
      <c r="I900" s="49" t="e">
        <v>#REF!</v>
      </c>
      <c r="J900" s="50"/>
    </row>
    <row r="901" spans="1:10">
      <c r="A901" s="40"/>
      <c r="B901" s="41" t="s">
        <v>2356</v>
      </c>
      <c r="C901" s="41"/>
      <c r="D901" s="41"/>
      <c r="E901" s="41"/>
      <c r="F901" s="42"/>
      <c r="G901" s="43"/>
      <c r="H901" s="44"/>
      <c r="I901" s="44"/>
      <c r="J901" s="40"/>
    </row>
    <row r="902" outlineLevel="1" spans="1:10">
      <c r="A902" s="50" t="str">
        <f ca="1" t="array" ref="A902:G1798">IF(INDIRECT(K2&amp;"!A4:G900")=0,"",INDIRECT(K2&amp;"!A4:G900"))</f>
        <v/>
      </c>
      <c r="B902" s="51" t="str">
        <v>地下给排水</v>
      </c>
      <c r="C902" s="51" t="str">
        <v/>
      </c>
      <c r="D902" s="51" t="str">
        <v/>
      </c>
      <c r="E902" s="51" t="str">
        <v/>
      </c>
      <c r="F902" s="52" t="str">
        <v/>
      </c>
      <c r="G902" s="48" t="str">
        <v/>
      </c>
      <c r="H902" s="49">
        <f ca="1" t="array" ref="H902:H1798">INDIRECT(K2&amp;"!J4:J900")</f>
        <v>0</v>
      </c>
      <c r="I902" s="49" t="e">
        <f ca="1" t="array" ref="I902:I1798">INDIRECT(K2&amp;"!T4:T900")</f>
        <v>#REF!</v>
      </c>
      <c r="J902" s="50"/>
    </row>
    <row r="903" outlineLevel="1" spans="1:10">
      <c r="A903" s="50" t="str">
        <v/>
      </c>
      <c r="B903" s="51" t="str">
        <v>B.01地下给水</v>
      </c>
      <c r="C903" s="51" t="str">
        <v/>
      </c>
      <c r="D903" s="51" t="str">
        <v/>
      </c>
      <c r="E903" s="51" t="str">
        <v/>
      </c>
      <c r="F903" s="52" t="str">
        <v/>
      </c>
      <c r="G903" s="48" t="str">
        <v/>
      </c>
      <c r="H903" s="49">
        <v>0</v>
      </c>
      <c r="I903" s="49" t="e">
        <v>#REF!</v>
      </c>
      <c r="J903" s="50"/>
    </row>
    <row r="904" outlineLevel="1" spans="1:10">
      <c r="A904" s="50" t="str">
        <v/>
      </c>
      <c r="B904" s="51" t="str">
        <v>B.01.1阀部件</v>
      </c>
      <c r="C904" s="51" t="str">
        <v/>
      </c>
      <c r="D904" s="51" t="str">
        <v/>
      </c>
      <c r="E904" s="51" t="str">
        <v/>
      </c>
      <c r="F904" s="52" t="str">
        <v/>
      </c>
      <c r="G904" s="48" t="str">
        <v/>
      </c>
      <c r="H904" s="49">
        <v>0</v>
      </c>
      <c r="I904" s="49" t="e">
        <v>#REF!</v>
      </c>
      <c r="J904" s="50"/>
    </row>
    <row r="905" outlineLevel="1" spans="1:10">
      <c r="A905" s="50">
        <v>1</v>
      </c>
      <c r="B905" s="51" t="str">
        <v>螺纹阀门-自动放气阀-DN15</v>
      </c>
      <c r="C905" s="51" t="e">
        <v>#REF!</v>
      </c>
      <c r="D905" s="51" t="str">
        <v/>
      </c>
      <c r="E905" s="51" t="str">
        <v/>
      </c>
      <c r="F905" s="52" t="e">
        <v>#REF!</v>
      </c>
      <c r="G905" s="48" t="e">
        <v>#REF!</v>
      </c>
      <c r="H905" s="49">
        <v>0</v>
      </c>
      <c r="I905" s="49" t="e">
        <v>#REF!</v>
      </c>
      <c r="J905" s="50"/>
    </row>
    <row r="906" outlineLevel="1" spans="1:10">
      <c r="A906" s="50">
        <v>2</v>
      </c>
      <c r="B906" s="51" t="str">
        <v>螺纹阀门-截止阀-DN15</v>
      </c>
      <c r="C906" s="51" t="e">
        <v>#REF!</v>
      </c>
      <c r="D906" s="51" t="str">
        <v/>
      </c>
      <c r="E906" s="51" t="str">
        <v/>
      </c>
      <c r="F906" s="52" t="e">
        <v>#REF!</v>
      </c>
      <c r="G906" s="48" t="e">
        <v>#REF!</v>
      </c>
      <c r="H906" s="49">
        <v>0</v>
      </c>
      <c r="I906" s="49" t="e">
        <v>#REF!</v>
      </c>
      <c r="J906" s="50"/>
    </row>
    <row r="907" outlineLevel="1" spans="1:10">
      <c r="A907" s="50">
        <v>3</v>
      </c>
      <c r="B907" s="51" t="str">
        <v>螺纹阀门-截止阀-DN25</v>
      </c>
      <c r="C907" s="51" t="e">
        <v>#REF!</v>
      </c>
      <c r="D907" s="51" t="str">
        <v/>
      </c>
      <c r="E907" s="51" t="str">
        <v/>
      </c>
      <c r="F907" s="52" t="e">
        <v>#REF!</v>
      </c>
      <c r="G907" s="48" t="e">
        <v>#REF!</v>
      </c>
      <c r="H907" s="49">
        <v>0</v>
      </c>
      <c r="I907" s="49" t="e">
        <v>#REF!</v>
      </c>
      <c r="J907" s="50"/>
    </row>
    <row r="908" outlineLevel="1" spans="1:10">
      <c r="A908" s="50">
        <v>4</v>
      </c>
      <c r="B908" s="51" t="str">
        <v>螺纹阀门-截止阀-DN32</v>
      </c>
      <c r="C908" s="51" t="e">
        <v>#REF!</v>
      </c>
      <c r="D908" s="51" t="str">
        <v/>
      </c>
      <c r="E908" s="51" t="str">
        <v/>
      </c>
      <c r="F908" s="52" t="e">
        <v>#REF!</v>
      </c>
      <c r="G908" s="48" t="e">
        <v>#REF!</v>
      </c>
      <c r="H908" s="49">
        <v>0</v>
      </c>
      <c r="I908" s="49" t="e">
        <v>#REF!</v>
      </c>
      <c r="J908" s="50"/>
    </row>
    <row r="909" outlineLevel="1" spans="1:10">
      <c r="A909" s="50">
        <v>5</v>
      </c>
      <c r="B909" s="51" t="str">
        <v>螺纹阀门-截止阀-De20</v>
      </c>
      <c r="C909" s="51" t="e">
        <v>#REF!</v>
      </c>
      <c r="D909" s="51" t="str">
        <v/>
      </c>
      <c r="E909" s="51" t="str">
        <v/>
      </c>
      <c r="F909" s="52" t="e">
        <v>#REF!</v>
      </c>
      <c r="G909" s="48" t="e">
        <v>#REF!</v>
      </c>
      <c r="H909" s="49">
        <v>1</v>
      </c>
      <c r="I909" s="49" t="e">
        <v>#REF!</v>
      </c>
      <c r="J909" s="50"/>
    </row>
    <row r="910" outlineLevel="1" spans="1:10">
      <c r="A910" s="50">
        <v>6</v>
      </c>
      <c r="B910" s="51" t="str">
        <v>螺纹阀门-截止阀-De25</v>
      </c>
      <c r="C910" s="51" t="e">
        <v>#REF!</v>
      </c>
      <c r="D910" s="51" t="str">
        <v/>
      </c>
      <c r="E910" s="51" t="str">
        <v/>
      </c>
      <c r="F910" s="52" t="e">
        <v>#REF!</v>
      </c>
      <c r="G910" s="48" t="e">
        <v>#REF!</v>
      </c>
      <c r="H910" s="49">
        <v>0</v>
      </c>
      <c r="I910" s="49" t="e">
        <v>#REF!</v>
      </c>
      <c r="J910" s="50"/>
    </row>
    <row r="911" outlineLevel="1" spans="1:10">
      <c r="A911" s="50">
        <v>7</v>
      </c>
      <c r="B911" s="51" t="str">
        <v>螺纹阀门-截止阀-De32</v>
      </c>
      <c r="C911" s="51" t="e">
        <v>#REF!</v>
      </c>
      <c r="D911" s="51" t="str">
        <v/>
      </c>
      <c r="E911" s="51" t="str">
        <v/>
      </c>
      <c r="F911" s="52" t="e">
        <v>#REF!</v>
      </c>
      <c r="G911" s="48" t="e">
        <v>#REF!</v>
      </c>
      <c r="H911" s="49">
        <v>0</v>
      </c>
      <c r="I911" s="49" t="e">
        <v>#REF!</v>
      </c>
      <c r="J911" s="50"/>
    </row>
    <row r="912" outlineLevel="1" spans="1:10">
      <c r="A912" s="50">
        <v>8</v>
      </c>
      <c r="B912" s="51" t="str">
        <v>螺纹阀门-截止阀-De40</v>
      </c>
      <c r="C912" s="51" t="e">
        <v>#REF!</v>
      </c>
      <c r="D912" s="51" t="str">
        <v/>
      </c>
      <c r="E912" s="51" t="str">
        <v/>
      </c>
      <c r="F912" s="52" t="e">
        <v>#REF!</v>
      </c>
      <c r="G912" s="48" t="e">
        <v>#REF!</v>
      </c>
      <c r="H912" s="49">
        <v>0</v>
      </c>
      <c r="I912" s="49" t="e">
        <v>#REF!</v>
      </c>
      <c r="J912" s="50"/>
    </row>
    <row r="913" outlineLevel="1" spans="1:10">
      <c r="A913" s="50">
        <v>9</v>
      </c>
      <c r="B913" s="51" t="str">
        <v>螺纹阀门-截止阀-De50</v>
      </c>
      <c r="C913" s="51" t="e">
        <v>#REF!</v>
      </c>
      <c r="D913" s="51" t="str">
        <v/>
      </c>
      <c r="E913" s="51" t="str">
        <v/>
      </c>
      <c r="F913" s="52" t="e">
        <v>#REF!</v>
      </c>
      <c r="G913" s="48" t="e">
        <v>#REF!</v>
      </c>
      <c r="H913" s="49">
        <v>0</v>
      </c>
      <c r="I913" s="49" t="e">
        <v>#REF!</v>
      </c>
      <c r="J913" s="50"/>
    </row>
    <row r="914" outlineLevel="1" spans="1:10">
      <c r="A914" s="50">
        <v>10</v>
      </c>
      <c r="B914" s="51" t="str">
        <v>螺纹阀门-截止阀-De63</v>
      </c>
      <c r="C914" s="51" t="e">
        <v>#REF!</v>
      </c>
      <c r="D914" s="51" t="str">
        <v/>
      </c>
      <c r="E914" s="51" t="str">
        <v/>
      </c>
      <c r="F914" s="52" t="e">
        <v>#REF!</v>
      </c>
      <c r="G914" s="48" t="e">
        <v>#REF!</v>
      </c>
      <c r="H914" s="49">
        <v>0</v>
      </c>
      <c r="I914" s="49" t="e">
        <v>#REF!</v>
      </c>
      <c r="J914" s="50"/>
    </row>
    <row r="915" outlineLevel="1" spans="1:10">
      <c r="A915" s="50">
        <v>11</v>
      </c>
      <c r="B915" s="51" t="str">
        <v>螺纹阀门-止回阀-DN32</v>
      </c>
      <c r="C915" s="51" t="e">
        <v>#REF!</v>
      </c>
      <c r="D915" s="51" t="str">
        <v/>
      </c>
      <c r="E915" s="51" t="str">
        <v/>
      </c>
      <c r="F915" s="52" t="e">
        <v>#REF!</v>
      </c>
      <c r="G915" s="48" t="e">
        <v>#REF!</v>
      </c>
      <c r="H915" s="49">
        <v>0</v>
      </c>
      <c r="I915" s="49" t="e">
        <v>#REF!</v>
      </c>
      <c r="J915" s="50"/>
    </row>
    <row r="916" outlineLevel="1" spans="1:10">
      <c r="A916" s="50">
        <v>12</v>
      </c>
      <c r="B916" s="51" t="str">
        <v>螺纹阀门-闸阀-DN25</v>
      </c>
      <c r="C916" s="51" t="e">
        <v>#REF!</v>
      </c>
      <c r="D916" s="51" t="str">
        <v/>
      </c>
      <c r="E916" s="51" t="str">
        <v/>
      </c>
      <c r="F916" s="52" t="e">
        <v>#REF!</v>
      </c>
      <c r="G916" s="48" t="e">
        <v>#REF!</v>
      </c>
      <c r="H916" s="49">
        <v>0</v>
      </c>
      <c r="I916" s="49" t="e">
        <v>#REF!</v>
      </c>
      <c r="J916" s="50"/>
    </row>
    <row r="917" outlineLevel="1" spans="1:10">
      <c r="A917" s="50">
        <v>13</v>
      </c>
      <c r="B917" s="51" t="str">
        <v>螺纹阀门-闸阀-DN32</v>
      </c>
      <c r="C917" s="51" t="e">
        <v>#REF!</v>
      </c>
      <c r="D917" s="51" t="str">
        <v/>
      </c>
      <c r="E917" s="51" t="str">
        <v/>
      </c>
      <c r="F917" s="52" t="e">
        <v>#REF!</v>
      </c>
      <c r="G917" s="48" t="e">
        <v>#REF!</v>
      </c>
      <c r="H917" s="49">
        <v>0</v>
      </c>
      <c r="I917" s="49" t="e">
        <v>#REF!</v>
      </c>
      <c r="J917" s="50"/>
    </row>
    <row r="918" outlineLevel="1" spans="1:10">
      <c r="A918" s="50">
        <v>14</v>
      </c>
      <c r="B918" s="51" t="str">
        <v>螺纹阀门-闸阀-DN40</v>
      </c>
      <c r="C918" s="51" t="e">
        <v>#REF!</v>
      </c>
      <c r="D918" s="51" t="str">
        <v/>
      </c>
      <c r="E918" s="51" t="str">
        <v/>
      </c>
      <c r="F918" s="52" t="e">
        <v>#REF!</v>
      </c>
      <c r="G918" s="48" t="e">
        <v>#REF!</v>
      </c>
      <c r="H918" s="49">
        <v>0</v>
      </c>
      <c r="I918" s="49" t="e">
        <v>#REF!</v>
      </c>
      <c r="J918" s="50"/>
    </row>
    <row r="919" outlineLevel="1" spans="1:10">
      <c r="A919" s="50">
        <v>15</v>
      </c>
      <c r="B919" s="51" t="str">
        <v>螺纹阀门-闸阀-DN50</v>
      </c>
      <c r="C919" s="51" t="e">
        <v>#REF!</v>
      </c>
      <c r="D919" s="51" t="str">
        <v/>
      </c>
      <c r="E919" s="51" t="str">
        <v/>
      </c>
      <c r="F919" s="52" t="e">
        <v>#REF!</v>
      </c>
      <c r="G919" s="48" t="e">
        <v>#REF!</v>
      </c>
      <c r="H919" s="49">
        <v>0</v>
      </c>
      <c r="I919" s="49" t="e">
        <v>#REF!</v>
      </c>
      <c r="J919" s="50"/>
    </row>
    <row r="920" outlineLevel="1" spans="1:10">
      <c r="A920" s="50">
        <v>16</v>
      </c>
      <c r="B920" s="51" t="str">
        <v>螺纹阀门-过滤器-De50</v>
      </c>
      <c r="C920" s="51" t="e">
        <v>#REF!</v>
      </c>
      <c r="D920" s="51" t="str">
        <v/>
      </c>
      <c r="E920" s="51" t="str">
        <v/>
      </c>
      <c r="F920" s="52" t="e">
        <v>#REF!</v>
      </c>
      <c r="G920" s="48" t="e">
        <v>#REF!</v>
      </c>
      <c r="H920" s="49">
        <v>0</v>
      </c>
      <c r="I920" s="49" t="e">
        <v>#REF!</v>
      </c>
      <c r="J920" s="50"/>
    </row>
    <row r="921" outlineLevel="1" spans="1:10">
      <c r="A921" s="50">
        <v>17</v>
      </c>
      <c r="B921" s="51" t="str">
        <v>螺纹阀门-过滤器-DN50</v>
      </c>
      <c r="C921" s="51" t="e">
        <v>#REF!</v>
      </c>
      <c r="D921" s="51" t="str">
        <v/>
      </c>
      <c r="E921" s="51" t="str">
        <v/>
      </c>
      <c r="F921" s="52" t="e">
        <v>#REF!</v>
      </c>
      <c r="G921" s="48" t="e">
        <v>#REF!</v>
      </c>
      <c r="H921" s="49">
        <v>0</v>
      </c>
      <c r="I921" s="49" t="e">
        <v>#REF!</v>
      </c>
      <c r="J921" s="50"/>
    </row>
    <row r="922" outlineLevel="1" spans="1:10">
      <c r="A922" s="50">
        <v>18</v>
      </c>
      <c r="B922" s="51" t="str">
        <v>法兰阀门-过滤器-DN100</v>
      </c>
      <c r="C922" s="51" t="e">
        <v>#REF!</v>
      </c>
      <c r="D922" s="51" t="str">
        <v/>
      </c>
      <c r="E922" s="51" t="str">
        <v/>
      </c>
      <c r="F922" s="52" t="e">
        <v>#REF!</v>
      </c>
      <c r="G922" s="48" t="e">
        <v>#REF!</v>
      </c>
      <c r="H922" s="49">
        <v>0</v>
      </c>
      <c r="I922" s="49" t="e">
        <v>#REF!</v>
      </c>
      <c r="J922" s="50"/>
    </row>
    <row r="923" outlineLevel="1" spans="1:10">
      <c r="A923" s="50">
        <v>19</v>
      </c>
      <c r="B923" s="51" t="str">
        <v>螺纹阀门-软接头-De50</v>
      </c>
      <c r="C923" s="51" t="e">
        <v>#REF!</v>
      </c>
      <c r="D923" s="51" t="str">
        <v/>
      </c>
      <c r="E923" s="51" t="str">
        <v/>
      </c>
      <c r="F923" s="52" t="e">
        <v>#REF!</v>
      </c>
      <c r="G923" s="48" t="e">
        <v>#REF!</v>
      </c>
      <c r="H923" s="49">
        <v>0</v>
      </c>
      <c r="I923" s="49" t="e">
        <v>#REF!</v>
      </c>
      <c r="J923" s="50"/>
    </row>
    <row r="924" outlineLevel="1" spans="1:10">
      <c r="A924" s="50">
        <v>20</v>
      </c>
      <c r="B924" s="51" t="str">
        <v>法兰阀门-软接头-DN100</v>
      </c>
      <c r="C924" s="51" t="e">
        <v>#REF!</v>
      </c>
      <c r="D924" s="51" t="str">
        <v/>
      </c>
      <c r="E924" s="51" t="str">
        <v/>
      </c>
      <c r="F924" s="52" t="e">
        <v>#REF!</v>
      </c>
      <c r="G924" s="48" t="e">
        <v>#REF!</v>
      </c>
      <c r="H924" s="49">
        <v>0</v>
      </c>
      <c r="I924" s="49" t="e">
        <v>#REF!</v>
      </c>
      <c r="J924" s="50"/>
    </row>
    <row r="925" outlineLevel="1" spans="1:10">
      <c r="A925" s="50">
        <v>21</v>
      </c>
      <c r="B925" s="51" t="str">
        <v>法兰阀门-闸阀-DN65</v>
      </c>
      <c r="C925" s="51" t="e">
        <v>#REF!</v>
      </c>
      <c r="D925" s="51" t="str">
        <v/>
      </c>
      <c r="E925" s="51" t="str">
        <v/>
      </c>
      <c r="F925" s="52" t="e">
        <v>#REF!</v>
      </c>
      <c r="G925" s="48" t="e">
        <v>#REF!</v>
      </c>
      <c r="H925" s="49">
        <v>0</v>
      </c>
      <c r="I925" s="49" t="e">
        <v>#REF!</v>
      </c>
      <c r="J925" s="50"/>
    </row>
    <row r="926" outlineLevel="1" spans="1:10">
      <c r="A926" s="50">
        <v>22</v>
      </c>
      <c r="B926" s="51" t="str">
        <v>对夹式蝶阀-De50</v>
      </c>
      <c r="C926" s="51" t="e">
        <v>#REF!</v>
      </c>
      <c r="D926" s="51" t="str">
        <v/>
      </c>
      <c r="E926" s="51" t="str">
        <v/>
      </c>
      <c r="F926" s="52" t="e">
        <v>#REF!</v>
      </c>
      <c r="G926" s="48" t="e">
        <v>#REF!</v>
      </c>
      <c r="H926" s="49">
        <v>0</v>
      </c>
      <c r="I926" s="49" t="e">
        <v>#REF!</v>
      </c>
      <c r="J926" s="50"/>
    </row>
    <row r="927" outlineLevel="1" spans="1:10">
      <c r="A927" s="50">
        <v>23</v>
      </c>
      <c r="B927" s="51" t="str">
        <v>对夹式蝶阀-DN50</v>
      </c>
      <c r="C927" s="51" t="e">
        <v>#REF!</v>
      </c>
      <c r="D927" s="51" t="str">
        <v/>
      </c>
      <c r="E927" s="51" t="str">
        <v/>
      </c>
      <c r="F927" s="52" t="e">
        <v>#REF!</v>
      </c>
      <c r="G927" s="48" t="e">
        <v>#REF!</v>
      </c>
      <c r="H927" s="49">
        <v>0</v>
      </c>
      <c r="I927" s="49" t="e">
        <v>#REF!</v>
      </c>
      <c r="J927" s="50"/>
    </row>
    <row r="928" outlineLevel="1" spans="1:10">
      <c r="A928" s="50">
        <v>24</v>
      </c>
      <c r="B928" s="51" t="str">
        <v>对夹式蝶阀-DN65</v>
      </c>
      <c r="C928" s="51" t="e">
        <v>#REF!</v>
      </c>
      <c r="D928" s="51" t="str">
        <v/>
      </c>
      <c r="E928" s="51" t="str">
        <v/>
      </c>
      <c r="F928" s="52" t="e">
        <v>#REF!</v>
      </c>
      <c r="G928" s="48" t="e">
        <v>#REF!</v>
      </c>
      <c r="H928" s="49">
        <v>0</v>
      </c>
      <c r="I928" s="49" t="e">
        <v>#REF!</v>
      </c>
      <c r="J928" s="50"/>
    </row>
    <row r="929" outlineLevel="1" spans="1:10">
      <c r="A929" s="50">
        <v>25</v>
      </c>
      <c r="B929" s="51" t="str">
        <v>对夹式蝶阀-DN80</v>
      </c>
      <c r="C929" s="51" t="e">
        <v>#REF!</v>
      </c>
      <c r="D929" s="51" t="str">
        <v/>
      </c>
      <c r="E929" s="51" t="str">
        <v/>
      </c>
      <c r="F929" s="52" t="e">
        <v>#REF!</v>
      </c>
      <c r="G929" s="48" t="e">
        <v>#REF!</v>
      </c>
      <c r="H929" s="49">
        <v>0</v>
      </c>
      <c r="I929" s="49" t="e">
        <v>#REF!</v>
      </c>
      <c r="J929" s="50"/>
    </row>
    <row r="930" outlineLevel="1" spans="1:10">
      <c r="A930" s="50">
        <v>26</v>
      </c>
      <c r="B930" s="51" t="str">
        <v>对夹式蝶阀-DN100</v>
      </c>
      <c r="C930" s="51" t="e">
        <v>#REF!</v>
      </c>
      <c r="D930" s="51" t="str">
        <v/>
      </c>
      <c r="E930" s="51" t="str">
        <v/>
      </c>
      <c r="F930" s="52" t="e">
        <v>#REF!</v>
      </c>
      <c r="G930" s="48" t="e">
        <v>#REF!</v>
      </c>
      <c r="H930" s="49">
        <v>0</v>
      </c>
      <c r="I930" s="49" t="e">
        <v>#REF!</v>
      </c>
      <c r="J930" s="50"/>
    </row>
    <row r="931" outlineLevel="1" spans="1:10">
      <c r="A931" s="50">
        <v>27</v>
      </c>
      <c r="B931" s="51" t="str">
        <v>对夹式蝶阀-DN125</v>
      </c>
      <c r="C931" s="51" t="e">
        <v>#REF!</v>
      </c>
      <c r="D931" s="51" t="str">
        <v/>
      </c>
      <c r="E931" s="51" t="str">
        <v/>
      </c>
      <c r="F931" s="52" t="e">
        <v>#REF!</v>
      </c>
      <c r="G931" s="48" t="e">
        <v>#REF!</v>
      </c>
      <c r="H931" s="49">
        <v>0</v>
      </c>
      <c r="I931" s="49" t="e">
        <v>#REF!</v>
      </c>
      <c r="J931" s="50"/>
    </row>
    <row r="932" outlineLevel="1" spans="1:10">
      <c r="A932" s="50">
        <v>28</v>
      </c>
      <c r="B932" s="51" t="str">
        <v>对夹式蝶阀-DN150</v>
      </c>
      <c r="C932" s="51" t="e">
        <v>#REF!</v>
      </c>
      <c r="D932" s="51" t="str">
        <v/>
      </c>
      <c r="E932" s="51" t="str">
        <v/>
      </c>
      <c r="F932" s="52" t="e">
        <v>#REF!</v>
      </c>
      <c r="G932" s="48" t="e">
        <v>#REF!</v>
      </c>
      <c r="H932" s="49">
        <v>0</v>
      </c>
      <c r="I932" s="49" t="e">
        <v>#REF!</v>
      </c>
      <c r="J932" s="50"/>
    </row>
    <row r="933" outlineLevel="1" spans="1:10">
      <c r="A933" s="50">
        <v>29</v>
      </c>
      <c r="B933" s="51" t="str">
        <v>倒流防止器-De50</v>
      </c>
      <c r="C933" s="51" t="e">
        <v>#REF!</v>
      </c>
      <c r="D933" s="51" t="str">
        <v/>
      </c>
      <c r="E933" s="51" t="str">
        <v/>
      </c>
      <c r="F933" s="52" t="e">
        <v>#REF!</v>
      </c>
      <c r="G933" s="48" t="e">
        <v>#REF!</v>
      </c>
      <c r="H933" s="49">
        <v>0</v>
      </c>
      <c r="I933" s="49" t="e">
        <v>#REF!</v>
      </c>
      <c r="J933" s="50"/>
    </row>
    <row r="934" outlineLevel="1" spans="1:10">
      <c r="A934" s="50">
        <v>30</v>
      </c>
      <c r="B934" s="51" t="str">
        <v>浮球阀-DN40</v>
      </c>
      <c r="C934" s="51" t="e">
        <v>#REF!</v>
      </c>
      <c r="D934" s="51" t="str">
        <v/>
      </c>
      <c r="E934" s="51" t="str">
        <v/>
      </c>
      <c r="F934" s="52" t="e">
        <v>#REF!</v>
      </c>
      <c r="G934" s="48" t="e">
        <v>#REF!</v>
      </c>
      <c r="H934" s="49">
        <v>0</v>
      </c>
      <c r="I934" s="49" t="e">
        <v>#REF!</v>
      </c>
      <c r="J934" s="50"/>
    </row>
    <row r="935" outlineLevel="1" spans="1:10">
      <c r="A935" s="50">
        <v>31</v>
      </c>
      <c r="B935" s="51" t="str">
        <v>活塞式电动浮球阀-DN100</v>
      </c>
      <c r="C935" s="51" t="e">
        <v>#REF!</v>
      </c>
      <c r="D935" s="51" t="str">
        <v/>
      </c>
      <c r="E935" s="51" t="str">
        <v/>
      </c>
      <c r="F935" s="52" t="e">
        <v>#REF!</v>
      </c>
      <c r="G935" s="48" t="e">
        <v>#REF!</v>
      </c>
      <c r="H935" s="49">
        <v>0</v>
      </c>
      <c r="I935" s="49" t="e">
        <v>#REF!</v>
      </c>
      <c r="J935" s="50"/>
    </row>
    <row r="936" outlineLevel="1" spans="1:10">
      <c r="A936" s="50">
        <v>32</v>
      </c>
      <c r="B936" s="51" t="str">
        <v>水表安装-DN32</v>
      </c>
      <c r="C936" s="51" t="e">
        <v>#REF!</v>
      </c>
      <c r="D936" s="51" t="str">
        <v/>
      </c>
      <c r="E936" s="51" t="str">
        <v/>
      </c>
      <c r="F936" s="52" t="e">
        <v>#REF!</v>
      </c>
      <c r="G936" s="48" t="e">
        <v>#REF!</v>
      </c>
      <c r="H936" s="49">
        <v>0</v>
      </c>
      <c r="I936" s="49" t="e">
        <v>#REF!</v>
      </c>
      <c r="J936" s="50"/>
    </row>
    <row r="937" outlineLevel="1" spans="1:10">
      <c r="A937" s="50">
        <v>33</v>
      </c>
      <c r="B937" s="51" t="str">
        <v>水表安装-DN40</v>
      </c>
      <c r="C937" s="51" t="e">
        <v>#REF!</v>
      </c>
      <c r="D937" s="51" t="str">
        <v/>
      </c>
      <c r="E937" s="51" t="str">
        <v/>
      </c>
      <c r="F937" s="52" t="e">
        <v>#REF!</v>
      </c>
      <c r="G937" s="48" t="e">
        <v>#REF!</v>
      </c>
      <c r="H937" s="49">
        <v>0</v>
      </c>
      <c r="I937" s="49" t="e">
        <v>#REF!</v>
      </c>
      <c r="J937" s="50"/>
    </row>
    <row r="938" outlineLevel="1" spans="1:10">
      <c r="A938" s="50">
        <v>34</v>
      </c>
      <c r="B938" s="51" t="str">
        <v>水表安装-DN50</v>
      </c>
      <c r="C938" s="51" t="e">
        <v>#REF!</v>
      </c>
      <c r="D938" s="51" t="str">
        <v/>
      </c>
      <c r="E938" s="51" t="str">
        <v/>
      </c>
      <c r="F938" s="52" t="e">
        <v>#REF!</v>
      </c>
      <c r="G938" s="48" t="e">
        <v>#REF!</v>
      </c>
      <c r="H938" s="49">
        <v>0</v>
      </c>
      <c r="I938" s="49" t="e">
        <v>#REF!</v>
      </c>
      <c r="J938" s="50"/>
    </row>
    <row r="939" outlineLevel="1" spans="1:10">
      <c r="A939" s="50">
        <v>35</v>
      </c>
      <c r="B939" s="51" t="str">
        <v>水表安装-DN70</v>
      </c>
      <c r="C939" s="51" t="e">
        <v>#REF!</v>
      </c>
      <c r="D939" s="51" t="str">
        <v/>
      </c>
      <c r="E939" s="51" t="str">
        <v/>
      </c>
      <c r="F939" s="52" t="e">
        <v>#REF!</v>
      </c>
      <c r="G939" s="48" t="e">
        <v>#REF!</v>
      </c>
      <c r="H939" s="49">
        <v>0</v>
      </c>
      <c r="I939" s="49" t="e">
        <v>#REF!</v>
      </c>
      <c r="J939" s="50"/>
    </row>
    <row r="940" outlineLevel="1" spans="1:10">
      <c r="A940" s="50">
        <v>36</v>
      </c>
      <c r="B940" s="51" t="str">
        <v>水表安装-DN80</v>
      </c>
      <c r="C940" s="51" t="e">
        <v>#REF!</v>
      </c>
      <c r="D940" s="51" t="str">
        <v/>
      </c>
      <c r="E940" s="51" t="str">
        <v/>
      </c>
      <c r="F940" s="52" t="e">
        <v>#REF!</v>
      </c>
      <c r="G940" s="48" t="e">
        <v>#REF!</v>
      </c>
      <c r="H940" s="49">
        <v>0</v>
      </c>
      <c r="I940" s="49" t="e">
        <v>#REF!</v>
      </c>
      <c r="J940" s="50"/>
    </row>
    <row r="941" outlineLevel="1" spans="1:10">
      <c r="A941" s="50">
        <v>37</v>
      </c>
      <c r="B941" s="51" t="str">
        <v>水表安装-DN250</v>
      </c>
      <c r="C941" s="51" t="e">
        <v>#REF!</v>
      </c>
      <c r="D941" s="51" t="str">
        <v/>
      </c>
      <c r="E941" s="51" t="str">
        <v/>
      </c>
      <c r="F941" s="52" t="e">
        <v>#REF!</v>
      </c>
      <c r="G941" s="48" t="e">
        <v>#REF!</v>
      </c>
      <c r="H941" s="49">
        <v>0</v>
      </c>
      <c r="I941" s="49" t="e">
        <v>#REF!</v>
      </c>
      <c r="J941" s="50"/>
    </row>
    <row r="942" outlineLevel="1" spans="1:10">
      <c r="A942" s="50">
        <v>38</v>
      </c>
      <c r="B942" s="51" t="str">
        <v>水龙头-De20</v>
      </c>
      <c r="C942" s="51" t="e">
        <v>#REF!</v>
      </c>
      <c r="D942" s="51" t="str">
        <v/>
      </c>
      <c r="E942" s="51" t="str">
        <v/>
      </c>
      <c r="F942" s="52" t="e">
        <v>#REF!</v>
      </c>
      <c r="G942" s="48" t="e">
        <v>#REF!</v>
      </c>
      <c r="H942" s="49">
        <v>1</v>
      </c>
      <c r="I942" s="49" t="e">
        <v>#REF!</v>
      </c>
      <c r="J942" s="50"/>
    </row>
    <row r="943" outlineLevel="1" spans="1:10">
      <c r="A943" s="50">
        <v>39</v>
      </c>
      <c r="B943" s="51" t="str">
        <v>给排水压力仪表-DN15</v>
      </c>
      <c r="C943" s="51" t="e">
        <v>#REF!</v>
      </c>
      <c r="D943" s="51" t="str">
        <v/>
      </c>
      <c r="E943" s="51" t="str">
        <v/>
      </c>
      <c r="F943" s="52" t="e">
        <v>#REF!</v>
      </c>
      <c r="G943" s="48" t="e">
        <v>#REF!</v>
      </c>
      <c r="H943" s="49">
        <v>0</v>
      </c>
      <c r="I943" s="49" t="e">
        <v>#REF!</v>
      </c>
      <c r="J943" s="50"/>
    </row>
    <row r="944" outlineLevel="1" spans="1:10">
      <c r="A944" s="50" t="str">
        <v/>
      </c>
      <c r="B944" s="51" t="str">
        <v>B.01.2给水管道</v>
      </c>
      <c r="C944" s="51" t="str">
        <v/>
      </c>
      <c r="D944" s="51" t="str">
        <v/>
      </c>
      <c r="E944" s="51" t="str">
        <v/>
      </c>
      <c r="F944" s="52" t="str">
        <v/>
      </c>
      <c r="G944" s="48" t="str">
        <v/>
      </c>
      <c r="H944" s="49">
        <v>0</v>
      </c>
      <c r="I944" s="49" t="e">
        <v>#REF!</v>
      </c>
      <c r="J944" s="50"/>
    </row>
    <row r="945" ht="28.8" outlineLevel="1" spans="1:10">
      <c r="A945" s="50">
        <v>40</v>
      </c>
      <c r="B945" s="51" t="str">
        <v>室内给水内衬塑镀锌钢塑复合管-DN15</v>
      </c>
      <c r="C945" s="51" t="e">
        <v>#REF!</v>
      </c>
      <c r="D945" s="51" t="str">
        <v/>
      </c>
      <c r="E945" s="51" t="str">
        <v/>
      </c>
      <c r="F945" s="52" t="e">
        <v>#REF!</v>
      </c>
      <c r="G945" s="48" t="e">
        <v>#REF!</v>
      </c>
      <c r="H945" s="49">
        <v>0</v>
      </c>
      <c r="I945" s="49" t="e">
        <v>#REF!</v>
      </c>
      <c r="J945" s="50"/>
    </row>
    <row r="946" ht="28.8" outlineLevel="1" spans="1:10">
      <c r="A946" s="50">
        <v>41</v>
      </c>
      <c r="B946" s="51" t="str">
        <v>室内给水内衬塑镀锌钢塑复合管-DN20</v>
      </c>
      <c r="C946" s="51" t="e">
        <v>#REF!</v>
      </c>
      <c r="D946" s="51" t="str">
        <v/>
      </c>
      <c r="E946" s="51" t="str">
        <v/>
      </c>
      <c r="F946" s="52" t="e">
        <v>#REF!</v>
      </c>
      <c r="G946" s="48" t="e">
        <v>#REF!</v>
      </c>
      <c r="H946" s="49">
        <v>0</v>
      </c>
      <c r="I946" s="49" t="e">
        <v>#REF!</v>
      </c>
      <c r="J946" s="50"/>
    </row>
    <row r="947" ht="28.8" outlineLevel="1" spans="1:10">
      <c r="A947" s="50">
        <v>42</v>
      </c>
      <c r="B947" s="51" t="str">
        <v>室内给水内衬塑镀锌钢塑复合管-DN25</v>
      </c>
      <c r="C947" s="51" t="e">
        <v>#REF!</v>
      </c>
      <c r="D947" s="51" t="str">
        <v/>
      </c>
      <c r="E947" s="51" t="str">
        <v/>
      </c>
      <c r="F947" s="52" t="e">
        <v>#REF!</v>
      </c>
      <c r="G947" s="48" t="e">
        <v>#REF!</v>
      </c>
      <c r="H947" s="49">
        <v>0</v>
      </c>
      <c r="I947" s="49" t="e">
        <v>#REF!</v>
      </c>
      <c r="J947" s="50"/>
    </row>
    <row r="948" ht="28.8" outlineLevel="1" spans="1:10">
      <c r="A948" s="50">
        <v>43</v>
      </c>
      <c r="B948" s="51" t="str">
        <v>室内给水内衬塑镀锌钢塑复合管-DN32</v>
      </c>
      <c r="C948" s="51" t="e">
        <v>#REF!</v>
      </c>
      <c r="D948" s="51" t="str">
        <v/>
      </c>
      <c r="E948" s="51" t="str">
        <v/>
      </c>
      <c r="F948" s="52" t="e">
        <v>#REF!</v>
      </c>
      <c r="G948" s="48" t="e">
        <v>#REF!</v>
      </c>
      <c r="H948" s="49">
        <v>0</v>
      </c>
      <c r="I948" s="49" t="e">
        <v>#REF!</v>
      </c>
      <c r="J948" s="50"/>
    </row>
    <row r="949" ht="28.8" outlineLevel="1" spans="1:10">
      <c r="A949" s="50">
        <v>44</v>
      </c>
      <c r="B949" s="51" t="str">
        <v>室内给水内衬塑镀锌钢塑复合管-DN40</v>
      </c>
      <c r="C949" s="51" t="e">
        <v>#REF!</v>
      </c>
      <c r="D949" s="51" t="str">
        <v/>
      </c>
      <c r="E949" s="51" t="str">
        <v/>
      </c>
      <c r="F949" s="52" t="e">
        <v>#REF!</v>
      </c>
      <c r="G949" s="48" t="e">
        <v>#REF!</v>
      </c>
      <c r="H949" s="49">
        <v>0</v>
      </c>
      <c r="I949" s="49" t="e">
        <v>#REF!</v>
      </c>
      <c r="J949" s="50"/>
    </row>
    <row r="950" ht="28.8" outlineLevel="1" spans="1:10">
      <c r="A950" s="50">
        <v>45</v>
      </c>
      <c r="B950" s="51" t="str">
        <v>室内给水内衬塑镀锌钢塑复合管-DN50</v>
      </c>
      <c r="C950" s="51" t="e">
        <v>#REF!</v>
      </c>
      <c r="D950" s="51" t="str">
        <v/>
      </c>
      <c r="E950" s="51" t="str">
        <v/>
      </c>
      <c r="F950" s="52" t="e">
        <v>#REF!</v>
      </c>
      <c r="G950" s="48" t="e">
        <v>#REF!</v>
      </c>
      <c r="H950" s="49">
        <v>36.2</v>
      </c>
      <c r="I950" s="49" t="e">
        <v>#REF!</v>
      </c>
      <c r="J950" s="50"/>
    </row>
    <row r="951" ht="28.8" outlineLevel="1" spans="1:10">
      <c r="A951" s="50">
        <v>46</v>
      </c>
      <c r="B951" s="51" t="str">
        <v>室内给水内衬塑镀锌钢塑复合管-DN65</v>
      </c>
      <c r="C951" s="51" t="e">
        <v>#REF!</v>
      </c>
      <c r="D951" s="51" t="str">
        <v/>
      </c>
      <c r="E951" s="51" t="str">
        <v/>
      </c>
      <c r="F951" s="52" t="e">
        <v>#REF!</v>
      </c>
      <c r="G951" s="48" t="e">
        <v>#REF!</v>
      </c>
      <c r="H951" s="49">
        <v>12.15</v>
      </c>
      <c r="I951" s="49" t="e">
        <v>#REF!</v>
      </c>
      <c r="J951" s="50"/>
    </row>
    <row r="952" ht="28.8" outlineLevel="1" spans="1:10">
      <c r="A952" s="50">
        <v>47</v>
      </c>
      <c r="B952" s="51" t="str">
        <v>室内给水内衬塑镀锌钢塑复合管-DN80</v>
      </c>
      <c r="C952" s="51" t="e">
        <v>#REF!</v>
      </c>
      <c r="D952" s="51" t="str">
        <v/>
      </c>
      <c r="E952" s="51" t="str">
        <v/>
      </c>
      <c r="F952" s="52" t="e">
        <v>#REF!</v>
      </c>
      <c r="G952" s="48" t="e">
        <v>#REF!</v>
      </c>
      <c r="H952" s="49">
        <v>0</v>
      </c>
      <c r="I952" s="49" t="e">
        <v>#REF!</v>
      </c>
      <c r="J952" s="50"/>
    </row>
    <row r="953" ht="28.8" outlineLevel="1" spans="1:10">
      <c r="A953" s="50">
        <v>48</v>
      </c>
      <c r="B953" s="51" t="str">
        <v>室内给水内衬塑镀锌钢塑复合管-DN100</v>
      </c>
      <c r="C953" s="51" t="e">
        <v>#REF!</v>
      </c>
      <c r="D953" s="51" t="str">
        <v/>
      </c>
      <c r="E953" s="51" t="str">
        <v/>
      </c>
      <c r="F953" s="52" t="e">
        <v>#REF!</v>
      </c>
      <c r="G953" s="48" t="e">
        <v>#REF!</v>
      </c>
      <c r="H953" s="49">
        <v>0</v>
      </c>
      <c r="I953" s="49" t="e">
        <v>#REF!</v>
      </c>
      <c r="J953" s="50"/>
    </row>
    <row r="954" ht="28.8" outlineLevel="1" spans="1:10">
      <c r="A954" s="50">
        <v>49</v>
      </c>
      <c r="B954" s="51" t="str">
        <v>室内给水内衬塑镀锌钢塑复合管-DN125</v>
      </c>
      <c r="C954" s="51" t="e">
        <v>#REF!</v>
      </c>
      <c r="D954" s="51" t="str">
        <v/>
      </c>
      <c r="E954" s="51" t="str">
        <v/>
      </c>
      <c r="F954" s="52" t="e">
        <v>#REF!</v>
      </c>
      <c r="G954" s="48" t="e">
        <v>#REF!</v>
      </c>
      <c r="H954" s="49">
        <v>0</v>
      </c>
      <c r="I954" s="49" t="e">
        <v>#REF!</v>
      </c>
      <c r="J954" s="50"/>
    </row>
    <row r="955" ht="28.8" outlineLevel="1" spans="1:10">
      <c r="A955" s="50">
        <v>50</v>
      </c>
      <c r="B955" s="51" t="str">
        <v>室内给水内衬塑镀锌钢塑复合管-DN150</v>
      </c>
      <c r="C955" s="51" t="e">
        <v>#REF!</v>
      </c>
      <c r="D955" s="51" t="str">
        <v/>
      </c>
      <c r="E955" s="51" t="str">
        <v/>
      </c>
      <c r="F955" s="52" t="e">
        <v>#REF!</v>
      </c>
      <c r="G955" s="48" t="e">
        <v>#REF!</v>
      </c>
      <c r="H955" s="49">
        <v>0</v>
      </c>
      <c r="I955" s="49" t="e">
        <v>#REF!</v>
      </c>
      <c r="J955" s="50"/>
    </row>
    <row r="956" ht="28.8" outlineLevel="1" spans="1:10">
      <c r="A956" s="50">
        <v>51</v>
      </c>
      <c r="B956" s="51" t="str">
        <v>室内给水塑料管-PPR-De20-热熔</v>
      </c>
      <c r="C956" s="51" t="e">
        <v>#REF!</v>
      </c>
      <c r="D956" s="51" t="str">
        <v/>
      </c>
      <c r="E956" s="51" t="str">
        <v/>
      </c>
      <c r="F956" s="52" t="e">
        <v>#REF!</v>
      </c>
      <c r="G956" s="48" t="e">
        <v>#REF!</v>
      </c>
      <c r="H956" s="49">
        <v>12.06</v>
      </c>
      <c r="I956" s="49" t="e">
        <v>#REF!</v>
      </c>
      <c r="J956" s="50"/>
    </row>
    <row r="957" ht="28.8" outlineLevel="1" spans="1:10">
      <c r="A957" s="50">
        <v>52</v>
      </c>
      <c r="B957" s="51" t="str">
        <v>室内给水塑料管-PPR-De25-热熔</v>
      </c>
      <c r="C957" s="51" t="e">
        <v>#REF!</v>
      </c>
      <c r="D957" s="51" t="str">
        <v/>
      </c>
      <c r="E957" s="51" t="str">
        <v/>
      </c>
      <c r="F957" s="52" t="e">
        <v>#REF!</v>
      </c>
      <c r="G957" s="48" t="e">
        <v>#REF!</v>
      </c>
      <c r="H957" s="49">
        <v>0</v>
      </c>
      <c r="I957" s="49" t="e">
        <v>#REF!</v>
      </c>
      <c r="J957" s="50"/>
    </row>
    <row r="958" ht="28.8" outlineLevel="1" spans="1:10">
      <c r="A958" s="50">
        <v>53</v>
      </c>
      <c r="B958" s="51" t="str">
        <v>室内给水塑料管-PPR-De32-热熔</v>
      </c>
      <c r="C958" s="51" t="e">
        <v>#REF!</v>
      </c>
      <c r="D958" s="51" t="str">
        <v/>
      </c>
      <c r="E958" s="51" t="str">
        <v/>
      </c>
      <c r="F958" s="52" t="e">
        <v>#REF!</v>
      </c>
      <c r="G958" s="48" t="e">
        <v>#REF!</v>
      </c>
      <c r="H958" s="49">
        <v>0</v>
      </c>
      <c r="I958" s="49" t="e">
        <v>#REF!</v>
      </c>
      <c r="J958" s="50"/>
    </row>
    <row r="959" ht="28.8" outlineLevel="1" spans="1:10">
      <c r="A959" s="50">
        <v>54</v>
      </c>
      <c r="B959" s="51" t="str">
        <v>室内给水塑料管-PPR-De40-热熔</v>
      </c>
      <c r="C959" s="51" t="e">
        <v>#REF!</v>
      </c>
      <c r="D959" s="51" t="str">
        <v/>
      </c>
      <c r="E959" s="51" t="str">
        <v/>
      </c>
      <c r="F959" s="52" t="e">
        <v>#REF!</v>
      </c>
      <c r="G959" s="48" t="e">
        <v>#REF!</v>
      </c>
      <c r="H959" s="49">
        <v>0</v>
      </c>
      <c r="I959" s="49" t="e">
        <v>#REF!</v>
      </c>
      <c r="J959" s="50"/>
    </row>
    <row r="960" ht="28.8" outlineLevel="1" spans="1:10">
      <c r="A960" s="50">
        <v>55</v>
      </c>
      <c r="B960" s="51" t="str">
        <v>室内给水塑料管-PPR-De50-热熔</v>
      </c>
      <c r="C960" s="51" t="e">
        <v>#REF!</v>
      </c>
      <c r="D960" s="51" t="str">
        <v/>
      </c>
      <c r="E960" s="51" t="str">
        <v/>
      </c>
      <c r="F960" s="52" t="e">
        <v>#REF!</v>
      </c>
      <c r="G960" s="48" t="e">
        <v>#REF!</v>
      </c>
      <c r="H960" s="49">
        <v>0</v>
      </c>
      <c r="I960" s="49" t="e">
        <v>#REF!</v>
      </c>
      <c r="J960" s="50"/>
    </row>
    <row r="961" ht="28.8" outlineLevel="1" spans="1:10">
      <c r="A961" s="50">
        <v>56</v>
      </c>
      <c r="B961" s="51" t="str">
        <v>室内给水塑料管-PPR-De63-热熔</v>
      </c>
      <c r="C961" s="51" t="e">
        <v>#REF!</v>
      </c>
      <c r="D961" s="51" t="str">
        <v/>
      </c>
      <c r="E961" s="51" t="str">
        <v/>
      </c>
      <c r="F961" s="52" t="e">
        <v>#REF!</v>
      </c>
      <c r="G961" s="48" t="e">
        <v>#REF!</v>
      </c>
      <c r="H961" s="49">
        <v>33.73</v>
      </c>
      <c r="I961" s="49" t="e">
        <v>#REF!</v>
      </c>
      <c r="J961" s="50"/>
    </row>
    <row r="962" outlineLevel="1" spans="1:10">
      <c r="A962" s="50" t="str">
        <v/>
      </c>
      <c r="B962" s="51" t="str">
        <v>B.01.3绝热</v>
      </c>
      <c r="C962" s="51" t="str">
        <v/>
      </c>
      <c r="D962" s="51" t="str">
        <v/>
      </c>
      <c r="E962" s="51" t="str">
        <v/>
      </c>
      <c r="F962" s="52" t="str">
        <v/>
      </c>
      <c r="G962" s="48" t="str">
        <v/>
      </c>
      <c r="H962" s="49">
        <v>0</v>
      </c>
      <c r="I962" s="49" t="e">
        <v>#REF!</v>
      </c>
      <c r="J962" s="50"/>
    </row>
    <row r="963" outlineLevel="1" spans="1:10">
      <c r="A963" s="50">
        <v>57</v>
      </c>
      <c r="B963" s="51" t="str">
        <v>管道绝热</v>
      </c>
      <c r="C963" s="51" t="e">
        <v>#REF!</v>
      </c>
      <c r="D963" s="51" t="str">
        <v/>
      </c>
      <c r="E963" s="51" t="str">
        <v/>
      </c>
      <c r="F963" s="52" t="e">
        <v>#REF!</v>
      </c>
      <c r="G963" s="48" t="e">
        <v>#REF!</v>
      </c>
      <c r="H963" s="49">
        <v>0.04</v>
      </c>
      <c r="I963" s="49" t="e">
        <v>#REF!</v>
      </c>
      <c r="J963" s="50"/>
    </row>
    <row r="964" outlineLevel="1" spans="1:10">
      <c r="A964" s="50">
        <v>58</v>
      </c>
      <c r="B964" s="51" t="str">
        <v>玻璃丝布</v>
      </c>
      <c r="C964" s="51" t="e">
        <v>#REF!</v>
      </c>
      <c r="D964" s="51" t="str">
        <v/>
      </c>
      <c r="E964" s="51" t="str">
        <v/>
      </c>
      <c r="F964" s="52" t="e">
        <v>#REF!</v>
      </c>
      <c r="G964" s="48" t="e">
        <v>#REF!</v>
      </c>
      <c r="H964" s="49">
        <v>0</v>
      </c>
      <c r="I964" s="49" t="e">
        <v>#REF!</v>
      </c>
      <c r="J964" s="50"/>
    </row>
    <row r="965" outlineLevel="1" spans="1:10">
      <c r="A965" s="50">
        <v>59</v>
      </c>
      <c r="B965" s="51" t="str">
        <v>电伴热</v>
      </c>
      <c r="C965" s="51" t="e">
        <v>#REF!</v>
      </c>
      <c r="D965" s="51" t="str">
        <v/>
      </c>
      <c r="E965" s="51" t="str">
        <v/>
      </c>
      <c r="F965" s="52" t="e">
        <v>#REF!</v>
      </c>
      <c r="G965" s="48" t="e">
        <v>#REF!</v>
      </c>
      <c r="H965" s="49">
        <v>0</v>
      </c>
      <c r="I965" s="49" t="e">
        <v>#REF!</v>
      </c>
      <c r="J965" s="50"/>
    </row>
    <row r="966" outlineLevel="1" spans="1:10">
      <c r="A966" s="50">
        <v>60</v>
      </c>
      <c r="B966" s="51" t="str">
        <v>电伴热控制箱</v>
      </c>
      <c r="C966" s="51" t="e">
        <v>#REF!</v>
      </c>
      <c r="D966" s="51" t="str">
        <v/>
      </c>
      <c r="E966" s="51" t="str">
        <v/>
      </c>
      <c r="F966" s="52" t="e">
        <v>#REF!</v>
      </c>
      <c r="G966" s="48" t="e">
        <v>#REF!</v>
      </c>
      <c r="H966" s="49">
        <v>0</v>
      </c>
      <c r="I966" s="49" t="e">
        <v>#REF!</v>
      </c>
      <c r="J966" s="50"/>
    </row>
    <row r="967" outlineLevel="1" spans="1:10">
      <c r="A967" s="50">
        <v>61</v>
      </c>
      <c r="B967" s="51" t="str">
        <v>防火漆</v>
      </c>
      <c r="C967" s="51" t="e">
        <v>#REF!</v>
      </c>
      <c r="D967" s="51" t="str">
        <v/>
      </c>
      <c r="E967" s="51" t="str">
        <v/>
      </c>
      <c r="F967" s="52" t="e">
        <v>#REF!</v>
      </c>
      <c r="G967" s="48" t="e">
        <v>#REF!</v>
      </c>
      <c r="H967" s="49">
        <v>0</v>
      </c>
      <c r="I967" s="49" t="e">
        <v>#REF!</v>
      </c>
      <c r="J967" s="50"/>
    </row>
    <row r="968" outlineLevel="1" spans="1:10">
      <c r="A968" s="50">
        <v>62</v>
      </c>
      <c r="B968" s="51" t="str">
        <v>塑料带保护层</v>
      </c>
      <c r="C968" s="51" t="e">
        <v>#REF!</v>
      </c>
      <c r="D968" s="51" t="str">
        <v/>
      </c>
      <c r="E968" s="51" t="str">
        <v/>
      </c>
      <c r="F968" s="52" t="e">
        <v>#REF!</v>
      </c>
      <c r="G968" s="48" t="e">
        <v>#REF!</v>
      </c>
      <c r="H968" s="49">
        <v>33.39</v>
      </c>
      <c r="I968" s="49" t="e">
        <v>#REF!</v>
      </c>
      <c r="J968" s="50"/>
    </row>
    <row r="969" outlineLevel="1" spans="1:10">
      <c r="A969" s="50" t="str">
        <v/>
      </c>
      <c r="B969" s="51" t="str">
        <v>B.02地下排水</v>
      </c>
      <c r="C969" s="51" t="str">
        <v/>
      </c>
      <c r="D969" s="51" t="str">
        <v/>
      </c>
      <c r="E969" s="51" t="str">
        <v/>
      </c>
      <c r="F969" s="52" t="str">
        <v/>
      </c>
      <c r="G969" s="48" t="str">
        <v/>
      </c>
      <c r="H969" s="49">
        <v>0</v>
      </c>
      <c r="I969" s="49" t="e">
        <v>#REF!</v>
      </c>
      <c r="J969" s="50"/>
    </row>
    <row r="970" outlineLevel="1" spans="1:10">
      <c r="A970" s="50" t="str">
        <v/>
      </c>
      <c r="B970" s="51" t="str">
        <v>B.02.1阀部件</v>
      </c>
      <c r="C970" s="51" t="str">
        <v/>
      </c>
      <c r="D970" s="51" t="str">
        <v/>
      </c>
      <c r="E970" s="51" t="str">
        <v/>
      </c>
      <c r="F970" s="52" t="str">
        <v/>
      </c>
      <c r="G970" s="48" t="str">
        <v/>
      </c>
      <c r="H970" s="49">
        <v>0</v>
      </c>
      <c r="I970" s="49" t="e">
        <v>#REF!</v>
      </c>
      <c r="J970" s="50"/>
    </row>
    <row r="971" outlineLevel="1" spans="1:10">
      <c r="A971" s="50">
        <v>63</v>
      </c>
      <c r="B971" s="51" t="str">
        <v>法兰阀门-闸阀-DN50</v>
      </c>
      <c r="C971" s="51" t="e">
        <v>#REF!</v>
      </c>
      <c r="D971" s="51" t="str">
        <v/>
      </c>
      <c r="E971" s="51" t="str">
        <v/>
      </c>
      <c r="F971" s="52" t="e">
        <v>#REF!</v>
      </c>
      <c r="G971" s="48" t="e">
        <v>#REF!</v>
      </c>
      <c r="H971" s="49">
        <v>4</v>
      </c>
      <c r="I971" s="49" t="e">
        <v>#REF!</v>
      </c>
      <c r="J971" s="50"/>
    </row>
    <row r="972" outlineLevel="1" spans="1:10">
      <c r="A972" s="50">
        <v>64</v>
      </c>
      <c r="B972" s="51" t="str">
        <v>法兰阀门-闸阀-DN65</v>
      </c>
      <c r="C972" s="51" t="e">
        <v>#REF!</v>
      </c>
      <c r="D972" s="51" t="str">
        <v/>
      </c>
      <c r="E972" s="51" t="str">
        <v/>
      </c>
      <c r="F972" s="52" t="e">
        <v>#REF!</v>
      </c>
      <c r="G972" s="48" t="e">
        <v>#REF!</v>
      </c>
      <c r="H972" s="49">
        <v>0</v>
      </c>
      <c r="I972" s="49" t="e">
        <v>#REF!</v>
      </c>
      <c r="J972" s="50"/>
    </row>
    <row r="973" outlineLevel="1" spans="1:10">
      <c r="A973" s="50">
        <v>65</v>
      </c>
      <c r="B973" s="51" t="str">
        <v>法兰阀门-闸阀-DN80</v>
      </c>
      <c r="C973" s="51" t="e">
        <v>#REF!</v>
      </c>
      <c r="D973" s="51" t="str">
        <v/>
      </c>
      <c r="E973" s="51" t="str">
        <v/>
      </c>
      <c r="F973" s="52" t="e">
        <v>#REF!</v>
      </c>
      <c r="G973" s="48" t="e">
        <v>#REF!</v>
      </c>
      <c r="H973" s="49">
        <v>1</v>
      </c>
      <c r="I973" s="49" t="e">
        <v>#REF!</v>
      </c>
      <c r="J973" s="50"/>
    </row>
    <row r="974" outlineLevel="1" spans="1:10">
      <c r="A974" s="50">
        <v>66</v>
      </c>
      <c r="B974" s="51" t="str">
        <v>法兰阀门-闸阀-DN100</v>
      </c>
      <c r="C974" s="51" t="e">
        <v>#REF!</v>
      </c>
      <c r="D974" s="51" t="str">
        <v/>
      </c>
      <c r="E974" s="51" t="str">
        <v/>
      </c>
      <c r="F974" s="52" t="e">
        <v>#REF!</v>
      </c>
      <c r="G974" s="48" t="e">
        <v>#REF!</v>
      </c>
      <c r="H974" s="49">
        <v>0</v>
      </c>
      <c r="I974" s="49" t="e">
        <v>#REF!</v>
      </c>
      <c r="J974" s="50"/>
    </row>
    <row r="975" outlineLevel="1" spans="1:10">
      <c r="A975" s="50">
        <v>67</v>
      </c>
      <c r="B975" s="51" t="str">
        <v>法兰阀门-止回阀-DN50</v>
      </c>
      <c r="C975" s="51" t="e">
        <v>#REF!</v>
      </c>
      <c r="D975" s="51" t="str">
        <v/>
      </c>
      <c r="E975" s="51" t="str">
        <v/>
      </c>
      <c r="F975" s="52" t="e">
        <v>#REF!</v>
      </c>
      <c r="G975" s="48" t="e">
        <v>#REF!</v>
      </c>
      <c r="H975" s="49">
        <v>4</v>
      </c>
      <c r="I975" s="49" t="e">
        <v>#REF!</v>
      </c>
      <c r="J975" s="50"/>
    </row>
    <row r="976" outlineLevel="1" spans="1:10">
      <c r="A976" s="50">
        <v>68</v>
      </c>
      <c r="B976" s="51" t="str">
        <v>法兰阀门-止回阀-DN65</v>
      </c>
      <c r="C976" s="51" t="e">
        <v>#REF!</v>
      </c>
      <c r="D976" s="51" t="str">
        <v/>
      </c>
      <c r="E976" s="51" t="str">
        <v/>
      </c>
      <c r="F976" s="52" t="e">
        <v>#REF!</v>
      </c>
      <c r="G976" s="48" t="e">
        <v>#REF!</v>
      </c>
      <c r="H976" s="49">
        <v>0</v>
      </c>
      <c r="I976" s="49" t="e">
        <v>#REF!</v>
      </c>
      <c r="J976" s="50"/>
    </row>
    <row r="977" outlineLevel="1" spans="1:10">
      <c r="A977" s="50">
        <v>69</v>
      </c>
      <c r="B977" s="51" t="str">
        <v>法兰阀门-止回阀-DN80</v>
      </c>
      <c r="C977" s="51" t="e">
        <v>#REF!</v>
      </c>
      <c r="D977" s="51" t="str">
        <v/>
      </c>
      <c r="E977" s="51" t="str">
        <v/>
      </c>
      <c r="F977" s="52" t="e">
        <v>#REF!</v>
      </c>
      <c r="G977" s="48" t="e">
        <v>#REF!</v>
      </c>
      <c r="H977" s="49">
        <v>1</v>
      </c>
      <c r="I977" s="49" t="e">
        <v>#REF!</v>
      </c>
      <c r="J977" s="50"/>
    </row>
    <row r="978" outlineLevel="1" spans="1:10">
      <c r="A978" s="50">
        <v>70</v>
      </c>
      <c r="B978" s="51" t="str">
        <v>法兰阀门-止回阀-DN100</v>
      </c>
      <c r="C978" s="51" t="e">
        <v>#REF!</v>
      </c>
      <c r="D978" s="51" t="str">
        <v/>
      </c>
      <c r="E978" s="51" t="str">
        <v/>
      </c>
      <c r="F978" s="52" t="e">
        <v>#REF!</v>
      </c>
      <c r="G978" s="48" t="e">
        <v>#REF!</v>
      </c>
      <c r="H978" s="49">
        <v>0</v>
      </c>
      <c r="I978" s="49" t="e">
        <v>#REF!</v>
      </c>
      <c r="J978" s="50"/>
    </row>
    <row r="979" outlineLevel="1" spans="1:10">
      <c r="A979" s="50">
        <v>71</v>
      </c>
      <c r="B979" s="51" t="str">
        <v>法兰阀门-软接头-DN50</v>
      </c>
      <c r="C979" s="51" t="e">
        <v>#REF!</v>
      </c>
      <c r="D979" s="51" t="str">
        <v/>
      </c>
      <c r="E979" s="51" t="str">
        <v/>
      </c>
      <c r="F979" s="52" t="e">
        <v>#REF!</v>
      </c>
      <c r="G979" s="48" t="e">
        <v>#REF!</v>
      </c>
      <c r="H979" s="49">
        <v>0</v>
      </c>
      <c r="I979" s="49" t="e">
        <v>#REF!</v>
      </c>
      <c r="J979" s="50"/>
    </row>
    <row r="980" outlineLevel="1" spans="1:10">
      <c r="A980" s="50">
        <v>72</v>
      </c>
      <c r="B980" s="51" t="str">
        <v>法兰阀门-软接头-DN65</v>
      </c>
      <c r="C980" s="51" t="e">
        <v>#REF!</v>
      </c>
      <c r="D980" s="51" t="str">
        <v/>
      </c>
      <c r="E980" s="51" t="str">
        <v/>
      </c>
      <c r="F980" s="52" t="e">
        <v>#REF!</v>
      </c>
      <c r="G980" s="48" t="e">
        <v>#REF!</v>
      </c>
      <c r="H980" s="49">
        <v>0</v>
      </c>
      <c r="I980" s="49" t="e">
        <v>#REF!</v>
      </c>
      <c r="J980" s="50"/>
    </row>
    <row r="981" outlineLevel="1" spans="1:10">
      <c r="A981" s="50">
        <v>73</v>
      </c>
      <c r="B981" s="51" t="str">
        <v>法兰阀门-软接头-DN80</v>
      </c>
      <c r="C981" s="51" t="e">
        <v>#REF!</v>
      </c>
      <c r="D981" s="51" t="str">
        <v/>
      </c>
      <c r="E981" s="51" t="str">
        <v/>
      </c>
      <c r="F981" s="52" t="e">
        <v>#REF!</v>
      </c>
      <c r="G981" s="48" t="e">
        <v>#REF!</v>
      </c>
      <c r="H981" s="49">
        <v>0</v>
      </c>
      <c r="I981" s="49" t="e">
        <v>#REF!</v>
      </c>
      <c r="J981" s="50"/>
    </row>
    <row r="982" outlineLevel="1" spans="1:10">
      <c r="A982" s="50">
        <v>74</v>
      </c>
      <c r="B982" s="51" t="str">
        <v>可曲挠橡胶接头-DN100</v>
      </c>
      <c r="C982" s="51" t="e">
        <v>#REF!</v>
      </c>
      <c r="D982" s="51" t="str">
        <v/>
      </c>
      <c r="E982" s="51" t="str">
        <v/>
      </c>
      <c r="F982" s="52" t="e">
        <v>#REF!</v>
      </c>
      <c r="G982" s="48" t="e">
        <v>#REF!</v>
      </c>
      <c r="H982" s="49">
        <v>0</v>
      </c>
      <c r="I982" s="49" t="e">
        <v>#REF!</v>
      </c>
      <c r="J982" s="50"/>
    </row>
    <row r="983" outlineLevel="1" spans="1:10">
      <c r="A983" s="50">
        <v>75</v>
      </c>
      <c r="B983" s="51" t="str">
        <v>给排水压力仪表-DN15</v>
      </c>
      <c r="C983" s="51" t="e">
        <v>#REF!</v>
      </c>
      <c r="D983" s="51" t="str">
        <v/>
      </c>
      <c r="E983" s="51" t="str">
        <v/>
      </c>
      <c r="F983" s="52" t="e">
        <v>#REF!</v>
      </c>
      <c r="G983" s="48" t="e">
        <v>#REF!</v>
      </c>
      <c r="H983" s="49">
        <v>0</v>
      </c>
      <c r="I983" s="49" t="e">
        <v>#REF!</v>
      </c>
      <c r="J983" s="50"/>
    </row>
    <row r="984" outlineLevel="1" spans="1:10">
      <c r="A984" s="50" t="str">
        <v/>
      </c>
      <c r="B984" s="51" t="str">
        <v>B.02.2排水管道</v>
      </c>
      <c r="C984" s="51" t="str">
        <v/>
      </c>
      <c r="D984" s="51" t="str">
        <v/>
      </c>
      <c r="E984" s="51" t="str">
        <v/>
      </c>
      <c r="F984" s="52" t="str">
        <v/>
      </c>
      <c r="G984" s="48" t="str">
        <v/>
      </c>
      <c r="H984" s="49">
        <v>0</v>
      </c>
      <c r="I984" s="49" t="e">
        <v>#REF!</v>
      </c>
      <c r="J984" s="50"/>
    </row>
    <row r="985" ht="28.8" outlineLevel="1" spans="1:10">
      <c r="A985" s="50">
        <v>76</v>
      </c>
      <c r="B985" s="51" t="str">
        <v>室外排水塑料管-加厚UPVC-De160</v>
      </c>
      <c r="C985" s="51" t="e">
        <v>#REF!</v>
      </c>
      <c r="D985" s="51" t="str">
        <v/>
      </c>
      <c r="E985" s="51" t="str">
        <v/>
      </c>
      <c r="F985" s="52" t="e">
        <v>#REF!</v>
      </c>
      <c r="G985" s="48" t="e">
        <v>#REF!</v>
      </c>
      <c r="H985" s="49">
        <v>28</v>
      </c>
      <c r="I985" s="49" t="e">
        <v>#REF!</v>
      </c>
      <c r="J985" s="50"/>
    </row>
    <row r="986" ht="28.8" outlineLevel="1" spans="1:10">
      <c r="A986" s="50">
        <v>77</v>
      </c>
      <c r="B986" s="51" t="str">
        <v>室外排水塑料管-加厚UPVC-De110</v>
      </c>
      <c r="C986" s="51" t="e">
        <v>#REF!</v>
      </c>
      <c r="D986" s="51" t="str">
        <v/>
      </c>
      <c r="E986" s="51" t="str">
        <v/>
      </c>
      <c r="F986" s="52" t="e">
        <v>#REF!</v>
      </c>
      <c r="G986" s="48" t="e">
        <v>#REF!</v>
      </c>
      <c r="H986" s="49">
        <v>73</v>
      </c>
      <c r="I986" s="49" t="e">
        <v>#REF!</v>
      </c>
      <c r="J986" s="50"/>
    </row>
    <row r="987" ht="28.8" outlineLevel="1" spans="1:10">
      <c r="A987" s="50">
        <v>78</v>
      </c>
      <c r="B987" s="51" t="str">
        <v>室外排水塑料管-加厚UPVC-De75</v>
      </c>
      <c r="C987" s="51" t="e">
        <v>#REF!</v>
      </c>
      <c r="D987" s="51" t="str">
        <v/>
      </c>
      <c r="E987" s="51" t="str">
        <v/>
      </c>
      <c r="F987" s="52" t="e">
        <v>#REF!</v>
      </c>
      <c r="G987" s="48" t="e">
        <v>#REF!</v>
      </c>
      <c r="H987" s="49">
        <v>11</v>
      </c>
      <c r="I987" s="49" t="e">
        <v>#REF!</v>
      </c>
      <c r="J987" s="50"/>
    </row>
    <row r="988" outlineLevel="1" spans="1:10">
      <c r="A988" s="50">
        <v>79</v>
      </c>
      <c r="B988" s="51" t="str">
        <v>室外塑料管-UPVC-De50</v>
      </c>
      <c r="C988" s="51" t="e">
        <v>#REF!</v>
      </c>
      <c r="D988" s="51" t="str">
        <v/>
      </c>
      <c r="E988" s="51" t="str">
        <v/>
      </c>
      <c r="F988" s="52" t="e">
        <v>#REF!</v>
      </c>
      <c r="G988" s="48" t="e">
        <v>#REF!</v>
      </c>
      <c r="H988" s="49">
        <v>31</v>
      </c>
      <c r="I988" s="49" t="e">
        <v>#REF!</v>
      </c>
      <c r="J988" s="50"/>
    </row>
    <row r="989" outlineLevel="1" spans="1:10">
      <c r="A989" s="50">
        <v>80</v>
      </c>
      <c r="B989" s="51" t="str">
        <v>室外排水镀锌钢管-DN50</v>
      </c>
      <c r="C989" s="51" t="e">
        <v>#REF!</v>
      </c>
      <c r="D989" s="51" t="str">
        <v/>
      </c>
      <c r="E989" s="51" t="str">
        <v/>
      </c>
      <c r="F989" s="52" t="e">
        <v>#REF!</v>
      </c>
      <c r="G989" s="48" t="e">
        <v>#REF!</v>
      </c>
      <c r="H989" s="49">
        <v>0</v>
      </c>
      <c r="I989" s="49" t="e">
        <v>#REF!</v>
      </c>
      <c r="J989" s="50"/>
    </row>
    <row r="990" outlineLevel="1" spans="1:10">
      <c r="A990" s="50">
        <v>81</v>
      </c>
      <c r="B990" s="51" t="str">
        <v>室外排水镀锌钢管-DN65</v>
      </c>
      <c r="C990" s="51" t="e">
        <v>#REF!</v>
      </c>
      <c r="D990" s="51" t="str">
        <v/>
      </c>
      <c r="E990" s="51" t="str">
        <v/>
      </c>
      <c r="F990" s="52" t="e">
        <v>#REF!</v>
      </c>
      <c r="G990" s="48" t="e">
        <v>#REF!</v>
      </c>
      <c r="H990" s="49">
        <v>0</v>
      </c>
      <c r="I990" s="49" t="e">
        <v>#REF!</v>
      </c>
      <c r="J990" s="50"/>
    </row>
    <row r="991" outlineLevel="1" spans="1:10">
      <c r="A991" s="50">
        <v>82</v>
      </c>
      <c r="B991" s="51" t="str">
        <v>室外排水镀锌钢管-DN80</v>
      </c>
      <c r="C991" s="51" t="e">
        <v>#REF!</v>
      </c>
      <c r="D991" s="51" t="str">
        <v/>
      </c>
      <c r="E991" s="51" t="str">
        <v/>
      </c>
      <c r="F991" s="52" t="e">
        <v>#REF!</v>
      </c>
      <c r="G991" s="48" t="e">
        <v>#REF!</v>
      </c>
      <c r="H991" s="49">
        <v>8</v>
      </c>
      <c r="I991" s="49" t="e">
        <v>#REF!</v>
      </c>
      <c r="J991" s="50"/>
    </row>
    <row r="992" outlineLevel="1" spans="1:10">
      <c r="A992" s="50">
        <v>83</v>
      </c>
      <c r="B992" s="51" t="str">
        <v>室外排水镀锌钢管-DN100</v>
      </c>
      <c r="C992" s="51" t="e">
        <v>#REF!</v>
      </c>
      <c r="D992" s="51" t="str">
        <v/>
      </c>
      <c r="E992" s="51" t="str">
        <v/>
      </c>
      <c r="F992" s="52" t="e">
        <v>#REF!</v>
      </c>
      <c r="G992" s="48" t="e">
        <v>#REF!</v>
      </c>
      <c r="H992" s="49">
        <v>0</v>
      </c>
      <c r="I992" s="49" t="e">
        <v>#REF!</v>
      </c>
      <c r="J992" s="50"/>
    </row>
    <row r="993" outlineLevel="1" spans="1:10">
      <c r="A993" s="50">
        <v>84</v>
      </c>
      <c r="B993" s="51" t="str">
        <v>室外排水镀锌钢管-DN125</v>
      </c>
      <c r="C993" s="51" t="e">
        <v>#REF!</v>
      </c>
      <c r="D993" s="51" t="str">
        <v/>
      </c>
      <c r="E993" s="51" t="str">
        <v/>
      </c>
      <c r="F993" s="52" t="e">
        <v>#REF!</v>
      </c>
      <c r="G993" s="48" t="e">
        <v>#REF!</v>
      </c>
      <c r="H993" s="49">
        <v>0</v>
      </c>
      <c r="I993" s="49" t="e">
        <v>#REF!</v>
      </c>
      <c r="J993" s="50"/>
    </row>
    <row r="994" outlineLevel="1" spans="1:10">
      <c r="A994" s="50">
        <v>85</v>
      </c>
      <c r="B994" s="51" t="str">
        <v>室外排水镀锌钢管-DN150</v>
      </c>
      <c r="C994" s="51" t="e">
        <v>#REF!</v>
      </c>
      <c r="D994" s="51" t="str">
        <v/>
      </c>
      <c r="E994" s="51" t="str">
        <v/>
      </c>
      <c r="F994" s="52" t="e">
        <v>#REF!</v>
      </c>
      <c r="G994" s="48" t="e">
        <v>#REF!</v>
      </c>
      <c r="H994" s="49">
        <v>0</v>
      </c>
      <c r="I994" s="49" t="e">
        <v>#REF!</v>
      </c>
      <c r="J994" s="50"/>
    </row>
    <row r="995" ht="28.8" outlineLevel="1" spans="1:10">
      <c r="A995" s="50">
        <v>86</v>
      </c>
      <c r="B995" s="51" t="str">
        <v>室外或埋地排水管-铸铁管-DN50</v>
      </c>
      <c r="C995" s="51" t="e">
        <v>#REF!</v>
      </c>
      <c r="D995" s="51" t="str">
        <v/>
      </c>
      <c r="E995" s="51" t="str">
        <v/>
      </c>
      <c r="F995" s="52" t="e">
        <v>#REF!</v>
      </c>
      <c r="G995" s="48" t="e">
        <v>#REF!</v>
      </c>
      <c r="H995" s="49">
        <v>0</v>
      </c>
      <c r="I995" s="49" t="e">
        <v>#REF!</v>
      </c>
      <c r="J995" s="50"/>
    </row>
    <row r="996" ht="28.8" outlineLevel="1" spans="1:10">
      <c r="A996" s="50">
        <v>87</v>
      </c>
      <c r="B996" s="51" t="str">
        <v>室外或埋地排水管-铸铁管-DN75</v>
      </c>
      <c r="C996" s="51" t="e">
        <v>#REF!</v>
      </c>
      <c r="D996" s="51" t="str">
        <v/>
      </c>
      <c r="E996" s="51" t="str">
        <v/>
      </c>
      <c r="F996" s="52" t="e">
        <v>#REF!</v>
      </c>
      <c r="G996" s="48" t="e">
        <v>#REF!</v>
      </c>
      <c r="H996" s="49">
        <v>0</v>
      </c>
      <c r="I996" s="49" t="e">
        <v>#REF!</v>
      </c>
      <c r="J996" s="50"/>
    </row>
    <row r="997" ht="28.8" outlineLevel="1" spans="1:10">
      <c r="A997" s="50">
        <v>88</v>
      </c>
      <c r="B997" s="51" t="str">
        <v>室外或埋地排水管-铸铁管-DN100</v>
      </c>
      <c r="C997" s="51" t="e">
        <v>#REF!</v>
      </c>
      <c r="D997" s="51" t="str">
        <v/>
      </c>
      <c r="E997" s="51" t="str">
        <v/>
      </c>
      <c r="F997" s="52" t="e">
        <v>#REF!</v>
      </c>
      <c r="G997" s="48" t="e">
        <v>#REF!</v>
      </c>
      <c r="H997" s="49">
        <v>0</v>
      </c>
      <c r="I997" s="49" t="e">
        <v>#REF!</v>
      </c>
      <c r="J997" s="50"/>
    </row>
    <row r="998" ht="28.8" outlineLevel="1" spans="1:10">
      <c r="A998" s="50">
        <v>89</v>
      </c>
      <c r="B998" s="51" t="str">
        <v>室外或埋地排水管-铸铁管-DN150</v>
      </c>
      <c r="C998" s="51" t="e">
        <v>#REF!</v>
      </c>
      <c r="D998" s="51" t="str">
        <v/>
      </c>
      <c r="E998" s="51" t="str">
        <v/>
      </c>
      <c r="F998" s="52" t="e">
        <v>#REF!</v>
      </c>
      <c r="G998" s="48" t="e">
        <v>#REF!</v>
      </c>
      <c r="H998" s="49">
        <v>0</v>
      </c>
      <c r="I998" s="49" t="e">
        <v>#REF!</v>
      </c>
      <c r="J998" s="50"/>
    </row>
    <row r="999" ht="28.8" outlineLevel="1" spans="1:10">
      <c r="A999" s="50">
        <v>90</v>
      </c>
      <c r="B999" s="51" t="str">
        <v>室内排水塑料管-加厚UPVC-De160</v>
      </c>
      <c r="C999" s="51" t="e">
        <v>#REF!</v>
      </c>
      <c r="D999" s="51" t="str">
        <v/>
      </c>
      <c r="E999" s="51" t="str">
        <v/>
      </c>
      <c r="F999" s="52" t="e">
        <v>#REF!</v>
      </c>
      <c r="G999" s="48" t="e">
        <v>#REF!</v>
      </c>
      <c r="H999" s="49">
        <v>168.01</v>
      </c>
      <c r="I999" s="49" t="e">
        <v>#REF!</v>
      </c>
      <c r="J999" s="50"/>
    </row>
    <row r="1000" ht="28.8" outlineLevel="1" spans="1:10">
      <c r="A1000" s="50">
        <v>91</v>
      </c>
      <c r="B1000" s="51" t="str">
        <v>室内排水塑料管-加厚UPVC-De110</v>
      </c>
      <c r="C1000" s="51" t="e">
        <v>#REF!</v>
      </c>
      <c r="D1000" s="51" t="str">
        <v/>
      </c>
      <c r="E1000" s="51" t="str">
        <v/>
      </c>
      <c r="F1000" s="52" t="e">
        <v>#REF!</v>
      </c>
      <c r="G1000" s="48" t="e">
        <v>#REF!</v>
      </c>
      <c r="H1000" s="49">
        <v>34.95</v>
      </c>
      <c r="I1000" s="49" t="e">
        <v>#REF!</v>
      </c>
      <c r="J1000" s="50"/>
    </row>
    <row r="1001" ht="28.8" outlineLevel="1" spans="1:10">
      <c r="A1001" s="50">
        <v>92</v>
      </c>
      <c r="B1001" s="51" t="str">
        <v>室内排水塑料管-加厚UPVC-De75</v>
      </c>
      <c r="C1001" s="51" t="e">
        <v>#REF!</v>
      </c>
      <c r="D1001" s="51" t="str">
        <v/>
      </c>
      <c r="E1001" s="51" t="str">
        <v/>
      </c>
      <c r="F1001" s="52" t="e">
        <v>#REF!</v>
      </c>
      <c r="G1001" s="48" t="e">
        <v>#REF!</v>
      </c>
      <c r="H1001" s="49">
        <v>1</v>
      </c>
      <c r="I1001" s="49" t="e">
        <v>#REF!</v>
      </c>
      <c r="J1001" s="50"/>
    </row>
    <row r="1002" ht="28.8" outlineLevel="1" spans="1:10">
      <c r="A1002" s="50">
        <v>93</v>
      </c>
      <c r="B1002" s="51" t="str">
        <v>室内排水塑料管-消音UPVC-De110</v>
      </c>
      <c r="C1002" s="51" t="e">
        <v>#REF!</v>
      </c>
      <c r="D1002" s="51" t="str">
        <v/>
      </c>
      <c r="E1002" s="51" t="str">
        <v/>
      </c>
      <c r="F1002" s="52" t="e">
        <v>#REF!</v>
      </c>
      <c r="G1002" s="48" t="e">
        <v>#REF!</v>
      </c>
      <c r="H1002" s="49">
        <v>1</v>
      </c>
      <c r="I1002" s="49" t="e">
        <v>#REF!</v>
      </c>
      <c r="J1002" s="50"/>
    </row>
    <row r="1003" ht="28.8" outlineLevel="1" spans="1:10">
      <c r="A1003" s="50">
        <v>94</v>
      </c>
      <c r="B1003" s="51" t="str">
        <v>室内排水塑料管-消音UPVC-De75</v>
      </c>
      <c r="C1003" s="51" t="e">
        <v>#REF!</v>
      </c>
      <c r="D1003" s="51" t="str">
        <v/>
      </c>
      <c r="E1003" s="51" t="str">
        <v/>
      </c>
      <c r="F1003" s="52" t="e">
        <v>#REF!</v>
      </c>
      <c r="G1003" s="48" t="e">
        <v>#REF!</v>
      </c>
      <c r="H1003" s="49">
        <v>12.6</v>
      </c>
      <c r="I1003" s="49" t="e">
        <v>#REF!</v>
      </c>
      <c r="J1003" s="50"/>
    </row>
    <row r="1004" outlineLevel="1" spans="1:10">
      <c r="A1004" s="50">
        <v>95</v>
      </c>
      <c r="B1004" s="51" t="str">
        <v>室内排水塑料管-UPVC-De110</v>
      </c>
      <c r="C1004" s="51" t="e">
        <v>#REF!</v>
      </c>
      <c r="D1004" s="51" t="str">
        <v/>
      </c>
      <c r="E1004" s="51" t="str">
        <v/>
      </c>
      <c r="F1004" s="52" t="e">
        <v>#REF!</v>
      </c>
      <c r="G1004" s="48" t="e">
        <v>#REF!</v>
      </c>
      <c r="H1004" s="49">
        <v>52.59</v>
      </c>
      <c r="I1004" s="49" t="e">
        <v>#REF!</v>
      </c>
      <c r="J1004" s="50"/>
    </row>
    <row r="1005" outlineLevel="1" spans="1:10">
      <c r="A1005" s="50">
        <v>96</v>
      </c>
      <c r="B1005" s="51" t="str">
        <v>室内排水塑料管-UPVC-De75</v>
      </c>
      <c r="C1005" s="51" t="e">
        <v>#REF!</v>
      </c>
      <c r="D1005" s="51" t="str">
        <v/>
      </c>
      <c r="E1005" s="51" t="str">
        <v/>
      </c>
      <c r="F1005" s="52" t="e">
        <v>#REF!</v>
      </c>
      <c r="G1005" s="48" t="e">
        <v>#REF!</v>
      </c>
      <c r="H1005" s="49">
        <v>11.54</v>
      </c>
      <c r="I1005" s="49" t="e">
        <v>#REF!</v>
      </c>
      <c r="J1005" s="50"/>
    </row>
    <row r="1006" outlineLevel="1" spans="1:10">
      <c r="A1006" s="50">
        <v>97</v>
      </c>
      <c r="B1006" s="51" t="str">
        <v>室内排水塑料管-UPVC-De50</v>
      </c>
      <c r="C1006" s="51" t="e">
        <v>#REF!</v>
      </c>
      <c r="D1006" s="51" t="str">
        <v/>
      </c>
      <c r="E1006" s="51" t="str">
        <v/>
      </c>
      <c r="F1006" s="52" t="e">
        <v>#REF!</v>
      </c>
      <c r="G1006" s="48" t="e">
        <v>#REF!</v>
      </c>
      <c r="H1006" s="49">
        <v>25.46</v>
      </c>
      <c r="I1006" s="49" t="e">
        <v>#REF!</v>
      </c>
      <c r="J1006" s="50"/>
    </row>
    <row r="1007" outlineLevel="1" spans="1:10">
      <c r="A1007" s="50">
        <v>98</v>
      </c>
      <c r="B1007" s="51" t="str">
        <v>室内排水镀锌钢管-DN100</v>
      </c>
      <c r="C1007" s="51" t="e">
        <v>#REF!</v>
      </c>
      <c r="D1007" s="51" t="str">
        <v/>
      </c>
      <c r="E1007" s="51" t="str">
        <v/>
      </c>
      <c r="F1007" s="52" t="e">
        <v>#REF!</v>
      </c>
      <c r="G1007" s="48" t="e">
        <v>#REF!</v>
      </c>
      <c r="H1007" s="49">
        <v>1</v>
      </c>
      <c r="I1007" s="49" t="e">
        <v>#REF!</v>
      </c>
      <c r="J1007" s="50"/>
    </row>
    <row r="1008" outlineLevel="1" spans="1:10">
      <c r="A1008" s="50">
        <v>99</v>
      </c>
      <c r="B1008" s="51" t="str">
        <v>室内排水镀锌钢管-DN80</v>
      </c>
      <c r="C1008" s="51" t="e">
        <v>#REF!</v>
      </c>
      <c r="D1008" s="51" t="str">
        <v/>
      </c>
      <c r="E1008" s="51" t="str">
        <v/>
      </c>
      <c r="F1008" s="52" t="e">
        <v>#REF!</v>
      </c>
      <c r="G1008" s="48" t="e">
        <v>#REF!</v>
      </c>
      <c r="H1008" s="49">
        <v>1.2</v>
      </c>
      <c r="I1008" s="49" t="e">
        <v>#REF!</v>
      </c>
      <c r="J1008" s="50"/>
    </row>
    <row r="1009" outlineLevel="1" spans="1:10">
      <c r="A1009" s="50">
        <v>100</v>
      </c>
      <c r="B1009" s="51" t="str">
        <v>室内排水镀锌钢管-DN65</v>
      </c>
      <c r="C1009" s="51" t="e">
        <v>#REF!</v>
      </c>
      <c r="D1009" s="51" t="str">
        <v/>
      </c>
      <c r="E1009" s="51" t="str">
        <v/>
      </c>
      <c r="F1009" s="52" t="e">
        <v>#REF!</v>
      </c>
      <c r="G1009" s="48" t="e">
        <v>#REF!</v>
      </c>
      <c r="H1009" s="49">
        <v>1</v>
      </c>
      <c r="I1009" s="49" t="e">
        <v>#REF!</v>
      </c>
      <c r="J1009" s="50"/>
    </row>
    <row r="1010" outlineLevel="1" spans="1:10">
      <c r="A1010" s="50">
        <v>101</v>
      </c>
      <c r="B1010" s="51" t="str">
        <v>室内排水镀锌钢管-DN50</v>
      </c>
      <c r="C1010" s="51" t="e">
        <v>#REF!</v>
      </c>
      <c r="D1010" s="51" t="str">
        <v/>
      </c>
      <c r="E1010" s="51" t="str">
        <v/>
      </c>
      <c r="F1010" s="52" t="e">
        <v>#REF!</v>
      </c>
      <c r="G1010" s="48" t="e">
        <v>#REF!</v>
      </c>
      <c r="H1010" s="49">
        <v>48.77</v>
      </c>
      <c r="I1010" s="49" t="e">
        <v>#REF!</v>
      </c>
      <c r="J1010" s="50"/>
    </row>
    <row r="1011" outlineLevel="1" spans="1:10">
      <c r="A1011" s="50">
        <v>102</v>
      </c>
      <c r="B1011" s="51" t="str">
        <v>室内排水管-铸铁管-DN50</v>
      </c>
      <c r="C1011" s="51" t="e">
        <v>#REF!</v>
      </c>
      <c r="D1011" s="51" t="str">
        <v/>
      </c>
      <c r="E1011" s="51" t="str">
        <v/>
      </c>
      <c r="F1011" s="52" t="e">
        <v>#REF!</v>
      </c>
      <c r="G1011" s="48" t="e">
        <v>#REF!</v>
      </c>
      <c r="H1011" s="49">
        <v>0</v>
      </c>
      <c r="I1011" s="49" t="e">
        <v>#REF!</v>
      </c>
      <c r="J1011" s="50"/>
    </row>
    <row r="1012" outlineLevel="1" spans="1:10">
      <c r="A1012" s="50">
        <v>103</v>
      </c>
      <c r="B1012" s="51" t="str">
        <v>室内排水管-铸铁管-DN75</v>
      </c>
      <c r="C1012" s="51" t="e">
        <v>#REF!</v>
      </c>
      <c r="D1012" s="51" t="str">
        <v/>
      </c>
      <c r="E1012" s="51" t="str">
        <v/>
      </c>
      <c r="F1012" s="52" t="e">
        <v>#REF!</v>
      </c>
      <c r="G1012" s="48" t="e">
        <v>#REF!</v>
      </c>
      <c r="H1012" s="49">
        <v>0</v>
      </c>
      <c r="I1012" s="49" t="e">
        <v>#REF!</v>
      </c>
      <c r="J1012" s="50"/>
    </row>
    <row r="1013" outlineLevel="1" spans="1:10">
      <c r="A1013" s="50">
        <v>104</v>
      </c>
      <c r="B1013" s="51" t="str">
        <v>室内排水管-铸铁管-DN100</v>
      </c>
      <c r="C1013" s="51" t="e">
        <v>#REF!</v>
      </c>
      <c r="D1013" s="51" t="str">
        <v/>
      </c>
      <c r="E1013" s="51" t="str">
        <v/>
      </c>
      <c r="F1013" s="52" t="e">
        <v>#REF!</v>
      </c>
      <c r="G1013" s="48" t="e">
        <v>#REF!</v>
      </c>
      <c r="H1013" s="49">
        <v>0</v>
      </c>
      <c r="I1013" s="49" t="e">
        <v>#REF!</v>
      </c>
      <c r="J1013" s="50"/>
    </row>
    <row r="1014" outlineLevel="1" spans="1:10">
      <c r="A1014" s="50">
        <v>105</v>
      </c>
      <c r="B1014" s="51" t="str">
        <v>室内排水管-铸铁管-DN150</v>
      </c>
      <c r="C1014" s="51" t="e">
        <v>#REF!</v>
      </c>
      <c r="D1014" s="51" t="str">
        <v/>
      </c>
      <c r="E1014" s="51" t="str">
        <v/>
      </c>
      <c r="F1014" s="52" t="e">
        <v>#REF!</v>
      </c>
      <c r="G1014" s="48" t="e">
        <v>#REF!</v>
      </c>
      <c r="H1014" s="49">
        <v>0</v>
      </c>
      <c r="I1014" s="49" t="e">
        <v>#REF!</v>
      </c>
      <c r="J1014" s="50"/>
    </row>
    <row r="1015" outlineLevel="1" spans="1:10">
      <c r="A1015" s="50">
        <v>106</v>
      </c>
      <c r="B1015" s="51" t="str">
        <v>室内排水管-铸铁管-DN200</v>
      </c>
      <c r="C1015" s="51" t="e">
        <v>#REF!</v>
      </c>
      <c r="D1015" s="51" t="str">
        <v/>
      </c>
      <c r="E1015" s="51" t="str">
        <v/>
      </c>
      <c r="F1015" s="52" t="e">
        <v>#REF!</v>
      </c>
      <c r="G1015" s="48" t="e">
        <v>#REF!</v>
      </c>
      <c r="H1015" s="49">
        <v>0</v>
      </c>
      <c r="I1015" s="49" t="e">
        <v>#REF!</v>
      </c>
      <c r="J1015" s="50"/>
    </row>
    <row r="1016" ht="28.8" outlineLevel="1" spans="1:10">
      <c r="A1016" s="50">
        <v>107</v>
      </c>
      <c r="B1016" s="51" t="str">
        <v>车库内埋地排水管-铸铁管-DN200</v>
      </c>
      <c r="C1016" s="51" t="e">
        <v>#REF!</v>
      </c>
      <c r="D1016" s="51" t="str">
        <v/>
      </c>
      <c r="E1016" s="51" t="str">
        <v/>
      </c>
      <c r="F1016" s="52" t="e">
        <v>#REF!</v>
      </c>
      <c r="G1016" s="48" t="e">
        <v>#REF!</v>
      </c>
      <c r="H1016" s="49">
        <v>0</v>
      </c>
      <c r="I1016" s="49" t="e">
        <v>#REF!</v>
      </c>
      <c r="J1016" s="50"/>
    </row>
    <row r="1017" outlineLevel="1" spans="1:10">
      <c r="A1017" s="50">
        <v>108</v>
      </c>
      <c r="B1017" s="51" t="str">
        <v>土方开挖回填</v>
      </c>
      <c r="C1017" s="51" t="e">
        <v>#REF!</v>
      </c>
      <c r="D1017" s="51" t="str">
        <v/>
      </c>
      <c r="E1017" s="51" t="str">
        <v/>
      </c>
      <c r="F1017" s="52" t="e">
        <v>#REF!</v>
      </c>
      <c r="G1017" s="48" t="e">
        <v>#REF!</v>
      </c>
      <c r="H1017" s="49">
        <v>47</v>
      </c>
      <c r="I1017" s="49" t="e">
        <v>#REF!</v>
      </c>
      <c r="J1017" s="50"/>
    </row>
    <row r="1018" outlineLevel="1" spans="1:10">
      <c r="A1018" s="50" t="str">
        <v/>
      </c>
      <c r="B1018" s="51" t="str">
        <v>B.02.3绝热</v>
      </c>
      <c r="C1018" s="51" t="str">
        <v/>
      </c>
      <c r="D1018" s="51" t="str">
        <v/>
      </c>
      <c r="E1018" s="51" t="str">
        <v/>
      </c>
      <c r="F1018" s="52" t="str">
        <v/>
      </c>
      <c r="G1018" s="48" t="str">
        <v/>
      </c>
      <c r="H1018" s="49">
        <v>0</v>
      </c>
      <c r="I1018" s="49" t="e">
        <v>#REF!</v>
      </c>
      <c r="J1018" s="50"/>
    </row>
    <row r="1019" outlineLevel="1" spans="1:10">
      <c r="A1019" s="50">
        <v>109</v>
      </c>
      <c r="B1019" s="51" t="str">
        <v>塑料带保护层</v>
      </c>
      <c r="C1019" s="51" t="e">
        <v>#REF!</v>
      </c>
      <c r="D1019" s="51" t="str">
        <v/>
      </c>
      <c r="E1019" s="51" t="str">
        <v/>
      </c>
      <c r="F1019" s="52" t="e">
        <v>#REF!</v>
      </c>
      <c r="G1019" s="48" t="e">
        <v>#REF!</v>
      </c>
      <c r="H1019" s="49">
        <v>149.67</v>
      </c>
      <c r="I1019" s="49" t="e">
        <v>#REF!</v>
      </c>
      <c r="J1019" s="50"/>
    </row>
    <row r="1020" outlineLevel="1" spans="1:10">
      <c r="A1020" s="50">
        <v>110</v>
      </c>
      <c r="B1020" s="51" t="str">
        <v>管道绝热</v>
      </c>
      <c r="C1020" s="51" t="e">
        <v>#REF!</v>
      </c>
      <c r="D1020" s="51" t="str">
        <v/>
      </c>
      <c r="E1020" s="51" t="str">
        <v/>
      </c>
      <c r="F1020" s="52" t="e">
        <v>#REF!</v>
      </c>
      <c r="G1020" s="48" t="e">
        <v>#REF!</v>
      </c>
      <c r="H1020" s="49">
        <v>1.4</v>
      </c>
      <c r="I1020" s="49" t="e">
        <v>#REF!</v>
      </c>
      <c r="J1020" s="50"/>
    </row>
    <row r="1021" outlineLevel="1" spans="1:10">
      <c r="A1021" s="50" t="str">
        <v/>
      </c>
      <c r="B1021" s="51" t="str">
        <v>B.02.4设备</v>
      </c>
      <c r="C1021" s="51" t="str">
        <v/>
      </c>
      <c r="D1021" s="51" t="str">
        <v/>
      </c>
      <c r="E1021" s="51" t="str">
        <v/>
      </c>
      <c r="F1021" s="52" t="str">
        <v/>
      </c>
      <c r="G1021" s="48" t="str">
        <v/>
      </c>
      <c r="H1021" s="49">
        <v>0</v>
      </c>
      <c r="I1021" s="49" t="e">
        <v>#REF!</v>
      </c>
      <c r="J1021" s="50"/>
    </row>
    <row r="1022" outlineLevel="1" spans="1:10">
      <c r="A1022" s="50">
        <v>111</v>
      </c>
      <c r="B1022" s="51" t="str">
        <v>潜水排污泵1</v>
      </c>
      <c r="C1022" s="51" t="e">
        <v>#REF!</v>
      </c>
      <c r="D1022" s="51" t="str">
        <v/>
      </c>
      <c r="E1022" s="51" t="str">
        <v/>
      </c>
      <c r="F1022" s="52" t="e">
        <v>#REF!</v>
      </c>
      <c r="G1022" s="48" t="e">
        <v>#REF!</v>
      </c>
      <c r="H1022" s="49">
        <v>0</v>
      </c>
      <c r="I1022" s="49" t="e">
        <v>#REF!</v>
      </c>
      <c r="J1022" s="50"/>
    </row>
    <row r="1023" outlineLevel="1" spans="1:10">
      <c r="A1023" s="50">
        <v>112</v>
      </c>
      <c r="B1023" s="51" t="str">
        <v>潜水排污泵2</v>
      </c>
      <c r="C1023" s="51" t="e">
        <v>#REF!</v>
      </c>
      <c r="D1023" s="51" t="str">
        <v/>
      </c>
      <c r="E1023" s="51" t="str">
        <v/>
      </c>
      <c r="F1023" s="52" t="e">
        <v>#REF!</v>
      </c>
      <c r="G1023" s="48" t="e">
        <v>#REF!</v>
      </c>
      <c r="H1023" s="49">
        <v>4</v>
      </c>
      <c r="I1023" s="49" t="e">
        <v>#REF!</v>
      </c>
      <c r="J1023" s="50"/>
    </row>
    <row r="1024" outlineLevel="1" spans="1:10">
      <c r="A1024" s="50">
        <v>113</v>
      </c>
      <c r="B1024" s="51" t="str">
        <v>潜水排污泵3</v>
      </c>
      <c r="C1024" s="51" t="e">
        <v>#REF!</v>
      </c>
      <c r="D1024" s="51" t="str">
        <v/>
      </c>
      <c r="E1024" s="51" t="str">
        <v/>
      </c>
      <c r="F1024" s="52" t="e">
        <v>#REF!</v>
      </c>
      <c r="G1024" s="48" t="e">
        <v>#REF!</v>
      </c>
      <c r="H1024" s="49">
        <v>0</v>
      </c>
      <c r="I1024" s="49" t="e">
        <v>#REF!</v>
      </c>
      <c r="J1024" s="50"/>
    </row>
    <row r="1025" outlineLevel="1" spans="1:10">
      <c r="A1025" s="50">
        <v>114</v>
      </c>
      <c r="B1025" s="51" t="str">
        <v>潜水排污泵4</v>
      </c>
      <c r="C1025" s="51" t="e">
        <v>#REF!</v>
      </c>
      <c r="D1025" s="51" t="str">
        <v/>
      </c>
      <c r="E1025" s="51" t="str">
        <v/>
      </c>
      <c r="F1025" s="52" t="e">
        <v>#REF!</v>
      </c>
      <c r="G1025" s="48" t="e">
        <v>#REF!</v>
      </c>
      <c r="H1025" s="49">
        <v>0</v>
      </c>
      <c r="I1025" s="49" t="e">
        <v>#REF!</v>
      </c>
      <c r="J1025" s="50"/>
    </row>
    <row r="1026" outlineLevel="1" spans="1:10">
      <c r="A1026" s="50">
        <v>115</v>
      </c>
      <c r="B1026" s="51" t="str">
        <v>潜水排污泵5</v>
      </c>
      <c r="C1026" s="51" t="e">
        <v>#REF!</v>
      </c>
      <c r="D1026" s="51" t="str">
        <v/>
      </c>
      <c r="E1026" s="51" t="str">
        <v/>
      </c>
      <c r="F1026" s="52" t="e">
        <v>#REF!</v>
      </c>
      <c r="G1026" s="48" t="e">
        <v>#REF!</v>
      </c>
      <c r="H1026" s="49">
        <v>0</v>
      </c>
      <c r="I1026" s="49" t="e">
        <v>#REF!</v>
      </c>
      <c r="J1026" s="50"/>
    </row>
    <row r="1027" outlineLevel="1" spans="1:10">
      <c r="A1027" s="50">
        <v>116</v>
      </c>
      <c r="B1027" s="51" t="str">
        <v>潜水排污泵6</v>
      </c>
      <c r="C1027" s="51" t="e">
        <v>#REF!</v>
      </c>
      <c r="D1027" s="51" t="str">
        <v/>
      </c>
      <c r="E1027" s="51" t="str">
        <v/>
      </c>
      <c r="F1027" s="52" t="e">
        <v>#REF!</v>
      </c>
      <c r="G1027" s="48" t="e">
        <v>#REF!</v>
      </c>
      <c r="H1027" s="49">
        <v>0</v>
      </c>
      <c r="I1027" s="49" t="e">
        <v>#REF!</v>
      </c>
      <c r="J1027" s="50"/>
    </row>
    <row r="1028" outlineLevel="1" spans="1:10">
      <c r="A1028" s="50">
        <v>117</v>
      </c>
      <c r="B1028" s="51" t="str">
        <v>潜水排污泵7</v>
      </c>
      <c r="C1028" s="51" t="e">
        <v>#REF!</v>
      </c>
      <c r="D1028" s="51" t="str">
        <v/>
      </c>
      <c r="E1028" s="51" t="str">
        <v/>
      </c>
      <c r="F1028" s="52" t="e">
        <v>#REF!</v>
      </c>
      <c r="G1028" s="48" t="e">
        <v>#REF!</v>
      </c>
      <c r="H1028" s="49">
        <v>0</v>
      </c>
      <c r="I1028" s="49" t="e">
        <v>#REF!</v>
      </c>
      <c r="J1028" s="50"/>
    </row>
    <row r="1029" outlineLevel="1" spans="1:10">
      <c r="A1029" s="50">
        <v>118</v>
      </c>
      <c r="B1029" s="51" t="str">
        <v>潜水排污泵8</v>
      </c>
      <c r="C1029" s="51" t="e">
        <v>#REF!</v>
      </c>
      <c r="D1029" s="51" t="str">
        <v/>
      </c>
      <c r="E1029" s="51" t="str">
        <v/>
      </c>
      <c r="F1029" s="52" t="e">
        <v>#REF!</v>
      </c>
      <c r="G1029" s="48" t="e">
        <v>#REF!</v>
      </c>
      <c r="H1029" s="49">
        <v>0</v>
      </c>
      <c r="I1029" s="49" t="e">
        <v>#REF!</v>
      </c>
      <c r="J1029" s="50"/>
    </row>
    <row r="1030" outlineLevel="1" spans="1:10">
      <c r="A1030" s="50">
        <v>119</v>
      </c>
      <c r="B1030" s="51" t="str">
        <v>潜水排污泵9</v>
      </c>
      <c r="C1030" s="51" t="e">
        <v>#REF!</v>
      </c>
      <c r="D1030" s="51" t="str">
        <v/>
      </c>
      <c r="E1030" s="51" t="str">
        <v/>
      </c>
      <c r="F1030" s="52" t="e">
        <v>#REF!</v>
      </c>
      <c r="G1030" s="48" t="e">
        <v>#REF!</v>
      </c>
      <c r="H1030" s="49">
        <v>0</v>
      </c>
      <c r="I1030" s="49" t="e">
        <v>#REF!</v>
      </c>
      <c r="J1030" s="50"/>
    </row>
    <row r="1031" outlineLevel="1" spans="1:10">
      <c r="A1031" s="50">
        <v>120</v>
      </c>
      <c r="B1031" s="51" t="str">
        <v>潜水排污泵10</v>
      </c>
      <c r="C1031" s="51" t="e">
        <v>#REF!</v>
      </c>
      <c r="D1031" s="51" t="str">
        <v/>
      </c>
      <c r="E1031" s="51" t="str">
        <v/>
      </c>
      <c r="F1031" s="52" t="e">
        <v>#REF!</v>
      </c>
      <c r="G1031" s="48" t="e">
        <v>#REF!</v>
      </c>
      <c r="H1031" s="49">
        <v>0</v>
      </c>
      <c r="I1031" s="49" t="e">
        <v>#REF!</v>
      </c>
      <c r="J1031" s="50"/>
    </row>
    <row r="1032" outlineLevel="1" spans="1:10">
      <c r="A1032" s="50">
        <v>121</v>
      </c>
      <c r="B1032" s="51" t="str">
        <v>潜水排污泵11</v>
      </c>
      <c r="C1032" s="51" t="e">
        <v>#REF!</v>
      </c>
      <c r="D1032" s="51" t="str">
        <v/>
      </c>
      <c r="E1032" s="51" t="str">
        <v/>
      </c>
      <c r="F1032" s="52" t="e">
        <v>#REF!</v>
      </c>
      <c r="G1032" s="48" t="e">
        <v>#REF!</v>
      </c>
      <c r="H1032" s="49">
        <v>0</v>
      </c>
      <c r="I1032" s="49" t="e">
        <v>#REF!</v>
      </c>
      <c r="J1032" s="50"/>
    </row>
    <row r="1033" outlineLevel="1" spans="1:10">
      <c r="A1033" s="50">
        <v>122</v>
      </c>
      <c r="B1033" s="51" t="str">
        <v>自耦装置</v>
      </c>
      <c r="C1033" s="51" t="e">
        <v>#REF!</v>
      </c>
      <c r="D1033" s="51" t="str">
        <v/>
      </c>
      <c r="E1033" s="51" t="str">
        <v/>
      </c>
      <c r="F1033" s="52" t="e">
        <v>#REF!</v>
      </c>
      <c r="G1033" s="48" t="e">
        <v>#REF!</v>
      </c>
      <c r="H1033" s="49">
        <v>0</v>
      </c>
      <c r="I1033" s="49" t="e">
        <v>#REF!</v>
      </c>
      <c r="J1033" s="50"/>
    </row>
    <row r="1034" outlineLevel="1" spans="1:10">
      <c r="A1034" s="50" t="str">
        <v/>
      </c>
      <c r="B1034" s="51" t="str">
        <v>B.02.5卫生器具</v>
      </c>
      <c r="C1034" s="51" t="str">
        <v/>
      </c>
      <c r="D1034" s="51" t="str">
        <v/>
      </c>
      <c r="E1034" s="51" t="str">
        <v/>
      </c>
      <c r="F1034" s="52" t="str">
        <v/>
      </c>
      <c r="G1034" s="48" t="str">
        <v/>
      </c>
      <c r="H1034" s="49">
        <v>0</v>
      </c>
      <c r="I1034" s="49" t="e">
        <v>#REF!</v>
      </c>
      <c r="J1034" s="50"/>
    </row>
    <row r="1035" outlineLevel="1" spans="1:10">
      <c r="A1035" s="50">
        <v>123</v>
      </c>
      <c r="B1035" s="51" t="str">
        <v>铸铁地漏-DN100</v>
      </c>
      <c r="C1035" s="51" t="e">
        <v>#REF!</v>
      </c>
      <c r="D1035" s="51" t="str">
        <v/>
      </c>
      <c r="E1035" s="51" t="str">
        <v/>
      </c>
      <c r="F1035" s="52" t="e">
        <v>#REF!</v>
      </c>
      <c r="G1035" s="48" t="e">
        <v>#REF!</v>
      </c>
      <c r="H1035" s="49">
        <v>0</v>
      </c>
      <c r="I1035" s="49" t="e">
        <v>#REF!</v>
      </c>
      <c r="J1035" s="50"/>
    </row>
    <row r="1036" outlineLevel="1" spans="1:10">
      <c r="A1036" s="50">
        <v>124</v>
      </c>
      <c r="B1036" s="51" t="str">
        <v>铸铁地漏-DN75</v>
      </c>
      <c r="C1036" s="51" t="e">
        <v>#REF!</v>
      </c>
      <c r="D1036" s="51" t="str">
        <v/>
      </c>
      <c r="E1036" s="51" t="str">
        <v/>
      </c>
      <c r="F1036" s="52" t="e">
        <v>#REF!</v>
      </c>
      <c r="G1036" s="48" t="e">
        <v>#REF!</v>
      </c>
      <c r="H1036" s="49">
        <v>2</v>
      </c>
      <c r="I1036" s="49" t="e">
        <v>#REF!</v>
      </c>
      <c r="J1036" s="50"/>
    </row>
    <row r="1037" outlineLevel="1" spans="1:10">
      <c r="A1037" s="50">
        <v>125</v>
      </c>
      <c r="B1037" s="51" t="str">
        <v>铸铁地漏-DN50</v>
      </c>
      <c r="C1037" s="51" t="e">
        <v>#REF!</v>
      </c>
      <c r="D1037" s="51" t="str">
        <v/>
      </c>
      <c r="E1037" s="51" t="str">
        <v/>
      </c>
      <c r="F1037" s="52" t="e">
        <v>#REF!</v>
      </c>
      <c r="G1037" s="48" t="e">
        <v>#REF!</v>
      </c>
      <c r="H1037" s="49">
        <v>0</v>
      </c>
      <c r="I1037" s="49" t="e">
        <v>#REF!</v>
      </c>
      <c r="J1037" s="50"/>
    </row>
    <row r="1038" outlineLevel="1" spans="1:10">
      <c r="A1038" s="50">
        <v>126</v>
      </c>
      <c r="B1038" s="51" t="str">
        <v>防爆地漏-DN80</v>
      </c>
      <c r="C1038" s="51" t="e">
        <v>#REF!</v>
      </c>
      <c r="D1038" s="51" t="str">
        <v/>
      </c>
      <c r="E1038" s="51" t="str">
        <v/>
      </c>
      <c r="F1038" s="52" t="e">
        <v>#REF!</v>
      </c>
      <c r="G1038" s="48" t="e">
        <v>#REF!</v>
      </c>
      <c r="H1038" s="49">
        <v>0</v>
      </c>
      <c r="I1038" s="49" t="e">
        <v>#REF!</v>
      </c>
      <c r="J1038" s="50"/>
    </row>
    <row r="1039" outlineLevel="1" spans="1:10">
      <c r="A1039" s="50">
        <v>127</v>
      </c>
      <c r="B1039" s="51" t="str">
        <v>地面铸铁扫除口-DN80</v>
      </c>
      <c r="C1039" s="51" t="e">
        <v>#REF!</v>
      </c>
      <c r="D1039" s="51" t="str">
        <v/>
      </c>
      <c r="E1039" s="51" t="str">
        <v/>
      </c>
      <c r="F1039" s="52" t="e">
        <v>#REF!</v>
      </c>
      <c r="G1039" s="48" t="e">
        <v>#REF!</v>
      </c>
      <c r="H1039" s="49">
        <v>0</v>
      </c>
      <c r="I1039" s="49" t="e">
        <v>#REF!</v>
      </c>
      <c r="J1039" s="50"/>
    </row>
    <row r="1040" outlineLevel="1" spans="1:10">
      <c r="A1040" s="50" t="str">
        <v/>
      </c>
      <c r="B1040" s="51" t="str">
        <v>B.03地下预留预埋</v>
      </c>
      <c r="C1040" s="51" t="str">
        <v/>
      </c>
      <c r="D1040" s="51" t="str">
        <v/>
      </c>
      <c r="E1040" s="51" t="str">
        <v/>
      </c>
      <c r="F1040" s="52" t="str">
        <v/>
      </c>
      <c r="G1040" s="48" t="str">
        <v/>
      </c>
      <c r="H1040" s="49">
        <v>0</v>
      </c>
      <c r="I1040" s="49" t="e">
        <v>#REF!</v>
      </c>
      <c r="J1040" s="50"/>
    </row>
    <row r="1041" outlineLevel="1" spans="1:10">
      <c r="A1041" s="50" t="str">
        <v/>
      </c>
      <c r="B1041" s="51" t="str">
        <v>B.03.1给排水预留预埋</v>
      </c>
      <c r="C1041" s="51" t="str">
        <v/>
      </c>
      <c r="D1041" s="51" t="str">
        <v/>
      </c>
      <c r="E1041" s="51" t="str">
        <v/>
      </c>
      <c r="F1041" s="52" t="str">
        <v/>
      </c>
      <c r="G1041" s="48" t="str">
        <v/>
      </c>
      <c r="H1041" s="49">
        <v>0</v>
      </c>
      <c r="I1041" s="49" t="e">
        <v>#REF!</v>
      </c>
      <c r="J1041" s="50"/>
    </row>
    <row r="1042" outlineLevel="1" spans="1:10">
      <c r="A1042" s="50">
        <v>128</v>
      </c>
      <c r="B1042" s="51" t="str">
        <v>刚性防水套管-DN20</v>
      </c>
      <c r="C1042" s="51" t="e">
        <v>#REF!</v>
      </c>
      <c r="D1042" s="51" t="str">
        <v/>
      </c>
      <c r="E1042" s="51" t="str">
        <v/>
      </c>
      <c r="F1042" s="52" t="e">
        <v>#REF!</v>
      </c>
      <c r="G1042" s="48" t="e">
        <v>#REF!</v>
      </c>
      <c r="H1042" s="49">
        <v>1</v>
      </c>
      <c r="I1042" s="49" t="e">
        <v>#REF!</v>
      </c>
      <c r="J1042" s="50"/>
    </row>
    <row r="1043" outlineLevel="1" spans="1:10">
      <c r="A1043" s="50">
        <v>129</v>
      </c>
      <c r="B1043" s="51" t="str">
        <v>刚性防水套管-DN50</v>
      </c>
      <c r="C1043" s="51" t="e">
        <v>#REF!</v>
      </c>
      <c r="D1043" s="51" t="str">
        <v/>
      </c>
      <c r="E1043" s="51" t="str">
        <v/>
      </c>
      <c r="F1043" s="52" t="e">
        <v>#REF!</v>
      </c>
      <c r="G1043" s="48" t="e">
        <v>#REF!</v>
      </c>
      <c r="H1043" s="49">
        <v>1</v>
      </c>
      <c r="I1043" s="49" t="e">
        <v>#REF!</v>
      </c>
      <c r="J1043" s="50"/>
    </row>
    <row r="1044" outlineLevel="1" spans="1:10">
      <c r="A1044" s="50">
        <v>130</v>
      </c>
      <c r="B1044" s="51" t="str">
        <v>刚性防水套管-De63</v>
      </c>
      <c r="C1044" s="51" t="e">
        <v>#REF!</v>
      </c>
      <c r="D1044" s="51" t="str">
        <v/>
      </c>
      <c r="E1044" s="51" t="str">
        <v/>
      </c>
      <c r="F1044" s="52" t="e">
        <v>#REF!</v>
      </c>
      <c r="G1044" s="48" t="e">
        <v>#REF!</v>
      </c>
      <c r="H1044" s="49">
        <v>1</v>
      </c>
      <c r="I1044" s="49" t="e">
        <v>#REF!</v>
      </c>
      <c r="J1044" s="50"/>
    </row>
    <row r="1045" outlineLevel="1" spans="1:10">
      <c r="A1045" s="50">
        <v>131</v>
      </c>
      <c r="B1045" s="51" t="str">
        <v>刚性防水套管-De75</v>
      </c>
      <c r="C1045" s="51" t="e">
        <v>#REF!</v>
      </c>
      <c r="D1045" s="51" t="str">
        <v/>
      </c>
      <c r="E1045" s="51" t="str">
        <v/>
      </c>
      <c r="F1045" s="52" t="e">
        <v>#REF!</v>
      </c>
      <c r="G1045" s="48" t="e">
        <v>#REF!</v>
      </c>
      <c r="H1045" s="49">
        <v>4</v>
      </c>
      <c r="I1045" s="49" t="e">
        <v>#REF!</v>
      </c>
      <c r="J1045" s="50"/>
    </row>
    <row r="1046" outlineLevel="1" spans="1:10">
      <c r="A1046" s="50">
        <v>132</v>
      </c>
      <c r="B1046" s="51" t="str">
        <v>刚性防水套管-DN80</v>
      </c>
      <c r="C1046" s="51" t="e">
        <v>#REF!</v>
      </c>
      <c r="D1046" s="51" t="str">
        <v/>
      </c>
      <c r="E1046" s="51" t="str">
        <v/>
      </c>
      <c r="F1046" s="52" t="e">
        <v>#REF!</v>
      </c>
      <c r="G1046" s="48" t="e">
        <v>#REF!</v>
      </c>
      <c r="H1046" s="49">
        <v>1</v>
      </c>
      <c r="I1046" s="49" t="e">
        <v>#REF!</v>
      </c>
      <c r="J1046" s="50"/>
    </row>
    <row r="1047" outlineLevel="1" spans="1:10">
      <c r="A1047" s="50">
        <v>133</v>
      </c>
      <c r="B1047" s="51" t="str">
        <v>刚性防水套管-De110</v>
      </c>
      <c r="C1047" s="51" t="e">
        <v>#REF!</v>
      </c>
      <c r="D1047" s="51" t="str">
        <v/>
      </c>
      <c r="E1047" s="51" t="str">
        <v/>
      </c>
      <c r="F1047" s="52" t="e">
        <v>#REF!</v>
      </c>
      <c r="G1047" s="48" t="e">
        <v>#REF!</v>
      </c>
      <c r="H1047" s="49">
        <v>6</v>
      </c>
      <c r="I1047" s="49" t="e">
        <v>#REF!</v>
      </c>
      <c r="J1047" s="50"/>
    </row>
    <row r="1048" outlineLevel="1" spans="1:10">
      <c r="A1048" s="50">
        <v>134</v>
      </c>
      <c r="B1048" s="51" t="str">
        <v>刚性防水套管-DN100</v>
      </c>
      <c r="C1048" s="51" t="e">
        <v>#REF!</v>
      </c>
      <c r="D1048" s="51" t="str">
        <v/>
      </c>
      <c r="E1048" s="51" t="str">
        <v/>
      </c>
      <c r="F1048" s="52" t="e">
        <v>#REF!</v>
      </c>
      <c r="G1048" s="48" t="e">
        <v>#REF!</v>
      </c>
      <c r="H1048" s="49">
        <v>0</v>
      </c>
      <c r="I1048" s="49" t="e">
        <v>#REF!</v>
      </c>
      <c r="J1048" s="50"/>
    </row>
    <row r="1049" outlineLevel="1" spans="1:10">
      <c r="A1049" s="50">
        <v>135</v>
      </c>
      <c r="B1049" s="51" t="str">
        <v>刚性防水套管-De160</v>
      </c>
      <c r="C1049" s="51" t="e">
        <v>#REF!</v>
      </c>
      <c r="D1049" s="51" t="str">
        <v/>
      </c>
      <c r="E1049" s="51" t="str">
        <v/>
      </c>
      <c r="F1049" s="52" t="e">
        <v>#REF!</v>
      </c>
      <c r="G1049" s="48" t="e">
        <v>#REF!</v>
      </c>
      <c r="H1049" s="49">
        <v>16</v>
      </c>
      <c r="I1049" s="49" t="e">
        <v>#REF!</v>
      </c>
      <c r="J1049" s="50"/>
    </row>
    <row r="1050" outlineLevel="1" spans="1:10">
      <c r="A1050" s="50">
        <v>136</v>
      </c>
      <c r="B1050" s="51" t="str">
        <v>刚性防水套管-DN125</v>
      </c>
      <c r="C1050" s="51" t="e">
        <v>#REF!</v>
      </c>
      <c r="D1050" s="51" t="str">
        <v/>
      </c>
      <c r="E1050" s="51" t="str">
        <v/>
      </c>
      <c r="F1050" s="52" t="e">
        <v>#REF!</v>
      </c>
      <c r="G1050" s="48" t="e">
        <v>#REF!</v>
      </c>
      <c r="H1050" s="49">
        <v>0</v>
      </c>
      <c r="I1050" s="49" t="e">
        <v>#REF!</v>
      </c>
      <c r="J1050" s="50"/>
    </row>
    <row r="1051" outlineLevel="1" spans="1:10">
      <c r="A1051" s="50">
        <v>137</v>
      </c>
      <c r="B1051" s="51" t="str">
        <v>刚性防水套管-DN150</v>
      </c>
      <c r="C1051" s="51" t="e">
        <v>#REF!</v>
      </c>
      <c r="D1051" s="51" t="str">
        <v/>
      </c>
      <c r="E1051" s="51" t="str">
        <v/>
      </c>
      <c r="F1051" s="52" t="e">
        <v>#REF!</v>
      </c>
      <c r="G1051" s="48" t="e">
        <v>#REF!</v>
      </c>
      <c r="H1051" s="49">
        <v>0</v>
      </c>
      <c r="I1051" s="49" t="e">
        <v>#REF!</v>
      </c>
      <c r="J1051" s="50"/>
    </row>
    <row r="1052" outlineLevel="1" spans="1:10">
      <c r="A1052" s="50">
        <v>138</v>
      </c>
      <c r="B1052" s="51" t="str">
        <v>刚性防水套管-DN200</v>
      </c>
      <c r="C1052" s="51" t="e">
        <v>#REF!</v>
      </c>
      <c r="D1052" s="51" t="str">
        <v/>
      </c>
      <c r="E1052" s="51" t="str">
        <v/>
      </c>
      <c r="F1052" s="52" t="e">
        <v>#REF!</v>
      </c>
      <c r="G1052" s="48" t="e">
        <v>#REF!</v>
      </c>
      <c r="H1052" s="49">
        <v>0</v>
      </c>
      <c r="I1052" s="49" t="e">
        <v>#REF!</v>
      </c>
      <c r="J1052" s="50"/>
    </row>
    <row r="1053" outlineLevel="1" spans="1:10">
      <c r="A1053" s="50">
        <v>139</v>
      </c>
      <c r="B1053" s="51" t="str">
        <v>刚性防水套管-DN250</v>
      </c>
      <c r="C1053" s="51" t="e">
        <v>#REF!</v>
      </c>
      <c r="D1053" s="51" t="str">
        <v/>
      </c>
      <c r="E1053" s="51" t="str">
        <v/>
      </c>
      <c r="F1053" s="52" t="e">
        <v>#REF!</v>
      </c>
      <c r="G1053" s="48" t="e">
        <v>#REF!</v>
      </c>
      <c r="H1053" s="49">
        <v>0</v>
      </c>
      <c r="I1053" s="49" t="e">
        <v>#REF!</v>
      </c>
      <c r="J1053" s="50"/>
    </row>
    <row r="1054" outlineLevel="1" spans="1:10">
      <c r="A1054" s="50">
        <v>140</v>
      </c>
      <c r="B1054" s="51" t="str">
        <v>刚性防水套管-DN300</v>
      </c>
      <c r="C1054" s="51" t="e">
        <v>#REF!</v>
      </c>
      <c r="D1054" s="51" t="str">
        <v/>
      </c>
      <c r="E1054" s="51" t="str">
        <v/>
      </c>
      <c r="F1054" s="52" t="e">
        <v>#REF!</v>
      </c>
      <c r="G1054" s="48" t="e">
        <v>#REF!</v>
      </c>
      <c r="H1054" s="49">
        <v>0</v>
      </c>
      <c r="I1054" s="49" t="e">
        <v>#REF!</v>
      </c>
      <c r="J1054" s="50"/>
    </row>
    <row r="1055" outlineLevel="1" spans="1:10">
      <c r="A1055" s="50" t="str">
        <v/>
      </c>
      <c r="B1055" s="51" t="str">
        <v>B.03.2消防预留预埋</v>
      </c>
      <c r="C1055" s="51" t="str">
        <v/>
      </c>
      <c r="D1055" s="51" t="str">
        <v/>
      </c>
      <c r="E1055" s="51" t="str">
        <v/>
      </c>
      <c r="F1055" s="52" t="str">
        <v/>
      </c>
      <c r="G1055" s="48" t="str">
        <v/>
      </c>
      <c r="H1055" s="49">
        <v>0</v>
      </c>
      <c r="I1055" s="49" t="e">
        <v>#REF!</v>
      </c>
      <c r="J1055" s="50"/>
    </row>
    <row r="1056" outlineLevel="1" spans="1:10">
      <c r="A1056" s="50">
        <v>141</v>
      </c>
      <c r="B1056" s="51" t="str">
        <v>刚性防水套管-DN100</v>
      </c>
      <c r="C1056" s="51" t="e">
        <v>#REF!</v>
      </c>
      <c r="D1056" s="51" t="str">
        <v/>
      </c>
      <c r="E1056" s="51" t="str">
        <v/>
      </c>
      <c r="F1056" s="52" t="e">
        <v>#REF!</v>
      </c>
      <c r="G1056" s="48" t="e">
        <v>#REF!</v>
      </c>
      <c r="H1056" s="49">
        <v>1</v>
      </c>
      <c r="I1056" s="49" t="e">
        <v>#REF!</v>
      </c>
      <c r="J1056" s="50"/>
    </row>
    <row r="1057" outlineLevel="1" spans="1:10">
      <c r="A1057" s="50">
        <v>142</v>
      </c>
      <c r="B1057" s="51" t="str">
        <v>刚性防水套管-DN150</v>
      </c>
      <c r="C1057" s="51" t="e">
        <v>#REF!</v>
      </c>
      <c r="D1057" s="51" t="str">
        <v/>
      </c>
      <c r="E1057" s="51" t="str">
        <v/>
      </c>
      <c r="F1057" s="52" t="e">
        <v>#REF!</v>
      </c>
      <c r="G1057" s="48" t="e">
        <v>#REF!</v>
      </c>
      <c r="H1057" s="49">
        <v>0</v>
      </c>
      <c r="I1057" s="49" t="e">
        <v>#REF!</v>
      </c>
      <c r="J1057" s="50"/>
    </row>
    <row r="1058" outlineLevel="1" spans="1:10">
      <c r="A1058" s="50">
        <v>143</v>
      </c>
      <c r="B1058" s="51" t="str">
        <v>柔性防水套管-DN50</v>
      </c>
      <c r="C1058" s="51" t="e">
        <v>#REF!</v>
      </c>
      <c r="D1058" s="51" t="str">
        <v/>
      </c>
      <c r="E1058" s="51" t="str">
        <v/>
      </c>
      <c r="F1058" s="52" t="e">
        <v>#REF!</v>
      </c>
      <c r="G1058" s="48" t="e">
        <v>#REF!</v>
      </c>
      <c r="H1058" s="49">
        <v>0</v>
      </c>
      <c r="I1058" s="49" t="e">
        <v>#REF!</v>
      </c>
      <c r="J1058" s="50"/>
    </row>
    <row r="1059" outlineLevel="1" spans="1:10">
      <c r="A1059" s="50">
        <v>144</v>
      </c>
      <c r="B1059" s="51" t="str">
        <v>柔性防水套管-DN65</v>
      </c>
      <c r="C1059" s="51" t="e">
        <v>#REF!</v>
      </c>
      <c r="D1059" s="51" t="str">
        <v/>
      </c>
      <c r="E1059" s="51" t="str">
        <v/>
      </c>
      <c r="F1059" s="52" t="e">
        <v>#REF!</v>
      </c>
      <c r="G1059" s="48" t="e">
        <v>#REF!</v>
      </c>
      <c r="H1059" s="49">
        <v>0</v>
      </c>
      <c r="I1059" s="49" t="e">
        <v>#REF!</v>
      </c>
      <c r="J1059" s="50"/>
    </row>
    <row r="1060" outlineLevel="1" spans="1:10">
      <c r="A1060" s="50">
        <v>145</v>
      </c>
      <c r="B1060" s="51" t="str">
        <v>柔性防水套管-DN80</v>
      </c>
      <c r="C1060" s="51" t="e">
        <v>#REF!</v>
      </c>
      <c r="D1060" s="51" t="str">
        <v/>
      </c>
      <c r="E1060" s="51" t="str">
        <v/>
      </c>
      <c r="F1060" s="52" t="e">
        <v>#REF!</v>
      </c>
      <c r="G1060" s="48" t="e">
        <v>#REF!</v>
      </c>
      <c r="H1060" s="49">
        <v>0</v>
      </c>
      <c r="I1060" s="49" t="e">
        <v>#REF!</v>
      </c>
      <c r="J1060" s="50"/>
    </row>
    <row r="1061" outlineLevel="1" spans="1:10">
      <c r="A1061" s="50">
        <v>146</v>
      </c>
      <c r="B1061" s="51" t="str">
        <v>柔性防水套管-DN100</v>
      </c>
      <c r="C1061" s="51" t="e">
        <v>#REF!</v>
      </c>
      <c r="D1061" s="51" t="str">
        <v/>
      </c>
      <c r="E1061" s="51" t="str">
        <v/>
      </c>
      <c r="F1061" s="52" t="e">
        <v>#REF!</v>
      </c>
      <c r="G1061" s="48" t="e">
        <v>#REF!</v>
      </c>
      <c r="H1061" s="49">
        <v>0</v>
      </c>
      <c r="I1061" s="49" t="e">
        <v>#REF!</v>
      </c>
      <c r="J1061" s="50"/>
    </row>
    <row r="1062" outlineLevel="1" spans="1:10">
      <c r="A1062" s="50">
        <v>147</v>
      </c>
      <c r="B1062" s="51" t="str">
        <v>柔性防水套管-DN125</v>
      </c>
      <c r="C1062" s="51" t="e">
        <v>#REF!</v>
      </c>
      <c r="D1062" s="51" t="str">
        <v/>
      </c>
      <c r="E1062" s="51" t="str">
        <v/>
      </c>
      <c r="F1062" s="52" t="e">
        <v>#REF!</v>
      </c>
      <c r="G1062" s="48" t="e">
        <v>#REF!</v>
      </c>
      <c r="H1062" s="49">
        <v>0</v>
      </c>
      <c r="I1062" s="49" t="e">
        <v>#REF!</v>
      </c>
      <c r="J1062" s="50"/>
    </row>
    <row r="1063" outlineLevel="1" spans="1:10">
      <c r="A1063" s="50">
        <v>148</v>
      </c>
      <c r="B1063" s="51" t="str">
        <v>柔性防水套管-DN150</v>
      </c>
      <c r="C1063" s="51" t="e">
        <v>#REF!</v>
      </c>
      <c r="D1063" s="51" t="str">
        <v/>
      </c>
      <c r="E1063" s="51" t="str">
        <v/>
      </c>
      <c r="F1063" s="52" t="e">
        <v>#REF!</v>
      </c>
      <c r="G1063" s="48" t="e">
        <v>#REF!</v>
      </c>
      <c r="H1063" s="49">
        <v>0</v>
      </c>
      <c r="I1063" s="49" t="e">
        <v>#REF!</v>
      </c>
      <c r="J1063" s="50"/>
    </row>
    <row r="1064" outlineLevel="1" spans="1:10">
      <c r="A1064" s="50">
        <v>149</v>
      </c>
      <c r="B1064" s="51" t="str">
        <v>柔性防水套管-DN200</v>
      </c>
      <c r="C1064" s="51" t="e">
        <v>#REF!</v>
      </c>
      <c r="D1064" s="51" t="str">
        <v/>
      </c>
      <c r="E1064" s="51" t="str">
        <v/>
      </c>
      <c r="F1064" s="52" t="e">
        <v>#REF!</v>
      </c>
      <c r="G1064" s="48" t="e">
        <v>#REF!</v>
      </c>
      <c r="H1064" s="49">
        <v>0</v>
      </c>
      <c r="I1064" s="49" t="e">
        <v>#REF!</v>
      </c>
      <c r="J1064" s="50"/>
    </row>
    <row r="1065" outlineLevel="1" spans="1:10">
      <c r="A1065" s="50">
        <v>150</v>
      </c>
      <c r="B1065" s="51" t="str">
        <v>柔性防水套管-DN250</v>
      </c>
      <c r="C1065" s="51" t="e">
        <v>#REF!</v>
      </c>
      <c r="D1065" s="51" t="str">
        <v/>
      </c>
      <c r="E1065" s="51" t="str">
        <v/>
      </c>
      <c r="F1065" s="52" t="e">
        <v>#REF!</v>
      </c>
      <c r="G1065" s="48" t="e">
        <v>#REF!</v>
      </c>
      <c r="H1065" s="49">
        <v>0</v>
      </c>
      <c r="I1065" s="49" t="e">
        <v>#REF!</v>
      </c>
      <c r="J1065" s="50"/>
    </row>
    <row r="1066" outlineLevel="1" spans="1:10">
      <c r="A1066" s="50">
        <v>151</v>
      </c>
      <c r="B1066" s="51" t="str">
        <v>柔性防水套管-DN300</v>
      </c>
      <c r="C1066" s="51" t="e">
        <v>#REF!</v>
      </c>
      <c r="D1066" s="51" t="str">
        <v/>
      </c>
      <c r="E1066" s="51" t="str">
        <v/>
      </c>
      <c r="F1066" s="52" t="e">
        <v>#REF!</v>
      </c>
      <c r="G1066" s="48" t="e">
        <v>#REF!</v>
      </c>
      <c r="H1066" s="49">
        <v>0</v>
      </c>
      <c r="I1066" s="49" t="e">
        <v>#REF!</v>
      </c>
      <c r="J1066" s="50"/>
    </row>
    <row r="1067" outlineLevel="1" spans="1:10">
      <c r="A1067" s="50">
        <v>152</v>
      </c>
      <c r="B1067" s="51" t="str">
        <v>柔性防水套管-DN350</v>
      </c>
      <c r="C1067" s="51" t="e">
        <v>#REF!</v>
      </c>
      <c r="D1067" s="51" t="str">
        <v/>
      </c>
      <c r="E1067" s="51" t="str">
        <v/>
      </c>
      <c r="F1067" s="52" t="e">
        <v>#REF!</v>
      </c>
      <c r="G1067" s="48" t="e">
        <v>#REF!</v>
      </c>
      <c r="H1067" s="49">
        <v>0</v>
      </c>
      <c r="I1067" s="49" t="e">
        <v>#REF!</v>
      </c>
      <c r="J1067" s="50"/>
    </row>
    <row r="1068" outlineLevel="1" spans="1:10">
      <c r="A1068" s="50">
        <v>153</v>
      </c>
      <c r="B1068" s="51" t="str">
        <v>柔性防水套管-DN400</v>
      </c>
      <c r="C1068" s="51" t="e">
        <v>#REF!</v>
      </c>
      <c r="D1068" s="51" t="str">
        <v/>
      </c>
      <c r="E1068" s="51" t="str">
        <v/>
      </c>
      <c r="F1068" s="52" t="e">
        <v>#REF!</v>
      </c>
      <c r="G1068" s="48" t="e">
        <v>#REF!</v>
      </c>
      <c r="H1068" s="49">
        <v>0</v>
      </c>
      <c r="I1068" s="49" t="e">
        <v>#REF!</v>
      </c>
      <c r="J1068" s="50"/>
    </row>
    <row r="1069" outlineLevel="1" spans="1:10">
      <c r="A1069" s="50">
        <v>154</v>
      </c>
      <c r="B1069" s="51" t="str">
        <v>消防钢套管-DN65</v>
      </c>
      <c r="C1069" s="51" t="e">
        <v>#REF!</v>
      </c>
      <c r="D1069" s="51" t="str">
        <v/>
      </c>
      <c r="E1069" s="51" t="str">
        <v/>
      </c>
      <c r="F1069" s="52" t="e">
        <v>#REF!</v>
      </c>
      <c r="G1069" s="48" t="e">
        <v>#REF!</v>
      </c>
      <c r="H1069" s="49">
        <v>0</v>
      </c>
      <c r="I1069" s="49" t="e">
        <v>#REF!</v>
      </c>
      <c r="J1069" s="50"/>
    </row>
    <row r="1070" outlineLevel="1" spans="1:10">
      <c r="A1070" s="50">
        <v>155</v>
      </c>
      <c r="B1070" s="51" t="str">
        <v>消防钢套管-DN150</v>
      </c>
      <c r="C1070" s="51" t="e">
        <v>#REF!</v>
      </c>
      <c r="D1070" s="51" t="str">
        <v/>
      </c>
      <c r="E1070" s="51" t="str">
        <v/>
      </c>
      <c r="F1070" s="52" t="e">
        <v>#REF!</v>
      </c>
      <c r="G1070" s="48" t="e">
        <v>#REF!</v>
      </c>
      <c r="H1070" s="49">
        <v>0</v>
      </c>
      <c r="I1070" s="49" t="e">
        <v>#REF!</v>
      </c>
      <c r="J1070" s="50"/>
    </row>
    <row r="1071" outlineLevel="1" spans="1:10">
      <c r="A1071" s="50">
        <v>156</v>
      </c>
      <c r="B1071" s="51" t="str">
        <v>消防钢套管-DN250</v>
      </c>
      <c r="C1071" s="51" t="e">
        <v>#REF!</v>
      </c>
      <c r="D1071" s="51" t="str">
        <v/>
      </c>
      <c r="E1071" s="51" t="str">
        <v/>
      </c>
      <c r="F1071" s="52" t="e">
        <v>#REF!</v>
      </c>
      <c r="G1071" s="48" t="e">
        <v>#REF!</v>
      </c>
      <c r="H1071" s="49">
        <v>0</v>
      </c>
      <c r="I1071" s="49" t="e">
        <v>#REF!</v>
      </c>
      <c r="J1071" s="50"/>
    </row>
    <row r="1072" outlineLevel="1" spans="1:10">
      <c r="A1072" s="50" t="str">
        <v/>
      </c>
      <c r="B1072" s="51" t="str">
        <v>地上给排水</v>
      </c>
      <c r="C1072" s="51" t="str">
        <v/>
      </c>
      <c r="D1072" s="51" t="str">
        <v/>
      </c>
      <c r="E1072" s="51" t="str">
        <v/>
      </c>
      <c r="F1072" s="52" t="str">
        <v/>
      </c>
      <c r="G1072" s="48" t="str">
        <v/>
      </c>
      <c r="H1072" s="49">
        <v>0</v>
      </c>
      <c r="I1072" s="49" t="e">
        <v>#REF!</v>
      </c>
      <c r="J1072" s="50"/>
    </row>
    <row r="1073" outlineLevel="1" spans="1:10">
      <c r="A1073" s="50" t="str">
        <v/>
      </c>
      <c r="B1073" s="51" t="str">
        <v>B.04地上户内给水</v>
      </c>
      <c r="C1073" s="51" t="str">
        <v/>
      </c>
      <c r="D1073" s="51" t="str">
        <v/>
      </c>
      <c r="E1073" s="51" t="str">
        <v/>
      </c>
      <c r="F1073" s="52" t="str">
        <v/>
      </c>
      <c r="G1073" s="48" t="str">
        <v/>
      </c>
      <c r="H1073" s="49">
        <v>0</v>
      </c>
      <c r="I1073" s="49" t="e">
        <v>#REF!</v>
      </c>
      <c r="J1073" s="50"/>
    </row>
    <row r="1074" outlineLevel="1" spans="1:10">
      <c r="A1074" s="50" t="str">
        <v/>
      </c>
      <c r="B1074" s="51" t="str">
        <v>B.04.1阀部件</v>
      </c>
      <c r="C1074" s="51" t="str">
        <v/>
      </c>
      <c r="D1074" s="51" t="str">
        <v/>
      </c>
      <c r="E1074" s="51" t="str">
        <v/>
      </c>
      <c r="F1074" s="52" t="str">
        <v/>
      </c>
      <c r="G1074" s="48" t="str">
        <v/>
      </c>
      <c r="H1074" s="49">
        <v>0</v>
      </c>
      <c r="I1074" s="49" t="e">
        <v>#REF!</v>
      </c>
      <c r="J1074" s="50"/>
    </row>
    <row r="1075" outlineLevel="1" spans="1:10">
      <c r="A1075" s="50">
        <v>157</v>
      </c>
      <c r="B1075" s="51" t="str">
        <v>螺纹阀门-截止阀-De32</v>
      </c>
      <c r="C1075" s="51" t="e">
        <v>#REF!</v>
      </c>
      <c r="D1075" s="51" t="str">
        <v/>
      </c>
      <c r="E1075" s="51" t="str">
        <v/>
      </c>
      <c r="F1075" s="52" t="e">
        <v>#REF!</v>
      </c>
      <c r="G1075" s="48" t="e">
        <v>#REF!</v>
      </c>
      <c r="H1075" s="49">
        <v>0</v>
      </c>
      <c r="I1075" s="49" t="e">
        <v>#REF!</v>
      </c>
      <c r="J1075" s="50"/>
    </row>
    <row r="1076" outlineLevel="1" spans="1:10">
      <c r="A1076" s="50">
        <v>158</v>
      </c>
      <c r="B1076" s="51" t="str">
        <v>螺纹阀门-截止阀-De25</v>
      </c>
      <c r="C1076" s="51" t="e">
        <v>#REF!</v>
      </c>
      <c r="D1076" s="51" t="str">
        <v/>
      </c>
      <c r="E1076" s="51" t="str">
        <v/>
      </c>
      <c r="F1076" s="52" t="e">
        <v>#REF!</v>
      </c>
      <c r="G1076" s="48" t="e">
        <v>#REF!</v>
      </c>
      <c r="H1076" s="49">
        <v>44</v>
      </c>
      <c r="I1076" s="49" t="e">
        <v>#REF!</v>
      </c>
      <c r="J1076" s="50"/>
    </row>
    <row r="1077" outlineLevel="1" spans="1:10">
      <c r="A1077" s="50">
        <v>159</v>
      </c>
      <c r="B1077" s="51" t="str">
        <v>螺纹阀门-截止阀-De20</v>
      </c>
      <c r="C1077" s="51" t="e">
        <v>#REF!</v>
      </c>
      <c r="D1077" s="51" t="str">
        <v/>
      </c>
      <c r="E1077" s="51" t="str">
        <v/>
      </c>
      <c r="F1077" s="52" t="e">
        <v>#REF!</v>
      </c>
      <c r="G1077" s="48" t="e">
        <v>#REF!</v>
      </c>
      <c r="H1077" s="49">
        <v>48</v>
      </c>
      <c r="I1077" s="49" t="e">
        <v>#REF!</v>
      </c>
      <c r="J1077" s="50"/>
    </row>
    <row r="1078" outlineLevel="1" spans="1:10">
      <c r="A1078" s="50">
        <v>160</v>
      </c>
      <c r="B1078" s="51" t="str">
        <v>倒流防止器-De25</v>
      </c>
      <c r="C1078" s="51" t="e">
        <v>#REF!</v>
      </c>
      <c r="D1078" s="51" t="str">
        <v/>
      </c>
      <c r="E1078" s="51" t="str">
        <v/>
      </c>
      <c r="F1078" s="52" t="e">
        <v>#REF!</v>
      </c>
      <c r="G1078" s="48" t="e">
        <v>#REF!</v>
      </c>
      <c r="H1078" s="49">
        <v>48</v>
      </c>
      <c r="I1078" s="49" t="e">
        <v>#REF!</v>
      </c>
      <c r="J1078" s="50"/>
    </row>
    <row r="1079" outlineLevel="1" spans="1:10">
      <c r="A1079" s="50">
        <v>161</v>
      </c>
      <c r="B1079" s="51" t="str">
        <v>螺纹阀门-止回阀-De20</v>
      </c>
      <c r="C1079" s="51" t="e">
        <v>#REF!</v>
      </c>
      <c r="D1079" s="51" t="str">
        <v/>
      </c>
      <c r="E1079" s="51" t="str">
        <v/>
      </c>
      <c r="F1079" s="52" t="e">
        <v>#REF!</v>
      </c>
      <c r="G1079" s="48" t="e">
        <v>#REF!</v>
      </c>
      <c r="H1079" s="49">
        <v>1</v>
      </c>
      <c r="I1079" s="49" t="e">
        <v>#REF!</v>
      </c>
      <c r="J1079" s="50"/>
    </row>
    <row r="1080" outlineLevel="1" spans="1:10">
      <c r="A1080" s="50" t="str">
        <v/>
      </c>
      <c r="B1080" s="51" t="str">
        <v>B.04.2给水管道</v>
      </c>
      <c r="C1080" s="51" t="str">
        <v/>
      </c>
      <c r="D1080" s="51" t="str">
        <v/>
      </c>
      <c r="E1080" s="51" t="str">
        <v/>
      </c>
      <c r="F1080" s="52" t="str">
        <v/>
      </c>
      <c r="G1080" s="48" t="str">
        <v/>
      </c>
      <c r="H1080" s="49">
        <v>0</v>
      </c>
      <c r="I1080" s="49" t="e">
        <v>#REF!</v>
      </c>
      <c r="J1080" s="50"/>
    </row>
    <row r="1081" ht="28.8" outlineLevel="1" spans="1:10">
      <c r="A1081" s="50">
        <v>162</v>
      </c>
      <c r="B1081" s="51" t="str">
        <v>室内给水塑料管-PPR-De20-热熔</v>
      </c>
      <c r="C1081" s="51" t="e">
        <v>#REF!</v>
      </c>
      <c r="D1081" s="51" t="str">
        <v/>
      </c>
      <c r="E1081" s="51" t="str">
        <v/>
      </c>
      <c r="F1081" s="52" t="e">
        <v>#REF!</v>
      </c>
      <c r="G1081" s="48" t="e">
        <v>#REF!</v>
      </c>
      <c r="H1081" s="49">
        <v>1756.38</v>
      </c>
      <c r="I1081" s="49" t="e">
        <v>#REF!</v>
      </c>
      <c r="J1081" s="50"/>
    </row>
    <row r="1082" ht="28.8" outlineLevel="1" spans="1:10">
      <c r="A1082" s="50">
        <v>163</v>
      </c>
      <c r="B1082" s="51" t="str">
        <v>室内给水塑料管-PPR-De25-热熔</v>
      </c>
      <c r="C1082" s="51" t="e">
        <v>#REF!</v>
      </c>
      <c r="D1082" s="51" t="str">
        <v/>
      </c>
      <c r="E1082" s="51" t="str">
        <v/>
      </c>
      <c r="F1082" s="52" t="e">
        <v>#REF!</v>
      </c>
      <c r="G1082" s="48" t="e">
        <v>#REF!</v>
      </c>
      <c r="H1082" s="49">
        <v>965.74</v>
      </c>
      <c r="I1082" s="49" t="e">
        <v>#REF!</v>
      </c>
      <c r="J1082" s="50"/>
    </row>
    <row r="1083" ht="28.8" outlineLevel="1" spans="1:10">
      <c r="A1083" s="50">
        <v>164</v>
      </c>
      <c r="B1083" s="51" t="str">
        <v>室内给水塑料管-PPR-De32-热熔</v>
      </c>
      <c r="C1083" s="51" t="e">
        <v>#REF!</v>
      </c>
      <c r="D1083" s="51" t="str">
        <v/>
      </c>
      <c r="E1083" s="51" t="str">
        <v/>
      </c>
      <c r="F1083" s="52" t="e">
        <v>#REF!</v>
      </c>
      <c r="G1083" s="48" t="e">
        <v>#REF!</v>
      </c>
      <c r="H1083" s="49">
        <v>0</v>
      </c>
      <c r="I1083" s="49" t="e">
        <v>#REF!</v>
      </c>
      <c r="J1083" s="50"/>
    </row>
    <row r="1084" ht="28.8" outlineLevel="1" spans="1:10">
      <c r="A1084" s="50">
        <v>165</v>
      </c>
      <c r="B1084" s="51" t="str">
        <v>室内给水塑料管-PPR-De40-热熔</v>
      </c>
      <c r="C1084" s="51" t="e">
        <v>#REF!</v>
      </c>
      <c r="D1084" s="51" t="str">
        <v/>
      </c>
      <c r="E1084" s="51" t="str">
        <v/>
      </c>
      <c r="F1084" s="52" t="e">
        <v>#REF!</v>
      </c>
      <c r="G1084" s="48" t="e">
        <v>#REF!</v>
      </c>
      <c r="H1084" s="49">
        <v>0</v>
      </c>
      <c r="I1084" s="49" t="e">
        <v>#REF!</v>
      </c>
      <c r="J1084" s="50"/>
    </row>
    <row r="1085" ht="28.8" outlineLevel="1" spans="1:10">
      <c r="A1085" s="50">
        <v>166</v>
      </c>
      <c r="B1085" s="51" t="str">
        <v>室内给水塑料管-PPR-De50-热熔</v>
      </c>
      <c r="C1085" s="51" t="e">
        <v>#REF!</v>
      </c>
      <c r="D1085" s="51" t="str">
        <v/>
      </c>
      <c r="E1085" s="51" t="str">
        <v/>
      </c>
      <c r="F1085" s="52" t="e">
        <v>#REF!</v>
      </c>
      <c r="G1085" s="48" t="e">
        <v>#REF!</v>
      </c>
      <c r="H1085" s="49">
        <v>0</v>
      </c>
      <c r="I1085" s="49" t="e">
        <v>#REF!</v>
      </c>
      <c r="J1085" s="50"/>
    </row>
    <row r="1086" ht="28.8" outlineLevel="1" spans="1:10">
      <c r="A1086" s="50">
        <v>167</v>
      </c>
      <c r="B1086" s="51" t="str">
        <v>室内给水塑料管-PPR-De63-热熔</v>
      </c>
      <c r="C1086" s="51" t="e">
        <v>#REF!</v>
      </c>
      <c r="D1086" s="51" t="str">
        <v/>
      </c>
      <c r="E1086" s="51" t="str">
        <v/>
      </c>
      <c r="F1086" s="52" t="e">
        <v>#REF!</v>
      </c>
      <c r="G1086" s="48" t="e">
        <v>#REF!</v>
      </c>
      <c r="H1086" s="49">
        <v>0</v>
      </c>
      <c r="I1086" s="49" t="e">
        <v>#REF!</v>
      </c>
      <c r="J1086" s="50"/>
    </row>
    <row r="1087" ht="28.8" outlineLevel="1" spans="1:10">
      <c r="A1087" s="50">
        <v>168</v>
      </c>
      <c r="B1087" s="51" t="str">
        <v>室内给水塑料管-PPR-De20（S3.2）-热熔</v>
      </c>
      <c r="C1087" s="51" t="e">
        <v>#REF!</v>
      </c>
      <c r="D1087" s="51" t="str">
        <v/>
      </c>
      <c r="E1087" s="51" t="str">
        <v/>
      </c>
      <c r="F1087" s="52" t="e">
        <v>#REF!</v>
      </c>
      <c r="G1087" s="48" t="e">
        <v>#REF!</v>
      </c>
      <c r="H1087" s="49">
        <v>1622.11</v>
      </c>
      <c r="I1087" s="49" t="e">
        <v>#REF!</v>
      </c>
      <c r="J1087" s="50"/>
    </row>
    <row r="1088" ht="28.8" outlineLevel="1" spans="1:10">
      <c r="A1088" s="50">
        <v>169</v>
      </c>
      <c r="B1088" s="51" t="str">
        <v>室内给水塑料管-PPR-De25（S3.2）-热熔</v>
      </c>
      <c r="C1088" s="51" t="e">
        <v>#REF!</v>
      </c>
      <c r="D1088" s="51" t="str">
        <v/>
      </c>
      <c r="E1088" s="51" t="str">
        <v/>
      </c>
      <c r="F1088" s="52" t="e">
        <v>#REF!</v>
      </c>
      <c r="G1088" s="48" t="e">
        <v>#REF!</v>
      </c>
      <c r="H1088" s="49">
        <v>1</v>
      </c>
      <c r="I1088" s="49" t="e">
        <v>#REF!</v>
      </c>
      <c r="J1088" s="50"/>
    </row>
    <row r="1089" ht="28.8" outlineLevel="1" spans="1:10">
      <c r="A1089" s="50">
        <v>170</v>
      </c>
      <c r="B1089" s="51" t="str">
        <v>室内给水塑料管-PPR-De32（S3.2）-热熔</v>
      </c>
      <c r="C1089" s="51" t="e">
        <v>#REF!</v>
      </c>
      <c r="D1089" s="51" t="str">
        <v/>
      </c>
      <c r="E1089" s="51" t="str">
        <v/>
      </c>
      <c r="F1089" s="52" t="e">
        <v>#REF!</v>
      </c>
      <c r="G1089" s="48" t="e">
        <v>#REF!</v>
      </c>
      <c r="H1089" s="49">
        <v>0</v>
      </c>
      <c r="I1089" s="49" t="e">
        <v>#REF!</v>
      </c>
      <c r="J1089" s="50"/>
    </row>
    <row r="1090" outlineLevel="1" spans="1:10">
      <c r="A1090" s="50" t="str">
        <v/>
      </c>
      <c r="B1090" s="51" t="str">
        <v>B.05地上户内排水</v>
      </c>
      <c r="C1090" s="51" t="str">
        <v/>
      </c>
      <c r="D1090" s="51" t="str">
        <v/>
      </c>
      <c r="E1090" s="51" t="str">
        <v/>
      </c>
      <c r="F1090" s="52" t="str">
        <v/>
      </c>
      <c r="G1090" s="48" t="str">
        <v/>
      </c>
      <c r="H1090" s="49">
        <v>0</v>
      </c>
      <c r="I1090" s="49" t="e">
        <v>#REF!</v>
      </c>
      <c r="J1090" s="50"/>
    </row>
    <row r="1091" outlineLevel="1" spans="1:10">
      <c r="A1091" s="50" t="str">
        <v/>
      </c>
      <c r="B1091" s="51" t="str">
        <v>B.05.1排水管道</v>
      </c>
      <c r="C1091" s="51" t="str">
        <v/>
      </c>
      <c r="D1091" s="51" t="str">
        <v/>
      </c>
      <c r="E1091" s="51" t="str">
        <v/>
      </c>
      <c r="F1091" s="52" t="str">
        <v/>
      </c>
      <c r="G1091" s="48" t="str">
        <v/>
      </c>
      <c r="H1091" s="49">
        <v>0</v>
      </c>
      <c r="I1091" s="49" t="e">
        <v>#REF!</v>
      </c>
      <c r="J1091" s="50"/>
    </row>
    <row r="1092" outlineLevel="1" spans="1:10">
      <c r="A1092" s="50">
        <v>171</v>
      </c>
      <c r="B1092" s="51" t="str">
        <v>室外排水塑料管-UPVC-De110</v>
      </c>
      <c r="C1092" s="51" t="e">
        <v>#REF!</v>
      </c>
      <c r="D1092" s="51" t="str">
        <v/>
      </c>
      <c r="E1092" s="51" t="str">
        <v/>
      </c>
      <c r="F1092" s="52" t="e">
        <v>#REF!</v>
      </c>
      <c r="G1092" s="48" t="e">
        <v>#REF!</v>
      </c>
      <c r="H1092" s="49">
        <v>0</v>
      </c>
      <c r="I1092" s="49" t="e">
        <v>#REF!</v>
      </c>
      <c r="J1092" s="50"/>
    </row>
    <row r="1093" outlineLevel="1" spans="1:10">
      <c r="A1093" s="50">
        <v>172</v>
      </c>
      <c r="B1093" s="51" t="str">
        <v>室外排水塑料管-UPVC-De75</v>
      </c>
      <c r="C1093" s="51" t="e">
        <v>#REF!</v>
      </c>
      <c r="D1093" s="51" t="str">
        <v/>
      </c>
      <c r="E1093" s="51" t="str">
        <v/>
      </c>
      <c r="F1093" s="52" t="e">
        <v>#REF!</v>
      </c>
      <c r="G1093" s="48" t="e">
        <v>#REF!</v>
      </c>
      <c r="H1093" s="49">
        <v>0</v>
      </c>
      <c r="I1093" s="49" t="e">
        <v>#REF!</v>
      </c>
      <c r="J1093" s="50"/>
    </row>
    <row r="1094" outlineLevel="1" spans="1:10">
      <c r="A1094" s="50">
        <v>173</v>
      </c>
      <c r="B1094" s="51" t="str">
        <v>室外塑料管-UPVC-De50</v>
      </c>
      <c r="C1094" s="51" t="e">
        <v>#REF!</v>
      </c>
      <c r="D1094" s="51" t="str">
        <v/>
      </c>
      <c r="E1094" s="51" t="str">
        <v/>
      </c>
      <c r="F1094" s="52" t="e">
        <v>#REF!</v>
      </c>
      <c r="G1094" s="48" t="e">
        <v>#REF!</v>
      </c>
      <c r="H1094" s="49">
        <v>0</v>
      </c>
      <c r="I1094" s="49" t="e">
        <v>#REF!</v>
      </c>
      <c r="J1094" s="50"/>
    </row>
    <row r="1095" ht="28.8" outlineLevel="1" spans="1:10">
      <c r="A1095" s="50">
        <v>174</v>
      </c>
      <c r="B1095" s="51" t="str">
        <v>室内排水塑料管-消音UPVC-De110</v>
      </c>
      <c r="C1095" s="51" t="e">
        <v>#REF!</v>
      </c>
      <c r="D1095" s="51" t="str">
        <v/>
      </c>
      <c r="E1095" s="51" t="str">
        <v/>
      </c>
      <c r="F1095" s="52" t="e">
        <v>#REF!</v>
      </c>
      <c r="G1095" s="48" t="e">
        <v>#REF!</v>
      </c>
      <c r="H1095" s="49">
        <v>585.72</v>
      </c>
      <c r="I1095" s="49" t="e">
        <v>#REF!</v>
      </c>
      <c r="J1095" s="50"/>
    </row>
    <row r="1096" ht="28.8" outlineLevel="1" spans="1:10">
      <c r="A1096" s="50">
        <v>175</v>
      </c>
      <c r="B1096" s="51" t="str">
        <v>室内透气塑料立管-UPVC-De110</v>
      </c>
      <c r="C1096" s="51" t="e">
        <v>#REF!</v>
      </c>
      <c r="D1096" s="51" t="str">
        <v/>
      </c>
      <c r="E1096" s="51" t="str">
        <v/>
      </c>
      <c r="F1096" s="52" t="e">
        <v>#REF!</v>
      </c>
      <c r="G1096" s="48" t="e">
        <v>#REF!</v>
      </c>
      <c r="H1096" s="49">
        <v>1</v>
      </c>
      <c r="I1096" s="49" t="e">
        <v>#REF!</v>
      </c>
      <c r="J1096" s="50"/>
    </row>
    <row r="1097" outlineLevel="1" spans="1:10">
      <c r="A1097" s="50">
        <v>176</v>
      </c>
      <c r="B1097" s="51" t="str">
        <v>室内排水塑料管-UPVC-De110</v>
      </c>
      <c r="C1097" s="51" t="e">
        <v>#REF!</v>
      </c>
      <c r="D1097" s="51" t="str">
        <v/>
      </c>
      <c r="E1097" s="51" t="str">
        <v/>
      </c>
      <c r="F1097" s="52" t="e">
        <v>#REF!</v>
      </c>
      <c r="G1097" s="48" t="e">
        <v>#REF!</v>
      </c>
      <c r="H1097" s="49">
        <v>160.59</v>
      </c>
      <c r="I1097" s="49" t="e">
        <v>#REF!</v>
      </c>
      <c r="J1097" s="50"/>
    </row>
    <row r="1098" outlineLevel="1" spans="1:10">
      <c r="A1098" s="50">
        <v>177</v>
      </c>
      <c r="B1098" s="51" t="str">
        <v>室内排水塑料管-UPVC-De75</v>
      </c>
      <c r="C1098" s="51" t="e">
        <v>#REF!</v>
      </c>
      <c r="D1098" s="51" t="str">
        <v/>
      </c>
      <c r="E1098" s="51" t="str">
        <v/>
      </c>
      <c r="F1098" s="52" t="e">
        <v>#REF!</v>
      </c>
      <c r="G1098" s="48" t="e">
        <v>#REF!</v>
      </c>
      <c r="H1098" s="49">
        <v>1</v>
      </c>
      <c r="I1098" s="49" t="e">
        <v>#REF!</v>
      </c>
      <c r="J1098" s="50"/>
    </row>
    <row r="1099" outlineLevel="1" spans="1:10">
      <c r="A1099" s="50">
        <v>178</v>
      </c>
      <c r="B1099" s="51" t="str">
        <v>室内排水塑料管-UPVC-De50</v>
      </c>
      <c r="C1099" s="51" t="e">
        <v>#REF!</v>
      </c>
      <c r="D1099" s="51" t="str">
        <v/>
      </c>
      <c r="E1099" s="51" t="str">
        <v/>
      </c>
      <c r="F1099" s="52" t="e">
        <v>#REF!</v>
      </c>
      <c r="G1099" s="48" t="e">
        <v>#REF!</v>
      </c>
      <c r="H1099" s="49">
        <v>345.95</v>
      </c>
      <c r="I1099" s="49" t="e">
        <v>#REF!</v>
      </c>
      <c r="J1099" s="50"/>
    </row>
    <row r="1100" outlineLevel="1" spans="1:10">
      <c r="A1100" s="50" t="str">
        <v/>
      </c>
      <c r="B1100" s="51" t="str">
        <v>B.05.2卫生器具</v>
      </c>
      <c r="C1100" s="51" t="str">
        <v/>
      </c>
      <c r="D1100" s="51" t="str">
        <v/>
      </c>
      <c r="E1100" s="51" t="str">
        <v/>
      </c>
      <c r="F1100" s="52" t="str">
        <v/>
      </c>
      <c r="G1100" s="48" t="str">
        <v/>
      </c>
      <c r="H1100" s="49">
        <v>0</v>
      </c>
      <c r="I1100" s="49" t="e">
        <v>#REF!</v>
      </c>
      <c r="J1100" s="50"/>
    </row>
    <row r="1101" outlineLevel="1" spans="1:10">
      <c r="A1101" s="50">
        <v>179</v>
      </c>
      <c r="B1101" s="51" t="str">
        <v>卫生间防臭地漏-De50</v>
      </c>
      <c r="C1101" s="51" t="e">
        <v>#REF!</v>
      </c>
      <c r="D1101" s="51" t="str">
        <v/>
      </c>
      <c r="E1101" s="51" t="str">
        <v/>
      </c>
      <c r="F1101" s="52" t="e">
        <v>#REF!</v>
      </c>
      <c r="G1101" s="48" t="e">
        <v>#REF!</v>
      </c>
      <c r="H1101" s="49">
        <v>176</v>
      </c>
      <c r="I1101" s="49" t="e">
        <v>#REF!</v>
      </c>
      <c r="J1101" s="50"/>
    </row>
    <row r="1102" outlineLevel="1" spans="1:10">
      <c r="A1102" s="50">
        <v>180</v>
      </c>
      <c r="B1102" s="51" t="str">
        <v>洗衣机防臭地漏-De50</v>
      </c>
      <c r="C1102" s="51" t="e">
        <v>#REF!</v>
      </c>
      <c r="D1102" s="51" t="str">
        <v/>
      </c>
      <c r="E1102" s="51" t="str">
        <v/>
      </c>
      <c r="F1102" s="52" t="e">
        <v>#REF!</v>
      </c>
      <c r="G1102" s="48" t="e">
        <v>#REF!</v>
      </c>
      <c r="H1102" s="49">
        <v>44</v>
      </c>
      <c r="I1102" s="49" t="e">
        <v>#REF!</v>
      </c>
      <c r="J1102" s="50"/>
    </row>
    <row r="1103" outlineLevel="1" spans="1:10">
      <c r="A1103" s="50">
        <v>181</v>
      </c>
      <c r="B1103" s="51" t="str">
        <v>雨水地漏-DN75</v>
      </c>
      <c r="C1103" s="51" t="e">
        <v>#REF!</v>
      </c>
      <c r="D1103" s="51" t="str">
        <v/>
      </c>
      <c r="E1103" s="51" t="str">
        <v/>
      </c>
      <c r="F1103" s="52" t="e">
        <v>#REF!</v>
      </c>
      <c r="G1103" s="48" t="e">
        <v>#REF!</v>
      </c>
      <c r="H1103" s="49">
        <v>0</v>
      </c>
      <c r="I1103" s="49" t="e">
        <v>#REF!</v>
      </c>
      <c r="J1103" s="50"/>
    </row>
    <row r="1104" outlineLevel="1" spans="1:10">
      <c r="A1104" s="50">
        <v>181</v>
      </c>
      <c r="B1104" s="51" t="str">
        <v>清扫口-De110</v>
      </c>
      <c r="C1104" s="51" t="e">
        <v>#REF!</v>
      </c>
      <c r="D1104" s="51" t="str">
        <v/>
      </c>
      <c r="E1104" s="51" t="str">
        <v/>
      </c>
      <c r="F1104" s="52" t="e">
        <v>#REF!</v>
      </c>
      <c r="G1104" s="48" t="e">
        <v>#REF!</v>
      </c>
      <c r="H1104" s="49">
        <v>1</v>
      </c>
      <c r="I1104" s="49" t="e">
        <v>#REF!</v>
      </c>
      <c r="J1104" s="50"/>
    </row>
    <row r="1105" outlineLevel="1" spans="1:10">
      <c r="A1105" s="50">
        <v>182</v>
      </c>
      <c r="B1105" s="51" t="str">
        <v>阳台水龙头-DN20</v>
      </c>
      <c r="C1105" s="51" t="e">
        <v>#REF!</v>
      </c>
      <c r="D1105" s="51" t="str">
        <v/>
      </c>
      <c r="E1105" s="51" t="str">
        <v/>
      </c>
      <c r="F1105" s="52" t="e">
        <v>#REF!</v>
      </c>
      <c r="G1105" s="48" t="e">
        <v>#REF!</v>
      </c>
      <c r="H1105" s="49">
        <v>6</v>
      </c>
      <c r="I1105" s="49" t="e">
        <v>#REF!</v>
      </c>
      <c r="J1105" s="50"/>
    </row>
    <row r="1106" outlineLevel="1" spans="1:10">
      <c r="A1106" s="50">
        <v>183</v>
      </c>
      <c r="B1106" s="51" t="str">
        <v>洗衣机龙头-DN20</v>
      </c>
      <c r="C1106" s="51" t="e">
        <v>#REF!</v>
      </c>
      <c r="D1106" s="51" t="str">
        <v/>
      </c>
      <c r="E1106" s="51" t="str">
        <v/>
      </c>
      <c r="F1106" s="52" t="e">
        <v>#REF!</v>
      </c>
      <c r="G1106" s="48" t="e">
        <v>#REF!</v>
      </c>
      <c r="H1106" s="49">
        <v>44</v>
      </c>
      <c r="I1106" s="49" t="e">
        <v>#REF!</v>
      </c>
      <c r="J1106" s="50"/>
    </row>
    <row r="1107" outlineLevel="1" spans="1:10">
      <c r="A1107" s="50" t="str">
        <v/>
      </c>
      <c r="B1107" s="51" t="str">
        <v>B.06地上公区给水</v>
      </c>
      <c r="C1107" s="51" t="str">
        <v/>
      </c>
      <c r="D1107" s="51" t="str">
        <v/>
      </c>
      <c r="E1107" s="51" t="str">
        <v/>
      </c>
      <c r="F1107" s="52" t="str">
        <v/>
      </c>
      <c r="G1107" s="48" t="str">
        <v/>
      </c>
      <c r="H1107" s="49">
        <v>0</v>
      </c>
      <c r="I1107" s="49" t="e">
        <v>#REF!</v>
      </c>
      <c r="J1107" s="50"/>
    </row>
    <row r="1108" outlineLevel="1" spans="1:10">
      <c r="A1108" s="50" t="str">
        <v/>
      </c>
      <c r="B1108" s="51" t="str">
        <v>B.06.1阀部件</v>
      </c>
      <c r="C1108" s="51" t="str">
        <v/>
      </c>
      <c r="D1108" s="51" t="str">
        <v/>
      </c>
      <c r="E1108" s="51" t="str">
        <v/>
      </c>
      <c r="F1108" s="52" t="str">
        <v/>
      </c>
      <c r="G1108" s="48" t="str">
        <v/>
      </c>
      <c r="H1108" s="49">
        <v>0</v>
      </c>
      <c r="I1108" s="49" t="e">
        <v>#REF!</v>
      </c>
      <c r="J1108" s="50"/>
    </row>
    <row r="1109" outlineLevel="1" spans="1:10">
      <c r="A1109" s="50">
        <v>184</v>
      </c>
      <c r="B1109" s="51" t="str">
        <v>螺纹阀门-减压稳压阀-DN25</v>
      </c>
      <c r="C1109" s="51" t="e">
        <v>#REF!</v>
      </c>
      <c r="D1109" s="51" t="str">
        <v/>
      </c>
      <c r="E1109" s="51" t="str">
        <v/>
      </c>
      <c r="F1109" s="52" t="e">
        <v>#REF!</v>
      </c>
      <c r="G1109" s="48" t="e">
        <v>#REF!</v>
      </c>
      <c r="H1109" s="49">
        <v>16</v>
      </c>
      <c r="I1109" s="49" t="e">
        <v>#REF!</v>
      </c>
      <c r="J1109" s="50"/>
    </row>
    <row r="1110" outlineLevel="1" spans="1:10">
      <c r="A1110" s="50">
        <v>185</v>
      </c>
      <c r="B1110" s="51" t="str">
        <v>螺纹阀门-减压稳压阀-DN32</v>
      </c>
      <c r="C1110" s="51" t="e">
        <v>#REF!</v>
      </c>
      <c r="D1110" s="51" t="str">
        <v/>
      </c>
      <c r="E1110" s="51" t="str">
        <v/>
      </c>
      <c r="F1110" s="52" t="e">
        <v>#REF!</v>
      </c>
      <c r="G1110" s="48" t="e">
        <v>#REF!</v>
      </c>
      <c r="H1110" s="49">
        <v>0</v>
      </c>
      <c r="I1110" s="49" t="e">
        <v>#REF!</v>
      </c>
      <c r="J1110" s="50"/>
    </row>
    <row r="1111" outlineLevel="1" spans="1:10">
      <c r="A1111" s="50">
        <v>186</v>
      </c>
      <c r="B1111" s="51" t="str">
        <v>螺纹阀门-减压稳压阀-DN20</v>
      </c>
      <c r="C1111" s="51" t="e">
        <v>#REF!</v>
      </c>
      <c r="D1111" s="51" t="str">
        <v/>
      </c>
      <c r="E1111" s="51" t="str">
        <v/>
      </c>
      <c r="F1111" s="52" t="e">
        <v>#REF!</v>
      </c>
      <c r="G1111" s="48" t="e">
        <v>#REF!</v>
      </c>
      <c r="H1111" s="49">
        <v>1</v>
      </c>
      <c r="I1111" s="49" t="e">
        <v>#REF!</v>
      </c>
      <c r="J1111" s="50"/>
    </row>
    <row r="1112" outlineLevel="1" spans="1:10">
      <c r="A1112" s="50">
        <v>187</v>
      </c>
      <c r="B1112" s="51" t="str">
        <v>螺纹阀门-自动放气阀-DN15</v>
      </c>
      <c r="C1112" s="51" t="e">
        <v>#REF!</v>
      </c>
      <c r="D1112" s="51" t="str">
        <v/>
      </c>
      <c r="E1112" s="51" t="str">
        <v/>
      </c>
      <c r="F1112" s="52" t="e">
        <v>#REF!</v>
      </c>
      <c r="G1112" s="48" t="e">
        <v>#REF!</v>
      </c>
      <c r="H1112" s="49">
        <v>4</v>
      </c>
      <c r="I1112" s="49" t="e">
        <v>#REF!</v>
      </c>
      <c r="J1112" s="50"/>
    </row>
    <row r="1113" outlineLevel="1" spans="1:10">
      <c r="A1113" s="50">
        <v>188</v>
      </c>
      <c r="B1113" s="51" t="str">
        <v>螺纹阀门-截止阀-DN15</v>
      </c>
      <c r="C1113" s="51" t="e">
        <v>#REF!</v>
      </c>
      <c r="D1113" s="51" t="str">
        <v/>
      </c>
      <c r="E1113" s="51" t="str">
        <v/>
      </c>
      <c r="F1113" s="52" t="e">
        <v>#REF!</v>
      </c>
      <c r="G1113" s="48" t="e">
        <v>#REF!</v>
      </c>
      <c r="H1113" s="49">
        <v>4</v>
      </c>
      <c r="I1113" s="49" t="e">
        <v>#REF!</v>
      </c>
      <c r="J1113" s="50"/>
    </row>
    <row r="1114" outlineLevel="1" spans="1:10">
      <c r="A1114" s="50">
        <v>189</v>
      </c>
      <c r="B1114" s="51" t="str">
        <v>螺纹阀门-截止阀-DN20</v>
      </c>
      <c r="C1114" s="51" t="e">
        <v>#REF!</v>
      </c>
      <c r="D1114" s="51" t="str">
        <v/>
      </c>
      <c r="E1114" s="51" t="str">
        <v/>
      </c>
      <c r="F1114" s="52" t="e">
        <v>#REF!</v>
      </c>
      <c r="G1114" s="48" t="e">
        <v>#REF!</v>
      </c>
      <c r="H1114" s="49">
        <v>1</v>
      </c>
      <c r="I1114" s="49" t="e">
        <v>#REF!</v>
      </c>
      <c r="J1114" s="50"/>
    </row>
    <row r="1115" outlineLevel="1" spans="1:10">
      <c r="A1115" s="50">
        <v>190</v>
      </c>
      <c r="B1115" s="51" t="str">
        <v>螺纹阀门-截止阀-De25</v>
      </c>
      <c r="C1115" s="51" t="e">
        <v>#REF!</v>
      </c>
      <c r="D1115" s="51" t="str">
        <v/>
      </c>
      <c r="E1115" s="51" t="str">
        <v/>
      </c>
      <c r="F1115" s="52" t="e">
        <v>#REF!</v>
      </c>
      <c r="G1115" s="48" t="e">
        <v>#REF!</v>
      </c>
      <c r="H1115" s="49">
        <v>44</v>
      </c>
      <c r="I1115" s="49" t="e">
        <v>#REF!</v>
      </c>
      <c r="J1115" s="50"/>
    </row>
    <row r="1116" outlineLevel="1" spans="1:10">
      <c r="A1116" s="50">
        <v>191</v>
      </c>
      <c r="B1116" s="51" t="str">
        <v>螺纹阀门-截止阀-DN25</v>
      </c>
      <c r="C1116" s="51" t="e">
        <v>#REF!</v>
      </c>
      <c r="D1116" s="51" t="str">
        <v/>
      </c>
      <c r="E1116" s="51" t="str">
        <v/>
      </c>
      <c r="F1116" s="52" t="e">
        <v>#REF!</v>
      </c>
      <c r="G1116" s="48" t="e">
        <v>#REF!</v>
      </c>
      <c r="H1116" s="49">
        <v>32</v>
      </c>
      <c r="I1116" s="49" t="e">
        <v>#REF!</v>
      </c>
      <c r="J1116" s="50"/>
    </row>
    <row r="1117" outlineLevel="1" spans="1:10">
      <c r="A1117" s="50">
        <v>192</v>
      </c>
      <c r="B1117" s="51" t="str">
        <v>螺纹阀门-截止阀-De32</v>
      </c>
      <c r="C1117" s="51" t="e">
        <v>#REF!</v>
      </c>
      <c r="D1117" s="51" t="str">
        <v/>
      </c>
      <c r="E1117" s="51" t="str">
        <v/>
      </c>
      <c r="F1117" s="52" t="e">
        <v>#REF!</v>
      </c>
      <c r="G1117" s="48" t="e">
        <v>#REF!</v>
      </c>
      <c r="H1117" s="49">
        <v>0</v>
      </c>
      <c r="I1117" s="49" t="e">
        <v>#REF!</v>
      </c>
      <c r="J1117" s="50"/>
    </row>
    <row r="1118" outlineLevel="1" spans="1:10">
      <c r="A1118" s="50">
        <v>193</v>
      </c>
      <c r="B1118" s="51" t="str">
        <v>螺纹阀门-截止阀-DN32</v>
      </c>
      <c r="C1118" s="51" t="e">
        <v>#REF!</v>
      </c>
      <c r="D1118" s="51" t="str">
        <v/>
      </c>
      <c r="E1118" s="51" t="str">
        <v/>
      </c>
      <c r="F1118" s="52" t="e">
        <v>#REF!</v>
      </c>
      <c r="G1118" s="48" t="e">
        <v>#REF!</v>
      </c>
      <c r="H1118" s="49">
        <v>0</v>
      </c>
      <c r="I1118" s="49" t="e">
        <v>#REF!</v>
      </c>
      <c r="J1118" s="50"/>
    </row>
    <row r="1119" outlineLevel="1" spans="1:10">
      <c r="A1119" s="50">
        <v>194</v>
      </c>
      <c r="B1119" s="51" t="str">
        <v>螺纹阀门-截止阀-DN50</v>
      </c>
      <c r="C1119" s="51" t="e">
        <v>#REF!</v>
      </c>
      <c r="D1119" s="51" t="str">
        <v/>
      </c>
      <c r="E1119" s="51" t="str">
        <v/>
      </c>
      <c r="F1119" s="52" t="e">
        <v>#REF!</v>
      </c>
      <c r="G1119" s="48" t="e">
        <v>#REF!</v>
      </c>
      <c r="H1119" s="49">
        <v>1</v>
      </c>
      <c r="I1119" s="49" t="e">
        <v>#REF!</v>
      </c>
      <c r="J1119" s="50"/>
    </row>
    <row r="1120" outlineLevel="1" spans="1:10">
      <c r="A1120" s="50">
        <v>195</v>
      </c>
      <c r="B1120" s="51" t="str">
        <v>螺纹阀门-截止阀-De63</v>
      </c>
      <c r="C1120" s="51" t="e">
        <v>#REF!</v>
      </c>
      <c r="D1120" s="51" t="str">
        <v/>
      </c>
      <c r="E1120" s="51" t="str">
        <v/>
      </c>
      <c r="F1120" s="52" t="e">
        <v>#REF!</v>
      </c>
      <c r="G1120" s="48" t="e">
        <v>#REF!</v>
      </c>
      <c r="H1120" s="49">
        <v>1</v>
      </c>
      <c r="I1120" s="49" t="e">
        <v>#REF!</v>
      </c>
      <c r="J1120" s="50"/>
    </row>
    <row r="1121" outlineLevel="1" spans="1:10">
      <c r="A1121" s="50">
        <v>196</v>
      </c>
      <c r="B1121" s="51" t="str">
        <v>螺纹阀门-止回阀-De20</v>
      </c>
      <c r="C1121" s="51" t="e">
        <v>#REF!</v>
      </c>
      <c r="D1121" s="51" t="str">
        <v/>
      </c>
      <c r="E1121" s="51" t="str">
        <v/>
      </c>
      <c r="F1121" s="52" t="e">
        <v>#REF!</v>
      </c>
      <c r="G1121" s="48" t="e">
        <v>#REF!</v>
      </c>
      <c r="H1121" s="49">
        <v>1</v>
      </c>
      <c r="I1121" s="49" t="e">
        <v>#REF!</v>
      </c>
      <c r="J1121" s="50"/>
    </row>
    <row r="1122" outlineLevel="1" spans="1:10">
      <c r="A1122" s="50">
        <v>197</v>
      </c>
      <c r="B1122" s="51" t="str">
        <v>螺纹阀门-止回阀-De25</v>
      </c>
      <c r="C1122" s="51" t="e">
        <v>#REF!</v>
      </c>
      <c r="D1122" s="51" t="str">
        <v/>
      </c>
      <c r="E1122" s="51" t="str">
        <v/>
      </c>
      <c r="F1122" s="52" t="e">
        <v>#REF!</v>
      </c>
      <c r="G1122" s="48" t="e">
        <v>#REF!</v>
      </c>
      <c r="H1122" s="49">
        <v>1</v>
      </c>
      <c r="I1122" s="49" t="e">
        <v>#REF!</v>
      </c>
      <c r="J1122" s="50"/>
    </row>
    <row r="1123" outlineLevel="1" spans="1:10">
      <c r="A1123" s="50">
        <v>198</v>
      </c>
      <c r="B1123" s="51" t="str">
        <v>螺纹阀门-锁闭阀-DN20</v>
      </c>
      <c r="C1123" s="51" t="e">
        <v>#REF!</v>
      </c>
      <c r="D1123" s="51" t="str">
        <v/>
      </c>
      <c r="E1123" s="51" t="str">
        <v/>
      </c>
      <c r="F1123" s="52" t="e">
        <v>#REF!</v>
      </c>
      <c r="G1123" s="48" t="e">
        <v>#REF!</v>
      </c>
      <c r="H1123" s="49">
        <v>44</v>
      </c>
      <c r="I1123" s="49" t="e">
        <v>#REF!</v>
      </c>
      <c r="J1123" s="50"/>
    </row>
    <row r="1124" outlineLevel="1" spans="1:10">
      <c r="A1124" s="50">
        <v>199</v>
      </c>
      <c r="B1124" s="51" t="str">
        <v>螺纹阀门-锁闭阀-DN25</v>
      </c>
      <c r="C1124" s="51" t="e">
        <v>#REF!</v>
      </c>
      <c r="D1124" s="51" t="str">
        <v/>
      </c>
      <c r="E1124" s="51" t="str">
        <v/>
      </c>
      <c r="F1124" s="52" t="e">
        <v>#REF!</v>
      </c>
      <c r="G1124" s="48" t="e">
        <v>#REF!</v>
      </c>
      <c r="H1124" s="49">
        <v>1</v>
      </c>
      <c r="I1124" s="49" t="e">
        <v>#REF!</v>
      </c>
      <c r="J1124" s="50"/>
    </row>
    <row r="1125" outlineLevel="1" spans="1:10">
      <c r="A1125" s="50">
        <v>200</v>
      </c>
      <c r="B1125" s="51" t="str">
        <v>螺纹阀门-锁闭阀-DN50</v>
      </c>
      <c r="C1125" s="51" t="e">
        <v>#REF!</v>
      </c>
      <c r="D1125" s="51" t="str">
        <v/>
      </c>
      <c r="E1125" s="51" t="str">
        <v/>
      </c>
      <c r="F1125" s="52" t="e">
        <v>#REF!</v>
      </c>
      <c r="G1125" s="48" t="e">
        <v>#REF!</v>
      </c>
      <c r="H1125" s="49">
        <v>1</v>
      </c>
      <c r="I1125" s="49" t="e">
        <v>#REF!</v>
      </c>
      <c r="J1125" s="50"/>
    </row>
    <row r="1126" outlineLevel="1" spans="1:10">
      <c r="A1126" s="50">
        <v>201</v>
      </c>
      <c r="B1126" s="51" t="str">
        <v>螺纹阀门-锁闭阀-De63</v>
      </c>
      <c r="C1126" s="51" t="e">
        <v>#REF!</v>
      </c>
      <c r="D1126" s="51" t="str">
        <v/>
      </c>
      <c r="E1126" s="51" t="str">
        <v/>
      </c>
      <c r="F1126" s="52" t="e">
        <v>#REF!</v>
      </c>
      <c r="G1126" s="48" t="e">
        <v>#REF!</v>
      </c>
      <c r="H1126" s="49">
        <v>1</v>
      </c>
      <c r="I1126" s="49" t="e">
        <v>#REF!</v>
      </c>
      <c r="J1126" s="50"/>
    </row>
    <row r="1127" outlineLevel="1" spans="1:10">
      <c r="A1127" s="50">
        <v>202</v>
      </c>
      <c r="B1127" s="51" t="str">
        <v>螺纹阀门-Y型过滤器-DN20</v>
      </c>
      <c r="C1127" s="51" t="e">
        <v>#REF!</v>
      </c>
      <c r="D1127" s="51" t="str">
        <v/>
      </c>
      <c r="E1127" s="51" t="str">
        <v/>
      </c>
      <c r="F1127" s="52" t="e">
        <v>#REF!</v>
      </c>
      <c r="G1127" s="48" t="e">
        <v>#REF!</v>
      </c>
      <c r="H1127" s="49">
        <v>0</v>
      </c>
      <c r="I1127" s="49" t="e">
        <v>#REF!</v>
      </c>
      <c r="J1127" s="50"/>
    </row>
    <row r="1128" outlineLevel="1" spans="1:10">
      <c r="A1128" s="50">
        <v>203</v>
      </c>
      <c r="B1128" s="51" t="str">
        <v>螺纹阀门-Y型过滤器-DN25</v>
      </c>
      <c r="C1128" s="51" t="e">
        <v>#REF!</v>
      </c>
      <c r="D1128" s="51" t="str">
        <v/>
      </c>
      <c r="E1128" s="51" t="str">
        <v/>
      </c>
      <c r="F1128" s="52" t="e">
        <v>#REF!</v>
      </c>
      <c r="G1128" s="48" t="e">
        <v>#REF!</v>
      </c>
      <c r="H1128" s="49">
        <v>16</v>
      </c>
      <c r="I1128" s="49" t="e">
        <v>#REF!</v>
      </c>
      <c r="J1128" s="50"/>
    </row>
    <row r="1129" outlineLevel="1" spans="1:10">
      <c r="A1129" s="50">
        <v>204</v>
      </c>
      <c r="B1129" s="51" t="str">
        <v>螺纹阀门-Y型过滤器-DN32</v>
      </c>
      <c r="C1129" s="51" t="e">
        <v>#REF!</v>
      </c>
      <c r="D1129" s="51" t="str">
        <v/>
      </c>
      <c r="E1129" s="51" t="str">
        <v/>
      </c>
      <c r="F1129" s="52" t="e">
        <v>#REF!</v>
      </c>
      <c r="G1129" s="48" t="e">
        <v>#REF!</v>
      </c>
      <c r="H1129" s="49">
        <v>0</v>
      </c>
      <c r="I1129" s="49" t="e">
        <v>#REF!</v>
      </c>
      <c r="J1129" s="50"/>
    </row>
    <row r="1130" outlineLevel="1" spans="1:10">
      <c r="A1130" s="50">
        <v>205</v>
      </c>
      <c r="B1130" s="51" t="str">
        <v>可曲挠橡胶接头-DN25</v>
      </c>
      <c r="C1130" s="51" t="e">
        <v>#REF!</v>
      </c>
      <c r="D1130" s="51" t="str">
        <v/>
      </c>
      <c r="E1130" s="51" t="str">
        <v/>
      </c>
      <c r="F1130" s="52" t="e">
        <v>#REF!</v>
      </c>
      <c r="G1130" s="48" t="e">
        <v>#REF!</v>
      </c>
      <c r="H1130" s="49">
        <v>16</v>
      </c>
      <c r="I1130" s="49" t="e">
        <v>#REF!</v>
      </c>
      <c r="J1130" s="50"/>
    </row>
    <row r="1131" outlineLevel="1" spans="1:10">
      <c r="A1131" s="50">
        <v>206</v>
      </c>
      <c r="B1131" s="51" t="str">
        <v>水表安装-DN20</v>
      </c>
      <c r="C1131" s="51" t="e">
        <v>#REF!</v>
      </c>
      <c r="D1131" s="51" t="str">
        <v/>
      </c>
      <c r="E1131" s="51" t="str">
        <v/>
      </c>
      <c r="F1131" s="52" t="e">
        <v>#REF!</v>
      </c>
      <c r="G1131" s="48" t="e">
        <v>#REF!</v>
      </c>
      <c r="H1131" s="49">
        <v>44</v>
      </c>
      <c r="I1131" s="49" t="e">
        <v>#REF!</v>
      </c>
      <c r="J1131" s="50"/>
    </row>
    <row r="1132" outlineLevel="1" spans="1:10">
      <c r="A1132" s="50">
        <v>207</v>
      </c>
      <c r="B1132" s="51" t="str">
        <v>水表安装-DN32</v>
      </c>
      <c r="C1132" s="51" t="e">
        <v>#REF!</v>
      </c>
      <c r="D1132" s="51" t="str">
        <v/>
      </c>
      <c r="E1132" s="51" t="str">
        <v/>
      </c>
      <c r="F1132" s="52" t="e">
        <v>#REF!</v>
      </c>
      <c r="G1132" s="48" t="e">
        <v>#REF!</v>
      </c>
      <c r="H1132" s="49">
        <v>0</v>
      </c>
      <c r="I1132" s="49" t="e">
        <v>#REF!</v>
      </c>
      <c r="J1132" s="50"/>
    </row>
    <row r="1133" outlineLevel="1" spans="1:10">
      <c r="A1133" s="50">
        <v>208</v>
      </c>
      <c r="B1133" s="51" t="str">
        <v>水表安装-DN40</v>
      </c>
      <c r="C1133" s="51" t="e">
        <v>#REF!</v>
      </c>
      <c r="D1133" s="51" t="str">
        <v/>
      </c>
      <c r="E1133" s="51" t="str">
        <v/>
      </c>
      <c r="F1133" s="52" t="e">
        <v>#REF!</v>
      </c>
      <c r="G1133" s="48" t="e">
        <v>#REF!</v>
      </c>
      <c r="H1133" s="49">
        <v>1</v>
      </c>
      <c r="I1133" s="49" t="e">
        <v>#REF!</v>
      </c>
      <c r="J1133" s="50"/>
    </row>
    <row r="1134" outlineLevel="1" spans="1:10">
      <c r="A1134" s="50">
        <v>209</v>
      </c>
      <c r="B1134" s="51" t="str">
        <v>水表安装-DN50</v>
      </c>
      <c r="C1134" s="51" t="e">
        <v>#REF!</v>
      </c>
      <c r="D1134" s="51" t="str">
        <v/>
      </c>
      <c r="E1134" s="51" t="str">
        <v/>
      </c>
      <c r="F1134" s="52" t="e">
        <v>#REF!</v>
      </c>
      <c r="G1134" s="48" t="e">
        <v>#REF!</v>
      </c>
      <c r="H1134" s="49">
        <v>0</v>
      </c>
      <c r="I1134" s="49" t="e">
        <v>#REF!</v>
      </c>
      <c r="J1134" s="50"/>
    </row>
    <row r="1135" outlineLevel="1" spans="1:10">
      <c r="A1135" s="50">
        <v>210</v>
      </c>
      <c r="B1135" s="51" t="str">
        <v>IC卡热水表(DN15)</v>
      </c>
      <c r="C1135" s="51" t="e">
        <v>#REF!</v>
      </c>
      <c r="D1135" s="51" t="str">
        <v/>
      </c>
      <c r="E1135" s="51" t="str">
        <v/>
      </c>
      <c r="F1135" s="52" t="e">
        <v>#REF!</v>
      </c>
      <c r="G1135" s="48" t="e">
        <v>#REF!</v>
      </c>
      <c r="H1135" s="49">
        <v>1</v>
      </c>
      <c r="I1135" s="49" t="e">
        <v>#REF!</v>
      </c>
      <c r="J1135" s="50"/>
    </row>
    <row r="1136" outlineLevel="1" spans="1:10">
      <c r="A1136" s="50">
        <v>211</v>
      </c>
      <c r="B1136" s="51" t="str">
        <v>IC卡热水表(DN20)</v>
      </c>
      <c r="C1136" s="51" t="e">
        <v>#REF!</v>
      </c>
      <c r="D1136" s="51" t="str">
        <v/>
      </c>
      <c r="E1136" s="51" t="str">
        <v/>
      </c>
      <c r="F1136" s="52" t="e">
        <v>#REF!</v>
      </c>
      <c r="G1136" s="48" t="e">
        <v>#REF!</v>
      </c>
      <c r="H1136" s="49">
        <v>1</v>
      </c>
      <c r="I1136" s="49" t="e">
        <v>#REF!</v>
      </c>
      <c r="J1136" s="50"/>
    </row>
    <row r="1137" outlineLevel="1" spans="1:10">
      <c r="A1137" s="50">
        <v>212</v>
      </c>
      <c r="B1137" s="51" t="str">
        <v>减压阀组压力表-DN15</v>
      </c>
      <c r="C1137" s="51" t="e">
        <v>#REF!</v>
      </c>
      <c r="D1137" s="51" t="str">
        <v/>
      </c>
      <c r="E1137" s="51" t="str">
        <v/>
      </c>
      <c r="F1137" s="52" t="e">
        <v>#REF!</v>
      </c>
      <c r="G1137" s="48" t="e">
        <v>#REF!</v>
      </c>
      <c r="H1137" s="49">
        <v>16</v>
      </c>
      <c r="I1137" s="49" t="e">
        <v>#REF!</v>
      </c>
      <c r="J1137" s="50"/>
    </row>
    <row r="1138" outlineLevel="1" spans="1:10">
      <c r="A1138" s="50">
        <v>213</v>
      </c>
      <c r="B1138" s="51" t="str">
        <v>螺纹阀门-波纹补偿器-DN32</v>
      </c>
      <c r="C1138" s="51" t="e">
        <v>#REF!</v>
      </c>
      <c r="D1138" s="51" t="str">
        <v/>
      </c>
      <c r="E1138" s="51" t="str">
        <v/>
      </c>
      <c r="F1138" s="52" t="e">
        <v>#REF!</v>
      </c>
      <c r="G1138" s="48" t="e">
        <v>#REF!</v>
      </c>
      <c r="H1138" s="49">
        <v>1</v>
      </c>
      <c r="I1138" s="49" t="e">
        <v>#REF!</v>
      </c>
      <c r="J1138" s="50"/>
    </row>
    <row r="1139" outlineLevel="1" spans="1:10">
      <c r="A1139" s="50">
        <v>214</v>
      </c>
      <c r="B1139" s="51" t="str">
        <v>螺纹阀门-波纹补偿器-DN40</v>
      </c>
      <c r="C1139" s="51" t="e">
        <v>#REF!</v>
      </c>
      <c r="D1139" s="51" t="str">
        <v/>
      </c>
      <c r="E1139" s="51" t="str">
        <v/>
      </c>
      <c r="F1139" s="52" t="e">
        <v>#REF!</v>
      </c>
      <c r="G1139" s="48" t="e">
        <v>#REF!</v>
      </c>
      <c r="H1139" s="49">
        <v>2</v>
      </c>
      <c r="I1139" s="49" t="e">
        <v>#REF!</v>
      </c>
      <c r="J1139" s="50"/>
    </row>
    <row r="1140" outlineLevel="1" spans="1:10">
      <c r="A1140" s="50">
        <v>215</v>
      </c>
      <c r="B1140" s="51" t="str">
        <v>螺纹阀门-波纹补偿器-DN50</v>
      </c>
      <c r="C1140" s="51" t="e">
        <v>#REF!</v>
      </c>
      <c r="D1140" s="51" t="str">
        <v/>
      </c>
      <c r="E1140" s="51" t="str">
        <v/>
      </c>
      <c r="F1140" s="52" t="e">
        <v>#REF!</v>
      </c>
      <c r="G1140" s="48" t="e">
        <v>#REF!</v>
      </c>
      <c r="H1140" s="49">
        <v>1</v>
      </c>
      <c r="I1140" s="49" t="e">
        <v>#REF!</v>
      </c>
      <c r="J1140" s="50"/>
    </row>
    <row r="1141" outlineLevel="1" spans="1:10">
      <c r="A1141" s="50" t="str">
        <v/>
      </c>
      <c r="B1141" s="51" t="str">
        <v>B.06.2给水管道</v>
      </c>
      <c r="C1141" s="51" t="str">
        <v/>
      </c>
      <c r="D1141" s="51" t="str">
        <v/>
      </c>
      <c r="E1141" s="51" t="str">
        <v/>
      </c>
      <c r="F1141" s="52" t="str">
        <v/>
      </c>
      <c r="G1141" s="48" t="str">
        <v/>
      </c>
      <c r="H1141" s="49">
        <v>0</v>
      </c>
      <c r="I1141" s="49" t="e">
        <v>#REF!</v>
      </c>
      <c r="J1141" s="50"/>
    </row>
    <row r="1142" ht="28.8" outlineLevel="1" spans="1:10">
      <c r="A1142" s="50">
        <v>216</v>
      </c>
      <c r="B1142" s="51" t="str">
        <v>室内给水塑料管-PPR-De20-热熔</v>
      </c>
      <c r="C1142" s="51" t="e">
        <v>#REF!</v>
      </c>
      <c r="D1142" s="51" t="str">
        <v/>
      </c>
      <c r="E1142" s="51" t="str">
        <v/>
      </c>
      <c r="F1142" s="52" t="e">
        <v>#REF!</v>
      </c>
      <c r="G1142" s="48" t="e">
        <v>#REF!</v>
      </c>
      <c r="H1142" s="49">
        <v>1</v>
      </c>
      <c r="I1142" s="49" t="e">
        <v>#REF!</v>
      </c>
      <c r="J1142" s="50"/>
    </row>
    <row r="1143" ht="28.8" outlineLevel="1" spans="1:10">
      <c r="A1143" s="50">
        <v>217</v>
      </c>
      <c r="B1143" s="51" t="str">
        <v>室内给水塑料管-PPR-De25-热熔</v>
      </c>
      <c r="C1143" s="51" t="e">
        <v>#REF!</v>
      </c>
      <c r="D1143" s="51" t="str">
        <v/>
      </c>
      <c r="E1143" s="51" t="str">
        <v/>
      </c>
      <c r="F1143" s="52" t="e">
        <v>#REF!</v>
      </c>
      <c r="G1143" s="48" t="e">
        <v>#REF!</v>
      </c>
      <c r="H1143" s="49">
        <v>107.2</v>
      </c>
      <c r="I1143" s="49" t="e">
        <v>#REF!</v>
      </c>
      <c r="J1143" s="50"/>
    </row>
    <row r="1144" ht="28.8" outlineLevel="1" spans="1:10">
      <c r="A1144" s="50">
        <v>218</v>
      </c>
      <c r="B1144" s="51" t="str">
        <v>室内给水塑料管-PPR-De32-热熔</v>
      </c>
      <c r="C1144" s="51" t="e">
        <v>#REF!</v>
      </c>
      <c r="D1144" s="51" t="str">
        <v/>
      </c>
      <c r="E1144" s="51" t="str">
        <v/>
      </c>
      <c r="F1144" s="52" t="e">
        <v>#REF!</v>
      </c>
      <c r="G1144" s="48" t="e">
        <v>#REF!</v>
      </c>
      <c r="H1144" s="49">
        <v>1</v>
      </c>
      <c r="I1144" s="49" t="e">
        <v>#REF!</v>
      </c>
      <c r="J1144" s="50"/>
    </row>
    <row r="1145" ht="28.8" outlineLevel="1" spans="1:10">
      <c r="A1145" s="50">
        <v>219</v>
      </c>
      <c r="B1145" s="51" t="str">
        <v>室内给水塑料管-PPR-De40-热熔</v>
      </c>
      <c r="C1145" s="51" t="e">
        <v>#REF!</v>
      </c>
      <c r="D1145" s="51" t="str">
        <v/>
      </c>
      <c r="E1145" s="51" t="str">
        <v/>
      </c>
      <c r="F1145" s="52" t="e">
        <v>#REF!</v>
      </c>
      <c r="G1145" s="48" t="e">
        <v>#REF!</v>
      </c>
      <c r="H1145" s="49">
        <v>5.8</v>
      </c>
      <c r="I1145" s="49" t="e">
        <v>#REF!</v>
      </c>
      <c r="J1145" s="50"/>
    </row>
    <row r="1146" ht="28.8" outlineLevel="1" spans="1:10">
      <c r="A1146" s="50">
        <v>220</v>
      </c>
      <c r="B1146" s="51" t="str">
        <v>室内给水塑料管-PPR-De50-热熔</v>
      </c>
      <c r="C1146" s="51" t="e">
        <v>#REF!</v>
      </c>
      <c r="D1146" s="51" t="str">
        <v/>
      </c>
      <c r="E1146" s="51" t="str">
        <v/>
      </c>
      <c r="F1146" s="52" t="e">
        <v>#REF!</v>
      </c>
      <c r="G1146" s="48" t="e">
        <v>#REF!</v>
      </c>
      <c r="H1146" s="49">
        <v>11.6</v>
      </c>
      <c r="I1146" s="49" t="e">
        <v>#REF!</v>
      </c>
      <c r="J1146" s="50"/>
    </row>
    <row r="1147" ht="28.8" outlineLevel="1" spans="1:10">
      <c r="A1147" s="50">
        <v>221</v>
      </c>
      <c r="B1147" s="51" t="str">
        <v>室内给水塑料管-PPR-De63-热熔</v>
      </c>
      <c r="C1147" s="51" t="e">
        <v>#REF!</v>
      </c>
      <c r="D1147" s="51" t="str">
        <v/>
      </c>
      <c r="E1147" s="51" t="str">
        <v/>
      </c>
      <c r="F1147" s="52" t="e">
        <v>#REF!</v>
      </c>
      <c r="G1147" s="48" t="e">
        <v>#REF!</v>
      </c>
      <c r="H1147" s="49">
        <v>1.5</v>
      </c>
      <c r="I1147" s="49" t="e">
        <v>#REF!</v>
      </c>
      <c r="J1147" s="50"/>
    </row>
    <row r="1148" outlineLevel="1" spans="1:10">
      <c r="A1148" s="50">
        <v>222</v>
      </c>
      <c r="B1148" s="51" t="str">
        <v>室内薄壁不锈钢管-DN15</v>
      </c>
      <c r="C1148" s="51" t="e">
        <v>#REF!</v>
      </c>
      <c r="D1148" s="51" t="str">
        <v/>
      </c>
      <c r="E1148" s="51" t="str">
        <v/>
      </c>
      <c r="F1148" s="52" t="e">
        <v>#REF!</v>
      </c>
      <c r="G1148" s="48" t="e">
        <v>#REF!</v>
      </c>
      <c r="H1148" s="49">
        <v>2.5</v>
      </c>
      <c r="I1148" s="49" t="e">
        <v>#REF!</v>
      </c>
      <c r="J1148" s="50"/>
    </row>
    <row r="1149" outlineLevel="1" spans="1:10">
      <c r="A1149" s="50">
        <v>223</v>
      </c>
      <c r="B1149" s="51" t="str">
        <v>室内薄壁不锈钢管-DN20</v>
      </c>
      <c r="C1149" s="51" t="e">
        <v>#REF!</v>
      </c>
      <c r="D1149" s="51" t="str">
        <v/>
      </c>
      <c r="E1149" s="51" t="str">
        <v/>
      </c>
      <c r="F1149" s="52" t="e">
        <v>#REF!</v>
      </c>
      <c r="G1149" s="48" t="e">
        <v>#REF!</v>
      </c>
      <c r="H1149" s="49">
        <v>3.5</v>
      </c>
      <c r="I1149" s="49" t="e">
        <v>#REF!</v>
      </c>
      <c r="J1149" s="50"/>
    </row>
    <row r="1150" outlineLevel="1" spans="1:10">
      <c r="A1150" s="50">
        <v>224</v>
      </c>
      <c r="B1150" s="51" t="str">
        <v>室内薄壁不锈钢管-DN25</v>
      </c>
      <c r="C1150" s="51" t="e">
        <v>#REF!</v>
      </c>
      <c r="D1150" s="51" t="str">
        <v/>
      </c>
      <c r="E1150" s="51" t="str">
        <v/>
      </c>
      <c r="F1150" s="52" t="e">
        <v>#REF!</v>
      </c>
      <c r="G1150" s="48" t="e">
        <v>#REF!</v>
      </c>
      <c r="H1150" s="49">
        <v>4.5</v>
      </c>
      <c r="I1150" s="49" t="e">
        <v>#REF!</v>
      </c>
      <c r="J1150" s="50"/>
    </row>
    <row r="1151" outlineLevel="1" spans="1:10">
      <c r="A1151" s="50">
        <v>225</v>
      </c>
      <c r="B1151" s="51" t="str">
        <v>室内薄壁不锈钢管-DN32</v>
      </c>
      <c r="C1151" s="51" t="e">
        <v>#REF!</v>
      </c>
      <c r="D1151" s="51" t="str">
        <v/>
      </c>
      <c r="E1151" s="51" t="str">
        <v/>
      </c>
      <c r="F1151" s="52" t="e">
        <v>#REF!</v>
      </c>
      <c r="G1151" s="48" t="e">
        <v>#REF!</v>
      </c>
      <c r="H1151" s="49">
        <v>5.5</v>
      </c>
      <c r="I1151" s="49" t="e">
        <v>#REF!</v>
      </c>
      <c r="J1151" s="50"/>
    </row>
    <row r="1152" outlineLevel="1" spans="1:10">
      <c r="A1152" s="50">
        <v>226</v>
      </c>
      <c r="B1152" s="51" t="str">
        <v>室内薄壁不锈钢管-DN40</v>
      </c>
      <c r="C1152" s="51" t="e">
        <v>#REF!</v>
      </c>
      <c r="D1152" s="51" t="str">
        <v/>
      </c>
      <c r="E1152" s="51" t="str">
        <v/>
      </c>
      <c r="F1152" s="52" t="e">
        <v>#REF!</v>
      </c>
      <c r="G1152" s="48" t="e">
        <v>#REF!</v>
      </c>
      <c r="H1152" s="49">
        <v>6.5</v>
      </c>
      <c r="I1152" s="49" t="e">
        <v>#REF!</v>
      </c>
      <c r="J1152" s="50"/>
    </row>
    <row r="1153" outlineLevel="1" spans="1:10">
      <c r="A1153" s="50">
        <v>227</v>
      </c>
      <c r="B1153" s="51" t="str">
        <v>室内薄壁不锈钢管-DN50</v>
      </c>
      <c r="C1153" s="51" t="e">
        <v>#REF!</v>
      </c>
      <c r="D1153" s="51" t="str">
        <v/>
      </c>
      <c r="E1153" s="51" t="str">
        <v/>
      </c>
      <c r="F1153" s="52" t="e">
        <v>#REF!</v>
      </c>
      <c r="G1153" s="48" t="e">
        <v>#REF!</v>
      </c>
      <c r="H1153" s="49">
        <v>7.5</v>
      </c>
      <c r="I1153" s="49" t="e">
        <v>#REF!</v>
      </c>
      <c r="J1153" s="50"/>
    </row>
    <row r="1154" outlineLevel="1" spans="1:10">
      <c r="A1154" s="50">
        <v>228</v>
      </c>
      <c r="B1154" s="51" t="str">
        <v>室内薄壁不锈钢管-DN65</v>
      </c>
      <c r="C1154" s="51" t="e">
        <v>#REF!</v>
      </c>
      <c r="D1154" s="51" t="str">
        <v/>
      </c>
      <c r="E1154" s="51" t="str">
        <v/>
      </c>
      <c r="F1154" s="52" t="e">
        <v>#REF!</v>
      </c>
      <c r="G1154" s="48" t="e">
        <v>#REF!</v>
      </c>
      <c r="H1154" s="49">
        <v>8.5</v>
      </c>
      <c r="I1154" s="49" t="e">
        <v>#REF!</v>
      </c>
      <c r="J1154" s="50"/>
    </row>
    <row r="1155" ht="28.8" outlineLevel="1" spans="1:10">
      <c r="A1155" s="50">
        <v>229</v>
      </c>
      <c r="B1155" s="51" t="str">
        <v>室内给水内衬塑镀锌钢塑复合管-DN15</v>
      </c>
      <c r="C1155" s="51" t="e">
        <v>#REF!</v>
      </c>
      <c r="D1155" s="51" t="str">
        <v/>
      </c>
      <c r="E1155" s="51" t="str">
        <v/>
      </c>
      <c r="F1155" s="52" t="e">
        <v>#REF!</v>
      </c>
      <c r="G1155" s="48" t="e">
        <v>#REF!</v>
      </c>
      <c r="H1155" s="49">
        <v>1.2</v>
      </c>
      <c r="I1155" s="49" t="e">
        <v>#REF!</v>
      </c>
      <c r="J1155" s="50"/>
    </row>
    <row r="1156" ht="28.8" outlineLevel="1" spans="1:10">
      <c r="A1156" s="50">
        <v>230</v>
      </c>
      <c r="B1156" s="51" t="str">
        <v>室内给水内衬塑镀锌钢塑复合管-DN20</v>
      </c>
      <c r="C1156" s="51" t="e">
        <v>#REF!</v>
      </c>
      <c r="D1156" s="51" t="str">
        <v/>
      </c>
      <c r="E1156" s="51" t="str">
        <v/>
      </c>
      <c r="F1156" s="52" t="e">
        <v>#REF!</v>
      </c>
      <c r="G1156" s="48" t="e">
        <v>#REF!</v>
      </c>
      <c r="H1156" s="49">
        <v>28.44</v>
      </c>
      <c r="I1156" s="49" t="e">
        <v>#REF!</v>
      </c>
      <c r="J1156" s="50"/>
    </row>
    <row r="1157" ht="28.8" outlineLevel="1" spans="1:10">
      <c r="A1157" s="50">
        <v>231</v>
      </c>
      <c r="B1157" s="51" t="str">
        <v>室内给水内衬塑镀锌钢塑复合管-DN25</v>
      </c>
      <c r="C1157" s="51" t="e">
        <v>#REF!</v>
      </c>
      <c r="D1157" s="51" t="str">
        <v/>
      </c>
      <c r="E1157" s="51" t="str">
        <v/>
      </c>
      <c r="F1157" s="52" t="e">
        <v>#REF!</v>
      </c>
      <c r="G1157" s="48" t="e">
        <v>#REF!</v>
      </c>
      <c r="H1157" s="49">
        <v>27.05</v>
      </c>
      <c r="I1157" s="49" t="e">
        <v>#REF!</v>
      </c>
      <c r="J1157" s="50"/>
    </row>
    <row r="1158" ht="28.8" outlineLevel="1" spans="1:10">
      <c r="A1158" s="50">
        <v>232</v>
      </c>
      <c r="B1158" s="51" t="str">
        <v>室内给水内衬塑镀锌钢塑复合管-DN32</v>
      </c>
      <c r="C1158" s="51" t="e">
        <v>#REF!</v>
      </c>
      <c r="D1158" s="51" t="str">
        <v/>
      </c>
      <c r="E1158" s="51" t="str">
        <v/>
      </c>
      <c r="F1158" s="52" t="e">
        <v>#REF!</v>
      </c>
      <c r="G1158" s="48" t="e">
        <v>#REF!</v>
      </c>
      <c r="H1158" s="49">
        <v>5.8</v>
      </c>
      <c r="I1158" s="49" t="e">
        <v>#REF!</v>
      </c>
      <c r="J1158" s="50"/>
    </row>
    <row r="1159" ht="28.8" outlineLevel="1" spans="1:10">
      <c r="A1159" s="50">
        <v>233</v>
      </c>
      <c r="B1159" s="51" t="str">
        <v>室内给水内衬塑镀锌钢塑复合管-DN40</v>
      </c>
      <c r="C1159" s="51" t="e">
        <v>#REF!</v>
      </c>
      <c r="D1159" s="51" t="str">
        <v/>
      </c>
      <c r="E1159" s="51" t="str">
        <v/>
      </c>
      <c r="F1159" s="52" t="e">
        <v>#REF!</v>
      </c>
      <c r="G1159" s="48" t="e">
        <v>#REF!</v>
      </c>
      <c r="H1159" s="49">
        <v>8.7</v>
      </c>
      <c r="I1159" s="49" t="e">
        <v>#REF!</v>
      </c>
      <c r="J1159" s="50"/>
    </row>
    <row r="1160" ht="28.8" outlineLevel="1" spans="1:10">
      <c r="A1160" s="50">
        <v>234</v>
      </c>
      <c r="B1160" s="51" t="str">
        <v>室内给水内衬塑镀锌钢塑复合管-DN50</v>
      </c>
      <c r="C1160" s="51" t="e">
        <v>#REF!</v>
      </c>
      <c r="D1160" s="51" t="str">
        <v/>
      </c>
      <c r="E1160" s="51" t="str">
        <v/>
      </c>
      <c r="F1160" s="52" t="e">
        <v>#REF!</v>
      </c>
      <c r="G1160" s="48" t="e">
        <v>#REF!</v>
      </c>
      <c r="H1160" s="49">
        <v>46.1</v>
      </c>
      <c r="I1160" s="49" t="e">
        <v>#REF!</v>
      </c>
      <c r="J1160" s="50"/>
    </row>
    <row r="1161" ht="28.8" outlineLevel="1" spans="1:10">
      <c r="A1161" s="50">
        <v>235</v>
      </c>
      <c r="B1161" s="51" t="str">
        <v>室内给水内衬塑镀锌钢塑复合管-DN65</v>
      </c>
      <c r="C1161" s="51" t="e">
        <v>#REF!</v>
      </c>
      <c r="D1161" s="51" t="str">
        <v/>
      </c>
      <c r="E1161" s="51" t="str">
        <v/>
      </c>
      <c r="F1161" s="52" t="e">
        <v>#REF!</v>
      </c>
      <c r="G1161" s="48" t="e">
        <v>#REF!</v>
      </c>
      <c r="H1161" s="49">
        <v>0</v>
      </c>
      <c r="I1161" s="49" t="e">
        <v>#REF!</v>
      </c>
      <c r="J1161" s="50"/>
    </row>
    <row r="1162" outlineLevel="1" spans="1:10">
      <c r="A1162" s="50" t="str">
        <v/>
      </c>
      <c r="B1162" s="51" t="str">
        <v>B.06.3绝热</v>
      </c>
      <c r="C1162" s="51" t="str">
        <v/>
      </c>
      <c r="D1162" s="51" t="str">
        <v/>
      </c>
      <c r="E1162" s="51" t="str">
        <v/>
      </c>
      <c r="F1162" s="52" t="str">
        <v/>
      </c>
      <c r="G1162" s="48" t="str">
        <v/>
      </c>
      <c r="H1162" s="49">
        <v>0</v>
      </c>
      <c r="I1162" s="49" t="e">
        <v>#REF!</v>
      </c>
      <c r="J1162" s="50"/>
    </row>
    <row r="1163" outlineLevel="1" spans="1:10">
      <c r="A1163" s="50">
        <v>236</v>
      </c>
      <c r="B1163" s="51" t="str">
        <v>管道绝热</v>
      </c>
      <c r="C1163" s="51" t="e">
        <v>#REF!</v>
      </c>
      <c r="D1163" s="51" t="str">
        <v/>
      </c>
      <c r="E1163" s="51" t="str">
        <v/>
      </c>
      <c r="F1163" s="52" t="e">
        <v>#REF!</v>
      </c>
      <c r="G1163" s="48" t="e">
        <v>#REF!</v>
      </c>
      <c r="H1163" s="49">
        <v>6.68</v>
      </c>
      <c r="I1163" s="49" t="e">
        <v>#REF!</v>
      </c>
      <c r="J1163" s="50"/>
    </row>
    <row r="1164" outlineLevel="1" spans="1:10">
      <c r="A1164" s="50">
        <v>237</v>
      </c>
      <c r="B1164" s="51" t="str">
        <v>塑料带保护层</v>
      </c>
      <c r="C1164" s="51" t="e">
        <v>#REF!</v>
      </c>
      <c r="D1164" s="51" t="str">
        <v/>
      </c>
      <c r="E1164" s="51" t="str">
        <v/>
      </c>
      <c r="F1164" s="52" t="e">
        <v>#REF!</v>
      </c>
      <c r="G1164" s="48" t="e">
        <v>#REF!</v>
      </c>
      <c r="H1164" s="49">
        <v>88.06</v>
      </c>
      <c r="I1164" s="49" t="e">
        <v>#REF!</v>
      </c>
      <c r="J1164" s="50"/>
    </row>
    <row r="1165" outlineLevel="1" spans="1:10">
      <c r="A1165" s="50" t="str">
        <v/>
      </c>
      <c r="B1165" s="51" t="str">
        <v>B.07地上公区排水</v>
      </c>
      <c r="C1165" s="51" t="str">
        <v/>
      </c>
      <c r="D1165" s="51" t="str">
        <v/>
      </c>
      <c r="E1165" s="51" t="str">
        <v/>
      </c>
      <c r="F1165" s="52" t="str">
        <v/>
      </c>
      <c r="G1165" s="48" t="str">
        <v/>
      </c>
      <c r="H1165" s="49">
        <v>0</v>
      </c>
      <c r="I1165" s="49" t="e">
        <v>#REF!</v>
      </c>
      <c r="J1165" s="50"/>
    </row>
    <row r="1166" outlineLevel="1" spans="1:10">
      <c r="A1166" s="50" t="str">
        <v/>
      </c>
      <c r="B1166" s="51" t="str">
        <v>B.07.1排水管道</v>
      </c>
      <c r="C1166" s="51" t="str">
        <v/>
      </c>
      <c r="D1166" s="51" t="str">
        <v/>
      </c>
      <c r="E1166" s="51" t="str">
        <v/>
      </c>
      <c r="F1166" s="52" t="str">
        <v/>
      </c>
      <c r="G1166" s="48" t="str">
        <v/>
      </c>
      <c r="H1166" s="49">
        <v>0</v>
      </c>
      <c r="I1166" s="49" t="e">
        <v>#REF!</v>
      </c>
      <c r="J1166" s="50"/>
    </row>
    <row r="1167" outlineLevel="1" spans="1:10">
      <c r="A1167" s="50">
        <v>238</v>
      </c>
      <c r="B1167" s="51" t="str">
        <v>室内排水塑料管-UPVC-De50</v>
      </c>
      <c r="C1167" s="51" t="e">
        <v>#REF!</v>
      </c>
      <c r="D1167" s="51" t="str">
        <v/>
      </c>
      <c r="E1167" s="51" t="str">
        <v/>
      </c>
      <c r="F1167" s="52" t="e">
        <v>#REF!</v>
      </c>
      <c r="G1167" s="48" t="e">
        <v>#REF!</v>
      </c>
      <c r="H1167" s="49">
        <v>24.63</v>
      </c>
      <c r="I1167" s="49" t="e">
        <v>#REF!</v>
      </c>
      <c r="J1167" s="50"/>
    </row>
    <row r="1168" outlineLevel="1" spans="1:10">
      <c r="A1168" s="50">
        <v>239</v>
      </c>
      <c r="B1168" s="51" t="str">
        <v>室内排水塑料管-UPVC-De75</v>
      </c>
      <c r="C1168" s="51" t="e">
        <v>#REF!</v>
      </c>
      <c r="D1168" s="51" t="str">
        <v/>
      </c>
      <c r="E1168" s="51" t="str">
        <v/>
      </c>
      <c r="F1168" s="52" t="e">
        <v>#REF!</v>
      </c>
      <c r="G1168" s="48" t="e">
        <v>#REF!</v>
      </c>
      <c r="H1168" s="49">
        <v>0</v>
      </c>
      <c r="I1168" s="49" t="e">
        <v>#REF!</v>
      </c>
      <c r="J1168" s="50"/>
    </row>
    <row r="1169" outlineLevel="1" spans="1:10">
      <c r="A1169" s="50">
        <v>240</v>
      </c>
      <c r="B1169" s="51" t="str">
        <v>室内排水塑料管-UPVC-De110</v>
      </c>
      <c r="C1169" s="51" t="e">
        <v>#REF!</v>
      </c>
      <c r="D1169" s="51" t="str">
        <v/>
      </c>
      <c r="E1169" s="51" t="str">
        <v/>
      </c>
      <c r="F1169" s="52" t="e">
        <v>#REF!</v>
      </c>
      <c r="G1169" s="48" t="e">
        <v>#REF!</v>
      </c>
      <c r="H1169" s="49">
        <v>14.4</v>
      </c>
      <c r="I1169" s="49" t="e">
        <v>#REF!</v>
      </c>
      <c r="J1169" s="50"/>
    </row>
    <row r="1170" ht="28.8" outlineLevel="1" spans="1:10">
      <c r="A1170" s="50">
        <v>241</v>
      </c>
      <c r="B1170" s="51" t="str">
        <v>室内排水塑料管-消音UPVC-De75</v>
      </c>
      <c r="C1170" s="51" t="e">
        <v>#REF!</v>
      </c>
      <c r="D1170" s="51" t="str">
        <v/>
      </c>
      <c r="E1170" s="51" t="str">
        <v/>
      </c>
      <c r="F1170" s="52" t="e">
        <v>#REF!</v>
      </c>
      <c r="G1170" s="48" t="e">
        <v>#REF!</v>
      </c>
      <c r="H1170" s="49">
        <v>0</v>
      </c>
      <c r="I1170" s="49" t="e">
        <v>#REF!</v>
      </c>
      <c r="J1170" s="50"/>
    </row>
    <row r="1171" ht="28.8" outlineLevel="1" spans="1:10">
      <c r="A1171" s="50">
        <v>242</v>
      </c>
      <c r="B1171" s="51" t="str">
        <v>室内排水塑料管-消音UPVC-De110</v>
      </c>
      <c r="C1171" s="51" t="e">
        <v>#REF!</v>
      </c>
      <c r="D1171" s="51" t="str">
        <v/>
      </c>
      <c r="E1171" s="51" t="str">
        <v/>
      </c>
      <c r="F1171" s="52" t="e">
        <v>#REF!</v>
      </c>
      <c r="G1171" s="48" t="e">
        <v>#REF!</v>
      </c>
      <c r="H1171" s="49">
        <v>0</v>
      </c>
      <c r="I1171" s="49" t="e">
        <v>#REF!</v>
      </c>
      <c r="J1171" s="50"/>
    </row>
    <row r="1172" ht="28.8" outlineLevel="1" spans="1:10">
      <c r="A1172" s="50">
        <v>243</v>
      </c>
      <c r="B1172" s="51" t="str">
        <v>室内冷凝水塑料管-UPVC-De75</v>
      </c>
      <c r="C1172" s="51" t="e">
        <v>#REF!</v>
      </c>
      <c r="D1172" s="51" t="str">
        <v/>
      </c>
      <c r="E1172" s="51" t="str">
        <v/>
      </c>
      <c r="F1172" s="52" t="e">
        <v>#REF!</v>
      </c>
      <c r="G1172" s="48" t="e">
        <v>#REF!</v>
      </c>
      <c r="H1172" s="49">
        <v>1</v>
      </c>
      <c r="I1172" s="49" t="e">
        <v>#REF!</v>
      </c>
      <c r="J1172" s="50"/>
    </row>
    <row r="1173" ht="28.8" outlineLevel="1" spans="1:10">
      <c r="A1173" s="50">
        <v>244</v>
      </c>
      <c r="B1173" s="51" t="str">
        <v>室内冷凝水塑料管-UPVC-De50</v>
      </c>
      <c r="C1173" s="51" t="e">
        <v>#REF!</v>
      </c>
      <c r="D1173" s="51" t="str">
        <v/>
      </c>
      <c r="E1173" s="51" t="str">
        <v/>
      </c>
      <c r="F1173" s="52" t="e">
        <v>#REF!</v>
      </c>
      <c r="G1173" s="48" t="e">
        <v>#REF!</v>
      </c>
      <c r="H1173" s="49">
        <v>405.69</v>
      </c>
      <c r="I1173" s="49" t="e">
        <v>#REF!</v>
      </c>
      <c r="J1173" s="50"/>
    </row>
    <row r="1174" outlineLevel="1" spans="1:10">
      <c r="A1174" s="50" t="str">
        <v/>
      </c>
      <c r="B1174" s="51" t="str">
        <v>B.07.1卫生器具</v>
      </c>
      <c r="C1174" s="51" t="str">
        <v/>
      </c>
      <c r="D1174" s="51" t="str">
        <v/>
      </c>
      <c r="E1174" s="51" t="str">
        <v/>
      </c>
      <c r="F1174" s="52" t="str">
        <v/>
      </c>
      <c r="G1174" s="48" t="str">
        <v/>
      </c>
      <c r="H1174" s="49">
        <v>0</v>
      </c>
      <c r="I1174" s="49" t="e">
        <v>#REF!</v>
      </c>
      <c r="J1174" s="50"/>
    </row>
    <row r="1175" outlineLevel="1" spans="1:10">
      <c r="A1175" s="50">
        <v>245</v>
      </c>
      <c r="B1175" s="51" t="str">
        <v>水龙头DN15</v>
      </c>
      <c r="C1175" s="51" t="e">
        <v>#REF!</v>
      </c>
      <c r="D1175" s="51" t="str">
        <v/>
      </c>
      <c r="E1175" s="51" t="str">
        <v/>
      </c>
      <c r="F1175" s="52" t="e">
        <v>#REF!</v>
      </c>
      <c r="G1175" s="48" t="e">
        <v>#REF!</v>
      </c>
      <c r="H1175" s="49">
        <v>0</v>
      </c>
      <c r="I1175" s="49" t="e">
        <v>#REF!</v>
      </c>
      <c r="J1175" s="50"/>
    </row>
    <row r="1176" outlineLevel="1" spans="1:10">
      <c r="A1176" s="50">
        <v>246</v>
      </c>
      <c r="B1176" s="51" t="str">
        <v>铸铁地漏-DN50</v>
      </c>
      <c r="C1176" s="51" t="e">
        <v>#REF!</v>
      </c>
      <c r="D1176" s="51" t="str">
        <v/>
      </c>
      <c r="E1176" s="51" t="str">
        <v/>
      </c>
      <c r="F1176" s="52" t="e">
        <v>#REF!</v>
      </c>
      <c r="G1176" s="48" t="e">
        <v>#REF!</v>
      </c>
      <c r="H1176" s="49">
        <v>20</v>
      </c>
      <c r="I1176" s="49" t="e">
        <v>#REF!</v>
      </c>
      <c r="J1176" s="50"/>
    </row>
    <row r="1177" outlineLevel="1" spans="1:10">
      <c r="A1177" s="50">
        <v>247</v>
      </c>
      <c r="B1177" s="51" t="str">
        <v>公区塑料地漏-De50</v>
      </c>
      <c r="C1177" s="51" t="e">
        <v>#REF!</v>
      </c>
      <c r="D1177" s="51" t="str">
        <v/>
      </c>
      <c r="E1177" s="51" t="str">
        <v/>
      </c>
      <c r="F1177" s="52" t="e">
        <v>#REF!</v>
      </c>
      <c r="G1177" s="48" t="e">
        <v>#REF!</v>
      </c>
      <c r="H1177" s="49">
        <v>0</v>
      </c>
      <c r="I1177" s="49" t="e">
        <v>#REF!</v>
      </c>
      <c r="J1177" s="50"/>
    </row>
    <row r="1178" outlineLevel="1" spans="1:10">
      <c r="A1178" s="50">
        <v>248</v>
      </c>
      <c r="B1178" s="51" t="str">
        <v>地漏-De110</v>
      </c>
      <c r="C1178" s="51" t="e">
        <v>#REF!</v>
      </c>
      <c r="D1178" s="51" t="str">
        <v/>
      </c>
      <c r="E1178" s="51" t="str">
        <v/>
      </c>
      <c r="F1178" s="52" t="e">
        <v>#REF!</v>
      </c>
      <c r="G1178" s="48" t="e">
        <v>#REF!</v>
      </c>
      <c r="H1178" s="49">
        <v>1</v>
      </c>
      <c r="I1178" s="49" t="e">
        <v>#REF!</v>
      </c>
      <c r="J1178" s="50"/>
    </row>
    <row r="1179" outlineLevel="1" spans="1:10">
      <c r="A1179" s="50">
        <v>249</v>
      </c>
      <c r="B1179" s="51" t="str">
        <v>清扫口-De110</v>
      </c>
      <c r="C1179" s="51" t="e">
        <v>#REF!</v>
      </c>
      <c r="D1179" s="51" t="str">
        <v/>
      </c>
      <c r="E1179" s="51" t="str">
        <v/>
      </c>
      <c r="F1179" s="52" t="e">
        <v>#REF!</v>
      </c>
      <c r="G1179" s="48" t="e">
        <v>#REF!</v>
      </c>
      <c r="H1179" s="49">
        <v>2</v>
      </c>
      <c r="I1179" s="49" t="e">
        <v>#REF!</v>
      </c>
      <c r="J1179" s="50"/>
    </row>
    <row r="1180" outlineLevel="1" spans="1:10">
      <c r="A1180" s="50">
        <v>250</v>
      </c>
      <c r="B1180" s="51" t="str">
        <v>雨水地漏-DN75</v>
      </c>
      <c r="C1180" s="51" t="e">
        <v>#REF!</v>
      </c>
      <c r="D1180" s="51" t="str">
        <v/>
      </c>
      <c r="E1180" s="51" t="str">
        <v/>
      </c>
      <c r="F1180" s="52" t="e">
        <v>#REF!</v>
      </c>
      <c r="G1180" s="48" t="e">
        <v>#REF!</v>
      </c>
      <c r="H1180" s="49">
        <v>1</v>
      </c>
      <c r="I1180" s="49" t="e">
        <v>#REF!</v>
      </c>
      <c r="J1180" s="50"/>
    </row>
    <row r="1181" outlineLevel="1" spans="1:10">
      <c r="A1181" s="50" t="str">
        <v/>
      </c>
      <c r="B1181" s="51" t="str">
        <v>B.08地上预留预埋</v>
      </c>
      <c r="C1181" s="51" t="str">
        <v/>
      </c>
      <c r="D1181" s="51" t="str">
        <v/>
      </c>
      <c r="E1181" s="51" t="str">
        <v/>
      </c>
      <c r="F1181" s="52" t="str">
        <v/>
      </c>
      <c r="G1181" s="48" t="str">
        <v/>
      </c>
      <c r="H1181" s="49">
        <v>0</v>
      </c>
      <c r="I1181" s="49" t="e">
        <v>#REF!</v>
      </c>
      <c r="J1181" s="50"/>
    </row>
    <row r="1182" outlineLevel="1" spans="1:10">
      <c r="A1182" s="50" t="str">
        <v/>
      </c>
      <c r="B1182" s="51" t="str">
        <v>B.08.1给排水预留预埋</v>
      </c>
      <c r="C1182" s="51" t="str">
        <v/>
      </c>
      <c r="D1182" s="51" t="str">
        <v/>
      </c>
      <c r="E1182" s="51" t="str">
        <v/>
      </c>
      <c r="F1182" s="52" t="str">
        <v/>
      </c>
      <c r="G1182" s="48" t="str">
        <v/>
      </c>
      <c r="H1182" s="49">
        <v>0</v>
      </c>
      <c r="I1182" s="49" t="e">
        <v>#REF!</v>
      </c>
      <c r="J1182" s="50"/>
    </row>
    <row r="1183" outlineLevel="1" spans="1:10">
      <c r="A1183" s="50">
        <v>251</v>
      </c>
      <c r="B1183" s="51" t="str">
        <v>空调套管DN80</v>
      </c>
      <c r="C1183" s="51" t="e">
        <v>#REF!</v>
      </c>
      <c r="D1183" s="51" t="str">
        <v/>
      </c>
      <c r="E1183" s="51" t="str">
        <v/>
      </c>
      <c r="F1183" s="52" t="e">
        <v>#REF!</v>
      </c>
      <c r="G1183" s="48" t="e">
        <v>#REF!</v>
      </c>
      <c r="H1183" s="49">
        <v>44</v>
      </c>
      <c r="I1183" s="49" t="e">
        <v>#REF!</v>
      </c>
      <c r="J1183" s="50"/>
    </row>
    <row r="1184" outlineLevel="1" spans="1:10">
      <c r="A1184" s="50">
        <v>252</v>
      </c>
      <c r="B1184" s="51" t="str">
        <v>燃气套管DN100</v>
      </c>
      <c r="C1184" s="51" t="e">
        <v>#REF!</v>
      </c>
      <c r="D1184" s="51" t="str">
        <v/>
      </c>
      <c r="E1184" s="51" t="str">
        <v/>
      </c>
      <c r="F1184" s="52" t="e">
        <v>#REF!</v>
      </c>
      <c r="G1184" s="48" t="e">
        <v>#REF!</v>
      </c>
      <c r="H1184" s="49">
        <v>44</v>
      </c>
      <c r="I1184" s="49" t="e">
        <v>#REF!</v>
      </c>
      <c r="J1184" s="50"/>
    </row>
    <row r="1185" outlineLevel="1" spans="1:10">
      <c r="A1185" s="50">
        <v>253</v>
      </c>
      <c r="B1185" s="51" t="str">
        <v>刚性防水套管-DN50</v>
      </c>
      <c r="C1185" s="51" t="e">
        <v>#REF!</v>
      </c>
      <c r="D1185" s="51" t="str">
        <v/>
      </c>
      <c r="E1185" s="51" t="str">
        <v/>
      </c>
      <c r="F1185" s="52" t="e">
        <v>#REF!</v>
      </c>
      <c r="G1185" s="48" t="e">
        <v>#REF!</v>
      </c>
      <c r="H1185" s="49">
        <v>1</v>
      </c>
      <c r="I1185" s="49" t="e">
        <v>#REF!</v>
      </c>
      <c r="J1185" s="50"/>
    </row>
    <row r="1186" outlineLevel="1" spans="1:10">
      <c r="A1186" s="50">
        <v>254</v>
      </c>
      <c r="B1186" s="51" t="str">
        <v>刚性防水套管-DN65</v>
      </c>
      <c r="C1186" s="51" t="e">
        <v>#REF!</v>
      </c>
      <c r="D1186" s="51" t="str">
        <v/>
      </c>
      <c r="E1186" s="51" t="str">
        <v/>
      </c>
      <c r="F1186" s="52" t="e">
        <v>#REF!</v>
      </c>
      <c r="G1186" s="48" t="e">
        <v>#REF!</v>
      </c>
      <c r="H1186" s="49">
        <v>1</v>
      </c>
      <c r="I1186" s="49" t="e">
        <v>#REF!</v>
      </c>
      <c r="J1186" s="50"/>
    </row>
    <row r="1187" outlineLevel="1" spans="1:10">
      <c r="A1187" s="50">
        <v>255</v>
      </c>
      <c r="B1187" s="51" t="str">
        <v>刚性防水套管-DN80</v>
      </c>
      <c r="C1187" s="51" t="e">
        <v>#REF!</v>
      </c>
      <c r="D1187" s="51" t="str">
        <v/>
      </c>
      <c r="E1187" s="51" t="str">
        <v/>
      </c>
      <c r="F1187" s="52" t="e">
        <v>#REF!</v>
      </c>
      <c r="G1187" s="48" t="e">
        <v>#REF!</v>
      </c>
      <c r="H1187" s="49">
        <v>1</v>
      </c>
      <c r="I1187" s="49" t="e">
        <v>#REF!</v>
      </c>
      <c r="J1187" s="50"/>
    </row>
    <row r="1188" outlineLevel="1" spans="1:10">
      <c r="A1188" s="50">
        <v>256</v>
      </c>
      <c r="B1188" s="51" t="str">
        <v>刚性防水套管-De110</v>
      </c>
      <c r="C1188" s="51" t="e">
        <v>#REF!</v>
      </c>
      <c r="D1188" s="51" t="str">
        <v/>
      </c>
      <c r="E1188" s="51" t="str">
        <v/>
      </c>
      <c r="F1188" s="52" t="e">
        <v>#REF!</v>
      </c>
      <c r="G1188" s="48" t="e">
        <v>#REF!</v>
      </c>
      <c r="H1188" s="49">
        <v>16</v>
      </c>
      <c r="I1188" s="49" t="e">
        <v>#REF!</v>
      </c>
      <c r="J1188" s="50"/>
    </row>
    <row r="1189" outlineLevel="1" spans="1:10">
      <c r="A1189" s="50" t="str">
        <v/>
      </c>
      <c r="B1189" s="51" t="str">
        <v>B.08.1消防预留预埋</v>
      </c>
      <c r="C1189" s="51" t="str">
        <v/>
      </c>
      <c r="D1189" s="51" t="str">
        <v/>
      </c>
      <c r="E1189" s="51" t="str">
        <v/>
      </c>
      <c r="F1189" s="52" t="str">
        <v/>
      </c>
      <c r="G1189" s="48" t="str">
        <v/>
      </c>
      <c r="H1189" s="49">
        <v>0</v>
      </c>
      <c r="I1189" s="49" t="e">
        <v>#REF!</v>
      </c>
      <c r="J1189" s="50"/>
    </row>
    <row r="1190" outlineLevel="1" spans="1:10">
      <c r="A1190" s="50">
        <v>257</v>
      </c>
      <c r="B1190" s="51" t="str">
        <v>消防钢套管-DN65</v>
      </c>
      <c r="C1190" s="51" t="e">
        <v>#REF!</v>
      </c>
      <c r="D1190" s="51" t="str">
        <v/>
      </c>
      <c r="E1190" s="51" t="str">
        <v/>
      </c>
      <c r="F1190" s="52" t="e">
        <v>#REF!</v>
      </c>
      <c r="G1190" s="48" t="e">
        <v>#REF!</v>
      </c>
      <c r="H1190" s="49">
        <v>0</v>
      </c>
      <c r="I1190" s="49" t="e">
        <v>#REF!</v>
      </c>
      <c r="J1190" s="50"/>
    </row>
    <row r="1191" outlineLevel="1" spans="1:10">
      <c r="A1191" s="50">
        <v>258</v>
      </c>
      <c r="B1191" s="51" t="str">
        <v>消防钢套管-DN100</v>
      </c>
      <c r="C1191" s="51" t="e">
        <v>#REF!</v>
      </c>
      <c r="D1191" s="51" t="str">
        <v/>
      </c>
      <c r="E1191" s="51" t="str">
        <v/>
      </c>
      <c r="F1191" s="52" t="e">
        <v>#REF!</v>
      </c>
      <c r="G1191" s="48" t="e">
        <v>#REF!</v>
      </c>
      <c r="H1191" s="49">
        <v>44</v>
      </c>
      <c r="I1191" s="49" t="e">
        <v>#REF!</v>
      </c>
      <c r="J1191" s="50"/>
    </row>
    <row r="1192" outlineLevel="1" spans="1:10">
      <c r="A1192" s="50">
        <v>259</v>
      </c>
      <c r="B1192" s="51" t="str">
        <v>刚性防水套管-DN100</v>
      </c>
      <c r="C1192" s="51" t="e">
        <v>#REF!</v>
      </c>
      <c r="D1192" s="51" t="str">
        <v/>
      </c>
      <c r="E1192" s="51" t="str">
        <v/>
      </c>
      <c r="F1192" s="52" t="e">
        <v>#REF!</v>
      </c>
      <c r="G1192" s="48" t="e">
        <v>#REF!</v>
      </c>
      <c r="H1192" s="49">
        <v>1</v>
      </c>
      <c r="I1192" s="49" t="e">
        <v>#REF!</v>
      </c>
      <c r="J1192" s="50"/>
    </row>
    <row r="1193" outlineLevel="1" spans="1:10">
      <c r="A1193" s="50" t="str">
        <v/>
      </c>
      <c r="B1193" s="51" t="str">
        <v>地下采暖</v>
      </c>
      <c r="C1193" s="51" t="str">
        <v/>
      </c>
      <c r="D1193" s="51" t="str">
        <v/>
      </c>
      <c r="E1193" s="51" t="str">
        <v/>
      </c>
      <c r="F1193" s="52" t="str">
        <v/>
      </c>
      <c r="G1193" s="48" t="str">
        <v/>
      </c>
      <c r="H1193" s="49">
        <v>0</v>
      </c>
      <c r="I1193" s="49" t="e">
        <v>#REF!</v>
      </c>
      <c r="J1193" s="50"/>
    </row>
    <row r="1194" outlineLevel="1" spans="1:10">
      <c r="A1194" s="50" t="str">
        <v/>
      </c>
      <c r="B1194" s="51" t="str">
        <v>B.09采暖入口装置</v>
      </c>
      <c r="C1194" s="51" t="str">
        <v/>
      </c>
      <c r="D1194" s="51" t="str">
        <v/>
      </c>
      <c r="E1194" s="51" t="str">
        <v/>
      </c>
      <c r="F1194" s="52" t="str">
        <v/>
      </c>
      <c r="G1194" s="48" t="str">
        <v/>
      </c>
      <c r="H1194" s="49">
        <v>0</v>
      </c>
      <c r="I1194" s="49" t="e">
        <v>#REF!</v>
      </c>
      <c r="J1194" s="50"/>
    </row>
    <row r="1195" outlineLevel="1" spans="1:10">
      <c r="A1195" s="50">
        <v>260</v>
      </c>
      <c r="B1195" s="51" t="str">
        <v>采暖入口装置-DN25</v>
      </c>
      <c r="C1195" s="51" t="e">
        <v>#REF!</v>
      </c>
      <c r="D1195" s="51" t="str">
        <v/>
      </c>
      <c r="E1195" s="51" t="str">
        <v/>
      </c>
      <c r="F1195" s="52" t="e">
        <v>#REF!</v>
      </c>
      <c r="G1195" s="48" t="e">
        <v>#REF!</v>
      </c>
      <c r="H1195" s="49">
        <v>0</v>
      </c>
      <c r="I1195" s="49" t="e">
        <v>#REF!</v>
      </c>
      <c r="J1195" s="50"/>
    </row>
    <row r="1196" outlineLevel="1" spans="1:10">
      <c r="A1196" s="50">
        <v>261</v>
      </c>
      <c r="B1196" s="51" t="str">
        <v>采暖入口装置-DN32</v>
      </c>
      <c r="C1196" s="51" t="e">
        <v>#REF!</v>
      </c>
      <c r="D1196" s="51" t="str">
        <v/>
      </c>
      <c r="E1196" s="51" t="str">
        <v/>
      </c>
      <c r="F1196" s="52" t="e">
        <v>#REF!</v>
      </c>
      <c r="G1196" s="48" t="e">
        <v>#REF!</v>
      </c>
      <c r="H1196" s="49">
        <v>0</v>
      </c>
      <c r="I1196" s="49" t="e">
        <v>#REF!</v>
      </c>
      <c r="J1196" s="50"/>
    </row>
    <row r="1197" outlineLevel="1" spans="1:10">
      <c r="A1197" s="50">
        <v>262</v>
      </c>
      <c r="B1197" s="51" t="str">
        <v>采暖入口装置-DN40</v>
      </c>
      <c r="C1197" s="51" t="e">
        <v>#REF!</v>
      </c>
      <c r="D1197" s="51" t="str">
        <v/>
      </c>
      <c r="E1197" s="51" t="str">
        <v/>
      </c>
      <c r="F1197" s="52" t="e">
        <v>#REF!</v>
      </c>
      <c r="G1197" s="48" t="e">
        <v>#REF!</v>
      </c>
      <c r="H1197" s="49">
        <v>0</v>
      </c>
      <c r="I1197" s="49" t="e">
        <v>#REF!</v>
      </c>
      <c r="J1197" s="50"/>
    </row>
    <row r="1198" outlineLevel="1" spans="1:10">
      <c r="A1198" s="50">
        <v>263</v>
      </c>
      <c r="B1198" s="51" t="str">
        <v>采暖入口装置-DN50</v>
      </c>
      <c r="C1198" s="51" t="e">
        <v>#REF!</v>
      </c>
      <c r="D1198" s="51" t="str">
        <v/>
      </c>
      <c r="E1198" s="51" t="str">
        <v/>
      </c>
      <c r="F1198" s="52" t="e">
        <v>#REF!</v>
      </c>
      <c r="G1198" s="48" t="e">
        <v>#REF!</v>
      </c>
      <c r="H1198" s="49">
        <v>1</v>
      </c>
      <c r="I1198" s="49" t="e">
        <v>#REF!</v>
      </c>
      <c r="J1198" s="50"/>
    </row>
    <row r="1199" outlineLevel="1" spans="1:10">
      <c r="A1199" s="50">
        <v>264</v>
      </c>
      <c r="B1199" s="51" t="str">
        <v>采暖入口装置-DN65</v>
      </c>
      <c r="C1199" s="51" t="e">
        <v>#REF!</v>
      </c>
      <c r="D1199" s="51" t="str">
        <v/>
      </c>
      <c r="E1199" s="51" t="str">
        <v/>
      </c>
      <c r="F1199" s="52" t="e">
        <v>#REF!</v>
      </c>
      <c r="G1199" s="48" t="e">
        <v>#REF!</v>
      </c>
      <c r="H1199" s="49">
        <v>1</v>
      </c>
      <c r="I1199" s="49" t="e">
        <v>#REF!</v>
      </c>
      <c r="J1199" s="50"/>
    </row>
    <row r="1200" outlineLevel="1" spans="1:10">
      <c r="A1200" s="50">
        <v>265</v>
      </c>
      <c r="B1200" s="51" t="str">
        <v>采暖入口装置-DN80</v>
      </c>
      <c r="C1200" s="51" t="e">
        <v>#REF!</v>
      </c>
      <c r="D1200" s="51" t="str">
        <v/>
      </c>
      <c r="E1200" s="51" t="str">
        <v/>
      </c>
      <c r="F1200" s="52" t="e">
        <v>#REF!</v>
      </c>
      <c r="G1200" s="48" t="e">
        <v>#REF!</v>
      </c>
      <c r="H1200" s="49">
        <v>1</v>
      </c>
      <c r="I1200" s="49" t="e">
        <v>#REF!</v>
      </c>
      <c r="J1200" s="50"/>
    </row>
    <row r="1201" outlineLevel="1" spans="1:10">
      <c r="A1201" s="50">
        <v>266</v>
      </c>
      <c r="B1201" s="51" t="str">
        <v>采暖入口装置-DN100</v>
      </c>
      <c r="C1201" s="51" t="e">
        <v>#REF!</v>
      </c>
      <c r="D1201" s="51" t="str">
        <v/>
      </c>
      <c r="E1201" s="51" t="str">
        <v/>
      </c>
      <c r="F1201" s="52" t="e">
        <v>#REF!</v>
      </c>
      <c r="G1201" s="48" t="e">
        <v>#REF!</v>
      </c>
      <c r="H1201" s="49">
        <v>1</v>
      </c>
      <c r="I1201" s="49" t="e">
        <v>#REF!</v>
      </c>
      <c r="J1201" s="50"/>
    </row>
    <row r="1202" outlineLevel="1" spans="1:10">
      <c r="A1202" s="50" t="str">
        <v/>
      </c>
      <c r="B1202" s="51" t="str">
        <v>B.10采暖管道</v>
      </c>
      <c r="C1202" s="51" t="str">
        <v/>
      </c>
      <c r="D1202" s="51" t="str">
        <v/>
      </c>
      <c r="E1202" s="51" t="str">
        <v/>
      </c>
      <c r="F1202" s="52" t="str">
        <v/>
      </c>
      <c r="G1202" s="48" t="str">
        <v/>
      </c>
      <c r="H1202" s="49">
        <v>0</v>
      </c>
      <c r="I1202" s="49" t="e">
        <v>#REF!</v>
      </c>
      <c r="J1202" s="50"/>
    </row>
    <row r="1203" outlineLevel="1" spans="1:10">
      <c r="A1203" s="50">
        <v>267</v>
      </c>
      <c r="B1203" s="51" t="str">
        <v>室内供暖镀锌钢管-DN15</v>
      </c>
      <c r="C1203" s="51" t="e">
        <v>#REF!</v>
      </c>
      <c r="D1203" s="51" t="str">
        <v/>
      </c>
      <c r="E1203" s="51" t="str">
        <v/>
      </c>
      <c r="F1203" s="52" t="e">
        <v>#REF!</v>
      </c>
      <c r="G1203" s="48" t="e">
        <v>#REF!</v>
      </c>
      <c r="H1203" s="49">
        <v>0</v>
      </c>
      <c r="I1203" s="49" t="e">
        <v>#REF!</v>
      </c>
      <c r="J1203" s="50"/>
    </row>
    <row r="1204" outlineLevel="1" spans="1:10">
      <c r="A1204" s="50">
        <v>268</v>
      </c>
      <c r="B1204" s="51" t="str">
        <v>室内供暖镀锌钢管-DN20</v>
      </c>
      <c r="C1204" s="51" t="e">
        <v>#REF!</v>
      </c>
      <c r="D1204" s="51" t="str">
        <v/>
      </c>
      <c r="E1204" s="51" t="str">
        <v/>
      </c>
      <c r="F1204" s="52" t="e">
        <v>#REF!</v>
      </c>
      <c r="G1204" s="48" t="e">
        <v>#REF!</v>
      </c>
      <c r="H1204" s="49">
        <v>0</v>
      </c>
      <c r="I1204" s="49" t="e">
        <v>#REF!</v>
      </c>
      <c r="J1204" s="50"/>
    </row>
    <row r="1205" outlineLevel="1" spans="1:10">
      <c r="A1205" s="50">
        <v>269</v>
      </c>
      <c r="B1205" s="51" t="str">
        <v>室内供暖镀锌钢管-DN25</v>
      </c>
      <c r="C1205" s="51" t="e">
        <v>#REF!</v>
      </c>
      <c r="D1205" s="51" t="str">
        <v/>
      </c>
      <c r="E1205" s="51" t="str">
        <v/>
      </c>
      <c r="F1205" s="52" t="e">
        <v>#REF!</v>
      </c>
      <c r="G1205" s="48" t="e">
        <v>#REF!</v>
      </c>
      <c r="H1205" s="49">
        <v>1</v>
      </c>
      <c r="I1205" s="49" t="e">
        <v>#REF!</v>
      </c>
      <c r="J1205" s="50"/>
    </row>
    <row r="1206" outlineLevel="1" spans="1:10">
      <c r="A1206" s="50">
        <v>270</v>
      </c>
      <c r="B1206" s="51" t="str">
        <v>室内供暖镀锌钢管-DN32</v>
      </c>
      <c r="C1206" s="51" t="e">
        <v>#REF!</v>
      </c>
      <c r="D1206" s="51" t="str">
        <v/>
      </c>
      <c r="E1206" s="51" t="str">
        <v/>
      </c>
      <c r="F1206" s="52" t="e">
        <v>#REF!</v>
      </c>
      <c r="G1206" s="48" t="e">
        <v>#REF!</v>
      </c>
      <c r="H1206" s="49">
        <v>0.8</v>
      </c>
      <c r="I1206" s="49" t="e">
        <v>#REF!</v>
      </c>
      <c r="J1206" s="50"/>
    </row>
    <row r="1207" outlineLevel="1" spans="1:10">
      <c r="A1207" s="50">
        <v>271</v>
      </c>
      <c r="B1207" s="51" t="str">
        <v>室内供暖镀锌钢管-DN40</v>
      </c>
      <c r="C1207" s="51" t="e">
        <v>#REF!</v>
      </c>
      <c r="D1207" s="51" t="str">
        <v/>
      </c>
      <c r="E1207" s="51" t="str">
        <v/>
      </c>
      <c r="F1207" s="52" t="e">
        <v>#REF!</v>
      </c>
      <c r="G1207" s="48" t="e">
        <v>#REF!</v>
      </c>
      <c r="H1207" s="49">
        <v>0</v>
      </c>
      <c r="I1207" s="49" t="e">
        <v>#REF!</v>
      </c>
      <c r="J1207" s="50"/>
    </row>
    <row r="1208" outlineLevel="1" spans="1:10">
      <c r="A1208" s="50">
        <v>272</v>
      </c>
      <c r="B1208" s="51" t="str">
        <v>室内供暖镀锌钢管-DN50</v>
      </c>
      <c r="C1208" s="51" t="e">
        <v>#REF!</v>
      </c>
      <c r="D1208" s="51" t="str">
        <v/>
      </c>
      <c r="E1208" s="51" t="str">
        <v/>
      </c>
      <c r="F1208" s="52" t="e">
        <v>#REF!</v>
      </c>
      <c r="G1208" s="48" t="e">
        <v>#REF!</v>
      </c>
      <c r="H1208" s="49">
        <v>0</v>
      </c>
      <c r="I1208" s="49" t="e">
        <v>#REF!</v>
      </c>
      <c r="J1208" s="50"/>
    </row>
    <row r="1209" outlineLevel="1" spans="1:10">
      <c r="A1209" s="50">
        <v>273</v>
      </c>
      <c r="B1209" s="51" t="str">
        <v>室内供暖镀锌钢管-DN65</v>
      </c>
      <c r="C1209" s="51" t="e">
        <v>#REF!</v>
      </c>
      <c r="D1209" s="51" t="str">
        <v/>
      </c>
      <c r="E1209" s="51" t="str">
        <v/>
      </c>
      <c r="F1209" s="52" t="e">
        <v>#REF!</v>
      </c>
      <c r="G1209" s="48" t="e">
        <v>#REF!</v>
      </c>
      <c r="H1209" s="49">
        <v>1</v>
      </c>
      <c r="I1209" s="49" t="e">
        <v>#REF!</v>
      </c>
      <c r="J1209" s="50"/>
    </row>
    <row r="1210" outlineLevel="1" spans="1:10">
      <c r="A1210" s="50">
        <v>274</v>
      </c>
      <c r="B1210" s="51" t="str">
        <v>室内供暖镀锌钢管-DN80</v>
      </c>
      <c r="C1210" s="51" t="e">
        <v>#REF!</v>
      </c>
      <c r="D1210" s="51" t="str">
        <v/>
      </c>
      <c r="E1210" s="51" t="str">
        <v/>
      </c>
      <c r="F1210" s="52" t="e">
        <v>#REF!</v>
      </c>
      <c r="G1210" s="48" t="e">
        <v>#REF!</v>
      </c>
      <c r="H1210" s="49">
        <v>108.35</v>
      </c>
      <c r="I1210" s="49" t="e">
        <v>#REF!</v>
      </c>
      <c r="J1210" s="50"/>
    </row>
    <row r="1211" ht="28.8" outlineLevel="1" spans="1:10">
      <c r="A1211" s="50">
        <v>275</v>
      </c>
      <c r="B1211" s="51" t="str">
        <v>室内供暖无缝镀锌钢管-DN100</v>
      </c>
      <c r="C1211" s="51" t="e">
        <v>#REF!</v>
      </c>
      <c r="D1211" s="51" t="str">
        <v/>
      </c>
      <c r="E1211" s="51" t="str">
        <v/>
      </c>
      <c r="F1211" s="52" t="e">
        <v>#REF!</v>
      </c>
      <c r="G1211" s="48" t="e">
        <v>#REF!</v>
      </c>
      <c r="H1211" s="49">
        <v>0</v>
      </c>
      <c r="I1211" s="49" t="e">
        <v>#REF!</v>
      </c>
      <c r="J1211" s="50"/>
    </row>
    <row r="1212" ht="28.8" outlineLevel="1" spans="1:10">
      <c r="A1212" s="50">
        <v>276</v>
      </c>
      <c r="B1212" s="51" t="str">
        <v>室内供暖无缝镀锌钢管-DN125</v>
      </c>
      <c r="C1212" s="51" t="e">
        <v>#REF!</v>
      </c>
      <c r="D1212" s="51" t="str">
        <v/>
      </c>
      <c r="E1212" s="51" t="str">
        <v/>
      </c>
      <c r="F1212" s="52" t="e">
        <v>#REF!</v>
      </c>
      <c r="G1212" s="48" t="e">
        <v>#REF!</v>
      </c>
      <c r="H1212" s="49">
        <v>0</v>
      </c>
      <c r="I1212" s="49" t="e">
        <v>#REF!</v>
      </c>
      <c r="J1212" s="50"/>
    </row>
    <row r="1213" ht="28.8" outlineLevel="1" spans="1:10">
      <c r="A1213" s="50">
        <v>277</v>
      </c>
      <c r="B1213" s="51" t="str">
        <v>室内供暖无缝镀锌钢管-DN150</v>
      </c>
      <c r="C1213" s="51" t="e">
        <v>#REF!</v>
      </c>
      <c r="D1213" s="51" t="str">
        <v/>
      </c>
      <c r="E1213" s="51" t="str">
        <v/>
      </c>
      <c r="F1213" s="52" t="e">
        <v>#REF!</v>
      </c>
      <c r="G1213" s="48" t="e">
        <v>#REF!</v>
      </c>
      <c r="H1213" s="49">
        <v>0</v>
      </c>
      <c r="I1213" s="49" t="e">
        <v>#REF!</v>
      </c>
      <c r="J1213" s="50"/>
    </row>
    <row r="1214" ht="28.8" outlineLevel="1" spans="1:10">
      <c r="A1214" s="50">
        <v>278</v>
      </c>
      <c r="B1214" s="51" t="str">
        <v>室内供暖无缝镀锌钢管-DN200</v>
      </c>
      <c r="C1214" s="51" t="e">
        <v>#REF!</v>
      </c>
      <c r="D1214" s="51" t="str">
        <v/>
      </c>
      <c r="E1214" s="51" t="str">
        <v/>
      </c>
      <c r="F1214" s="52" t="e">
        <v>#REF!</v>
      </c>
      <c r="G1214" s="48" t="e">
        <v>#REF!</v>
      </c>
      <c r="H1214" s="49">
        <v>0</v>
      </c>
      <c r="I1214" s="49" t="e">
        <v>#REF!</v>
      </c>
      <c r="J1214" s="50"/>
    </row>
    <row r="1215" ht="28.8" outlineLevel="1" spans="1:10">
      <c r="A1215" s="50">
        <v>279</v>
      </c>
      <c r="B1215" s="51" t="str">
        <v>室内供暖无缝镀锌钢管-DN250</v>
      </c>
      <c r="C1215" s="51" t="e">
        <v>#REF!</v>
      </c>
      <c r="D1215" s="51" t="str">
        <v/>
      </c>
      <c r="E1215" s="51" t="str">
        <v/>
      </c>
      <c r="F1215" s="52" t="e">
        <v>#REF!</v>
      </c>
      <c r="G1215" s="48" t="e">
        <v>#REF!</v>
      </c>
      <c r="H1215" s="49">
        <v>0</v>
      </c>
      <c r="I1215" s="49" t="e">
        <v>#REF!</v>
      </c>
      <c r="J1215" s="50"/>
    </row>
    <row r="1216" outlineLevel="1" spans="1:10">
      <c r="A1216" s="50" t="str">
        <v/>
      </c>
      <c r="B1216" s="51" t="str">
        <v>B.11采暖套管及阀部件</v>
      </c>
      <c r="C1216" s="51" t="str">
        <v/>
      </c>
      <c r="D1216" s="51" t="str">
        <v/>
      </c>
      <c r="E1216" s="51" t="str">
        <v/>
      </c>
      <c r="F1216" s="52" t="str">
        <v/>
      </c>
      <c r="G1216" s="48" t="str">
        <v/>
      </c>
      <c r="H1216" s="49">
        <v>0</v>
      </c>
      <c r="I1216" s="49" t="e">
        <v>#REF!</v>
      </c>
      <c r="J1216" s="50"/>
    </row>
    <row r="1217" outlineLevel="1" spans="1:10">
      <c r="A1217" s="50">
        <v>280</v>
      </c>
      <c r="B1217" s="51" t="str">
        <v>刚性防水套管-DN50</v>
      </c>
      <c r="C1217" s="51" t="e">
        <v>#REF!</v>
      </c>
      <c r="D1217" s="51" t="str">
        <v/>
      </c>
      <c r="E1217" s="51" t="str">
        <v/>
      </c>
      <c r="F1217" s="52" t="e">
        <v>#REF!</v>
      </c>
      <c r="G1217" s="48" t="e">
        <v>#REF!</v>
      </c>
      <c r="H1217" s="49">
        <v>0</v>
      </c>
      <c r="I1217" s="49" t="e">
        <v>#REF!</v>
      </c>
      <c r="J1217" s="50"/>
    </row>
    <row r="1218" outlineLevel="1" spans="1:10">
      <c r="A1218" s="50">
        <v>281</v>
      </c>
      <c r="B1218" s="51" t="str">
        <v>刚性防水套管-DN65</v>
      </c>
      <c r="C1218" s="51" t="e">
        <v>#REF!</v>
      </c>
      <c r="D1218" s="51" t="str">
        <v/>
      </c>
      <c r="E1218" s="51" t="str">
        <v/>
      </c>
      <c r="F1218" s="52" t="e">
        <v>#REF!</v>
      </c>
      <c r="G1218" s="48" t="e">
        <v>#REF!</v>
      </c>
      <c r="H1218" s="49">
        <v>1</v>
      </c>
      <c r="I1218" s="49" t="e">
        <v>#REF!</v>
      </c>
      <c r="J1218" s="50"/>
    </row>
    <row r="1219" outlineLevel="1" spans="1:10">
      <c r="A1219" s="50">
        <v>282</v>
      </c>
      <c r="B1219" s="51" t="str">
        <v>刚性防水套管-DN80</v>
      </c>
      <c r="C1219" s="51" t="e">
        <v>#REF!</v>
      </c>
      <c r="D1219" s="51" t="str">
        <v/>
      </c>
      <c r="E1219" s="51" t="str">
        <v/>
      </c>
      <c r="F1219" s="52" t="e">
        <v>#REF!</v>
      </c>
      <c r="G1219" s="48" t="e">
        <v>#REF!</v>
      </c>
      <c r="H1219" s="49">
        <v>1</v>
      </c>
      <c r="I1219" s="49" t="e">
        <v>#REF!</v>
      </c>
      <c r="J1219" s="50"/>
    </row>
    <row r="1220" outlineLevel="1" spans="1:10">
      <c r="A1220" s="50">
        <v>283</v>
      </c>
      <c r="B1220" s="51" t="str">
        <v>刚性防水套管-DN150</v>
      </c>
      <c r="C1220" s="51" t="e">
        <v>#REF!</v>
      </c>
      <c r="D1220" s="51" t="str">
        <v/>
      </c>
      <c r="E1220" s="51" t="str">
        <v/>
      </c>
      <c r="F1220" s="52" t="e">
        <v>#REF!</v>
      </c>
      <c r="G1220" s="48" t="e">
        <v>#REF!</v>
      </c>
      <c r="H1220" s="49">
        <v>0</v>
      </c>
      <c r="I1220" s="49" t="e">
        <v>#REF!</v>
      </c>
      <c r="J1220" s="50"/>
    </row>
    <row r="1221" outlineLevel="1" spans="1:10">
      <c r="A1221" s="50">
        <v>284</v>
      </c>
      <c r="B1221" s="51" t="str">
        <v>刚性防水套管-DN125</v>
      </c>
      <c r="C1221" s="51" t="e">
        <v>#REF!</v>
      </c>
      <c r="D1221" s="51" t="str">
        <v/>
      </c>
      <c r="E1221" s="51" t="str">
        <v/>
      </c>
      <c r="F1221" s="52" t="e">
        <v>#REF!</v>
      </c>
      <c r="G1221" s="48" t="e">
        <v>#REF!</v>
      </c>
      <c r="H1221" s="49">
        <v>0</v>
      </c>
      <c r="I1221" s="49" t="e">
        <v>#REF!</v>
      </c>
      <c r="J1221" s="50"/>
    </row>
    <row r="1222" outlineLevel="1" spans="1:10">
      <c r="A1222" s="50">
        <v>285</v>
      </c>
      <c r="B1222" s="51" t="str">
        <v>刚性防水套管-DN100</v>
      </c>
      <c r="C1222" s="51" t="e">
        <v>#REF!</v>
      </c>
      <c r="D1222" s="51" t="str">
        <v/>
      </c>
      <c r="E1222" s="51" t="str">
        <v/>
      </c>
      <c r="F1222" s="52" t="e">
        <v>#REF!</v>
      </c>
      <c r="G1222" s="48" t="e">
        <v>#REF!</v>
      </c>
      <c r="H1222" s="49">
        <v>0</v>
      </c>
      <c r="I1222" s="49" t="e">
        <v>#REF!</v>
      </c>
      <c r="J1222" s="50"/>
    </row>
    <row r="1223" outlineLevel="1" spans="1:10">
      <c r="A1223" s="50">
        <v>286</v>
      </c>
      <c r="B1223" s="51" t="str">
        <v>刚性防水套管-DN300</v>
      </c>
      <c r="C1223" s="51" t="e">
        <v>#REF!</v>
      </c>
      <c r="D1223" s="51" t="str">
        <v/>
      </c>
      <c r="E1223" s="51" t="str">
        <v/>
      </c>
      <c r="F1223" s="52" t="e">
        <v>#REF!</v>
      </c>
      <c r="G1223" s="48" t="e">
        <v>#REF!</v>
      </c>
      <c r="H1223" s="49">
        <v>0</v>
      </c>
      <c r="I1223" s="49" t="e">
        <v>#REF!</v>
      </c>
      <c r="J1223" s="50"/>
    </row>
    <row r="1224" outlineLevel="1" spans="1:10">
      <c r="A1224" s="50">
        <v>287</v>
      </c>
      <c r="B1224" s="51" t="str">
        <v>刚性防水套管-DN250</v>
      </c>
      <c r="C1224" s="51" t="e">
        <v>#REF!</v>
      </c>
      <c r="D1224" s="51" t="str">
        <v/>
      </c>
      <c r="E1224" s="51" t="str">
        <v/>
      </c>
      <c r="F1224" s="52" t="e">
        <v>#REF!</v>
      </c>
      <c r="G1224" s="48" t="e">
        <v>#REF!</v>
      </c>
      <c r="H1224" s="49">
        <v>0</v>
      </c>
      <c r="I1224" s="49" t="e">
        <v>#REF!</v>
      </c>
      <c r="J1224" s="50"/>
    </row>
    <row r="1225" outlineLevel="1" spans="1:10">
      <c r="A1225" s="50">
        <v>288</v>
      </c>
      <c r="B1225" s="51" t="str">
        <v>人防通风密闭套管-D250</v>
      </c>
      <c r="C1225" s="51" t="e">
        <v>#REF!</v>
      </c>
      <c r="D1225" s="51" t="str">
        <v/>
      </c>
      <c r="E1225" s="51" t="str">
        <v/>
      </c>
      <c r="F1225" s="52" t="e">
        <v>#REF!</v>
      </c>
      <c r="G1225" s="48" t="e">
        <v>#REF!</v>
      </c>
      <c r="H1225" s="49">
        <v>0</v>
      </c>
      <c r="I1225" s="49" t="e">
        <v>#REF!</v>
      </c>
      <c r="J1225" s="50"/>
    </row>
    <row r="1226" outlineLevel="1" spans="1:10">
      <c r="A1226" s="50">
        <v>289</v>
      </c>
      <c r="B1226" s="51" t="str">
        <v>人防通风密闭套管-D310</v>
      </c>
      <c r="C1226" s="51" t="e">
        <v>#REF!</v>
      </c>
      <c r="D1226" s="51" t="str">
        <v/>
      </c>
      <c r="E1226" s="51" t="str">
        <v/>
      </c>
      <c r="F1226" s="52" t="e">
        <v>#REF!</v>
      </c>
      <c r="G1226" s="48" t="e">
        <v>#REF!</v>
      </c>
      <c r="H1226" s="49">
        <v>0</v>
      </c>
      <c r="I1226" s="49" t="e">
        <v>#REF!</v>
      </c>
      <c r="J1226" s="50"/>
    </row>
    <row r="1227" outlineLevel="1" spans="1:10">
      <c r="A1227" s="50">
        <v>290</v>
      </c>
      <c r="B1227" s="51" t="str">
        <v>人防通风密闭套管-D450</v>
      </c>
      <c r="C1227" s="51" t="e">
        <v>#REF!</v>
      </c>
      <c r="D1227" s="51" t="str">
        <v/>
      </c>
      <c r="E1227" s="51" t="str">
        <v/>
      </c>
      <c r="F1227" s="52" t="e">
        <v>#REF!</v>
      </c>
      <c r="G1227" s="48" t="e">
        <v>#REF!</v>
      </c>
      <c r="H1227" s="49">
        <v>0</v>
      </c>
      <c r="I1227" s="49" t="e">
        <v>#REF!</v>
      </c>
      <c r="J1227" s="50"/>
    </row>
    <row r="1228" outlineLevel="1" spans="1:10">
      <c r="A1228" s="50">
        <v>291</v>
      </c>
      <c r="B1228" s="51" t="str">
        <v>人防通风密闭套管-D570</v>
      </c>
      <c r="C1228" s="51" t="e">
        <v>#REF!</v>
      </c>
      <c r="D1228" s="51" t="str">
        <v/>
      </c>
      <c r="E1228" s="51" t="str">
        <v/>
      </c>
      <c r="F1228" s="52" t="e">
        <v>#REF!</v>
      </c>
      <c r="G1228" s="48" t="e">
        <v>#REF!</v>
      </c>
      <c r="H1228" s="49">
        <v>0</v>
      </c>
      <c r="I1228" s="49" t="e">
        <v>#REF!</v>
      </c>
      <c r="J1228" s="50"/>
    </row>
    <row r="1229" outlineLevel="1" spans="1:10">
      <c r="A1229" s="50">
        <v>292</v>
      </c>
      <c r="B1229" s="51" t="str">
        <v>人防通风密闭套管-D680</v>
      </c>
      <c r="C1229" s="51" t="e">
        <v>#REF!</v>
      </c>
      <c r="D1229" s="51" t="str">
        <v/>
      </c>
      <c r="E1229" s="51" t="str">
        <v/>
      </c>
      <c r="F1229" s="52" t="e">
        <v>#REF!</v>
      </c>
      <c r="G1229" s="48" t="e">
        <v>#REF!</v>
      </c>
      <c r="H1229" s="49">
        <v>0</v>
      </c>
      <c r="I1229" s="49" t="e">
        <v>#REF!</v>
      </c>
      <c r="J1229" s="50"/>
    </row>
    <row r="1230" outlineLevel="1" spans="1:10">
      <c r="A1230" s="50">
        <v>293</v>
      </c>
      <c r="B1230" s="51" t="str">
        <v>人防通风密闭套管-D820</v>
      </c>
      <c r="C1230" s="51" t="e">
        <v>#REF!</v>
      </c>
      <c r="D1230" s="51" t="str">
        <v/>
      </c>
      <c r="E1230" s="51" t="str">
        <v/>
      </c>
      <c r="F1230" s="52" t="e">
        <v>#REF!</v>
      </c>
      <c r="G1230" s="48" t="e">
        <v>#REF!</v>
      </c>
      <c r="H1230" s="49">
        <v>0</v>
      </c>
      <c r="I1230" s="49" t="e">
        <v>#REF!</v>
      </c>
      <c r="J1230" s="50"/>
    </row>
    <row r="1231" outlineLevel="1" spans="1:10">
      <c r="A1231" s="50">
        <v>294</v>
      </c>
      <c r="B1231" s="51" t="str">
        <v>人防通风密闭套管-D1100</v>
      </c>
      <c r="C1231" s="51" t="e">
        <v>#REF!</v>
      </c>
      <c r="D1231" s="51" t="str">
        <v/>
      </c>
      <c r="E1231" s="51" t="str">
        <v/>
      </c>
      <c r="F1231" s="52" t="e">
        <v>#REF!</v>
      </c>
      <c r="G1231" s="48" t="e">
        <v>#REF!</v>
      </c>
      <c r="H1231" s="49">
        <v>0</v>
      </c>
      <c r="I1231" s="49" t="e">
        <v>#REF!</v>
      </c>
      <c r="J1231" s="50"/>
    </row>
    <row r="1232" outlineLevel="1" spans="1:10">
      <c r="A1232" s="50">
        <v>295</v>
      </c>
      <c r="B1232" s="51" t="str">
        <v>钢制散热器（20片/组）</v>
      </c>
      <c r="C1232" s="51" t="e">
        <v>#REF!</v>
      </c>
      <c r="D1232" s="51" t="str">
        <v/>
      </c>
      <c r="E1232" s="51" t="str">
        <v/>
      </c>
      <c r="F1232" s="52" t="e">
        <v>#REF!</v>
      </c>
      <c r="G1232" s="48" t="e">
        <v>#REF!</v>
      </c>
      <c r="H1232" s="49">
        <v>0</v>
      </c>
      <c r="I1232" s="49" t="e">
        <v>#REF!</v>
      </c>
      <c r="J1232" s="50"/>
    </row>
    <row r="1233" outlineLevel="1" spans="1:10">
      <c r="A1233" s="50">
        <v>296</v>
      </c>
      <c r="B1233" s="51" t="str">
        <v>钢制散热器（10片/组）</v>
      </c>
      <c r="C1233" s="51" t="e">
        <v>#REF!</v>
      </c>
      <c r="D1233" s="51" t="str">
        <v/>
      </c>
      <c r="E1233" s="51" t="str">
        <v/>
      </c>
      <c r="F1233" s="52" t="e">
        <v>#REF!</v>
      </c>
      <c r="G1233" s="48" t="e">
        <v>#REF!</v>
      </c>
      <c r="H1233" s="49">
        <v>0</v>
      </c>
      <c r="I1233" s="49" t="e">
        <v>#REF!</v>
      </c>
      <c r="J1233" s="50"/>
    </row>
    <row r="1234" outlineLevel="1" spans="1:10">
      <c r="A1234" s="50">
        <v>297</v>
      </c>
      <c r="B1234" s="51" t="str">
        <v>螺纹阀门-自动放气阀-DN15</v>
      </c>
      <c r="C1234" s="51" t="e">
        <v>#REF!</v>
      </c>
      <c r="D1234" s="51" t="str">
        <v/>
      </c>
      <c r="E1234" s="51" t="str">
        <v/>
      </c>
      <c r="F1234" s="52" t="e">
        <v>#REF!</v>
      </c>
      <c r="G1234" s="48" t="e">
        <v>#REF!</v>
      </c>
      <c r="H1234" s="49">
        <v>4</v>
      </c>
      <c r="I1234" s="49" t="e">
        <v>#REF!</v>
      </c>
      <c r="J1234" s="50"/>
    </row>
    <row r="1235" outlineLevel="1" spans="1:10">
      <c r="A1235" s="50">
        <v>298</v>
      </c>
      <c r="B1235" s="51" t="str">
        <v>螺纹阀门-自动放气阀-DN20</v>
      </c>
      <c r="C1235" s="51" t="e">
        <v>#REF!</v>
      </c>
      <c r="D1235" s="51" t="str">
        <v/>
      </c>
      <c r="E1235" s="51" t="str">
        <v/>
      </c>
      <c r="F1235" s="52" t="e">
        <v>#REF!</v>
      </c>
      <c r="G1235" s="48" t="e">
        <v>#REF!</v>
      </c>
      <c r="H1235" s="49">
        <v>1</v>
      </c>
      <c r="I1235" s="49" t="e">
        <v>#REF!</v>
      </c>
      <c r="J1235" s="50"/>
    </row>
    <row r="1236" outlineLevel="1" spans="1:10">
      <c r="A1236" s="50">
        <v>299</v>
      </c>
      <c r="B1236" s="51" t="str">
        <v>自动放气阀下截止阀-DN15</v>
      </c>
      <c r="C1236" s="51" t="e">
        <v>#REF!</v>
      </c>
      <c r="D1236" s="51" t="str">
        <v/>
      </c>
      <c r="E1236" s="51" t="str">
        <v/>
      </c>
      <c r="F1236" s="52" t="e">
        <v>#REF!</v>
      </c>
      <c r="G1236" s="48" t="e">
        <v>#REF!</v>
      </c>
      <c r="H1236" s="49">
        <v>4</v>
      </c>
      <c r="I1236" s="49" t="e">
        <v>#REF!</v>
      </c>
      <c r="J1236" s="50"/>
    </row>
    <row r="1237" outlineLevel="1" spans="1:10">
      <c r="A1237" s="50">
        <v>300</v>
      </c>
      <c r="B1237" s="51" t="str">
        <v>自动放气阀下截止阀-DN20</v>
      </c>
      <c r="C1237" s="51" t="e">
        <v>#REF!</v>
      </c>
      <c r="D1237" s="51" t="str">
        <v/>
      </c>
      <c r="E1237" s="51" t="str">
        <v/>
      </c>
      <c r="F1237" s="52" t="e">
        <v>#REF!</v>
      </c>
      <c r="G1237" s="48" t="e">
        <v>#REF!</v>
      </c>
      <c r="H1237" s="49">
        <v>1</v>
      </c>
      <c r="I1237" s="49" t="e">
        <v>#REF!</v>
      </c>
      <c r="J1237" s="50"/>
    </row>
    <row r="1238" outlineLevel="1" spans="1:10">
      <c r="A1238" s="50">
        <v>301</v>
      </c>
      <c r="B1238" s="51" t="str">
        <v>螺纹阀门-球阀-DN25</v>
      </c>
      <c r="C1238" s="51" t="e">
        <v>#REF!</v>
      </c>
      <c r="D1238" s="51" t="str">
        <v/>
      </c>
      <c r="E1238" s="51" t="str">
        <v/>
      </c>
      <c r="F1238" s="52" t="e">
        <v>#REF!</v>
      </c>
      <c r="G1238" s="48" t="e">
        <v>#REF!</v>
      </c>
      <c r="H1238" s="49">
        <v>6</v>
      </c>
      <c r="I1238" s="49" t="e">
        <v>#REF!</v>
      </c>
      <c r="J1238" s="50"/>
    </row>
    <row r="1239" outlineLevel="1" spans="1:10">
      <c r="A1239" s="50">
        <v>302</v>
      </c>
      <c r="B1239" s="51" t="str">
        <v>螺纹阀门-球阀-DN32</v>
      </c>
      <c r="C1239" s="51" t="e">
        <v>#REF!</v>
      </c>
      <c r="D1239" s="51" t="str">
        <v/>
      </c>
      <c r="E1239" s="51" t="str">
        <v/>
      </c>
      <c r="F1239" s="52" t="e">
        <v>#REF!</v>
      </c>
      <c r="G1239" s="48" t="e">
        <v>#REF!</v>
      </c>
      <c r="H1239" s="49">
        <v>6</v>
      </c>
      <c r="I1239" s="49" t="e">
        <v>#REF!</v>
      </c>
      <c r="J1239" s="50"/>
    </row>
    <row r="1240" outlineLevel="1" spans="1:10">
      <c r="A1240" s="50">
        <v>303</v>
      </c>
      <c r="B1240" s="51" t="str">
        <v>螺纹阀门-截止阀-DN40</v>
      </c>
      <c r="C1240" s="51" t="e">
        <v>#REF!</v>
      </c>
      <c r="D1240" s="51" t="str">
        <v/>
      </c>
      <c r="E1240" s="51" t="str">
        <v/>
      </c>
      <c r="F1240" s="52" t="e">
        <v>#REF!</v>
      </c>
      <c r="G1240" s="48" t="e">
        <v>#REF!</v>
      </c>
      <c r="H1240" s="49">
        <v>0</v>
      </c>
      <c r="I1240" s="49" t="e">
        <v>#REF!</v>
      </c>
      <c r="J1240" s="50"/>
    </row>
    <row r="1241" outlineLevel="1" spans="1:10">
      <c r="A1241" s="50">
        <v>304</v>
      </c>
      <c r="B1241" s="51" t="str">
        <v>螺纹阀门-截止阀-DN50</v>
      </c>
      <c r="C1241" s="51" t="e">
        <v>#REF!</v>
      </c>
      <c r="D1241" s="51" t="str">
        <v/>
      </c>
      <c r="E1241" s="51" t="str">
        <v/>
      </c>
      <c r="F1241" s="52" t="e">
        <v>#REF!</v>
      </c>
      <c r="G1241" s="48" t="e">
        <v>#REF!</v>
      </c>
      <c r="H1241" s="49">
        <v>0</v>
      </c>
      <c r="I1241" s="49" t="e">
        <v>#REF!</v>
      </c>
      <c r="J1241" s="50"/>
    </row>
    <row r="1242" outlineLevel="1" spans="1:10">
      <c r="A1242" s="50">
        <v>305</v>
      </c>
      <c r="B1242" s="51" t="str">
        <v>螺纹阀门-锁闭阀-DN20</v>
      </c>
      <c r="C1242" s="51" t="e">
        <v>#REF!</v>
      </c>
      <c r="D1242" s="51" t="str">
        <v/>
      </c>
      <c r="E1242" s="51" t="str">
        <v/>
      </c>
      <c r="F1242" s="52" t="e">
        <v>#REF!</v>
      </c>
      <c r="G1242" s="48" t="e">
        <v>#REF!</v>
      </c>
      <c r="H1242" s="49">
        <v>0</v>
      </c>
      <c r="I1242" s="49" t="e">
        <v>#REF!</v>
      </c>
      <c r="J1242" s="50"/>
    </row>
    <row r="1243" ht="28.8" outlineLevel="1" spans="1:10">
      <c r="A1243" s="50">
        <v>306</v>
      </c>
      <c r="B1243" s="51" t="str">
        <v>螺纹阀门-静态水力平衡阀-DN20</v>
      </c>
      <c r="C1243" s="51" t="e">
        <v>#REF!</v>
      </c>
      <c r="D1243" s="51" t="str">
        <v/>
      </c>
      <c r="E1243" s="51" t="str">
        <v/>
      </c>
      <c r="F1243" s="52" t="e">
        <v>#REF!</v>
      </c>
      <c r="G1243" s="48" t="e">
        <v>#REF!</v>
      </c>
      <c r="H1243" s="49">
        <v>0</v>
      </c>
      <c r="I1243" s="49" t="e">
        <v>#REF!</v>
      </c>
      <c r="J1243" s="50"/>
    </row>
    <row r="1244" ht="28.8" outlineLevel="1" spans="1:10">
      <c r="A1244" s="50">
        <v>307</v>
      </c>
      <c r="B1244" s="51" t="str">
        <v>螺纹阀门-静态水力平衡阀-DN40</v>
      </c>
      <c r="C1244" s="51" t="e">
        <v>#REF!</v>
      </c>
      <c r="D1244" s="51" t="str">
        <v/>
      </c>
      <c r="E1244" s="51" t="str">
        <v/>
      </c>
      <c r="F1244" s="52" t="e">
        <v>#REF!</v>
      </c>
      <c r="G1244" s="48" t="e">
        <v>#REF!</v>
      </c>
      <c r="H1244" s="49">
        <v>0</v>
      </c>
      <c r="I1244" s="49" t="e">
        <v>#REF!</v>
      </c>
      <c r="J1244" s="50"/>
    </row>
    <row r="1245" ht="28.8" outlineLevel="1" spans="1:10">
      <c r="A1245" s="50">
        <v>308</v>
      </c>
      <c r="B1245" s="51" t="str">
        <v>螺纹阀门-静态水力平衡阀-DN50</v>
      </c>
      <c r="C1245" s="51" t="e">
        <v>#REF!</v>
      </c>
      <c r="D1245" s="51" t="str">
        <v/>
      </c>
      <c r="E1245" s="51" t="str">
        <v/>
      </c>
      <c r="F1245" s="52" t="e">
        <v>#REF!</v>
      </c>
      <c r="G1245" s="48" t="e">
        <v>#REF!</v>
      </c>
      <c r="H1245" s="49">
        <v>0</v>
      </c>
      <c r="I1245" s="49" t="e">
        <v>#REF!</v>
      </c>
      <c r="J1245" s="50"/>
    </row>
    <row r="1246" ht="28.8" outlineLevel="1" spans="1:10">
      <c r="A1246" s="50">
        <v>309</v>
      </c>
      <c r="B1246" s="51" t="str">
        <v>法兰阀门-静态水力平衡阀-DN65</v>
      </c>
      <c r="C1246" s="51" t="e">
        <v>#REF!</v>
      </c>
      <c r="D1246" s="51" t="str">
        <v/>
      </c>
      <c r="E1246" s="51" t="str">
        <v/>
      </c>
      <c r="F1246" s="52" t="e">
        <v>#REF!</v>
      </c>
      <c r="G1246" s="48" t="e">
        <v>#REF!</v>
      </c>
      <c r="H1246" s="49">
        <v>1</v>
      </c>
      <c r="I1246" s="49" t="e">
        <v>#REF!</v>
      </c>
      <c r="J1246" s="50"/>
    </row>
    <row r="1247" ht="28.8" outlineLevel="1" spans="1:10">
      <c r="A1247" s="50">
        <v>310</v>
      </c>
      <c r="B1247" s="51" t="str">
        <v>法兰阀门-静态水力平衡阀-DN80</v>
      </c>
      <c r="C1247" s="51" t="e">
        <v>#REF!</v>
      </c>
      <c r="D1247" s="51" t="str">
        <v/>
      </c>
      <c r="E1247" s="51" t="str">
        <v/>
      </c>
      <c r="F1247" s="52" t="e">
        <v>#REF!</v>
      </c>
      <c r="G1247" s="48" t="e">
        <v>#REF!</v>
      </c>
      <c r="H1247" s="49">
        <v>2</v>
      </c>
      <c r="I1247" s="49" t="e">
        <v>#REF!</v>
      </c>
      <c r="J1247" s="50"/>
    </row>
    <row r="1248" outlineLevel="1" spans="1:10">
      <c r="A1248" s="50">
        <v>311</v>
      </c>
      <c r="B1248" s="51" t="str">
        <v>法兰阀门-闸阀-DN65</v>
      </c>
      <c r="C1248" s="51" t="e">
        <v>#REF!</v>
      </c>
      <c r="D1248" s="51" t="str">
        <v/>
      </c>
      <c r="E1248" s="51" t="str">
        <v/>
      </c>
      <c r="F1248" s="52" t="e">
        <v>#REF!</v>
      </c>
      <c r="G1248" s="48" t="e">
        <v>#REF!</v>
      </c>
      <c r="H1248" s="49">
        <v>1</v>
      </c>
      <c r="I1248" s="49" t="e">
        <v>#REF!</v>
      </c>
      <c r="J1248" s="50"/>
    </row>
    <row r="1249" outlineLevel="1" spans="1:10">
      <c r="A1249" s="50">
        <v>312</v>
      </c>
      <c r="B1249" s="51" t="str">
        <v>法兰阀门-闸阀-DN80</v>
      </c>
      <c r="C1249" s="51" t="e">
        <v>#REF!</v>
      </c>
      <c r="D1249" s="51" t="str">
        <v/>
      </c>
      <c r="E1249" s="51" t="str">
        <v/>
      </c>
      <c r="F1249" s="52" t="e">
        <v>#REF!</v>
      </c>
      <c r="G1249" s="48" t="e">
        <v>#REF!</v>
      </c>
      <c r="H1249" s="49">
        <v>8</v>
      </c>
      <c r="I1249" s="49" t="e">
        <v>#REF!</v>
      </c>
      <c r="J1249" s="50"/>
    </row>
    <row r="1250" outlineLevel="1" spans="1:10">
      <c r="A1250" s="50">
        <v>313</v>
      </c>
      <c r="B1250" s="51" t="str">
        <v>法兰阀门-闸阀-DN100</v>
      </c>
      <c r="C1250" s="51" t="e">
        <v>#REF!</v>
      </c>
      <c r="D1250" s="51" t="str">
        <v/>
      </c>
      <c r="E1250" s="51" t="str">
        <v/>
      </c>
      <c r="F1250" s="52" t="e">
        <v>#REF!</v>
      </c>
      <c r="G1250" s="48" t="e">
        <v>#REF!</v>
      </c>
      <c r="H1250" s="49">
        <v>0</v>
      </c>
      <c r="I1250" s="49" t="e">
        <v>#REF!</v>
      </c>
      <c r="J1250" s="50"/>
    </row>
    <row r="1251" outlineLevel="1" spans="1:10">
      <c r="A1251" s="50">
        <v>314</v>
      </c>
      <c r="B1251" s="51" t="str">
        <v>法兰阀门-Y型过滤器-DN65</v>
      </c>
      <c r="C1251" s="51" t="e">
        <v>#REF!</v>
      </c>
      <c r="D1251" s="51" t="str">
        <v/>
      </c>
      <c r="E1251" s="51" t="str">
        <v/>
      </c>
      <c r="F1251" s="52" t="e">
        <v>#REF!</v>
      </c>
      <c r="G1251" s="48" t="e">
        <v>#REF!</v>
      </c>
      <c r="H1251" s="49">
        <v>1</v>
      </c>
      <c r="I1251" s="49" t="e">
        <v>#REF!</v>
      </c>
      <c r="J1251" s="50"/>
    </row>
    <row r="1252" outlineLevel="1" spans="1:10">
      <c r="A1252" s="50">
        <v>315</v>
      </c>
      <c r="B1252" s="51" t="str">
        <v>法兰阀门-Y型过滤器-DN80</v>
      </c>
      <c r="C1252" s="51" t="e">
        <v>#REF!</v>
      </c>
      <c r="D1252" s="51" t="str">
        <v/>
      </c>
      <c r="E1252" s="51" t="str">
        <v/>
      </c>
      <c r="F1252" s="52" t="e">
        <v>#REF!</v>
      </c>
      <c r="G1252" s="48" t="e">
        <v>#REF!</v>
      </c>
      <c r="H1252" s="49">
        <v>6</v>
      </c>
      <c r="I1252" s="49" t="e">
        <v>#REF!</v>
      </c>
      <c r="J1252" s="50"/>
    </row>
    <row r="1253" outlineLevel="1" spans="1:10">
      <c r="A1253" s="50">
        <v>316</v>
      </c>
      <c r="B1253" s="51" t="str">
        <v>对夹式蝶阀-DN100</v>
      </c>
      <c r="C1253" s="51" t="e">
        <v>#REF!</v>
      </c>
      <c r="D1253" s="51" t="str">
        <v/>
      </c>
      <c r="E1253" s="51" t="str">
        <v/>
      </c>
      <c r="F1253" s="52" t="e">
        <v>#REF!</v>
      </c>
      <c r="G1253" s="48" t="e">
        <v>#REF!</v>
      </c>
      <c r="H1253" s="49">
        <v>0</v>
      </c>
      <c r="I1253" s="49" t="e">
        <v>#REF!</v>
      </c>
      <c r="J1253" s="50"/>
    </row>
    <row r="1254" outlineLevel="1" spans="1:10">
      <c r="A1254" s="50">
        <v>317</v>
      </c>
      <c r="B1254" s="51" t="str">
        <v>对夹式蝶阀-DN125</v>
      </c>
      <c r="C1254" s="51" t="e">
        <v>#REF!</v>
      </c>
      <c r="D1254" s="51" t="str">
        <v/>
      </c>
      <c r="E1254" s="51" t="str">
        <v/>
      </c>
      <c r="F1254" s="52" t="e">
        <v>#REF!</v>
      </c>
      <c r="G1254" s="48" t="e">
        <v>#REF!</v>
      </c>
      <c r="H1254" s="49">
        <v>0</v>
      </c>
      <c r="I1254" s="49" t="e">
        <v>#REF!</v>
      </c>
      <c r="J1254" s="50"/>
    </row>
    <row r="1255" outlineLevel="1" spans="1:10">
      <c r="A1255" s="50">
        <v>318</v>
      </c>
      <c r="B1255" s="51" t="str">
        <v>对夹式蝶阀-DN150</v>
      </c>
      <c r="C1255" s="51" t="e">
        <v>#REF!</v>
      </c>
      <c r="D1255" s="51" t="str">
        <v/>
      </c>
      <c r="E1255" s="51" t="str">
        <v/>
      </c>
      <c r="F1255" s="52" t="e">
        <v>#REF!</v>
      </c>
      <c r="G1255" s="48" t="e">
        <v>#REF!</v>
      </c>
      <c r="H1255" s="49">
        <v>0</v>
      </c>
      <c r="I1255" s="49" t="e">
        <v>#REF!</v>
      </c>
      <c r="J1255" s="50"/>
    </row>
    <row r="1256" outlineLevel="1" spans="1:10">
      <c r="A1256" s="50">
        <v>319</v>
      </c>
      <c r="B1256" s="51" t="str">
        <v>对夹式蝶阀-DN200</v>
      </c>
      <c r="C1256" s="51" t="e">
        <v>#REF!</v>
      </c>
      <c r="D1256" s="51" t="str">
        <v/>
      </c>
      <c r="E1256" s="51" t="str">
        <v/>
      </c>
      <c r="F1256" s="52" t="e">
        <v>#REF!</v>
      </c>
      <c r="G1256" s="48" t="e">
        <v>#REF!</v>
      </c>
      <c r="H1256" s="49">
        <v>0</v>
      </c>
      <c r="I1256" s="49" t="e">
        <v>#REF!</v>
      </c>
      <c r="J1256" s="50"/>
    </row>
    <row r="1257" outlineLevel="1" spans="1:10">
      <c r="A1257" s="50">
        <v>320</v>
      </c>
      <c r="B1257" s="51" t="str">
        <v>对夹式蝶阀-DN250</v>
      </c>
      <c r="C1257" s="51" t="e">
        <v>#REF!</v>
      </c>
      <c r="D1257" s="51" t="str">
        <v/>
      </c>
      <c r="E1257" s="51" t="str">
        <v/>
      </c>
      <c r="F1257" s="52" t="e">
        <v>#REF!</v>
      </c>
      <c r="G1257" s="48" t="e">
        <v>#REF!</v>
      </c>
      <c r="H1257" s="49">
        <v>0</v>
      </c>
      <c r="I1257" s="49" t="e">
        <v>#REF!</v>
      </c>
      <c r="J1257" s="50"/>
    </row>
    <row r="1258" outlineLevel="1" spans="1:10">
      <c r="A1258" s="50">
        <v>321</v>
      </c>
      <c r="B1258" s="51" t="str">
        <v>波纹补偿器-DN65</v>
      </c>
      <c r="C1258" s="51" t="e">
        <v>#REF!</v>
      </c>
      <c r="D1258" s="51" t="str">
        <v/>
      </c>
      <c r="E1258" s="51" t="str">
        <v/>
      </c>
      <c r="F1258" s="52" t="e">
        <v>#REF!</v>
      </c>
      <c r="G1258" s="48" t="e">
        <v>#REF!</v>
      </c>
      <c r="H1258" s="49">
        <v>0</v>
      </c>
      <c r="I1258" s="49" t="e">
        <v>#REF!</v>
      </c>
      <c r="J1258" s="50"/>
    </row>
    <row r="1259" outlineLevel="1" spans="1:10">
      <c r="A1259" s="50">
        <v>322</v>
      </c>
      <c r="B1259" s="51" t="str">
        <v>波纹补偿器-DN80</v>
      </c>
      <c r="C1259" s="51" t="e">
        <v>#REF!</v>
      </c>
      <c r="D1259" s="51" t="str">
        <v/>
      </c>
      <c r="E1259" s="51" t="str">
        <v/>
      </c>
      <c r="F1259" s="52" t="e">
        <v>#REF!</v>
      </c>
      <c r="G1259" s="48" t="e">
        <v>#REF!</v>
      </c>
      <c r="H1259" s="49">
        <v>0</v>
      </c>
      <c r="I1259" s="49" t="e">
        <v>#REF!</v>
      </c>
      <c r="J1259" s="50"/>
    </row>
    <row r="1260" outlineLevel="1" spans="1:10">
      <c r="A1260" s="50">
        <v>323</v>
      </c>
      <c r="B1260" s="51" t="str">
        <v>波纹补偿器-DN100</v>
      </c>
      <c r="C1260" s="51" t="e">
        <v>#REF!</v>
      </c>
      <c r="D1260" s="51" t="str">
        <v/>
      </c>
      <c r="E1260" s="51" t="str">
        <v/>
      </c>
      <c r="F1260" s="52" t="e">
        <v>#REF!</v>
      </c>
      <c r="G1260" s="48" t="e">
        <v>#REF!</v>
      </c>
      <c r="H1260" s="49">
        <v>0</v>
      </c>
      <c r="I1260" s="49" t="e">
        <v>#REF!</v>
      </c>
      <c r="J1260" s="50"/>
    </row>
    <row r="1261" outlineLevel="1" spans="1:10">
      <c r="A1261" s="50">
        <v>324</v>
      </c>
      <c r="B1261" s="51" t="str">
        <v>波纹补偿器-DN125</v>
      </c>
      <c r="C1261" s="51" t="e">
        <v>#REF!</v>
      </c>
      <c r="D1261" s="51" t="str">
        <v/>
      </c>
      <c r="E1261" s="51" t="str">
        <v/>
      </c>
      <c r="F1261" s="52" t="e">
        <v>#REF!</v>
      </c>
      <c r="G1261" s="48" t="e">
        <v>#REF!</v>
      </c>
      <c r="H1261" s="49">
        <v>0</v>
      </c>
      <c r="I1261" s="49" t="e">
        <v>#REF!</v>
      </c>
      <c r="J1261" s="50"/>
    </row>
    <row r="1262" outlineLevel="1" spans="1:10">
      <c r="A1262" s="50">
        <v>325</v>
      </c>
      <c r="B1262" s="51" t="str">
        <v>波纹补偿器-DN150</v>
      </c>
      <c r="C1262" s="51" t="e">
        <v>#REF!</v>
      </c>
      <c r="D1262" s="51" t="str">
        <v/>
      </c>
      <c r="E1262" s="51" t="str">
        <v/>
      </c>
      <c r="F1262" s="52" t="e">
        <v>#REF!</v>
      </c>
      <c r="G1262" s="48" t="e">
        <v>#REF!</v>
      </c>
      <c r="H1262" s="49">
        <v>0</v>
      </c>
      <c r="I1262" s="49" t="e">
        <v>#REF!</v>
      </c>
      <c r="J1262" s="50"/>
    </row>
    <row r="1263" outlineLevel="1" spans="1:10">
      <c r="A1263" s="50">
        <v>326</v>
      </c>
      <c r="B1263" s="51" t="str">
        <v>波纹补偿器-DN200</v>
      </c>
      <c r="C1263" s="51" t="e">
        <v>#REF!</v>
      </c>
      <c r="D1263" s="51" t="str">
        <v/>
      </c>
      <c r="E1263" s="51" t="str">
        <v/>
      </c>
      <c r="F1263" s="52" t="e">
        <v>#REF!</v>
      </c>
      <c r="G1263" s="48" t="e">
        <v>#REF!</v>
      </c>
      <c r="H1263" s="49">
        <v>0</v>
      </c>
      <c r="I1263" s="49" t="e">
        <v>#REF!</v>
      </c>
      <c r="J1263" s="50"/>
    </row>
    <row r="1264" outlineLevel="1" spans="1:10">
      <c r="A1264" s="50">
        <v>327</v>
      </c>
      <c r="B1264" s="51" t="str">
        <v>温度仪表</v>
      </c>
      <c r="C1264" s="51" t="e">
        <v>#REF!</v>
      </c>
      <c r="D1264" s="51" t="str">
        <v/>
      </c>
      <c r="E1264" s="51" t="str">
        <v/>
      </c>
      <c r="F1264" s="52" t="e">
        <v>#REF!</v>
      </c>
      <c r="G1264" s="48" t="e">
        <v>#REF!</v>
      </c>
      <c r="H1264" s="49">
        <v>4</v>
      </c>
      <c r="I1264" s="49" t="e">
        <v>#REF!</v>
      </c>
      <c r="J1264" s="50"/>
    </row>
    <row r="1265" outlineLevel="1" spans="1:10">
      <c r="A1265" s="50">
        <v>328</v>
      </c>
      <c r="B1265" s="51" t="str">
        <v>采暖压力仪表</v>
      </c>
      <c r="C1265" s="51" t="e">
        <v>#REF!</v>
      </c>
      <c r="D1265" s="51" t="str">
        <v/>
      </c>
      <c r="E1265" s="51" t="str">
        <v/>
      </c>
      <c r="F1265" s="52" t="e">
        <v>#REF!</v>
      </c>
      <c r="G1265" s="48" t="e">
        <v>#REF!</v>
      </c>
      <c r="H1265" s="49">
        <v>10</v>
      </c>
      <c r="I1265" s="49" t="e">
        <v>#REF!</v>
      </c>
      <c r="J1265" s="50"/>
    </row>
    <row r="1266" outlineLevel="1" spans="1:10">
      <c r="A1266" s="50" t="str">
        <v/>
      </c>
      <c r="B1266" s="51" t="str">
        <v>B.12绝热</v>
      </c>
      <c r="C1266" s="51" t="str">
        <v/>
      </c>
      <c r="D1266" s="51" t="str">
        <v/>
      </c>
      <c r="E1266" s="51" t="str">
        <v/>
      </c>
      <c r="F1266" s="52" t="str">
        <v/>
      </c>
      <c r="G1266" s="48" t="str">
        <v/>
      </c>
      <c r="H1266" s="49">
        <v>0</v>
      </c>
      <c r="I1266" s="49" t="e">
        <v>#REF!</v>
      </c>
      <c r="J1266" s="50"/>
    </row>
    <row r="1267" outlineLevel="1" spans="1:10">
      <c r="A1267" s="50">
        <v>329</v>
      </c>
      <c r="B1267" s="51" t="str">
        <v>管道绝热</v>
      </c>
      <c r="C1267" s="51" t="e">
        <v>#REF!</v>
      </c>
      <c r="D1267" s="51" t="str">
        <v/>
      </c>
      <c r="E1267" s="51" t="str">
        <v/>
      </c>
      <c r="F1267" s="52" t="e">
        <v>#REF!</v>
      </c>
      <c r="G1267" s="48" t="e">
        <v>#REF!</v>
      </c>
      <c r="H1267" s="49">
        <v>1.62</v>
      </c>
      <c r="I1267" s="49" t="e">
        <v>#REF!</v>
      </c>
      <c r="J1267" s="50"/>
    </row>
    <row r="1268" outlineLevel="1" spans="1:10">
      <c r="A1268" s="50">
        <v>330</v>
      </c>
      <c r="B1268" s="51" t="str">
        <v>防火胶带保护层</v>
      </c>
      <c r="C1268" s="51" t="e">
        <v>#REF!</v>
      </c>
      <c r="D1268" s="51" t="str">
        <v/>
      </c>
      <c r="E1268" s="51" t="str">
        <v/>
      </c>
      <c r="F1268" s="52" t="e">
        <v>#REF!</v>
      </c>
      <c r="G1268" s="48" t="e">
        <v>#REF!</v>
      </c>
      <c r="H1268" s="49">
        <v>58.94</v>
      </c>
      <c r="I1268" s="49" t="e">
        <v>#REF!</v>
      </c>
      <c r="J1268" s="50"/>
    </row>
    <row r="1269" outlineLevel="1" spans="1:10">
      <c r="A1269" s="50" t="str">
        <v/>
      </c>
      <c r="B1269" s="51" t="str">
        <v>地上采暖</v>
      </c>
      <c r="C1269" s="51" t="str">
        <v/>
      </c>
      <c r="D1269" s="51" t="str">
        <v/>
      </c>
      <c r="E1269" s="51" t="str">
        <v/>
      </c>
      <c r="F1269" s="52" t="str">
        <v/>
      </c>
      <c r="G1269" s="48" t="str">
        <v/>
      </c>
      <c r="H1269" s="49">
        <v>0</v>
      </c>
      <c r="I1269" s="49" t="e">
        <v>#REF!</v>
      </c>
      <c r="J1269" s="50"/>
    </row>
    <row r="1270" outlineLevel="1" spans="1:10">
      <c r="A1270" s="50" t="str">
        <v/>
      </c>
      <c r="B1270" s="51" t="str">
        <v>B.13户内采暖</v>
      </c>
      <c r="C1270" s="51" t="str">
        <v/>
      </c>
      <c r="D1270" s="51" t="str">
        <v/>
      </c>
      <c r="E1270" s="51" t="str">
        <v/>
      </c>
      <c r="F1270" s="52" t="str">
        <v/>
      </c>
      <c r="G1270" s="48" t="str">
        <v/>
      </c>
      <c r="H1270" s="49">
        <v>0</v>
      </c>
      <c r="I1270" s="49" t="e">
        <v>#REF!</v>
      </c>
      <c r="J1270" s="50"/>
    </row>
    <row r="1271" outlineLevel="1" spans="1:10">
      <c r="A1271" s="50">
        <v>331</v>
      </c>
      <c r="B1271" s="51" t="str">
        <v>室内采暖塑料管-PPR-De32</v>
      </c>
      <c r="C1271" s="51" t="e">
        <v>#REF!</v>
      </c>
      <c r="D1271" s="51" t="str">
        <v/>
      </c>
      <c r="E1271" s="51" t="str">
        <v/>
      </c>
      <c r="F1271" s="52" t="e">
        <v>#REF!</v>
      </c>
      <c r="G1271" s="48" t="e">
        <v>#REF!</v>
      </c>
      <c r="H1271" s="49">
        <v>1033.39</v>
      </c>
      <c r="I1271" s="49" t="e">
        <v>#REF!</v>
      </c>
      <c r="J1271" s="50"/>
    </row>
    <row r="1272" ht="28.8" outlineLevel="1" spans="1:10">
      <c r="A1272" s="50">
        <v>332</v>
      </c>
      <c r="B1272" s="51" t="str">
        <v>户内湿式地暖塑料管-PERT-De20(S5）</v>
      </c>
      <c r="C1272" s="51" t="e">
        <v>#REF!</v>
      </c>
      <c r="D1272" s="51" t="str">
        <v/>
      </c>
      <c r="E1272" s="51" t="str">
        <v/>
      </c>
      <c r="F1272" s="52" t="e">
        <v>#REF!</v>
      </c>
      <c r="G1272" s="48" t="e">
        <v>#REF!</v>
      </c>
      <c r="H1272" s="49">
        <v>5557.97</v>
      </c>
      <c r="I1272" s="49" t="e">
        <v>#REF!</v>
      </c>
      <c r="J1272" s="50"/>
    </row>
    <row r="1273" ht="28.8" outlineLevel="1" spans="1:10">
      <c r="A1273" s="50">
        <v>333</v>
      </c>
      <c r="B1273" s="51" t="str">
        <v>户内湿式地暖塑料管-PERT-De20(S4）</v>
      </c>
      <c r="C1273" s="51" t="e">
        <v>#REF!</v>
      </c>
      <c r="D1273" s="51" t="str">
        <v/>
      </c>
      <c r="E1273" s="51" t="str">
        <v/>
      </c>
      <c r="F1273" s="52" t="e">
        <v>#REF!</v>
      </c>
      <c r="G1273" s="48" t="e">
        <v>#REF!</v>
      </c>
      <c r="H1273" s="49">
        <v>0</v>
      </c>
      <c r="I1273" s="49" t="e">
        <v>#REF!</v>
      </c>
      <c r="J1273" s="50"/>
    </row>
    <row r="1274" outlineLevel="1" spans="1:10">
      <c r="A1274" s="50">
        <v>334</v>
      </c>
      <c r="B1274" s="51" t="str">
        <v>户内湿法-玻纤网格布</v>
      </c>
      <c r="C1274" s="51" t="e">
        <v>#REF!</v>
      </c>
      <c r="D1274" s="51" t="str">
        <v/>
      </c>
      <c r="E1274" s="51" t="str">
        <v/>
      </c>
      <c r="F1274" s="52" t="e">
        <v>#REF!</v>
      </c>
      <c r="G1274" s="48" t="e">
        <v>#REF!</v>
      </c>
      <c r="H1274" s="49">
        <v>5557.97</v>
      </c>
      <c r="I1274" s="49" t="e">
        <v>#REF!</v>
      </c>
      <c r="J1274" s="50"/>
    </row>
    <row r="1275" outlineLevel="1" spans="1:10">
      <c r="A1275" s="50">
        <v>335</v>
      </c>
      <c r="B1275" s="51" t="str">
        <v>户内湿法-单层钢丝网</v>
      </c>
      <c r="C1275" s="51" t="e">
        <v>#REF!</v>
      </c>
      <c r="D1275" s="51" t="str">
        <v/>
      </c>
      <c r="E1275" s="51" t="str">
        <v/>
      </c>
      <c r="F1275" s="52" t="e">
        <v>#REF!</v>
      </c>
      <c r="G1275" s="48" t="e">
        <v>#REF!</v>
      </c>
      <c r="H1275" s="49">
        <v>5557.97</v>
      </c>
      <c r="I1275" s="49" t="e">
        <v>#REF!</v>
      </c>
      <c r="J1275" s="50"/>
    </row>
    <row r="1276" outlineLevel="1" spans="1:10">
      <c r="A1276" s="50">
        <v>336</v>
      </c>
      <c r="B1276" s="51" t="str">
        <v>户内湿法-双层钢丝网</v>
      </c>
      <c r="C1276" s="51" t="e">
        <v>#REF!</v>
      </c>
      <c r="D1276" s="51" t="str">
        <v/>
      </c>
      <c r="E1276" s="51" t="str">
        <v/>
      </c>
      <c r="F1276" s="52" t="e">
        <v>#REF!</v>
      </c>
      <c r="G1276" s="48" t="e">
        <v>#REF!</v>
      </c>
      <c r="H1276" s="49">
        <v>0</v>
      </c>
      <c r="I1276" s="49" t="e">
        <v>#REF!</v>
      </c>
      <c r="J1276" s="50"/>
    </row>
    <row r="1277" outlineLevel="1" spans="1:10">
      <c r="A1277" s="50">
        <v>337</v>
      </c>
      <c r="B1277" s="51" t="str">
        <v>户内湿法-铝箔纸</v>
      </c>
      <c r="C1277" s="51" t="e">
        <v>#REF!</v>
      </c>
      <c r="D1277" s="51" t="str">
        <v/>
      </c>
      <c r="E1277" s="51" t="str">
        <v/>
      </c>
      <c r="F1277" s="52" t="e">
        <v>#REF!</v>
      </c>
      <c r="G1277" s="48" t="e">
        <v>#REF!</v>
      </c>
      <c r="H1277" s="49">
        <v>5557.97</v>
      </c>
      <c r="I1277" s="49" t="e">
        <v>#REF!</v>
      </c>
      <c r="J1277" s="50"/>
    </row>
    <row r="1278" outlineLevel="1" spans="1:10">
      <c r="A1278" s="50">
        <v>338</v>
      </c>
      <c r="B1278" s="51" t="str">
        <v>户内湿法-挤塑板</v>
      </c>
      <c r="C1278" s="51" t="e">
        <v>#REF!</v>
      </c>
      <c r="D1278" s="51" t="str">
        <v/>
      </c>
      <c r="E1278" s="51" t="str">
        <v/>
      </c>
      <c r="F1278" s="52" t="e">
        <v>#REF!</v>
      </c>
      <c r="G1278" s="48" t="e">
        <v>#REF!</v>
      </c>
      <c r="H1278" s="49">
        <v>5557.97</v>
      </c>
      <c r="I1278" s="49" t="e">
        <v>#REF!</v>
      </c>
      <c r="J1278" s="50"/>
    </row>
    <row r="1279" ht="28.8" outlineLevel="1" spans="1:10">
      <c r="A1279" s="50">
        <v>339</v>
      </c>
      <c r="B1279" s="51" t="str">
        <v>户内干法采暖塑料管-PERT-De20(S5）</v>
      </c>
      <c r="C1279" s="51" t="e">
        <v>#REF!</v>
      </c>
      <c r="D1279" s="51" t="str">
        <v/>
      </c>
      <c r="E1279" s="51" t="str">
        <v/>
      </c>
      <c r="F1279" s="52" t="e">
        <v>#REF!</v>
      </c>
      <c r="G1279" s="48" t="e">
        <v>#REF!</v>
      </c>
      <c r="H1279" s="49">
        <v>0</v>
      </c>
      <c r="I1279" s="49" t="e">
        <v>#REF!</v>
      </c>
      <c r="J1279" s="50"/>
    </row>
    <row r="1280" ht="28.8" outlineLevel="1" spans="1:10">
      <c r="A1280" s="50">
        <v>340</v>
      </c>
      <c r="B1280" s="51" t="str">
        <v>户内干法采暖塑料管-PERT-De20(S4）</v>
      </c>
      <c r="C1280" s="51" t="e">
        <v>#REF!</v>
      </c>
      <c r="D1280" s="51" t="str">
        <v/>
      </c>
      <c r="E1280" s="51" t="str">
        <v/>
      </c>
      <c r="F1280" s="52" t="e">
        <v>#REF!</v>
      </c>
      <c r="G1280" s="48" t="e">
        <v>#REF!</v>
      </c>
      <c r="H1280" s="49">
        <v>0</v>
      </c>
      <c r="I1280" s="49" t="e">
        <v>#REF!</v>
      </c>
      <c r="J1280" s="50"/>
    </row>
    <row r="1281" outlineLevel="1" spans="1:10">
      <c r="A1281" s="50">
        <v>341</v>
      </c>
      <c r="B1281" s="51" t="str">
        <v>户内干法-地面砂浆</v>
      </c>
      <c r="C1281" s="51" t="e">
        <v>#REF!</v>
      </c>
      <c r="D1281" s="51" t="str">
        <v/>
      </c>
      <c r="E1281" s="51" t="str">
        <v/>
      </c>
      <c r="F1281" s="52" t="e">
        <v>#REF!</v>
      </c>
      <c r="G1281" s="48" t="e">
        <v>#REF!</v>
      </c>
      <c r="H1281" s="49">
        <v>0</v>
      </c>
      <c r="I1281" s="49" t="e">
        <v>#REF!</v>
      </c>
      <c r="J1281" s="50"/>
    </row>
    <row r="1282" outlineLevel="1" spans="1:10">
      <c r="A1282" s="50">
        <v>342</v>
      </c>
      <c r="B1282" s="51" t="str">
        <v>户内干法-沟槽板</v>
      </c>
      <c r="C1282" s="51" t="e">
        <v>#REF!</v>
      </c>
      <c r="D1282" s="51" t="str">
        <v/>
      </c>
      <c r="E1282" s="51" t="str">
        <v/>
      </c>
      <c r="F1282" s="52" t="e">
        <v>#REF!</v>
      </c>
      <c r="G1282" s="48" t="e">
        <v>#REF!</v>
      </c>
      <c r="H1282" s="49">
        <v>0</v>
      </c>
      <c r="I1282" s="49" t="e">
        <v>#REF!</v>
      </c>
      <c r="J1282" s="50"/>
    </row>
    <row r="1283" outlineLevel="1" spans="1:10">
      <c r="A1283" s="50">
        <v>343</v>
      </c>
      <c r="B1283" s="51" t="str">
        <v>户内干法-粘接砂浆</v>
      </c>
      <c r="C1283" s="51" t="e">
        <v>#REF!</v>
      </c>
      <c r="D1283" s="51" t="str">
        <v/>
      </c>
      <c r="E1283" s="51" t="str">
        <v/>
      </c>
      <c r="F1283" s="52" t="e">
        <v>#REF!</v>
      </c>
      <c r="G1283" s="48" t="e">
        <v>#REF!</v>
      </c>
      <c r="H1283" s="49">
        <v>0</v>
      </c>
      <c r="I1283" s="49" t="e">
        <v>#REF!</v>
      </c>
      <c r="J1283" s="50"/>
    </row>
    <row r="1284" outlineLevel="1" spans="1:10">
      <c r="A1284" s="50">
        <v>344</v>
      </c>
      <c r="B1284" s="51" t="str">
        <v>户内干法-石膏自流平</v>
      </c>
      <c r="C1284" s="51" t="e">
        <v>#REF!</v>
      </c>
      <c r="D1284" s="51" t="str">
        <v/>
      </c>
      <c r="E1284" s="51" t="str">
        <v/>
      </c>
      <c r="F1284" s="52" t="e">
        <v>#REF!</v>
      </c>
      <c r="G1284" s="48" t="e">
        <v>#REF!</v>
      </c>
      <c r="H1284" s="49">
        <v>0</v>
      </c>
      <c r="I1284" s="49" t="e">
        <v>#REF!</v>
      </c>
      <c r="J1284" s="50"/>
    </row>
    <row r="1285" outlineLevel="1" spans="1:10">
      <c r="A1285" s="50">
        <v>345</v>
      </c>
      <c r="B1285" s="51" t="str">
        <v>户内干法-基层处理</v>
      </c>
      <c r="C1285" s="51" t="e">
        <v>#REF!</v>
      </c>
      <c r="D1285" s="51" t="str">
        <v/>
      </c>
      <c r="E1285" s="51" t="str">
        <v/>
      </c>
      <c r="F1285" s="52" t="e">
        <v>#REF!</v>
      </c>
      <c r="G1285" s="48" t="e">
        <v>#REF!</v>
      </c>
      <c r="H1285" s="49">
        <v>0</v>
      </c>
      <c r="I1285" s="49" t="e">
        <v>#REF!</v>
      </c>
      <c r="J1285" s="50"/>
    </row>
    <row r="1286" outlineLevel="1" spans="1:10">
      <c r="A1286" s="50">
        <v>346</v>
      </c>
      <c r="B1286" s="51" t="str">
        <v>30mm厚1000Kpa压缩强度</v>
      </c>
      <c r="C1286" s="51" t="e">
        <v>#REF!</v>
      </c>
      <c r="D1286" s="51" t="str">
        <v/>
      </c>
      <c r="E1286" s="51" t="str">
        <v/>
      </c>
      <c r="F1286" s="52" t="e">
        <v>#REF!</v>
      </c>
      <c r="G1286" s="48" t="e">
        <v>#REF!</v>
      </c>
      <c r="H1286" s="49">
        <v>0</v>
      </c>
      <c r="I1286" s="49" t="e">
        <v>#REF!</v>
      </c>
      <c r="J1286" s="50"/>
    </row>
    <row r="1287" outlineLevel="1" spans="1:10">
      <c r="A1287" s="50">
        <v>347</v>
      </c>
      <c r="B1287" s="51" t="str">
        <v>30mm厚1200Kpa压缩强度</v>
      </c>
      <c r="C1287" s="51" t="e">
        <v>#REF!</v>
      </c>
      <c r="D1287" s="51" t="str">
        <v/>
      </c>
      <c r="E1287" s="51" t="str">
        <v/>
      </c>
      <c r="F1287" s="52" t="e">
        <v>#REF!</v>
      </c>
      <c r="G1287" s="48" t="e">
        <v>#REF!</v>
      </c>
      <c r="H1287" s="49">
        <v>0</v>
      </c>
      <c r="I1287" s="49" t="e">
        <v>#REF!</v>
      </c>
      <c r="J1287" s="50"/>
    </row>
    <row r="1288" outlineLevel="1" spans="1:10">
      <c r="A1288" s="50">
        <v>348</v>
      </c>
      <c r="B1288" s="51" t="str">
        <v>30mm厚1250Kpa压缩强度</v>
      </c>
      <c r="C1288" s="51" t="e">
        <v>#REF!</v>
      </c>
      <c r="D1288" s="51" t="str">
        <v/>
      </c>
      <c r="E1288" s="51" t="str">
        <v/>
      </c>
      <c r="F1288" s="52" t="e">
        <v>#REF!</v>
      </c>
      <c r="G1288" s="48" t="e">
        <v>#REF!</v>
      </c>
      <c r="H1288" s="49">
        <v>0</v>
      </c>
      <c r="I1288" s="49" t="e">
        <v>#REF!</v>
      </c>
      <c r="J1288" s="50"/>
    </row>
    <row r="1289" outlineLevel="1" spans="1:10">
      <c r="A1289" s="50">
        <v>349</v>
      </c>
      <c r="B1289" s="51" t="str">
        <v>橡胶减震垫-5厚单面凹发泡</v>
      </c>
      <c r="C1289" s="51" t="e">
        <v>#REF!</v>
      </c>
      <c r="D1289" s="51" t="str">
        <v/>
      </c>
      <c r="E1289" s="51" t="str">
        <v/>
      </c>
      <c r="F1289" s="52" t="e">
        <v>#REF!</v>
      </c>
      <c r="G1289" s="48" t="e">
        <v>#REF!</v>
      </c>
      <c r="H1289" s="49">
        <v>5557.97</v>
      </c>
      <c r="I1289" s="49" t="e">
        <v>#REF!</v>
      </c>
      <c r="J1289" s="50"/>
    </row>
    <row r="1290" ht="28.8" outlineLevel="1" spans="1:10">
      <c r="A1290" s="50">
        <v>350</v>
      </c>
      <c r="B1290" s="51" t="str">
        <v>聚乙烯减震垫-5厚单面凹发泡</v>
      </c>
      <c r="C1290" s="51" t="e">
        <v>#REF!</v>
      </c>
      <c r="D1290" s="51" t="str">
        <v/>
      </c>
      <c r="E1290" s="51" t="str">
        <v/>
      </c>
      <c r="F1290" s="52" t="e">
        <v>#REF!</v>
      </c>
      <c r="G1290" s="48" t="e">
        <v>#REF!</v>
      </c>
      <c r="H1290" s="49">
        <v>1</v>
      </c>
      <c r="I1290" s="49" t="e">
        <v>#REF!</v>
      </c>
      <c r="J1290" s="50"/>
    </row>
    <row r="1291" ht="28.8" outlineLevel="1" spans="1:10">
      <c r="A1291" s="50">
        <v>351</v>
      </c>
      <c r="B1291" s="51" t="str">
        <v>聚乙烯减震垫-5厚单面平发泡</v>
      </c>
      <c r="C1291" s="51" t="e">
        <v>#REF!</v>
      </c>
      <c r="D1291" s="51" t="str">
        <v/>
      </c>
      <c r="E1291" s="51" t="str">
        <v/>
      </c>
      <c r="F1291" s="52" t="e">
        <v>#REF!</v>
      </c>
      <c r="G1291" s="48" t="e">
        <v>#REF!</v>
      </c>
      <c r="H1291" s="49">
        <v>1</v>
      </c>
      <c r="I1291" s="49" t="e">
        <v>#REF!</v>
      </c>
      <c r="J1291" s="50"/>
    </row>
    <row r="1292" outlineLevel="1" spans="1:10">
      <c r="A1292" s="50">
        <v>352</v>
      </c>
      <c r="B1292" s="51" t="str">
        <v>2回路分/集水器</v>
      </c>
      <c r="C1292" s="51" t="e">
        <v>#REF!</v>
      </c>
      <c r="D1292" s="51" t="str">
        <v/>
      </c>
      <c r="E1292" s="51" t="str">
        <v/>
      </c>
      <c r="F1292" s="52" t="e">
        <v>#REF!</v>
      </c>
      <c r="G1292" s="48" t="e">
        <v>#REF!</v>
      </c>
      <c r="H1292" s="49">
        <v>0</v>
      </c>
      <c r="I1292" s="49" t="e">
        <v>#REF!</v>
      </c>
      <c r="J1292" s="50"/>
    </row>
    <row r="1293" outlineLevel="1" spans="1:10">
      <c r="A1293" s="50">
        <v>353</v>
      </c>
      <c r="B1293" s="51" t="str">
        <v>3回路分/集水器</v>
      </c>
      <c r="C1293" s="51" t="e">
        <v>#REF!</v>
      </c>
      <c r="D1293" s="51" t="str">
        <v/>
      </c>
      <c r="E1293" s="51" t="str">
        <v/>
      </c>
      <c r="F1293" s="52" t="e">
        <v>#REF!</v>
      </c>
      <c r="G1293" s="48" t="e">
        <v>#REF!</v>
      </c>
      <c r="H1293" s="49">
        <v>1</v>
      </c>
      <c r="I1293" s="49" t="e">
        <v>#REF!</v>
      </c>
      <c r="J1293" s="50"/>
    </row>
    <row r="1294" outlineLevel="1" spans="1:10">
      <c r="A1294" s="50">
        <v>354</v>
      </c>
      <c r="B1294" s="51" t="str">
        <v>4回路分/集水器</v>
      </c>
      <c r="C1294" s="51" t="e">
        <v>#REF!</v>
      </c>
      <c r="D1294" s="51" t="str">
        <v/>
      </c>
      <c r="E1294" s="51" t="str">
        <v/>
      </c>
      <c r="F1294" s="52" t="e">
        <v>#REF!</v>
      </c>
      <c r="G1294" s="48" t="e">
        <v>#REF!</v>
      </c>
      <c r="H1294" s="49">
        <v>1</v>
      </c>
      <c r="I1294" s="49" t="e">
        <v>#REF!</v>
      </c>
      <c r="J1294" s="50"/>
    </row>
    <row r="1295" outlineLevel="1" spans="1:10">
      <c r="A1295" s="50">
        <v>355</v>
      </c>
      <c r="B1295" s="51" t="str">
        <v>5回路分/集水器</v>
      </c>
      <c r="C1295" s="51" t="e">
        <v>#REF!</v>
      </c>
      <c r="D1295" s="51" t="str">
        <v/>
      </c>
      <c r="E1295" s="51" t="str">
        <v/>
      </c>
      <c r="F1295" s="52" t="e">
        <v>#REF!</v>
      </c>
      <c r="G1295" s="48" t="e">
        <v>#REF!</v>
      </c>
      <c r="H1295" s="49">
        <v>0</v>
      </c>
      <c r="I1295" s="49" t="e">
        <v>#REF!</v>
      </c>
      <c r="J1295" s="50"/>
    </row>
    <row r="1296" outlineLevel="1" spans="1:10">
      <c r="A1296" s="50">
        <v>356</v>
      </c>
      <c r="B1296" s="51" t="str">
        <v>6回路分/集水器</v>
      </c>
      <c r="C1296" s="51" t="e">
        <v>#REF!</v>
      </c>
      <c r="D1296" s="51" t="str">
        <v/>
      </c>
      <c r="E1296" s="51" t="str">
        <v/>
      </c>
      <c r="F1296" s="52" t="e">
        <v>#REF!</v>
      </c>
      <c r="G1296" s="48" t="e">
        <v>#REF!</v>
      </c>
      <c r="H1296" s="49">
        <v>44</v>
      </c>
      <c r="I1296" s="49" t="e">
        <v>#REF!</v>
      </c>
      <c r="J1296" s="50"/>
    </row>
    <row r="1297" outlineLevel="1" spans="1:10">
      <c r="A1297" s="50">
        <v>357</v>
      </c>
      <c r="B1297" s="51" t="str">
        <v>7回路分/集水器</v>
      </c>
      <c r="C1297" s="51" t="e">
        <v>#REF!</v>
      </c>
      <c r="D1297" s="51" t="str">
        <v/>
      </c>
      <c r="E1297" s="51" t="str">
        <v/>
      </c>
      <c r="F1297" s="52" t="e">
        <v>#REF!</v>
      </c>
      <c r="G1297" s="48" t="e">
        <v>#REF!</v>
      </c>
      <c r="H1297" s="49">
        <v>0</v>
      </c>
      <c r="I1297" s="49" t="e">
        <v>#REF!</v>
      </c>
      <c r="J1297" s="50"/>
    </row>
    <row r="1298" outlineLevel="1" spans="1:10">
      <c r="A1298" s="50">
        <v>358</v>
      </c>
      <c r="B1298" s="51" t="str">
        <v>8回路分/集水器</v>
      </c>
      <c r="C1298" s="51" t="e">
        <v>#REF!</v>
      </c>
      <c r="D1298" s="51" t="str">
        <v/>
      </c>
      <c r="E1298" s="51" t="str">
        <v/>
      </c>
      <c r="F1298" s="52" t="e">
        <v>#REF!</v>
      </c>
      <c r="G1298" s="48" t="e">
        <v>#REF!</v>
      </c>
      <c r="H1298" s="49">
        <v>0</v>
      </c>
      <c r="I1298" s="49" t="e">
        <v>#REF!</v>
      </c>
      <c r="J1298" s="50"/>
    </row>
    <row r="1299" outlineLevel="1" spans="1:10">
      <c r="A1299" s="50">
        <v>359</v>
      </c>
      <c r="B1299" s="51" t="str">
        <v>螺纹阀门-全铜截止阀-De32</v>
      </c>
      <c r="C1299" s="51" t="e">
        <v>#REF!</v>
      </c>
      <c r="D1299" s="51" t="str">
        <v/>
      </c>
      <c r="E1299" s="51" t="str">
        <v/>
      </c>
      <c r="F1299" s="52" t="e">
        <v>#REF!</v>
      </c>
      <c r="G1299" s="48" t="e">
        <v>#REF!</v>
      </c>
      <c r="H1299" s="49">
        <v>132</v>
      </c>
      <c r="I1299" s="49" t="e">
        <v>#REF!</v>
      </c>
      <c r="J1299" s="50"/>
    </row>
    <row r="1300" outlineLevel="1" spans="1:10">
      <c r="A1300" s="50" t="str">
        <v/>
      </c>
      <c r="B1300" s="51" t="str">
        <v>B.14采暖管道</v>
      </c>
      <c r="C1300" s="51" t="str">
        <v/>
      </c>
      <c r="D1300" s="51" t="str">
        <v/>
      </c>
      <c r="E1300" s="51" t="str">
        <v/>
      </c>
      <c r="F1300" s="52" t="str">
        <v/>
      </c>
      <c r="G1300" s="48" t="str">
        <v/>
      </c>
      <c r="H1300" s="49">
        <v>0</v>
      </c>
      <c r="I1300" s="49" t="e">
        <v>#REF!</v>
      </c>
      <c r="J1300" s="50"/>
    </row>
    <row r="1301" outlineLevel="1" spans="1:10">
      <c r="A1301" s="50">
        <v>360</v>
      </c>
      <c r="B1301" s="51" t="str">
        <v>室内供暖镀锌钢管-DN15</v>
      </c>
      <c r="C1301" s="51" t="e">
        <v>#REF!</v>
      </c>
      <c r="D1301" s="51" t="str">
        <v/>
      </c>
      <c r="E1301" s="51" t="str">
        <v/>
      </c>
      <c r="F1301" s="52" t="e">
        <v>#REF!</v>
      </c>
      <c r="G1301" s="48" t="e">
        <v>#REF!</v>
      </c>
      <c r="H1301" s="49">
        <v>1</v>
      </c>
      <c r="I1301" s="49" t="e">
        <v>#REF!</v>
      </c>
      <c r="J1301" s="50"/>
    </row>
    <row r="1302" outlineLevel="1" spans="1:10">
      <c r="A1302" s="50">
        <v>361</v>
      </c>
      <c r="B1302" s="51" t="str">
        <v>室内供暖镀锌钢管-DN20</v>
      </c>
      <c r="C1302" s="51" t="e">
        <v>#REF!</v>
      </c>
      <c r="D1302" s="51" t="str">
        <v/>
      </c>
      <c r="E1302" s="51" t="str">
        <v/>
      </c>
      <c r="F1302" s="52" t="e">
        <v>#REF!</v>
      </c>
      <c r="G1302" s="48" t="e">
        <v>#REF!</v>
      </c>
      <c r="H1302" s="49">
        <v>1</v>
      </c>
      <c r="I1302" s="49" t="e">
        <v>#REF!</v>
      </c>
      <c r="J1302" s="50"/>
    </row>
    <row r="1303" outlineLevel="1" spans="1:10">
      <c r="A1303" s="50">
        <v>362</v>
      </c>
      <c r="B1303" s="51" t="str">
        <v>室内供暖镀锌钢管-DN25</v>
      </c>
      <c r="C1303" s="51" t="e">
        <v>#REF!</v>
      </c>
      <c r="D1303" s="51" t="str">
        <v/>
      </c>
      <c r="E1303" s="51" t="str">
        <v/>
      </c>
      <c r="F1303" s="52" t="e">
        <v>#REF!</v>
      </c>
      <c r="G1303" s="48" t="e">
        <v>#REF!</v>
      </c>
      <c r="H1303" s="49">
        <v>150.48</v>
      </c>
      <c r="I1303" s="49" t="e">
        <v>#REF!</v>
      </c>
      <c r="J1303" s="50"/>
    </row>
    <row r="1304" outlineLevel="1" spans="1:10">
      <c r="A1304" s="50">
        <v>363</v>
      </c>
      <c r="B1304" s="51" t="str">
        <v>室内供暖镀锌钢管-DN32</v>
      </c>
      <c r="C1304" s="51" t="e">
        <v>#REF!</v>
      </c>
      <c r="D1304" s="51" t="str">
        <v/>
      </c>
      <c r="E1304" s="51" t="str">
        <v/>
      </c>
      <c r="F1304" s="52" t="e">
        <v>#REF!</v>
      </c>
      <c r="G1304" s="48" t="e">
        <v>#REF!</v>
      </c>
      <c r="H1304" s="49">
        <v>11.6</v>
      </c>
      <c r="I1304" s="49" t="e">
        <v>#REF!</v>
      </c>
      <c r="J1304" s="50"/>
    </row>
    <row r="1305" outlineLevel="1" spans="1:10">
      <c r="A1305" s="50">
        <v>364</v>
      </c>
      <c r="B1305" s="51" t="str">
        <v>室内供暖镀锌钢管-DN40</v>
      </c>
      <c r="C1305" s="51" t="e">
        <v>#REF!</v>
      </c>
      <c r="D1305" s="51" t="str">
        <v/>
      </c>
      <c r="E1305" s="51" t="str">
        <v/>
      </c>
      <c r="F1305" s="52" t="e">
        <v>#REF!</v>
      </c>
      <c r="G1305" s="48" t="e">
        <v>#REF!</v>
      </c>
      <c r="H1305" s="49">
        <v>1</v>
      </c>
      <c r="I1305" s="49" t="e">
        <v>#REF!</v>
      </c>
      <c r="J1305" s="50"/>
    </row>
    <row r="1306" outlineLevel="1" spans="1:10">
      <c r="A1306" s="50">
        <v>365</v>
      </c>
      <c r="B1306" s="51" t="str">
        <v>室内供暖镀锌钢管-DN50</v>
      </c>
      <c r="C1306" s="51" t="e">
        <v>#REF!</v>
      </c>
      <c r="D1306" s="51" t="str">
        <v/>
      </c>
      <c r="E1306" s="51" t="str">
        <v/>
      </c>
      <c r="F1306" s="52" t="e">
        <v>#REF!</v>
      </c>
      <c r="G1306" s="48" t="e">
        <v>#REF!</v>
      </c>
      <c r="H1306" s="49">
        <v>34.8</v>
      </c>
      <c r="I1306" s="49" t="e">
        <v>#REF!</v>
      </c>
      <c r="J1306" s="50"/>
    </row>
    <row r="1307" outlineLevel="1" spans="1:10">
      <c r="A1307" s="50">
        <v>366</v>
      </c>
      <c r="B1307" s="51" t="str">
        <v>室内供暖镀锌钢管-DN65</v>
      </c>
      <c r="C1307" s="51" t="e">
        <v>#REF!</v>
      </c>
      <c r="D1307" s="51" t="str">
        <v/>
      </c>
      <c r="E1307" s="51" t="str">
        <v/>
      </c>
      <c r="F1307" s="52" t="e">
        <v>#REF!</v>
      </c>
      <c r="G1307" s="48" t="e">
        <v>#REF!</v>
      </c>
      <c r="H1307" s="49">
        <v>46.4</v>
      </c>
      <c r="I1307" s="49" t="e">
        <v>#REF!</v>
      </c>
      <c r="J1307" s="50"/>
    </row>
    <row r="1308" outlineLevel="1" spans="1:10">
      <c r="A1308" s="50">
        <v>367</v>
      </c>
      <c r="B1308" s="51" t="str">
        <v>室内供暖镀锌钢管-DN80</v>
      </c>
      <c r="C1308" s="51" t="e">
        <v>#REF!</v>
      </c>
      <c r="D1308" s="51" t="str">
        <v/>
      </c>
      <c r="E1308" s="51" t="str">
        <v/>
      </c>
      <c r="F1308" s="52" t="e">
        <v>#REF!</v>
      </c>
      <c r="G1308" s="48" t="e">
        <v>#REF!</v>
      </c>
      <c r="H1308" s="49">
        <v>28.8</v>
      </c>
      <c r="I1308" s="49" t="e">
        <v>#REF!</v>
      </c>
      <c r="J1308" s="50"/>
    </row>
    <row r="1309" ht="28.8" outlineLevel="1" spans="1:10">
      <c r="A1309" s="50">
        <v>368</v>
      </c>
      <c r="B1309" s="51" t="str">
        <v>室内供暖无缝镀锌钢管-DN100</v>
      </c>
      <c r="C1309" s="51" t="e">
        <v>#REF!</v>
      </c>
      <c r="D1309" s="51" t="str">
        <v/>
      </c>
      <c r="E1309" s="51" t="str">
        <v/>
      </c>
      <c r="F1309" s="52" t="e">
        <v>#REF!</v>
      </c>
      <c r="G1309" s="48" t="e">
        <v>#REF!</v>
      </c>
      <c r="H1309" s="49">
        <v>0</v>
      </c>
      <c r="I1309" s="49" t="e">
        <v>#REF!</v>
      </c>
      <c r="J1309" s="50"/>
    </row>
    <row r="1310" outlineLevel="1" spans="1:10">
      <c r="A1310" s="50">
        <v>369</v>
      </c>
      <c r="B1310" s="51" t="str">
        <v>室内采暖塑料管-PPR-De25</v>
      </c>
      <c r="C1310" s="51" t="e">
        <v>#REF!</v>
      </c>
      <c r="D1310" s="51" t="str">
        <v/>
      </c>
      <c r="E1310" s="51" t="str">
        <v/>
      </c>
      <c r="F1310" s="52" t="e">
        <v>#REF!</v>
      </c>
      <c r="G1310" s="48" t="e">
        <v>#REF!</v>
      </c>
      <c r="H1310" s="49">
        <v>0</v>
      </c>
      <c r="I1310" s="49" t="e">
        <v>#REF!</v>
      </c>
      <c r="J1310" s="50"/>
    </row>
    <row r="1311" outlineLevel="1" spans="1:10">
      <c r="A1311" s="50">
        <v>370</v>
      </c>
      <c r="B1311" s="51" t="str">
        <v>室内采暖塑料管-PPR-De32</v>
      </c>
      <c r="C1311" s="51" t="e">
        <v>#REF!</v>
      </c>
      <c r="D1311" s="51" t="str">
        <v/>
      </c>
      <c r="E1311" s="51" t="str">
        <v/>
      </c>
      <c r="F1311" s="52" t="e">
        <v>#REF!</v>
      </c>
      <c r="G1311" s="48" t="e">
        <v>#REF!</v>
      </c>
      <c r="H1311" s="49">
        <v>80.39</v>
      </c>
      <c r="I1311" s="49" t="e">
        <v>#REF!</v>
      </c>
      <c r="J1311" s="50"/>
    </row>
    <row r="1312" outlineLevel="1" spans="1:10">
      <c r="A1312" s="50" t="str">
        <v/>
      </c>
      <c r="B1312" s="51" t="str">
        <v>B.15阀部件</v>
      </c>
      <c r="C1312" s="51" t="str">
        <v/>
      </c>
      <c r="D1312" s="51" t="str">
        <v/>
      </c>
      <c r="E1312" s="51" t="str">
        <v/>
      </c>
      <c r="F1312" s="52" t="str">
        <v/>
      </c>
      <c r="G1312" s="48" t="str">
        <v/>
      </c>
      <c r="H1312" s="49">
        <v>0</v>
      </c>
      <c r="I1312" s="49" t="e">
        <v>#REF!</v>
      </c>
      <c r="J1312" s="50"/>
    </row>
    <row r="1313" outlineLevel="1" spans="1:10">
      <c r="A1313" s="50">
        <v>371</v>
      </c>
      <c r="B1313" s="51" t="str">
        <v>螺纹阀门-自动放气阀-DN15</v>
      </c>
      <c r="C1313" s="51" t="e">
        <v>#REF!</v>
      </c>
      <c r="D1313" s="51" t="str">
        <v/>
      </c>
      <c r="E1313" s="51" t="str">
        <v/>
      </c>
      <c r="F1313" s="52" t="e">
        <v>#REF!</v>
      </c>
      <c r="G1313" s="48" t="e">
        <v>#REF!</v>
      </c>
      <c r="H1313" s="49">
        <v>4</v>
      </c>
      <c r="I1313" s="49" t="e">
        <v>#REF!</v>
      </c>
      <c r="J1313" s="50"/>
    </row>
    <row r="1314" outlineLevel="1" spans="1:10">
      <c r="A1314" s="50">
        <v>372</v>
      </c>
      <c r="B1314" s="51" t="str">
        <v>自动放气阀下截止阀-DN15</v>
      </c>
      <c r="C1314" s="51" t="e">
        <v>#REF!</v>
      </c>
      <c r="D1314" s="51" t="str">
        <v/>
      </c>
      <c r="E1314" s="51" t="str">
        <v/>
      </c>
      <c r="F1314" s="52" t="e">
        <v>#REF!</v>
      </c>
      <c r="G1314" s="48" t="e">
        <v>#REF!</v>
      </c>
      <c r="H1314" s="49">
        <v>4</v>
      </c>
      <c r="I1314" s="49" t="e">
        <v>#REF!</v>
      </c>
      <c r="J1314" s="50"/>
    </row>
    <row r="1315" outlineLevel="1" spans="1:10">
      <c r="A1315" s="50">
        <v>373</v>
      </c>
      <c r="B1315" s="51" t="str">
        <v>螺纹阀门-手动调节阀-DN25</v>
      </c>
      <c r="C1315" s="51" t="e">
        <v>#REF!</v>
      </c>
      <c r="D1315" s="51" t="str">
        <v/>
      </c>
      <c r="E1315" s="51" t="str">
        <v/>
      </c>
      <c r="F1315" s="52" t="e">
        <v>#REF!</v>
      </c>
      <c r="G1315" s="48" t="e">
        <v>#REF!</v>
      </c>
      <c r="H1315" s="49">
        <v>44</v>
      </c>
      <c r="I1315" s="49" t="e">
        <v>#REF!</v>
      </c>
      <c r="J1315" s="50"/>
    </row>
    <row r="1316" outlineLevel="1" spans="1:10">
      <c r="A1316" s="50">
        <v>374</v>
      </c>
      <c r="B1316" s="51" t="str">
        <v>螺纹阀门-手动调节阀-DN32</v>
      </c>
      <c r="C1316" s="51" t="e">
        <v>#REF!</v>
      </c>
      <c r="D1316" s="51" t="str">
        <v/>
      </c>
      <c r="E1316" s="51" t="str">
        <v/>
      </c>
      <c r="F1316" s="52" t="e">
        <v>#REF!</v>
      </c>
      <c r="G1316" s="48" t="e">
        <v>#REF!</v>
      </c>
      <c r="H1316" s="49">
        <v>0</v>
      </c>
      <c r="I1316" s="49" t="e">
        <v>#REF!</v>
      </c>
      <c r="J1316" s="50"/>
    </row>
    <row r="1317" outlineLevel="1" spans="1:10">
      <c r="A1317" s="50">
        <v>375</v>
      </c>
      <c r="B1317" s="51" t="str">
        <v>螺纹阀门-手动调节阀-DN50</v>
      </c>
      <c r="C1317" s="51" t="e">
        <v>#REF!</v>
      </c>
      <c r="D1317" s="51" t="str">
        <v/>
      </c>
      <c r="E1317" s="51" t="str">
        <v/>
      </c>
      <c r="F1317" s="52" t="e">
        <v>#REF!</v>
      </c>
      <c r="G1317" s="48" t="e">
        <v>#REF!</v>
      </c>
      <c r="H1317" s="49">
        <v>0</v>
      </c>
      <c r="I1317" s="49" t="e">
        <v>#REF!</v>
      </c>
      <c r="J1317" s="50"/>
    </row>
    <row r="1318" outlineLevel="1" spans="1:10">
      <c r="A1318" s="50">
        <v>376</v>
      </c>
      <c r="B1318" s="51" t="str">
        <v>螺纹阀门-截止阀-DN20</v>
      </c>
      <c r="C1318" s="51" t="e">
        <v>#REF!</v>
      </c>
      <c r="D1318" s="51" t="str">
        <v/>
      </c>
      <c r="E1318" s="51" t="str">
        <v/>
      </c>
      <c r="F1318" s="52" t="e">
        <v>#REF!</v>
      </c>
      <c r="G1318" s="48" t="e">
        <v>#REF!</v>
      </c>
      <c r="H1318" s="49">
        <v>0</v>
      </c>
      <c r="I1318" s="49" t="e">
        <v>#REF!</v>
      </c>
      <c r="J1318" s="50"/>
    </row>
    <row r="1319" outlineLevel="1" spans="1:10">
      <c r="A1319" s="50">
        <v>377</v>
      </c>
      <c r="B1319" s="51" t="str">
        <v>螺纹阀门-截止阀-DN32</v>
      </c>
      <c r="C1319" s="51" t="e">
        <v>#REF!</v>
      </c>
      <c r="D1319" s="51" t="str">
        <v/>
      </c>
      <c r="E1319" s="51" t="str">
        <v/>
      </c>
      <c r="F1319" s="52" t="e">
        <v>#REF!</v>
      </c>
      <c r="G1319" s="48" t="e">
        <v>#REF!</v>
      </c>
      <c r="H1319" s="49">
        <v>0</v>
      </c>
      <c r="I1319" s="49" t="e">
        <v>#REF!</v>
      </c>
      <c r="J1319" s="50"/>
    </row>
    <row r="1320" outlineLevel="1" spans="1:10">
      <c r="A1320" s="50">
        <v>378</v>
      </c>
      <c r="B1320" s="51" t="str">
        <v>螺纹阀门-截止阀-DN50</v>
      </c>
      <c r="C1320" s="51" t="e">
        <v>#REF!</v>
      </c>
      <c r="D1320" s="51" t="str">
        <v/>
      </c>
      <c r="E1320" s="51" t="str">
        <v/>
      </c>
      <c r="F1320" s="52" t="e">
        <v>#REF!</v>
      </c>
      <c r="G1320" s="48" t="e">
        <v>#REF!</v>
      </c>
      <c r="H1320" s="49">
        <v>0</v>
      </c>
      <c r="I1320" s="49" t="e">
        <v>#REF!</v>
      </c>
      <c r="J1320" s="50"/>
    </row>
    <row r="1321" outlineLevel="1" spans="1:10">
      <c r="A1321" s="50">
        <v>379</v>
      </c>
      <c r="B1321" s="51" t="str">
        <v>螺纹阀门-锁闭阀-DN20</v>
      </c>
      <c r="C1321" s="51" t="e">
        <v>#REF!</v>
      </c>
      <c r="D1321" s="51" t="str">
        <v/>
      </c>
      <c r="E1321" s="51" t="str">
        <v/>
      </c>
      <c r="F1321" s="52" t="e">
        <v>#REF!</v>
      </c>
      <c r="G1321" s="48" t="e">
        <v>#REF!</v>
      </c>
      <c r="H1321" s="49">
        <v>1</v>
      </c>
      <c r="I1321" s="49" t="e">
        <v>#REF!</v>
      </c>
      <c r="J1321" s="50"/>
    </row>
    <row r="1322" outlineLevel="1" spans="1:10">
      <c r="A1322" s="50">
        <v>380</v>
      </c>
      <c r="B1322" s="51" t="str">
        <v>螺纹阀门-锁闭阀-DN25</v>
      </c>
      <c r="C1322" s="51" t="e">
        <v>#REF!</v>
      </c>
      <c r="D1322" s="51" t="str">
        <v/>
      </c>
      <c r="E1322" s="51" t="str">
        <v/>
      </c>
      <c r="F1322" s="52" t="e">
        <v>#REF!</v>
      </c>
      <c r="G1322" s="48" t="e">
        <v>#REF!</v>
      </c>
      <c r="H1322" s="49">
        <v>44</v>
      </c>
      <c r="I1322" s="49" t="e">
        <v>#REF!</v>
      </c>
      <c r="J1322" s="50"/>
    </row>
    <row r="1323" outlineLevel="1" spans="1:10">
      <c r="A1323" s="50">
        <v>381</v>
      </c>
      <c r="B1323" s="51" t="str">
        <v>螺纹阀门-铜测温球阀-DN20</v>
      </c>
      <c r="C1323" s="51" t="e">
        <v>#REF!</v>
      </c>
      <c r="D1323" s="51" t="str">
        <v/>
      </c>
      <c r="E1323" s="51" t="str">
        <v/>
      </c>
      <c r="F1323" s="52" t="e">
        <v>#REF!</v>
      </c>
      <c r="G1323" s="48" t="e">
        <v>#REF!</v>
      </c>
      <c r="H1323" s="49">
        <v>0</v>
      </c>
      <c r="I1323" s="49" t="e">
        <v>#REF!</v>
      </c>
      <c r="J1323" s="50"/>
    </row>
    <row r="1324" outlineLevel="1" spans="1:10">
      <c r="A1324" s="50">
        <v>382</v>
      </c>
      <c r="B1324" s="51" t="str">
        <v>螺纹阀门-铜测温球阀-DN25</v>
      </c>
      <c r="C1324" s="51" t="e">
        <v>#REF!</v>
      </c>
      <c r="D1324" s="51" t="str">
        <v/>
      </c>
      <c r="E1324" s="51" t="str">
        <v/>
      </c>
      <c r="F1324" s="52" t="e">
        <v>#REF!</v>
      </c>
      <c r="G1324" s="48" t="e">
        <v>#REF!</v>
      </c>
      <c r="H1324" s="49">
        <v>88</v>
      </c>
      <c r="I1324" s="49" t="e">
        <v>#REF!</v>
      </c>
      <c r="J1324" s="50"/>
    </row>
    <row r="1325" outlineLevel="1" spans="1:10">
      <c r="A1325" s="50">
        <v>383</v>
      </c>
      <c r="B1325" s="51" t="str">
        <v>螺纹阀门-Y型过滤器-DN20</v>
      </c>
      <c r="C1325" s="51" t="e">
        <v>#REF!</v>
      </c>
      <c r="D1325" s="51" t="str">
        <v/>
      </c>
      <c r="E1325" s="51" t="str">
        <v/>
      </c>
      <c r="F1325" s="52" t="e">
        <v>#REF!</v>
      </c>
      <c r="G1325" s="48" t="e">
        <v>#REF!</v>
      </c>
      <c r="H1325" s="49">
        <v>0</v>
      </c>
      <c r="I1325" s="49" t="e">
        <v>#REF!</v>
      </c>
      <c r="J1325" s="50"/>
    </row>
    <row r="1326" outlineLevel="1" spans="1:10">
      <c r="A1326" s="50">
        <v>384</v>
      </c>
      <c r="B1326" s="51" t="str">
        <v>螺纹阀门-Y型过滤器-DN25</v>
      </c>
      <c r="C1326" s="51" t="e">
        <v>#REF!</v>
      </c>
      <c r="D1326" s="51" t="str">
        <v/>
      </c>
      <c r="E1326" s="51" t="str">
        <v/>
      </c>
      <c r="F1326" s="52" t="e">
        <v>#REF!</v>
      </c>
      <c r="G1326" s="48" t="e">
        <v>#REF!</v>
      </c>
      <c r="H1326" s="49">
        <v>44</v>
      </c>
      <c r="I1326" s="49" t="e">
        <v>#REF!</v>
      </c>
      <c r="J1326" s="50"/>
    </row>
    <row r="1327" outlineLevel="1" spans="1:10">
      <c r="A1327" s="50">
        <v>385</v>
      </c>
      <c r="B1327" s="51" t="str">
        <v>法兰阀门-Y型过滤器-DN65</v>
      </c>
      <c r="C1327" s="51" t="e">
        <v>#REF!</v>
      </c>
      <c r="D1327" s="51" t="str">
        <v/>
      </c>
      <c r="E1327" s="51" t="str">
        <v/>
      </c>
      <c r="F1327" s="52" t="e">
        <v>#REF!</v>
      </c>
      <c r="G1327" s="48" t="e">
        <v>#REF!</v>
      </c>
      <c r="H1327" s="49">
        <v>0</v>
      </c>
      <c r="I1327" s="49" t="e">
        <v>#REF!</v>
      </c>
      <c r="J1327" s="50"/>
    </row>
    <row r="1328" ht="28.8" outlineLevel="1" spans="1:10">
      <c r="A1328" s="50">
        <v>386</v>
      </c>
      <c r="B1328" s="51" t="str">
        <v>螺纹阀门-静态水力平衡阀-DN20</v>
      </c>
      <c r="C1328" s="51" t="e">
        <v>#REF!</v>
      </c>
      <c r="D1328" s="51" t="str">
        <v/>
      </c>
      <c r="E1328" s="51" t="str">
        <v/>
      </c>
      <c r="F1328" s="52" t="e">
        <v>#REF!</v>
      </c>
      <c r="G1328" s="48" t="e">
        <v>#REF!</v>
      </c>
      <c r="H1328" s="49">
        <v>0</v>
      </c>
      <c r="I1328" s="49" t="e">
        <v>#REF!</v>
      </c>
      <c r="J1328" s="50"/>
    </row>
    <row r="1329" ht="28.8" outlineLevel="1" spans="1:10">
      <c r="A1329" s="50">
        <v>387</v>
      </c>
      <c r="B1329" s="51" t="str">
        <v>螺纹阀门-静态水力平衡阀-DN25</v>
      </c>
      <c r="C1329" s="51" t="e">
        <v>#REF!</v>
      </c>
      <c r="D1329" s="51" t="str">
        <v/>
      </c>
      <c r="E1329" s="51" t="str">
        <v/>
      </c>
      <c r="F1329" s="52" t="e">
        <v>#REF!</v>
      </c>
      <c r="G1329" s="48" t="e">
        <v>#REF!</v>
      </c>
      <c r="H1329" s="49">
        <v>44</v>
      </c>
      <c r="I1329" s="49" t="e">
        <v>#REF!</v>
      </c>
      <c r="J1329" s="50"/>
    </row>
    <row r="1330" ht="28.8" outlineLevel="1" spans="1:10">
      <c r="A1330" s="50">
        <v>388</v>
      </c>
      <c r="B1330" s="51" t="str">
        <v>法兰阀门-静态水力平衡阀-DN65</v>
      </c>
      <c r="C1330" s="51" t="e">
        <v>#REF!</v>
      </c>
      <c r="D1330" s="51" t="str">
        <v/>
      </c>
      <c r="E1330" s="51" t="str">
        <v/>
      </c>
      <c r="F1330" s="52" t="e">
        <v>#REF!</v>
      </c>
      <c r="G1330" s="48" t="e">
        <v>#REF!</v>
      </c>
      <c r="H1330" s="49">
        <v>0</v>
      </c>
      <c r="I1330" s="49" t="e">
        <v>#REF!</v>
      </c>
      <c r="J1330" s="50"/>
    </row>
    <row r="1331" outlineLevel="1" spans="1:10">
      <c r="A1331" s="50">
        <v>389</v>
      </c>
      <c r="B1331" s="51" t="str">
        <v>螺纹阀门-电动温控阀-DN20</v>
      </c>
      <c r="C1331" s="51" t="e">
        <v>#REF!</v>
      </c>
      <c r="D1331" s="51" t="str">
        <v/>
      </c>
      <c r="E1331" s="51" t="str">
        <v/>
      </c>
      <c r="F1331" s="52" t="e">
        <v>#REF!</v>
      </c>
      <c r="G1331" s="48" t="e">
        <v>#REF!</v>
      </c>
      <c r="H1331" s="49">
        <v>1</v>
      </c>
      <c r="I1331" s="49" t="e">
        <v>#REF!</v>
      </c>
      <c r="J1331" s="50"/>
    </row>
    <row r="1332" outlineLevel="1" spans="1:10">
      <c r="A1332" s="50">
        <v>390</v>
      </c>
      <c r="B1332" s="51" t="str">
        <v>螺纹阀门-电动温控阀-DN25</v>
      </c>
      <c r="C1332" s="51" t="e">
        <v>#REF!</v>
      </c>
      <c r="D1332" s="51" t="str">
        <v/>
      </c>
      <c r="E1332" s="51" t="str">
        <v/>
      </c>
      <c r="F1332" s="52" t="e">
        <v>#REF!</v>
      </c>
      <c r="G1332" s="48" t="e">
        <v>#REF!</v>
      </c>
      <c r="H1332" s="49">
        <v>44</v>
      </c>
      <c r="I1332" s="49" t="e">
        <v>#REF!</v>
      </c>
      <c r="J1332" s="50"/>
    </row>
    <row r="1333" outlineLevel="1" spans="1:10">
      <c r="A1333" s="50">
        <v>391</v>
      </c>
      <c r="B1333" s="51" t="str">
        <v>螺纹阀门-泄水球阀-DN25</v>
      </c>
      <c r="C1333" s="51" t="e">
        <v>#REF!</v>
      </c>
      <c r="D1333" s="51" t="str">
        <v/>
      </c>
      <c r="E1333" s="51" t="str">
        <v/>
      </c>
      <c r="F1333" s="52" t="e">
        <v>#REF!</v>
      </c>
      <c r="G1333" s="48" t="e">
        <v>#REF!</v>
      </c>
      <c r="H1333" s="49">
        <v>0</v>
      </c>
      <c r="I1333" s="49" t="e">
        <v>#REF!</v>
      </c>
      <c r="J1333" s="50"/>
    </row>
    <row r="1334" outlineLevel="1" spans="1:10">
      <c r="A1334" s="50">
        <v>392</v>
      </c>
      <c r="B1334" s="51" t="str">
        <v>螺纹阀门-连通阀-DN25</v>
      </c>
      <c r="C1334" s="51" t="e">
        <v>#REF!</v>
      </c>
      <c r="D1334" s="51" t="str">
        <v/>
      </c>
      <c r="E1334" s="51" t="str">
        <v/>
      </c>
      <c r="F1334" s="52" t="e">
        <v>#REF!</v>
      </c>
      <c r="G1334" s="48" t="e">
        <v>#REF!</v>
      </c>
      <c r="H1334" s="49">
        <v>0</v>
      </c>
      <c r="I1334" s="49" t="e">
        <v>#REF!</v>
      </c>
      <c r="J1334" s="50"/>
    </row>
    <row r="1335" outlineLevel="1" spans="1:10">
      <c r="A1335" s="50">
        <v>393</v>
      </c>
      <c r="B1335" s="51" t="str">
        <v>波纹补偿器-DN65</v>
      </c>
      <c r="C1335" s="51" t="e">
        <v>#REF!</v>
      </c>
      <c r="D1335" s="51" t="str">
        <v/>
      </c>
      <c r="E1335" s="51" t="str">
        <v/>
      </c>
      <c r="F1335" s="52" t="e">
        <v>#REF!</v>
      </c>
      <c r="G1335" s="48" t="e">
        <v>#REF!</v>
      </c>
      <c r="H1335" s="49">
        <v>1</v>
      </c>
      <c r="I1335" s="49" t="e">
        <v>#REF!</v>
      </c>
      <c r="J1335" s="50"/>
    </row>
    <row r="1336" outlineLevel="1" spans="1:10">
      <c r="A1336" s="50">
        <v>394</v>
      </c>
      <c r="B1336" s="51" t="str">
        <v>波纹补偿器-DN80</v>
      </c>
      <c r="C1336" s="51" t="e">
        <v>#REF!</v>
      </c>
      <c r="D1336" s="51" t="str">
        <v/>
      </c>
      <c r="E1336" s="51" t="str">
        <v/>
      </c>
      <c r="F1336" s="52" t="e">
        <v>#REF!</v>
      </c>
      <c r="G1336" s="48" t="e">
        <v>#REF!</v>
      </c>
      <c r="H1336" s="49">
        <v>0</v>
      </c>
      <c r="I1336" s="49" t="e">
        <v>#REF!</v>
      </c>
      <c r="J1336" s="50"/>
    </row>
    <row r="1337" outlineLevel="1" spans="1:10">
      <c r="A1337" s="50">
        <v>395</v>
      </c>
      <c r="B1337" s="51" t="str">
        <v>波纹补偿器-DN100</v>
      </c>
      <c r="C1337" s="51" t="e">
        <v>#REF!</v>
      </c>
      <c r="D1337" s="51" t="str">
        <v/>
      </c>
      <c r="E1337" s="51" t="str">
        <v/>
      </c>
      <c r="F1337" s="52" t="e">
        <v>#REF!</v>
      </c>
      <c r="G1337" s="48" t="e">
        <v>#REF!</v>
      </c>
      <c r="H1337" s="49">
        <v>0</v>
      </c>
      <c r="I1337" s="49" t="e">
        <v>#REF!</v>
      </c>
      <c r="J1337" s="50"/>
    </row>
    <row r="1338" outlineLevel="1" spans="1:10">
      <c r="A1338" s="50">
        <v>396</v>
      </c>
      <c r="B1338" s="51" t="str">
        <v>法兰阀门-闸阀-DN65</v>
      </c>
      <c r="C1338" s="51" t="e">
        <v>#REF!</v>
      </c>
      <c r="D1338" s="51" t="str">
        <v/>
      </c>
      <c r="E1338" s="51" t="str">
        <v/>
      </c>
      <c r="F1338" s="52" t="e">
        <v>#REF!</v>
      </c>
      <c r="G1338" s="48" t="e">
        <v>#REF!</v>
      </c>
      <c r="H1338" s="49">
        <v>0</v>
      </c>
      <c r="I1338" s="49" t="e">
        <v>#REF!</v>
      </c>
      <c r="J1338" s="50"/>
    </row>
    <row r="1339" outlineLevel="1" spans="1:10">
      <c r="A1339" s="50">
        <v>397</v>
      </c>
      <c r="B1339" s="51" t="str">
        <v>热量表-DN15</v>
      </c>
      <c r="C1339" s="51" t="e">
        <v>#REF!</v>
      </c>
      <c r="D1339" s="51" t="str">
        <v/>
      </c>
      <c r="E1339" s="51" t="str">
        <v/>
      </c>
      <c r="F1339" s="52" t="e">
        <v>#REF!</v>
      </c>
      <c r="G1339" s="48" t="e">
        <v>#REF!</v>
      </c>
      <c r="H1339" s="49">
        <v>44</v>
      </c>
      <c r="I1339" s="49" t="e">
        <v>#REF!</v>
      </c>
      <c r="J1339" s="50"/>
    </row>
    <row r="1340" outlineLevel="1" spans="1:10">
      <c r="A1340" s="50">
        <v>398</v>
      </c>
      <c r="B1340" s="51" t="str">
        <v>热量表-DN15（甲供）</v>
      </c>
      <c r="C1340" s="51" t="e">
        <v>#REF!</v>
      </c>
      <c r="D1340" s="51" t="str">
        <v/>
      </c>
      <c r="E1340" s="51" t="str">
        <v/>
      </c>
      <c r="F1340" s="52" t="e">
        <v>#REF!</v>
      </c>
      <c r="G1340" s="48" t="e">
        <v>#REF!</v>
      </c>
      <c r="H1340" s="49">
        <v>1</v>
      </c>
      <c r="I1340" s="49" t="e">
        <v>#REF!</v>
      </c>
      <c r="J1340" s="50"/>
    </row>
    <row r="1341" outlineLevel="1" spans="1:10">
      <c r="A1341" s="50">
        <v>399</v>
      </c>
      <c r="B1341" s="51" t="str">
        <v>温度仪表</v>
      </c>
      <c r="C1341" s="51" t="e">
        <v>#REF!</v>
      </c>
      <c r="D1341" s="51" t="str">
        <v/>
      </c>
      <c r="E1341" s="51" t="str">
        <v/>
      </c>
      <c r="F1341" s="52" t="e">
        <v>#REF!</v>
      </c>
      <c r="G1341" s="48" t="e">
        <v>#REF!</v>
      </c>
      <c r="H1341" s="49">
        <v>0</v>
      </c>
      <c r="I1341" s="49" t="e">
        <v>#REF!</v>
      </c>
      <c r="J1341" s="50"/>
    </row>
    <row r="1342" outlineLevel="1" spans="1:10">
      <c r="A1342" s="50">
        <v>400</v>
      </c>
      <c r="B1342" s="51" t="str">
        <v>采暖压力仪表</v>
      </c>
      <c r="C1342" s="51" t="e">
        <v>#REF!</v>
      </c>
      <c r="D1342" s="51" t="str">
        <v/>
      </c>
      <c r="E1342" s="51" t="str">
        <v/>
      </c>
      <c r="F1342" s="52" t="e">
        <v>#REF!</v>
      </c>
      <c r="G1342" s="48" t="e">
        <v>#REF!</v>
      </c>
      <c r="H1342" s="49">
        <v>0</v>
      </c>
      <c r="I1342" s="49" t="e">
        <v>#REF!</v>
      </c>
      <c r="J1342" s="50"/>
    </row>
    <row r="1343" outlineLevel="1" spans="1:10">
      <c r="A1343" s="50">
        <v>401</v>
      </c>
      <c r="B1343" s="51" t="str">
        <v>风扇</v>
      </c>
      <c r="C1343" s="51" t="e">
        <v>#REF!</v>
      </c>
      <c r="D1343" s="51" t="str">
        <v/>
      </c>
      <c r="E1343" s="51" t="str">
        <v/>
      </c>
      <c r="F1343" s="52" t="e">
        <v>#REF!</v>
      </c>
      <c r="G1343" s="48" t="e">
        <v>#REF!</v>
      </c>
      <c r="H1343" s="49">
        <v>1</v>
      </c>
      <c r="I1343" s="49" t="e">
        <v>#REF!</v>
      </c>
      <c r="J1343" s="50"/>
    </row>
    <row r="1344" outlineLevel="1" spans="1:10">
      <c r="A1344" s="50">
        <v>402</v>
      </c>
      <c r="B1344" s="51" t="str">
        <v>刚性防水套管-DN65</v>
      </c>
      <c r="C1344" s="51" t="e">
        <v>#REF!</v>
      </c>
      <c r="D1344" s="51" t="str">
        <v/>
      </c>
      <c r="E1344" s="51" t="str">
        <v/>
      </c>
      <c r="F1344" s="52" t="e">
        <v>#REF!</v>
      </c>
      <c r="G1344" s="48" t="e">
        <v>#REF!</v>
      </c>
      <c r="H1344" s="49">
        <v>0</v>
      </c>
      <c r="I1344" s="49" t="e">
        <v>#REF!</v>
      </c>
      <c r="J1344" s="50"/>
    </row>
    <row r="1345" outlineLevel="1" spans="1:10">
      <c r="A1345" s="50">
        <v>403</v>
      </c>
      <c r="B1345" s="51" t="str">
        <v>刚性防水套管-DN80</v>
      </c>
      <c r="C1345" s="51" t="e">
        <v>#REF!</v>
      </c>
      <c r="D1345" s="51" t="str">
        <v/>
      </c>
      <c r="E1345" s="51" t="str">
        <v/>
      </c>
      <c r="F1345" s="52" t="e">
        <v>#REF!</v>
      </c>
      <c r="G1345" s="48" t="e">
        <v>#REF!</v>
      </c>
      <c r="H1345" s="49">
        <v>0</v>
      </c>
      <c r="I1345" s="49" t="e">
        <v>#REF!</v>
      </c>
      <c r="J1345" s="50"/>
    </row>
    <row r="1346" outlineLevel="1" spans="1:10">
      <c r="A1346" s="50" t="str">
        <v/>
      </c>
      <c r="B1346" s="51" t="str">
        <v>B.16绝热</v>
      </c>
      <c r="C1346" s="51" t="str">
        <v/>
      </c>
      <c r="D1346" s="51" t="str">
        <v/>
      </c>
      <c r="E1346" s="51" t="str">
        <v/>
      </c>
      <c r="F1346" s="52" t="str">
        <v/>
      </c>
      <c r="G1346" s="48" t="str">
        <v/>
      </c>
      <c r="H1346" s="49">
        <v>0</v>
      </c>
      <c r="I1346" s="49" t="e">
        <v>#REF!</v>
      </c>
      <c r="J1346" s="50"/>
    </row>
    <row r="1347" outlineLevel="1" spans="1:10">
      <c r="A1347" s="50">
        <v>404</v>
      </c>
      <c r="B1347" s="51" t="str">
        <v>管道绝热</v>
      </c>
      <c r="C1347" s="51" t="e">
        <v>#REF!</v>
      </c>
      <c r="D1347" s="51" t="str">
        <v/>
      </c>
      <c r="E1347" s="51" t="str">
        <v/>
      </c>
      <c r="F1347" s="52" t="e">
        <v>#REF!</v>
      </c>
      <c r="G1347" s="48" t="e">
        <v>#REF!</v>
      </c>
      <c r="H1347" s="49">
        <v>3.01</v>
      </c>
      <c r="I1347" s="49" t="e">
        <v>#REF!</v>
      </c>
      <c r="J1347" s="50"/>
    </row>
    <row r="1348" outlineLevel="1" spans="1:10">
      <c r="A1348" s="50">
        <v>405</v>
      </c>
      <c r="B1348" s="51" t="str">
        <v>防火胶带保护层</v>
      </c>
      <c r="C1348" s="51" t="e">
        <v>#REF!</v>
      </c>
      <c r="D1348" s="51" t="str">
        <v/>
      </c>
      <c r="E1348" s="51" t="str">
        <v/>
      </c>
      <c r="F1348" s="52" t="e">
        <v>#REF!</v>
      </c>
      <c r="G1348" s="48" t="e">
        <v>#REF!</v>
      </c>
      <c r="H1348" s="49">
        <v>57.37</v>
      </c>
      <c r="I1348" s="49" t="e">
        <v>#REF!</v>
      </c>
      <c r="J1348" s="50"/>
    </row>
    <row r="1349" outlineLevel="1" spans="1:10">
      <c r="A1349" s="50" t="str">
        <v/>
      </c>
      <c r="B1349" s="51" t="str">
        <v>B.17系统调试</v>
      </c>
      <c r="C1349" s="51" t="str">
        <v/>
      </c>
      <c r="D1349" s="51" t="str">
        <v/>
      </c>
      <c r="E1349" s="51" t="str">
        <v/>
      </c>
      <c r="F1349" s="52" t="str">
        <v/>
      </c>
      <c r="G1349" s="48" t="str">
        <v/>
      </c>
      <c r="H1349" s="49">
        <v>0</v>
      </c>
      <c r="I1349" s="49" t="e">
        <v>#REF!</v>
      </c>
      <c r="J1349" s="50"/>
    </row>
    <row r="1350" outlineLevel="1" spans="1:10">
      <c r="A1350" s="50">
        <v>406</v>
      </c>
      <c r="B1350" s="51" t="str">
        <v>采暖工程系统调试</v>
      </c>
      <c r="C1350" s="51" t="e">
        <v>#REF!</v>
      </c>
      <c r="D1350" s="51" t="str">
        <v/>
      </c>
      <c r="E1350" s="51" t="str">
        <v/>
      </c>
      <c r="F1350" s="52" t="e">
        <v>#REF!</v>
      </c>
      <c r="G1350" s="48" t="e">
        <v>#REF!</v>
      </c>
      <c r="H1350" s="49">
        <v>7844.72</v>
      </c>
      <c r="I1350" s="49" t="e">
        <v>#REF!</v>
      </c>
      <c r="J1350" s="50"/>
    </row>
    <row r="1351" outlineLevel="1" spans="1:10">
      <c r="A1351" s="50" t="str">
        <v/>
      </c>
      <c r="B1351" s="51" t="str">
        <v>地下电气</v>
      </c>
      <c r="C1351" s="51" t="str">
        <v/>
      </c>
      <c r="D1351" s="51" t="str">
        <v/>
      </c>
      <c r="E1351" s="51" t="str">
        <v/>
      </c>
      <c r="F1351" s="52" t="str">
        <v/>
      </c>
      <c r="G1351" s="48" t="str">
        <v/>
      </c>
      <c r="H1351" s="49">
        <v>0</v>
      </c>
      <c r="I1351" s="49" t="e">
        <v>#REF!</v>
      </c>
      <c r="J1351" s="50"/>
    </row>
    <row r="1352" outlineLevel="1" spans="1:10">
      <c r="A1352" s="50" t="str">
        <v/>
      </c>
      <c r="B1352" s="51" t="str">
        <v>B.18强电工程</v>
      </c>
      <c r="C1352" s="51" t="str">
        <v/>
      </c>
      <c r="D1352" s="51" t="str">
        <v/>
      </c>
      <c r="E1352" s="51" t="str">
        <v/>
      </c>
      <c r="F1352" s="52" t="str">
        <v/>
      </c>
      <c r="G1352" s="48" t="str">
        <v/>
      </c>
      <c r="H1352" s="49">
        <v>0</v>
      </c>
      <c r="I1352" s="49" t="e">
        <v>#REF!</v>
      </c>
      <c r="J1352" s="50"/>
    </row>
    <row r="1353" outlineLevel="1" spans="1:10">
      <c r="A1353" s="50" t="str">
        <v/>
      </c>
      <c r="B1353" s="51" t="str">
        <v>B.18.1配电箱</v>
      </c>
      <c r="C1353" s="51" t="str">
        <v/>
      </c>
      <c r="D1353" s="51" t="str">
        <v/>
      </c>
      <c r="E1353" s="51" t="str">
        <v/>
      </c>
      <c r="F1353" s="52" t="str">
        <v/>
      </c>
      <c r="G1353" s="48" t="str">
        <v/>
      </c>
      <c r="H1353" s="49">
        <v>0</v>
      </c>
      <c r="I1353" s="49" t="e">
        <v>#REF!</v>
      </c>
      <c r="J1353" s="50"/>
    </row>
    <row r="1354" outlineLevel="1" spans="1:10">
      <c r="A1354" s="50">
        <v>407</v>
      </c>
      <c r="B1354" s="51" t="str">
        <v>落地配电柜</v>
      </c>
      <c r="C1354" s="51" t="e">
        <v>#REF!</v>
      </c>
      <c r="D1354" s="51" t="str">
        <v/>
      </c>
      <c r="E1354" s="51" t="str">
        <v/>
      </c>
      <c r="F1354" s="52" t="e">
        <v>#REF!</v>
      </c>
      <c r="G1354" s="48" t="e">
        <v>#REF!</v>
      </c>
      <c r="H1354" s="49">
        <v>2</v>
      </c>
      <c r="I1354" s="49" t="e">
        <v>#REF!</v>
      </c>
      <c r="J1354" s="50"/>
    </row>
    <row r="1355" ht="28.8" outlineLevel="1" spans="1:10">
      <c r="A1355" s="50">
        <v>408</v>
      </c>
      <c r="B1355" s="51" t="str">
        <v>公区电源箱（半周长0.5m以内）</v>
      </c>
      <c r="C1355" s="51" t="e">
        <v>#REF!</v>
      </c>
      <c r="D1355" s="51" t="str">
        <v/>
      </c>
      <c r="E1355" s="51" t="str">
        <v/>
      </c>
      <c r="F1355" s="52" t="e">
        <v>#REF!</v>
      </c>
      <c r="G1355" s="48" t="e">
        <v>#REF!</v>
      </c>
      <c r="H1355" s="49">
        <v>1</v>
      </c>
      <c r="I1355" s="49" t="e">
        <v>#REF!</v>
      </c>
      <c r="J1355" s="50"/>
    </row>
    <row r="1356" ht="28.8" outlineLevel="1" spans="1:10">
      <c r="A1356" s="50">
        <v>409</v>
      </c>
      <c r="B1356" s="51" t="str">
        <v>公区电源箱（半周长1.0m以内）</v>
      </c>
      <c r="C1356" s="51" t="e">
        <v>#REF!</v>
      </c>
      <c r="D1356" s="51" t="str">
        <v/>
      </c>
      <c r="E1356" s="51" t="str">
        <v/>
      </c>
      <c r="F1356" s="52" t="e">
        <v>#REF!</v>
      </c>
      <c r="G1356" s="48" t="e">
        <v>#REF!</v>
      </c>
      <c r="H1356" s="49">
        <v>1</v>
      </c>
      <c r="I1356" s="49" t="e">
        <v>#REF!</v>
      </c>
      <c r="J1356" s="50"/>
    </row>
    <row r="1357" ht="28.8" outlineLevel="1" spans="1:10">
      <c r="A1357" s="50">
        <v>410</v>
      </c>
      <c r="B1357" s="51" t="str">
        <v>公区电源箱（半周长1.5m以内）</v>
      </c>
      <c r="C1357" s="51" t="e">
        <v>#REF!</v>
      </c>
      <c r="D1357" s="51" t="str">
        <v/>
      </c>
      <c r="E1357" s="51" t="str">
        <v/>
      </c>
      <c r="F1357" s="52" t="e">
        <v>#REF!</v>
      </c>
      <c r="G1357" s="48" t="e">
        <v>#REF!</v>
      </c>
      <c r="H1357" s="49">
        <v>2</v>
      </c>
      <c r="I1357" s="49" t="e">
        <v>#REF!</v>
      </c>
      <c r="J1357" s="50"/>
    </row>
    <row r="1358" ht="28.8" outlineLevel="1" spans="1:10">
      <c r="A1358" s="50">
        <v>411</v>
      </c>
      <c r="B1358" s="51" t="str">
        <v>公区电源箱（半周长2m以内）</v>
      </c>
      <c r="C1358" s="51" t="e">
        <v>#REF!</v>
      </c>
      <c r="D1358" s="51" t="str">
        <v/>
      </c>
      <c r="E1358" s="51" t="str">
        <v/>
      </c>
      <c r="F1358" s="52" t="e">
        <v>#REF!</v>
      </c>
      <c r="G1358" s="48" t="e">
        <v>#REF!</v>
      </c>
      <c r="H1358" s="49">
        <v>0</v>
      </c>
      <c r="I1358" s="49" t="e">
        <v>#REF!</v>
      </c>
      <c r="J1358" s="50"/>
    </row>
    <row r="1359" outlineLevel="1" spans="1:10">
      <c r="A1359" s="50">
        <v>412</v>
      </c>
      <c r="B1359" s="51" t="str">
        <v>应急电源配电箱</v>
      </c>
      <c r="C1359" s="51" t="e">
        <v>#REF!</v>
      </c>
      <c r="D1359" s="51" t="str">
        <v/>
      </c>
      <c r="E1359" s="51" t="str">
        <v/>
      </c>
      <c r="F1359" s="52" t="e">
        <v>#REF!</v>
      </c>
      <c r="G1359" s="48" t="e">
        <v>#REF!</v>
      </c>
      <c r="H1359" s="49">
        <v>2</v>
      </c>
      <c r="I1359" s="49" t="e">
        <v>#REF!</v>
      </c>
      <c r="J1359" s="50"/>
    </row>
    <row r="1360" ht="28.8" outlineLevel="1" spans="1:10">
      <c r="A1360" s="50">
        <v>413</v>
      </c>
      <c r="B1360" s="51" t="str">
        <v>应急照明配电箱-0.15KW DC36V</v>
      </c>
      <c r="C1360" s="51" t="e">
        <v>#REF!</v>
      </c>
      <c r="D1360" s="51" t="str">
        <v/>
      </c>
      <c r="E1360" s="51" t="str">
        <v/>
      </c>
      <c r="F1360" s="52" t="e">
        <v>#REF!</v>
      </c>
      <c r="G1360" s="48" t="e">
        <v>#REF!</v>
      </c>
      <c r="H1360" s="49">
        <v>4</v>
      </c>
      <c r="I1360" s="49" t="e">
        <v>#REF!</v>
      </c>
      <c r="J1360" s="50"/>
    </row>
    <row r="1361" ht="28.8" outlineLevel="1" spans="1:10">
      <c r="A1361" s="50">
        <v>414</v>
      </c>
      <c r="B1361" s="51" t="str">
        <v>应急照明配电箱-0.3KW DC36V</v>
      </c>
      <c r="C1361" s="51" t="e">
        <v>#REF!</v>
      </c>
      <c r="D1361" s="51" t="str">
        <v/>
      </c>
      <c r="E1361" s="51" t="str">
        <v/>
      </c>
      <c r="F1361" s="52" t="e">
        <v>#REF!</v>
      </c>
      <c r="G1361" s="48" t="e">
        <v>#REF!</v>
      </c>
      <c r="H1361" s="49">
        <v>1</v>
      </c>
      <c r="I1361" s="49" t="e">
        <v>#REF!</v>
      </c>
      <c r="J1361" s="50"/>
    </row>
    <row r="1362" ht="28.8" outlineLevel="1" spans="1:10">
      <c r="A1362" s="50">
        <v>415</v>
      </c>
      <c r="B1362" s="51" t="str">
        <v>应急照明配电箱-0.6KW DC36V</v>
      </c>
      <c r="C1362" s="51" t="e">
        <v>#REF!</v>
      </c>
      <c r="D1362" s="51" t="str">
        <v/>
      </c>
      <c r="E1362" s="51" t="str">
        <v/>
      </c>
      <c r="F1362" s="52" t="e">
        <v>#REF!</v>
      </c>
      <c r="G1362" s="48" t="e">
        <v>#REF!</v>
      </c>
      <c r="H1362" s="49">
        <v>1</v>
      </c>
      <c r="I1362" s="49" t="e">
        <v>#REF!</v>
      </c>
      <c r="J1362" s="50"/>
    </row>
    <row r="1363" ht="28.8" outlineLevel="1" spans="1:10">
      <c r="A1363" s="50">
        <v>416</v>
      </c>
      <c r="B1363" s="51" t="str">
        <v>应急照明配电箱-0.9KW DC36V</v>
      </c>
      <c r="C1363" s="51" t="e">
        <v>#REF!</v>
      </c>
      <c r="D1363" s="51" t="str">
        <v/>
      </c>
      <c r="E1363" s="51" t="str">
        <v/>
      </c>
      <c r="F1363" s="52" t="e">
        <v>#REF!</v>
      </c>
      <c r="G1363" s="48" t="e">
        <v>#REF!</v>
      </c>
      <c r="H1363" s="49">
        <v>1</v>
      </c>
      <c r="I1363" s="49" t="e">
        <v>#REF!</v>
      </c>
      <c r="J1363" s="50"/>
    </row>
    <row r="1364" ht="28.8" outlineLevel="1" spans="1:10">
      <c r="A1364" s="50">
        <v>417</v>
      </c>
      <c r="B1364" s="51" t="str">
        <v>消防应急主机（2000点以下）</v>
      </c>
      <c r="C1364" s="51" t="e">
        <v>#REF!</v>
      </c>
      <c r="D1364" s="51" t="str">
        <v/>
      </c>
      <c r="E1364" s="51" t="str">
        <v/>
      </c>
      <c r="F1364" s="52" t="e">
        <v>#REF!</v>
      </c>
      <c r="G1364" s="48" t="e">
        <v>#REF!</v>
      </c>
      <c r="H1364" s="49">
        <v>0</v>
      </c>
      <c r="I1364" s="49" t="e">
        <v>#REF!</v>
      </c>
      <c r="J1364" s="50"/>
    </row>
    <row r="1365" outlineLevel="1" spans="1:10">
      <c r="A1365" s="50">
        <v>418</v>
      </c>
      <c r="B1365" s="51" t="str">
        <v>接线箱（半周长700mm以内）</v>
      </c>
      <c r="C1365" s="51" t="e">
        <v>#REF!</v>
      </c>
      <c r="D1365" s="51" t="str">
        <v/>
      </c>
      <c r="E1365" s="51" t="str">
        <v/>
      </c>
      <c r="F1365" s="52" t="e">
        <v>#REF!</v>
      </c>
      <c r="G1365" s="48" t="e">
        <v>#REF!</v>
      </c>
      <c r="H1365" s="49">
        <v>1</v>
      </c>
      <c r="I1365" s="49" t="e">
        <v>#REF!</v>
      </c>
      <c r="J1365" s="50"/>
    </row>
    <row r="1366" outlineLevel="1" spans="1:10">
      <c r="A1366" s="50">
        <v>419</v>
      </c>
      <c r="B1366" s="51" t="str">
        <v>低压交流异步电动机6kw以内</v>
      </c>
      <c r="C1366" s="51" t="e">
        <v>#REF!</v>
      </c>
      <c r="D1366" s="51" t="str">
        <v/>
      </c>
      <c r="E1366" s="51" t="str">
        <v/>
      </c>
      <c r="F1366" s="52" t="e">
        <v>#REF!</v>
      </c>
      <c r="G1366" s="48" t="e">
        <v>#REF!</v>
      </c>
      <c r="H1366" s="49">
        <v>5</v>
      </c>
      <c r="I1366" s="49" t="e">
        <v>#REF!</v>
      </c>
      <c r="J1366" s="50"/>
    </row>
    <row r="1367" outlineLevel="1" spans="1:10">
      <c r="A1367" s="50">
        <v>420</v>
      </c>
      <c r="B1367" s="51" t="str">
        <v>送配电装置系统调试</v>
      </c>
      <c r="C1367" s="51" t="e">
        <v>#REF!</v>
      </c>
      <c r="D1367" s="51" t="str">
        <v/>
      </c>
      <c r="E1367" s="51" t="str">
        <v/>
      </c>
      <c r="F1367" s="52" t="e">
        <v>#REF!</v>
      </c>
      <c r="G1367" s="48" t="e">
        <v>#REF!</v>
      </c>
      <c r="H1367" s="49">
        <v>1</v>
      </c>
      <c r="I1367" s="49" t="e">
        <v>#REF!</v>
      </c>
      <c r="J1367" s="50"/>
    </row>
    <row r="1368" outlineLevel="1" spans="1:10">
      <c r="A1368" s="50" t="str">
        <v/>
      </c>
      <c r="B1368" s="51" t="str">
        <v>B.18.2电力桥架</v>
      </c>
      <c r="C1368" s="51" t="str">
        <v/>
      </c>
      <c r="D1368" s="51" t="str">
        <v/>
      </c>
      <c r="E1368" s="51" t="str">
        <v/>
      </c>
      <c r="F1368" s="52" t="str">
        <v/>
      </c>
      <c r="G1368" s="48" t="str">
        <v/>
      </c>
      <c r="H1368" s="49">
        <v>0</v>
      </c>
      <c r="I1368" s="49" t="e">
        <v>#REF!</v>
      </c>
      <c r="J1368" s="50"/>
    </row>
    <row r="1369" outlineLevel="1" spans="1:10">
      <c r="A1369" s="50">
        <v>421</v>
      </c>
      <c r="B1369" s="51" t="str">
        <v>防火桥架-700*200</v>
      </c>
      <c r="C1369" s="51" t="e">
        <v>#REF!</v>
      </c>
      <c r="D1369" s="51" t="str">
        <v/>
      </c>
      <c r="E1369" s="51" t="str">
        <v/>
      </c>
      <c r="F1369" s="52" t="e">
        <v>#REF!</v>
      </c>
      <c r="G1369" s="48" t="e">
        <v>#REF!</v>
      </c>
      <c r="H1369" s="49">
        <v>0</v>
      </c>
      <c r="I1369" s="49" t="e">
        <v>#REF!</v>
      </c>
      <c r="J1369" s="50"/>
    </row>
    <row r="1370" outlineLevel="1" spans="1:10">
      <c r="A1370" s="50">
        <v>422</v>
      </c>
      <c r="B1370" s="51" t="str">
        <v>防火桥架-500*250</v>
      </c>
      <c r="C1370" s="51" t="e">
        <v>#REF!</v>
      </c>
      <c r="D1370" s="51" t="str">
        <v/>
      </c>
      <c r="E1370" s="51" t="str">
        <v/>
      </c>
      <c r="F1370" s="52" t="e">
        <v>#REF!</v>
      </c>
      <c r="G1370" s="48" t="e">
        <v>#REF!</v>
      </c>
      <c r="H1370" s="49">
        <v>0</v>
      </c>
      <c r="I1370" s="49" t="e">
        <v>#REF!</v>
      </c>
      <c r="J1370" s="50"/>
    </row>
    <row r="1371" outlineLevel="1" spans="1:10">
      <c r="A1371" s="50">
        <v>423</v>
      </c>
      <c r="B1371" s="51" t="str">
        <v>防火桥架-550*200</v>
      </c>
      <c r="C1371" s="51" t="e">
        <v>#REF!</v>
      </c>
      <c r="D1371" s="51" t="str">
        <v/>
      </c>
      <c r="E1371" s="51" t="str">
        <v/>
      </c>
      <c r="F1371" s="52" t="e">
        <v>#REF!</v>
      </c>
      <c r="G1371" s="48" t="e">
        <v>#REF!</v>
      </c>
      <c r="H1371" s="49">
        <v>0</v>
      </c>
      <c r="I1371" s="49" t="e">
        <v>#REF!</v>
      </c>
      <c r="J1371" s="50"/>
    </row>
    <row r="1372" outlineLevel="1" spans="1:10">
      <c r="A1372" s="50">
        <v>424</v>
      </c>
      <c r="B1372" s="51" t="str">
        <v>防火桥架-450*200</v>
      </c>
      <c r="C1372" s="51" t="e">
        <v>#REF!</v>
      </c>
      <c r="D1372" s="51" t="str">
        <v/>
      </c>
      <c r="E1372" s="51" t="str">
        <v/>
      </c>
      <c r="F1372" s="52" t="e">
        <v>#REF!</v>
      </c>
      <c r="G1372" s="48" t="e">
        <v>#REF!</v>
      </c>
      <c r="H1372" s="49">
        <v>0</v>
      </c>
      <c r="I1372" s="49" t="e">
        <v>#REF!</v>
      </c>
      <c r="J1372" s="50"/>
    </row>
    <row r="1373" outlineLevel="1" spans="1:10">
      <c r="A1373" s="50">
        <v>425</v>
      </c>
      <c r="B1373" s="51" t="str">
        <v>防火桥架-400*200</v>
      </c>
      <c r="C1373" s="51" t="e">
        <v>#REF!</v>
      </c>
      <c r="D1373" s="51" t="str">
        <v/>
      </c>
      <c r="E1373" s="51" t="str">
        <v/>
      </c>
      <c r="F1373" s="52" t="e">
        <v>#REF!</v>
      </c>
      <c r="G1373" s="48" t="e">
        <v>#REF!</v>
      </c>
      <c r="H1373" s="49">
        <v>1</v>
      </c>
      <c r="I1373" s="49" t="e">
        <v>#REF!</v>
      </c>
      <c r="J1373" s="50"/>
    </row>
    <row r="1374" outlineLevel="1" spans="1:10">
      <c r="A1374" s="50">
        <v>426</v>
      </c>
      <c r="B1374" s="51" t="str">
        <v>防火桥架-350*200</v>
      </c>
      <c r="C1374" s="51" t="e">
        <v>#REF!</v>
      </c>
      <c r="D1374" s="51" t="str">
        <v/>
      </c>
      <c r="E1374" s="51" t="str">
        <v/>
      </c>
      <c r="F1374" s="52" t="e">
        <v>#REF!</v>
      </c>
      <c r="G1374" s="48" t="e">
        <v>#REF!</v>
      </c>
      <c r="H1374" s="49">
        <v>0</v>
      </c>
      <c r="I1374" s="49" t="e">
        <v>#REF!</v>
      </c>
      <c r="J1374" s="50"/>
    </row>
    <row r="1375" outlineLevel="1" spans="1:10">
      <c r="A1375" s="50">
        <v>427</v>
      </c>
      <c r="B1375" s="51" t="str">
        <v>防火桥架-300*200</v>
      </c>
      <c r="C1375" s="51" t="e">
        <v>#REF!</v>
      </c>
      <c r="D1375" s="51" t="str">
        <v/>
      </c>
      <c r="E1375" s="51" t="str">
        <v/>
      </c>
      <c r="F1375" s="52" t="e">
        <v>#REF!</v>
      </c>
      <c r="G1375" s="48" t="e">
        <v>#REF!</v>
      </c>
      <c r="H1375" s="49">
        <v>1</v>
      </c>
      <c r="I1375" s="49" t="e">
        <v>#REF!</v>
      </c>
      <c r="J1375" s="50"/>
    </row>
    <row r="1376" outlineLevel="1" spans="1:10">
      <c r="A1376" s="50">
        <v>428</v>
      </c>
      <c r="B1376" s="51" t="str">
        <v>防火桥架-300*150</v>
      </c>
      <c r="C1376" s="51" t="e">
        <v>#REF!</v>
      </c>
      <c r="D1376" s="51" t="str">
        <v/>
      </c>
      <c r="E1376" s="51" t="str">
        <v/>
      </c>
      <c r="F1376" s="52" t="e">
        <v>#REF!</v>
      </c>
      <c r="G1376" s="48" t="e">
        <v>#REF!</v>
      </c>
      <c r="H1376" s="49">
        <v>0</v>
      </c>
      <c r="I1376" s="49" t="e">
        <v>#REF!</v>
      </c>
      <c r="J1376" s="50"/>
    </row>
    <row r="1377" outlineLevel="1" spans="1:10">
      <c r="A1377" s="50">
        <v>429</v>
      </c>
      <c r="B1377" s="51" t="str">
        <v>防火桥架-300*100</v>
      </c>
      <c r="C1377" s="51" t="e">
        <v>#REF!</v>
      </c>
      <c r="D1377" s="51" t="str">
        <v/>
      </c>
      <c r="E1377" s="51" t="str">
        <v/>
      </c>
      <c r="F1377" s="52" t="e">
        <v>#REF!</v>
      </c>
      <c r="G1377" s="48" t="e">
        <v>#REF!</v>
      </c>
      <c r="H1377" s="49">
        <v>27.5</v>
      </c>
      <c r="I1377" s="49" t="e">
        <v>#REF!</v>
      </c>
      <c r="J1377" s="50"/>
    </row>
    <row r="1378" outlineLevel="1" spans="1:10">
      <c r="A1378" s="50">
        <v>430</v>
      </c>
      <c r="B1378" s="51" t="str">
        <v>防火桥架-250*200</v>
      </c>
      <c r="C1378" s="51" t="e">
        <v>#REF!</v>
      </c>
      <c r="D1378" s="51" t="str">
        <v/>
      </c>
      <c r="E1378" s="51" t="str">
        <v/>
      </c>
      <c r="F1378" s="52" t="e">
        <v>#REF!</v>
      </c>
      <c r="G1378" s="48" t="e">
        <v>#REF!</v>
      </c>
      <c r="H1378" s="49">
        <v>0</v>
      </c>
      <c r="I1378" s="49" t="e">
        <v>#REF!</v>
      </c>
      <c r="J1378" s="50"/>
    </row>
    <row r="1379" outlineLevel="1" spans="1:10">
      <c r="A1379" s="50">
        <v>431</v>
      </c>
      <c r="B1379" s="51" t="str">
        <v>防火桥架-200*150</v>
      </c>
      <c r="C1379" s="51" t="e">
        <v>#REF!</v>
      </c>
      <c r="D1379" s="51" t="str">
        <v/>
      </c>
      <c r="E1379" s="51" t="str">
        <v/>
      </c>
      <c r="F1379" s="52" t="e">
        <v>#REF!</v>
      </c>
      <c r="G1379" s="48" t="e">
        <v>#REF!</v>
      </c>
      <c r="H1379" s="49">
        <v>33.82</v>
      </c>
      <c r="I1379" s="49" t="e">
        <v>#REF!</v>
      </c>
      <c r="J1379" s="50"/>
    </row>
    <row r="1380" outlineLevel="1" spans="1:10">
      <c r="A1380" s="50">
        <v>432</v>
      </c>
      <c r="B1380" s="51" t="str">
        <v>防火桥架-250*100</v>
      </c>
      <c r="C1380" s="51" t="e">
        <v>#REF!</v>
      </c>
      <c r="D1380" s="51" t="str">
        <v/>
      </c>
      <c r="E1380" s="51" t="str">
        <v/>
      </c>
      <c r="F1380" s="52" t="e">
        <v>#REF!</v>
      </c>
      <c r="G1380" s="48" t="e">
        <v>#REF!</v>
      </c>
      <c r="H1380" s="49">
        <v>0</v>
      </c>
      <c r="I1380" s="49" t="e">
        <v>#REF!</v>
      </c>
      <c r="J1380" s="50"/>
    </row>
    <row r="1381" outlineLevel="1" spans="1:10">
      <c r="A1381" s="50">
        <v>433</v>
      </c>
      <c r="B1381" s="51" t="str">
        <v>防火桥架-200*200</v>
      </c>
      <c r="C1381" s="51" t="e">
        <v>#REF!</v>
      </c>
      <c r="D1381" s="51" t="str">
        <v/>
      </c>
      <c r="E1381" s="51" t="str">
        <v/>
      </c>
      <c r="F1381" s="52" t="e">
        <v>#REF!</v>
      </c>
      <c r="G1381" s="48" t="e">
        <v>#REF!</v>
      </c>
      <c r="H1381" s="49">
        <v>0</v>
      </c>
      <c r="I1381" s="49" t="e">
        <v>#REF!</v>
      </c>
      <c r="J1381" s="50"/>
    </row>
    <row r="1382" outlineLevel="1" spans="1:10">
      <c r="A1382" s="50">
        <v>434</v>
      </c>
      <c r="B1382" s="51" t="str">
        <v>防火桥架-200*100</v>
      </c>
      <c r="C1382" s="51" t="e">
        <v>#REF!</v>
      </c>
      <c r="D1382" s="51" t="str">
        <v/>
      </c>
      <c r="E1382" s="51" t="str">
        <v/>
      </c>
      <c r="F1382" s="52" t="e">
        <v>#REF!</v>
      </c>
      <c r="G1382" s="48" t="e">
        <v>#REF!</v>
      </c>
      <c r="H1382" s="49">
        <v>0</v>
      </c>
      <c r="I1382" s="49" t="e">
        <v>#REF!</v>
      </c>
      <c r="J1382" s="50"/>
    </row>
    <row r="1383" outlineLevel="1" spans="1:10">
      <c r="A1383" s="50">
        <v>435</v>
      </c>
      <c r="B1383" s="51" t="str">
        <v>防火桥架-150*100</v>
      </c>
      <c r="C1383" s="51" t="e">
        <v>#REF!</v>
      </c>
      <c r="D1383" s="51" t="str">
        <v/>
      </c>
      <c r="E1383" s="51" t="str">
        <v/>
      </c>
      <c r="F1383" s="52" t="e">
        <v>#REF!</v>
      </c>
      <c r="G1383" s="48" t="e">
        <v>#REF!</v>
      </c>
      <c r="H1383" s="49">
        <v>14.46</v>
      </c>
      <c r="I1383" s="49" t="e">
        <v>#REF!</v>
      </c>
      <c r="J1383" s="50"/>
    </row>
    <row r="1384" outlineLevel="1" spans="1:10">
      <c r="A1384" s="50">
        <v>436</v>
      </c>
      <c r="B1384" s="51" t="str">
        <v>防火桥架-100*100</v>
      </c>
      <c r="C1384" s="51" t="e">
        <v>#REF!</v>
      </c>
      <c r="D1384" s="51" t="str">
        <v/>
      </c>
      <c r="E1384" s="51" t="str">
        <v/>
      </c>
      <c r="F1384" s="52" t="e">
        <v>#REF!</v>
      </c>
      <c r="G1384" s="48" t="e">
        <v>#REF!</v>
      </c>
      <c r="H1384" s="49">
        <v>2.5</v>
      </c>
      <c r="I1384" s="49" t="e">
        <v>#REF!</v>
      </c>
      <c r="J1384" s="50"/>
    </row>
    <row r="1385" outlineLevel="1" spans="1:10">
      <c r="A1385" s="50">
        <v>437</v>
      </c>
      <c r="B1385" s="51" t="str">
        <v>金属桥架-800*150</v>
      </c>
      <c r="C1385" s="51" t="e">
        <v>#REF!</v>
      </c>
      <c r="D1385" s="51" t="str">
        <v/>
      </c>
      <c r="E1385" s="51" t="str">
        <v/>
      </c>
      <c r="F1385" s="52" t="e">
        <v>#REF!</v>
      </c>
      <c r="G1385" s="48" t="e">
        <v>#REF!</v>
      </c>
      <c r="H1385" s="49">
        <v>0</v>
      </c>
      <c r="I1385" s="49" t="e">
        <v>#REF!</v>
      </c>
      <c r="J1385" s="50"/>
    </row>
    <row r="1386" outlineLevel="1" spans="1:10">
      <c r="A1386" s="50">
        <v>438</v>
      </c>
      <c r="B1386" s="51" t="str">
        <v>金属桥架-600*200</v>
      </c>
      <c r="C1386" s="51" t="e">
        <v>#REF!</v>
      </c>
      <c r="D1386" s="51" t="str">
        <v/>
      </c>
      <c r="E1386" s="51" t="str">
        <v/>
      </c>
      <c r="F1386" s="52" t="e">
        <v>#REF!</v>
      </c>
      <c r="G1386" s="48" t="e">
        <v>#REF!</v>
      </c>
      <c r="H1386" s="49">
        <v>0</v>
      </c>
      <c r="I1386" s="49" t="e">
        <v>#REF!</v>
      </c>
      <c r="J1386" s="50"/>
    </row>
    <row r="1387" outlineLevel="1" spans="1:10">
      <c r="A1387" s="50">
        <v>439</v>
      </c>
      <c r="B1387" s="51" t="str">
        <v>金属桥架-600*150</v>
      </c>
      <c r="C1387" s="51" t="e">
        <v>#REF!</v>
      </c>
      <c r="D1387" s="51" t="str">
        <v/>
      </c>
      <c r="E1387" s="51" t="str">
        <v/>
      </c>
      <c r="F1387" s="52" t="e">
        <v>#REF!</v>
      </c>
      <c r="G1387" s="48" t="e">
        <v>#REF!</v>
      </c>
      <c r="H1387" s="49">
        <v>0</v>
      </c>
      <c r="I1387" s="49" t="e">
        <v>#REF!</v>
      </c>
      <c r="J1387" s="50"/>
    </row>
    <row r="1388" outlineLevel="1" spans="1:10">
      <c r="A1388" s="50">
        <v>440</v>
      </c>
      <c r="B1388" s="51" t="str">
        <v>金属桥架-500*150</v>
      </c>
      <c r="C1388" s="51" t="e">
        <v>#REF!</v>
      </c>
      <c r="D1388" s="51" t="str">
        <v/>
      </c>
      <c r="E1388" s="51" t="str">
        <v/>
      </c>
      <c r="F1388" s="52" t="e">
        <v>#REF!</v>
      </c>
      <c r="G1388" s="48" t="e">
        <v>#REF!</v>
      </c>
      <c r="H1388" s="49">
        <v>0</v>
      </c>
      <c r="I1388" s="49" t="e">
        <v>#REF!</v>
      </c>
      <c r="J1388" s="50"/>
    </row>
    <row r="1389" outlineLevel="1" spans="1:10">
      <c r="A1389" s="50">
        <v>441</v>
      </c>
      <c r="B1389" s="51" t="str">
        <v>金属桥架-400*150</v>
      </c>
      <c r="C1389" s="51" t="e">
        <v>#REF!</v>
      </c>
      <c r="D1389" s="51" t="str">
        <v/>
      </c>
      <c r="E1389" s="51" t="str">
        <v/>
      </c>
      <c r="F1389" s="52" t="e">
        <v>#REF!</v>
      </c>
      <c r="G1389" s="48" t="e">
        <v>#REF!</v>
      </c>
      <c r="H1389" s="49">
        <v>0</v>
      </c>
      <c r="I1389" s="49" t="e">
        <v>#REF!</v>
      </c>
      <c r="J1389" s="50"/>
    </row>
    <row r="1390" outlineLevel="1" spans="1:10">
      <c r="A1390" s="50">
        <v>442</v>
      </c>
      <c r="B1390" s="51" t="str">
        <v>金属桥架-400*100</v>
      </c>
      <c r="C1390" s="51" t="e">
        <v>#REF!</v>
      </c>
      <c r="D1390" s="51" t="str">
        <v/>
      </c>
      <c r="E1390" s="51" t="str">
        <v/>
      </c>
      <c r="F1390" s="52" t="e">
        <v>#REF!</v>
      </c>
      <c r="G1390" s="48" t="e">
        <v>#REF!</v>
      </c>
      <c r="H1390" s="49">
        <v>0</v>
      </c>
      <c r="I1390" s="49" t="e">
        <v>#REF!</v>
      </c>
      <c r="J1390" s="50"/>
    </row>
    <row r="1391" outlineLevel="1" spans="1:10">
      <c r="A1391" s="50">
        <v>443</v>
      </c>
      <c r="B1391" s="51" t="str">
        <v>金属桥架-350*200</v>
      </c>
      <c r="C1391" s="51" t="e">
        <v>#REF!</v>
      </c>
      <c r="D1391" s="51" t="str">
        <v/>
      </c>
      <c r="E1391" s="51" t="str">
        <v/>
      </c>
      <c r="F1391" s="52" t="e">
        <v>#REF!</v>
      </c>
      <c r="G1391" s="48" t="e">
        <v>#REF!</v>
      </c>
      <c r="H1391" s="49">
        <v>0</v>
      </c>
      <c r="I1391" s="49" t="e">
        <v>#REF!</v>
      </c>
      <c r="J1391" s="50"/>
    </row>
    <row r="1392" outlineLevel="1" spans="1:10">
      <c r="A1392" s="50">
        <v>444</v>
      </c>
      <c r="B1392" s="51" t="str">
        <v>金属桥架-300*200</v>
      </c>
      <c r="C1392" s="51" t="e">
        <v>#REF!</v>
      </c>
      <c r="D1392" s="51" t="str">
        <v/>
      </c>
      <c r="E1392" s="51" t="str">
        <v/>
      </c>
      <c r="F1392" s="52" t="e">
        <v>#REF!</v>
      </c>
      <c r="G1392" s="48" t="e">
        <v>#REF!</v>
      </c>
      <c r="H1392" s="49">
        <v>0</v>
      </c>
      <c r="I1392" s="49" t="e">
        <v>#REF!</v>
      </c>
      <c r="J1392" s="50"/>
    </row>
    <row r="1393" outlineLevel="1" spans="1:10">
      <c r="A1393" s="50">
        <v>445</v>
      </c>
      <c r="B1393" s="51" t="str">
        <v>金属桥架-300*100</v>
      </c>
      <c r="C1393" s="51" t="e">
        <v>#REF!</v>
      </c>
      <c r="D1393" s="51" t="str">
        <v/>
      </c>
      <c r="E1393" s="51" t="str">
        <v/>
      </c>
      <c r="F1393" s="52" t="e">
        <v>#REF!</v>
      </c>
      <c r="G1393" s="48" t="e">
        <v>#REF!</v>
      </c>
      <c r="H1393" s="49">
        <v>0</v>
      </c>
      <c r="I1393" s="49" t="e">
        <v>#REF!</v>
      </c>
      <c r="J1393" s="50"/>
    </row>
    <row r="1394" outlineLevel="1" spans="1:10">
      <c r="A1394" s="50">
        <v>446</v>
      </c>
      <c r="B1394" s="51" t="str">
        <v>金属桥架-200*100</v>
      </c>
      <c r="C1394" s="51" t="e">
        <v>#REF!</v>
      </c>
      <c r="D1394" s="51" t="str">
        <v/>
      </c>
      <c r="E1394" s="51" t="str">
        <v/>
      </c>
      <c r="F1394" s="52" t="e">
        <v>#REF!</v>
      </c>
      <c r="G1394" s="48" t="e">
        <v>#REF!</v>
      </c>
      <c r="H1394" s="49">
        <v>0</v>
      </c>
      <c r="I1394" s="49" t="e">
        <v>#REF!</v>
      </c>
      <c r="J1394" s="50"/>
    </row>
    <row r="1395" outlineLevel="1" spans="1:10">
      <c r="A1395" s="50">
        <v>447</v>
      </c>
      <c r="B1395" s="51" t="str">
        <v>金属桥架-150*100</v>
      </c>
      <c r="C1395" s="51" t="e">
        <v>#REF!</v>
      </c>
      <c r="D1395" s="51" t="str">
        <v/>
      </c>
      <c r="E1395" s="51" t="str">
        <v/>
      </c>
      <c r="F1395" s="52" t="e">
        <v>#REF!</v>
      </c>
      <c r="G1395" s="48" t="e">
        <v>#REF!</v>
      </c>
      <c r="H1395" s="49">
        <v>0</v>
      </c>
      <c r="I1395" s="49" t="e">
        <v>#REF!</v>
      </c>
      <c r="J1395" s="50"/>
    </row>
    <row r="1396" outlineLevel="1" spans="1:10">
      <c r="A1396" s="50">
        <v>448</v>
      </c>
      <c r="B1396" s="51" t="str">
        <v>金属桥架-100*100</v>
      </c>
      <c r="C1396" s="51" t="e">
        <v>#REF!</v>
      </c>
      <c r="D1396" s="51" t="str">
        <v/>
      </c>
      <c r="E1396" s="51" t="str">
        <v/>
      </c>
      <c r="F1396" s="52" t="e">
        <v>#REF!</v>
      </c>
      <c r="G1396" s="48" t="e">
        <v>#REF!</v>
      </c>
      <c r="H1396" s="49">
        <v>0</v>
      </c>
      <c r="I1396" s="49" t="e">
        <v>#REF!</v>
      </c>
      <c r="J1396" s="50"/>
    </row>
    <row r="1397" outlineLevel="1" spans="1:10">
      <c r="A1397" s="50">
        <v>449</v>
      </c>
      <c r="B1397" s="51" t="str">
        <v>电业桥架-750*200</v>
      </c>
      <c r="C1397" s="51" t="e">
        <v>#REF!</v>
      </c>
      <c r="D1397" s="51" t="str">
        <v/>
      </c>
      <c r="E1397" s="51" t="str">
        <v/>
      </c>
      <c r="F1397" s="52" t="e">
        <v>#REF!</v>
      </c>
      <c r="G1397" s="48" t="e">
        <v>#REF!</v>
      </c>
      <c r="H1397" s="49">
        <v>0</v>
      </c>
      <c r="I1397" s="49" t="e">
        <v>#REF!</v>
      </c>
      <c r="J1397" s="50"/>
    </row>
    <row r="1398" outlineLevel="1" spans="1:10">
      <c r="A1398" s="50">
        <v>450</v>
      </c>
      <c r="B1398" s="51" t="str">
        <v>电业桥架-500*200</v>
      </c>
      <c r="C1398" s="51" t="e">
        <v>#REF!</v>
      </c>
      <c r="D1398" s="51" t="str">
        <v/>
      </c>
      <c r="E1398" s="51" t="str">
        <v/>
      </c>
      <c r="F1398" s="52" t="e">
        <v>#REF!</v>
      </c>
      <c r="G1398" s="48" t="e">
        <v>#REF!</v>
      </c>
      <c r="H1398" s="49">
        <v>0</v>
      </c>
      <c r="I1398" s="49" t="e">
        <v>#REF!</v>
      </c>
      <c r="J1398" s="50"/>
    </row>
    <row r="1399" outlineLevel="1" spans="1:10">
      <c r="A1399" s="50">
        <v>451</v>
      </c>
      <c r="B1399" s="51" t="str">
        <v>电业桥架-450*200</v>
      </c>
      <c r="C1399" s="51" t="e">
        <v>#REF!</v>
      </c>
      <c r="D1399" s="51" t="str">
        <v/>
      </c>
      <c r="E1399" s="51" t="str">
        <v/>
      </c>
      <c r="F1399" s="52" t="e">
        <v>#REF!</v>
      </c>
      <c r="G1399" s="48" t="e">
        <v>#REF!</v>
      </c>
      <c r="H1399" s="49">
        <v>0</v>
      </c>
      <c r="I1399" s="49" t="e">
        <v>#REF!</v>
      </c>
      <c r="J1399" s="50"/>
    </row>
    <row r="1400" outlineLevel="1" spans="1:10">
      <c r="A1400" s="50">
        <v>452</v>
      </c>
      <c r="B1400" s="51" t="str">
        <v>电业桥架-400*200</v>
      </c>
      <c r="C1400" s="51" t="e">
        <v>#REF!</v>
      </c>
      <c r="D1400" s="51" t="str">
        <v/>
      </c>
      <c r="E1400" s="51" t="str">
        <v/>
      </c>
      <c r="F1400" s="52" t="e">
        <v>#REF!</v>
      </c>
      <c r="G1400" s="48" t="e">
        <v>#REF!</v>
      </c>
      <c r="H1400" s="49">
        <v>0</v>
      </c>
      <c r="I1400" s="49" t="e">
        <v>#REF!</v>
      </c>
      <c r="J1400" s="50"/>
    </row>
    <row r="1401" outlineLevel="1" spans="1:10">
      <c r="A1401" s="50">
        <v>453</v>
      </c>
      <c r="B1401" s="51" t="str">
        <v>电业桥架-350*200</v>
      </c>
      <c r="C1401" s="51" t="e">
        <v>#REF!</v>
      </c>
      <c r="D1401" s="51" t="str">
        <v/>
      </c>
      <c r="E1401" s="51" t="str">
        <v/>
      </c>
      <c r="F1401" s="52" t="e">
        <v>#REF!</v>
      </c>
      <c r="G1401" s="48" t="e">
        <v>#REF!</v>
      </c>
      <c r="H1401" s="49">
        <v>0</v>
      </c>
      <c r="I1401" s="49" t="e">
        <v>#REF!</v>
      </c>
      <c r="J1401" s="50"/>
    </row>
    <row r="1402" outlineLevel="1" spans="1:10">
      <c r="A1402" s="50">
        <v>454</v>
      </c>
      <c r="B1402" s="51" t="str">
        <v>电业桥架-300*200</v>
      </c>
      <c r="C1402" s="51" t="e">
        <v>#REF!</v>
      </c>
      <c r="D1402" s="51" t="str">
        <v/>
      </c>
      <c r="E1402" s="51" t="str">
        <v/>
      </c>
      <c r="F1402" s="52" t="e">
        <v>#REF!</v>
      </c>
      <c r="G1402" s="48" t="e">
        <v>#REF!</v>
      </c>
      <c r="H1402" s="49">
        <v>0</v>
      </c>
      <c r="I1402" s="49" t="e">
        <v>#REF!</v>
      </c>
      <c r="J1402" s="50"/>
    </row>
    <row r="1403" outlineLevel="1" spans="1:10">
      <c r="A1403" s="50">
        <v>455</v>
      </c>
      <c r="B1403" s="51" t="str">
        <v>电业桥架-200*200</v>
      </c>
      <c r="C1403" s="51" t="e">
        <v>#REF!</v>
      </c>
      <c r="D1403" s="51" t="str">
        <v/>
      </c>
      <c r="E1403" s="51" t="str">
        <v/>
      </c>
      <c r="F1403" s="52" t="e">
        <v>#REF!</v>
      </c>
      <c r="G1403" s="48" t="e">
        <v>#REF!</v>
      </c>
      <c r="H1403" s="49">
        <v>0</v>
      </c>
      <c r="I1403" s="49" t="e">
        <v>#REF!</v>
      </c>
      <c r="J1403" s="50"/>
    </row>
    <row r="1404" outlineLevel="1" spans="1:10">
      <c r="A1404" s="50">
        <v>456</v>
      </c>
      <c r="B1404" s="51" t="str">
        <v>电业桥架-200*150</v>
      </c>
      <c r="C1404" s="51" t="e">
        <v>#REF!</v>
      </c>
      <c r="D1404" s="51" t="str">
        <v/>
      </c>
      <c r="E1404" s="51" t="str">
        <v/>
      </c>
      <c r="F1404" s="52" t="e">
        <v>#REF!</v>
      </c>
      <c r="G1404" s="48" t="e">
        <v>#REF!</v>
      </c>
      <c r="H1404" s="49">
        <v>0</v>
      </c>
      <c r="I1404" s="49" t="e">
        <v>#REF!</v>
      </c>
      <c r="J1404" s="50"/>
    </row>
    <row r="1405" outlineLevel="1" spans="1:10">
      <c r="A1405" s="50">
        <v>457</v>
      </c>
      <c r="B1405" s="51" t="str">
        <v>电业桥架-150*100</v>
      </c>
      <c r="C1405" s="51" t="e">
        <v>#REF!</v>
      </c>
      <c r="D1405" s="51" t="str">
        <v/>
      </c>
      <c r="E1405" s="51" t="str">
        <v/>
      </c>
      <c r="F1405" s="52" t="e">
        <v>#REF!</v>
      </c>
      <c r="G1405" s="48" t="e">
        <v>#REF!</v>
      </c>
      <c r="H1405" s="49">
        <v>0</v>
      </c>
      <c r="I1405" s="49" t="e">
        <v>#REF!</v>
      </c>
      <c r="J1405" s="50"/>
    </row>
    <row r="1406" outlineLevel="1" spans="1:10">
      <c r="A1406" s="50">
        <v>458</v>
      </c>
      <c r="B1406" s="51" t="str">
        <v>防火堵洞</v>
      </c>
      <c r="C1406" s="51" t="e">
        <v>#REF!</v>
      </c>
      <c r="D1406" s="51" t="str">
        <v/>
      </c>
      <c r="E1406" s="51" t="str">
        <v/>
      </c>
      <c r="F1406" s="52" t="e">
        <v>#REF!</v>
      </c>
      <c r="G1406" s="48" t="e">
        <v>#REF!</v>
      </c>
      <c r="H1406" s="49">
        <v>1</v>
      </c>
      <c r="I1406" s="49" t="e">
        <v>#REF!</v>
      </c>
      <c r="J1406" s="50"/>
    </row>
    <row r="1407" outlineLevel="1" spans="1:10">
      <c r="A1407" s="50" t="str">
        <v/>
      </c>
      <c r="B1407" s="51" t="str">
        <v>B.18.3配管配线</v>
      </c>
      <c r="C1407" s="51" t="str">
        <v/>
      </c>
      <c r="D1407" s="51" t="str">
        <v/>
      </c>
      <c r="E1407" s="51" t="str">
        <v/>
      </c>
      <c r="F1407" s="52" t="str">
        <v/>
      </c>
      <c r="G1407" s="48" t="str">
        <v/>
      </c>
      <c r="H1407" s="49">
        <v>0</v>
      </c>
      <c r="I1407" s="49" t="e">
        <v>#REF!</v>
      </c>
      <c r="J1407" s="50"/>
    </row>
    <row r="1408" outlineLevel="1" spans="1:10">
      <c r="A1408" s="50">
        <v>459</v>
      </c>
      <c r="B1408" s="51" t="str">
        <v>阻燃塑料管配管-PC16-暗配</v>
      </c>
      <c r="C1408" s="51" t="e">
        <v>#REF!</v>
      </c>
      <c r="D1408" s="51" t="str">
        <v/>
      </c>
      <c r="E1408" s="51" t="str">
        <v/>
      </c>
      <c r="F1408" s="52" t="e">
        <v>#REF!</v>
      </c>
      <c r="G1408" s="48" t="e">
        <v>#REF!</v>
      </c>
      <c r="H1408" s="49">
        <v>1</v>
      </c>
      <c r="I1408" s="49" t="e">
        <v>#REF!</v>
      </c>
      <c r="J1408" s="50"/>
    </row>
    <row r="1409" outlineLevel="1" spans="1:10">
      <c r="A1409" s="50">
        <v>460</v>
      </c>
      <c r="B1409" s="51" t="str">
        <v>阻燃塑料管配管-PC20-暗配</v>
      </c>
      <c r="C1409" s="51" t="e">
        <v>#REF!</v>
      </c>
      <c r="D1409" s="51" t="str">
        <v/>
      </c>
      <c r="E1409" s="51" t="str">
        <v/>
      </c>
      <c r="F1409" s="52" t="e">
        <v>#REF!</v>
      </c>
      <c r="G1409" s="48" t="e">
        <v>#REF!</v>
      </c>
      <c r="H1409" s="49">
        <v>36.6</v>
      </c>
      <c r="I1409" s="49" t="e">
        <v>#REF!</v>
      </c>
      <c r="J1409" s="50"/>
    </row>
    <row r="1410" outlineLevel="1" spans="1:10">
      <c r="A1410" s="50">
        <v>461</v>
      </c>
      <c r="B1410" s="51" t="str">
        <v>阻燃塑料管配管-PC25-暗配</v>
      </c>
      <c r="C1410" s="51" t="e">
        <v>#REF!</v>
      </c>
      <c r="D1410" s="51" t="str">
        <v/>
      </c>
      <c r="E1410" s="51" t="str">
        <v/>
      </c>
      <c r="F1410" s="52" t="e">
        <v>#REF!</v>
      </c>
      <c r="G1410" s="48" t="e">
        <v>#REF!</v>
      </c>
      <c r="H1410" s="49">
        <v>22.22</v>
      </c>
      <c r="I1410" s="49" t="e">
        <v>#REF!</v>
      </c>
      <c r="J1410" s="50"/>
    </row>
    <row r="1411" outlineLevel="1" spans="1:10">
      <c r="A1411" s="50">
        <v>462</v>
      </c>
      <c r="B1411" s="51" t="str">
        <v>阻燃塑料管配管-PC32-暗配</v>
      </c>
      <c r="C1411" s="51" t="e">
        <v>#REF!</v>
      </c>
      <c r="D1411" s="51" t="str">
        <v/>
      </c>
      <c r="E1411" s="51" t="str">
        <v/>
      </c>
      <c r="F1411" s="52" t="e">
        <v>#REF!</v>
      </c>
      <c r="G1411" s="48" t="e">
        <v>#REF!</v>
      </c>
      <c r="H1411" s="49">
        <v>1</v>
      </c>
      <c r="I1411" s="49" t="e">
        <v>#REF!</v>
      </c>
      <c r="J1411" s="50"/>
    </row>
    <row r="1412" outlineLevel="1" spans="1:10">
      <c r="A1412" s="50">
        <v>463</v>
      </c>
      <c r="B1412" s="51" t="str">
        <v>阻燃塑料管配管-PC40-暗配</v>
      </c>
      <c r="C1412" s="51" t="e">
        <v>#REF!</v>
      </c>
      <c r="D1412" s="51" t="str">
        <v/>
      </c>
      <c r="E1412" s="51" t="str">
        <v/>
      </c>
      <c r="F1412" s="52" t="e">
        <v>#REF!</v>
      </c>
      <c r="G1412" s="48" t="e">
        <v>#REF!</v>
      </c>
      <c r="H1412" s="49">
        <v>1</v>
      </c>
      <c r="I1412" s="49" t="e">
        <v>#REF!</v>
      </c>
      <c r="J1412" s="50"/>
    </row>
    <row r="1413" outlineLevel="1" spans="1:10">
      <c r="A1413" s="50">
        <v>464</v>
      </c>
      <c r="B1413" s="51" t="str">
        <v>阻燃塑料管配管-PC16-明配</v>
      </c>
      <c r="C1413" s="51" t="e">
        <v>#REF!</v>
      </c>
      <c r="D1413" s="51" t="str">
        <v/>
      </c>
      <c r="E1413" s="51" t="str">
        <v/>
      </c>
      <c r="F1413" s="52" t="e">
        <v>#REF!</v>
      </c>
      <c r="G1413" s="48" t="e">
        <v>#REF!</v>
      </c>
      <c r="H1413" s="49">
        <v>1</v>
      </c>
      <c r="I1413" s="49" t="e">
        <v>#REF!</v>
      </c>
      <c r="J1413" s="50"/>
    </row>
    <row r="1414" outlineLevel="1" spans="1:10">
      <c r="A1414" s="50">
        <v>465</v>
      </c>
      <c r="B1414" s="51" t="str">
        <v>阻燃塑料管配管-PC20-明配</v>
      </c>
      <c r="C1414" s="51" t="e">
        <v>#REF!</v>
      </c>
      <c r="D1414" s="51" t="str">
        <v/>
      </c>
      <c r="E1414" s="51" t="str">
        <v/>
      </c>
      <c r="F1414" s="52" t="e">
        <v>#REF!</v>
      </c>
      <c r="G1414" s="48" t="e">
        <v>#REF!</v>
      </c>
      <c r="H1414" s="49">
        <v>1</v>
      </c>
      <c r="I1414" s="49" t="e">
        <v>#REF!</v>
      </c>
      <c r="J1414" s="50"/>
    </row>
    <row r="1415" outlineLevel="1" spans="1:10">
      <c r="A1415" s="50">
        <v>466</v>
      </c>
      <c r="B1415" s="51" t="str">
        <v>阻燃塑料管配管-PC25-明配</v>
      </c>
      <c r="C1415" s="51" t="e">
        <v>#REF!</v>
      </c>
      <c r="D1415" s="51" t="str">
        <v/>
      </c>
      <c r="E1415" s="51" t="str">
        <v/>
      </c>
      <c r="F1415" s="52" t="e">
        <v>#REF!</v>
      </c>
      <c r="G1415" s="48" t="e">
        <v>#REF!</v>
      </c>
      <c r="H1415" s="49">
        <v>1</v>
      </c>
      <c r="I1415" s="49" t="e">
        <v>#REF!</v>
      </c>
      <c r="J1415" s="50"/>
    </row>
    <row r="1416" outlineLevel="1" spans="1:10">
      <c r="A1416" s="50">
        <v>467</v>
      </c>
      <c r="B1416" s="51" t="str">
        <v>阻燃塑料管配管-PC32-明配</v>
      </c>
      <c r="C1416" s="51" t="e">
        <v>#REF!</v>
      </c>
      <c r="D1416" s="51" t="str">
        <v/>
      </c>
      <c r="E1416" s="51" t="str">
        <v/>
      </c>
      <c r="F1416" s="52" t="e">
        <v>#REF!</v>
      </c>
      <c r="G1416" s="48" t="e">
        <v>#REF!</v>
      </c>
      <c r="H1416" s="49">
        <v>1</v>
      </c>
      <c r="I1416" s="49" t="e">
        <v>#REF!</v>
      </c>
      <c r="J1416" s="50"/>
    </row>
    <row r="1417" outlineLevel="1" spans="1:10">
      <c r="A1417" s="50">
        <v>468</v>
      </c>
      <c r="B1417" s="51" t="str">
        <v>阻燃塑料管配管-PC40-明配</v>
      </c>
      <c r="C1417" s="51" t="e">
        <v>#REF!</v>
      </c>
      <c r="D1417" s="51" t="str">
        <v/>
      </c>
      <c r="E1417" s="51" t="str">
        <v/>
      </c>
      <c r="F1417" s="52" t="e">
        <v>#REF!</v>
      </c>
      <c r="G1417" s="48" t="e">
        <v>#REF!</v>
      </c>
      <c r="H1417" s="49">
        <v>1</v>
      </c>
      <c r="I1417" s="49" t="e">
        <v>#REF!</v>
      </c>
      <c r="J1417" s="50"/>
    </row>
    <row r="1418" outlineLevel="1" spans="1:10">
      <c r="A1418" s="50">
        <v>469</v>
      </c>
      <c r="B1418" s="51" t="str">
        <v>薄壁钢导管配管-JDG15-暗配</v>
      </c>
      <c r="C1418" s="51" t="e">
        <v>#REF!</v>
      </c>
      <c r="D1418" s="51" t="str">
        <v/>
      </c>
      <c r="E1418" s="51" t="str">
        <v/>
      </c>
      <c r="F1418" s="52" t="e">
        <v>#REF!</v>
      </c>
      <c r="G1418" s="48" t="e">
        <v>#REF!</v>
      </c>
      <c r="H1418" s="49">
        <v>0</v>
      </c>
      <c r="I1418" s="49" t="e">
        <v>#REF!</v>
      </c>
      <c r="J1418" s="50"/>
    </row>
    <row r="1419" outlineLevel="1" spans="1:10">
      <c r="A1419" s="50">
        <v>470</v>
      </c>
      <c r="B1419" s="51" t="str">
        <v>薄壁钢导管配管-JDG20-暗配</v>
      </c>
      <c r="C1419" s="51" t="e">
        <v>#REF!</v>
      </c>
      <c r="D1419" s="51" t="str">
        <v/>
      </c>
      <c r="E1419" s="51" t="str">
        <v/>
      </c>
      <c r="F1419" s="52" t="e">
        <v>#REF!</v>
      </c>
      <c r="G1419" s="48" t="e">
        <v>#REF!</v>
      </c>
      <c r="H1419" s="49">
        <v>0</v>
      </c>
      <c r="I1419" s="49" t="e">
        <v>#REF!</v>
      </c>
      <c r="J1419" s="50"/>
    </row>
    <row r="1420" outlineLevel="1" spans="1:10">
      <c r="A1420" s="50">
        <v>471</v>
      </c>
      <c r="B1420" s="51" t="str">
        <v>薄壁钢导管配管-JDG25-暗配</v>
      </c>
      <c r="C1420" s="51" t="e">
        <v>#REF!</v>
      </c>
      <c r="D1420" s="51" t="str">
        <v/>
      </c>
      <c r="E1420" s="51" t="str">
        <v/>
      </c>
      <c r="F1420" s="52" t="e">
        <v>#REF!</v>
      </c>
      <c r="G1420" s="48" t="e">
        <v>#REF!</v>
      </c>
      <c r="H1420" s="49">
        <v>0</v>
      </c>
      <c r="I1420" s="49" t="e">
        <v>#REF!</v>
      </c>
      <c r="J1420" s="50"/>
    </row>
    <row r="1421" outlineLevel="1" spans="1:10">
      <c r="A1421" s="50">
        <v>472</v>
      </c>
      <c r="B1421" s="51" t="str">
        <v>薄壁钢导管配管-JDG32-暗配</v>
      </c>
      <c r="C1421" s="51" t="e">
        <v>#REF!</v>
      </c>
      <c r="D1421" s="51" t="str">
        <v/>
      </c>
      <c r="E1421" s="51" t="str">
        <v/>
      </c>
      <c r="F1421" s="52" t="e">
        <v>#REF!</v>
      </c>
      <c r="G1421" s="48" t="e">
        <v>#REF!</v>
      </c>
      <c r="H1421" s="49">
        <v>0</v>
      </c>
      <c r="I1421" s="49" t="e">
        <v>#REF!</v>
      </c>
      <c r="J1421" s="50"/>
    </row>
    <row r="1422" outlineLevel="1" spans="1:10">
      <c r="A1422" s="50">
        <v>473</v>
      </c>
      <c r="B1422" s="51" t="str">
        <v>薄壁钢导管配管-JDG40-暗配</v>
      </c>
      <c r="C1422" s="51" t="e">
        <v>#REF!</v>
      </c>
      <c r="D1422" s="51" t="str">
        <v/>
      </c>
      <c r="E1422" s="51" t="str">
        <v/>
      </c>
      <c r="F1422" s="52" t="e">
        <v>#REF!</v>
      </c>
      <c r="G1422" s="48" t="e">
        <v>#REF!</v>
      </c>
      <c r="H1422" s="49">
        <v>0</v>
      </c>
      <c r="I1422" s="49" t="e">
        <v>#REF!</v>
      </c>
      <c r="J1422" s="50"/>
    </row>
    <row r="1423" outlineLevel="1" spans="1:10">
      <c r="A1423" s="50">
        <v>474</v>
      </c>
      <c r="B1423" s="51" t="str">
        <v>SC15-暗配</v>
      </c>
      <c r="C1423" s="51" t="e">
        <v>#REF!</v>
      </c>
      <c r="D1423" s="51" t="str">
        <v/>
      </c>
      <c r="E1423" s="51" t="str">
        <v/>
      </c>
      <c r="F1423" s="52" t="e">
        <v>#REF!</v>
      </c>
      <c r="G1423" s="48" t="e">
        <v>#REF!</v>
      </c>
      <c r="H1423" s="49">
        <v>1</v>
      </c>
      <c r="I1423" s="49" t="e">
        <v>#REF!</v>
      </c>
      <c r="J1423" s="50"/>
    </row>
    <row r="1424" outlineLevel="1" spans="1:10">
      <c r="A1424" s="50">
        <v>475</v>
      </c>
      <c r="B1424" s="51" t="str">
        <v>SC20-暗配</v>
      </c>
      <c r="C1424" s="51" t="e">
        <v>#REF!</v>
      </c>
      <c r="D1424" s="51" t="str">
        <v/>
      </c>
      <c r="E1424" s="51" t="str">
        <v/>
      </c>
      <c r="F1424" s="52" t="e">
        <v>#REF!</v>
      </c>
      <c r="G1424" s="48" t="e">
        <v>#REF!</v>
      </c>
      <c r="H1424" s="49">
        <v>425.52</v>
      </c>
      <c r="I1424" s="49" t="e">
        <v>#REF!</v>
      </c>
      <c r="J1424" s="50"/>
    </row>
    <row r="1425" outlineLevel="1" spans="1:10">
      <c r="A1425" s="50">
        <v>476</v>
      </c>
      <c r="B1425" s="51" t="str">
        <v>SC25-暗配</v>
      </c>
      <c r="C1425" s="51" t="e">
        <v>#REF!</v>
      </c>
      <c r="D1425" s="51" t="str">
        <v/>
      </c>
      <c r="E1425" s="51" t="str">
        <v/>
      </c>
      <c r="F1425" s="52" t="e">
        <v>#REF!</v>
      </c>
      <c r="G1425" s="48" t="e">
        <v>#REF!</v>
      </c>
      <c r="H1425" s="49">
        <v>18.81</v>
      </c>
      <c r="I1425" s="49" t="e">
        <v>#REF!</v>
      </c>
      <c r="J1425" s="50"/>
    </row>
    <row r="1426" outlineLevel="1" spans="1:10">
      <c r="A1426" s="50">
        <v>477</v>
      </c>
      <c r="B1426" s="51" t="str">
        <v>SC32-暗配</v>
      </c>
      <c r="C1426" s="51" t="e">
        <v>#REF!</v>
      </c>
      <c r="D1426" s="51" t="str">
        <v/>
      </c>
      <c r="E1426" s="51" t="str">
        <v/>
      </c>
      <c r="F1426" s="52" t="e">
        <v>#REF!</v>
      </c>
      <c r="G1426" s="48" t="e">
        <v>#REF!</v>
      </c>
      <c r="H1426" s="49">
        <v>16.66</v>
      </c>
      <c r="I1426" s="49" t="e">
        <v>#REF!</v>
      </c>
      <c r="J1426" s="50"/>
    </row>
    <row r="1427" outlineLevel="1" spans="1:10">
      <c r="A1427" s="50">
        <v>478</v>
      </c>
      <c r="B1427" s="51" t="str">
        <v>SC40-暗配</v>
      </c>
      <c r="C1427" s="51" t="e">
        <v>#REF!</v>
      </c>
      <c r="D1427" s="51" t="str">
        <v/>
      </c>
      <c r="E1427" s="51" t="str">
        <v/>
      </c>
      <c r="F1427" s="52" t="e">
        <v>#REF!</v>
      </c>
      <c r="G1427" s="48" t="e">
        <v>#REF!</v>
      </c>
      <c r="H1427" s="49">
        <v>1</v>
      </c>
      <c r="I1427" s="49" t="e">
        <v>#REF!</v>
      </c>
      <c r="J1427" s="50"/>
    </row>
    <row r="1428" outlineLevel="1" spans="1:10">
      <c r="A1428" s="50">
        <v>479</v>
      </c>
      <c r="B1428" s="51" t="str">
        <v>SC50-暗配</v>
      </c>
      <c r="C1428" s="51" t="e">
        <v>#REF!</v>
      </c>
      <c r="D1428" s="51" t="str">
        <v/>
      </c>
      <c r="E1428" s="51" t="str">
        <v/>
      </c>
      <c r="F1428" s="52" t="e">
        <v>#REF!</v>
      </c>
      <c r="G1428" s="48" t="e">
        <v>#REF!</v>
      </c>
      <c r="H1428" s="49">
        <v>1</v>
      </c>
      <c r="I1428" s="49" t="e">
        <v>#REF!</v>
      </c>
      <c r="J1428" s="50"/>
    </row>
    <row r="1429" outlineLevel="1" spans="1:10">
      <c r="A1429" s="50">
        <v>480</v>
      </c>
      <c r="B1429" s="51" t="str">
        <v>SC70-暗配</v>
      </c>
      <c r="C1429" s="51" t="e">
        <v>#REF!</v>
      </c>
      <c r="D1429" s="51" t="str">
        <v/>
      </c>
      <c r="E1429" s="51" t="str">
        <v/>
      </c>
      <c r="F1429" s="52" t="e">
        <v>#REF!</v>
      </c>
      <c r="G1429" s="48" t="e">
        <v>#REF!</v>
      </c>
      <c r="H1429" s="49">
        <v>1</v>
      </c>
      <c r="I1429" s="49" t="e">
        <v>#REF!</v>
      </c>
      <c r="J1429" s="50"/>
    </row>
    <row r="1430" outlineLevel="1" spans="1:10">
      <c r="A1430" s="50">
        <v>481</v>
      </c>
      <c r="B1430" s="51" t="str">
        <v>SC100-暗配</v>
      </c>
      <c r="C1430" s="51" t="e">
        <v>#REF!</v>
      </c>
      <c r="D1430" s="51" t="str">
        <v/>
      </c>
      <c r="E1430" s="51" t="str">
        <v/>
      </c>
      <c r="F1430" s="52" t="e">
        <v>#REF!</v>
      </c>
      <c r="G1430" s="48" t="e">
        <v>#REF!</v>
      </c>
      <c r="H1430" s="49">
        <v>0</v>
      </c>
      <c r="I1430" s="49" t="e">
        <v>#REF!</v>
      </c>
      <c r="J1430" s="50"/>
    </row>
    <row r="1431" outlineLevel="1" spans="1:10">
      <c r="A1431" s="50">
        <v>482</v>
      </c>
      <c r="B1431" s="51" t="str">
        <v>SC150-暗配</v>
      </c>
      <c r="C1431" s="51" t="e">
        <v>#REF!</v>
      </c>
      <c r="D1431" s="51" t="str">
        <v/>
      </c>
      <c r="E1431" s="51" t="str">
        <v/>
      </c>
      <c r="F1431" s="52" t="e">
        <v>#REF!</v>
      </c>
      <c r="G1431" s="48" t="e">
        <v>#REF!</v>
      </c>
      <c r="H1431" s="49">
        <v>0</v>
      </c>
      <c r="I1431" s="49" t="e">
        <v>#REF!</v>
      </c>
      <c r="J1431" s="50"/>
    </row>
    <row r="1432" outlineLevel="1" spans="1:10">
      <c r="A1432" s="50">
        <v>483</v>
      </c>
      <c r="B1432" s="51" t="str">
        <v>SC32-明配</v>
      </c>
      <c r="C1432" s="51" t="e">
        <v>#REF!</v>
      </c>
      <c r="D1432" s="51" t="str">
        <v/>
      </c>
      <c r="E1432" s="51" t="str">
        <v/>
      </c>
      <c r="F1432" s="52" t="e">
        <v>#REF!</v>
      </c>
      <c r="G1432" s="48" t="e">
        <v>#REF!</v>
      </c>
      <c r="H1432" s="49">
        <v>0</v>
      </c>
      <c r="I1432" s="49" t="e">
        <v>#REF!</v>
      </c>
      <c r="J1432" s="50"/>
    </row>
    <row r="1433" outlineLevel="1" spans="1:10">
      <c r="A1433" s="50">
        <v>484</v>
      </c>
      <c r="B1433" s="51" t="str">
        <v>SC40-明配</v>
      </c>
      <c r="C1433" s="51" t="e">
        <v>#REF!</v>
      </c>
      <c r="D1433" s="51" t="str">
        <v/>
      </c>
      <c r="E1433" s="51" t="str">
        <v/>
      </c>
      <c r="F1433" s="52" t="e">
        <v>#REF!</v>
      </c>
      <c r="G1433" s="48" t="e">
        <v>#REF!</v>
      </c>
      <c r="H1433" s="49">
        <v>1</v>
      </c>
      <c r="I1433" s="49" t="e">
        <v>#REF!</v>
      </c>
      <c r="J1433" s="50"/>
    </row>
    <row r="1434" outlineLevel="1" spans="1:10">
      <c r="A1434" s="50">
        <v>485</v>
      </c>
      <c r="B1434" s="51" t="str">
        <v>SC50-明配</v>
      </c>
      <c r="C1434" s="51" t="e">
        <v>#REF!</v>
      </c>
      <c r="D1434" s="51" t="str">
        <v/>
      </c>
      <c r="E1434" s="51" t="str">
        <v/>
      </c>
      <c r="F1434" s="52" t="e">
        <v>#REF!</v>
      </c>
      <c r="G1434" s="48" t="e">
        <v>#REF!</v>
      </c>
      <c r="H1434" s="49">
        <v>1</v>
      </c>
      <c r="I1434" s="49" t="e">
        <v>#REF!</v>
      </c>
      <c r="J1434" s="50"/>
    </row>
    <row r="1435" outlineLevel="1" spans="1:10">
      <c r="A1435" s="50">
        <v>486</v>
      </c>
      <c r="B1435" s="51" t="str">
        <v>SC70-明配</v>
      </c>
      <c r="C1435" s="51" t="e">
        <v>#REF!</v>
      </c>
      <c r="D1435" s="51" t="str">
        <v/>
      </c>
      <c r="E1435" s="51" t="str">
        <v/>
      </c>
      <c r="F1435" s="52" t="e">
        <v>#REF!</v>
      </c>
      <c r="G1435" s="48" t="e">
        <v>#REF!</v>
      </c>
      <c r="H1435" s="49">
        <v>1</v>
      </c>
      <c r="I1435" s="49" t="e">
        <v>#REF!</v>
      </c>
      <c r="J1435" s="50"/>
    </row>
    <row r="1436" outlineLevel="1" spans="1:10">
      <c r="A1436" s="50">
        <v>487</v>
      </c>
      <c r="B1436" s="51" t="str">
        <v>RC15-暗配</v>
      </c>
      <c r="C1436" s="51" t="e">
        <v>#REF!</v>
      </c>
      <c r="D1436" s="51" t="str">
        <v/>
      </c>
      <c r="E1436" s="51" t="str">
        <v/>
      </c>
      <c r="F1436" s="52" t="e">
        <v>#REF!</v>
      </c>
      <c r="G1436" s="48" t="e">
        <v>#REF!</v>
      </c>
      <c r="H1436" s="49">
        <v>0</v>
      </c>
      <c r="I1436" s="49" t="e">
        <v>#REF!</v>
      </c>
      <c r="J1436" s="50"/>
    </row>
    <row r="1437" outlineLevel="1" spans="1:10">
      <c r="A1437" s="50">
        <v>488</v>
      </c>
      <c r="B1437" s="51" t="str">
        <v>RC20-暗配</v>
      </c>
      <c r="C1437" s="51" t="e">
        <v>#REF!</v>
      </c>
      <c r="D1437" s="51" t="str">
        <v/>
      </c>
      <c r="E1437" s="51" t="str">
        <v/>
      </c>
      <c r="F1437" s="52" t="e">
        <v>#REF!</v>
      </c>
      <c r="G1437" s="48" t="e">
        <v>#REF!</v>
      </c>
      <c r="H1437" s="49">
        <v>0</v>
      </c>
      <c r="I1437" s="49" t="e">
        <v>#REF!</v>
      </c>
      <c r="J1437" s="50"/>
    </row>
    <row r="1438" outlineLevel="1" spans="1:10">
      <c r="A1438" s="50">
        <v>489</v>
      </c>
      <c r="B1438" s="51" t="str">
        <v>RC25-暗配</v>
      </c>
      <c r="C1438" s="51" t="e">
        <v>#REF!</v>
      </c>
      <c r="D1438" s="51" t="str">
        <v/>
      </c>
      <c r="E1438" s="51" t="str">
        <v/>
      </c>
      <c r="F1438" s="52" t="e">
        <v>#REF!</v>
      </c>
      <c r="G1438" s="48" t="e">
        <v>#REF!</v>
      </c>
      <c r="H1438" s="49">
        <v>0</v>
      </c>
      <c r="I1438" s="49" t="e">
        <v>#REF!</v>
      </c>
      <c r="J1438" s="50"/>
    </row>
    <row r="1439" outlineLevel="1" spans="1:10">
      <c r="A1439" s="50">
        <v>490</v>
      </c>
      <c r="B1439" s="51" t="str">
        <v>RC32-暗配</v>
      </c>
      <c r="C1439" s="51" t="e">
        <v>#REF!</v>
      </c>
      <c r="D1439" s="51" t="str">
        <v/>
      </c>
      <c r="E1439" s="51" t="str">
        <v/>
      </c>
      <c r="F1439" s="52" t="e">
        <v>#REF!</v>
      </c>
      <c r="G1439" s="48" t="e">
        <v>#REF!</v>
      </c>
      <c r="H1439" s="49">
        <v>0</v>
      </c>
      <c r="I1439" s="49">
        <v>0</v>
      </c>
      <c r="J1439" s="50"/>
    </row>
    <row r="1440" outlineLevel="1" spans="1:10">
      <c r="A1440" s="50">
        <v>491</v>
      </c>
      <c r="B1440" s="51" t="str">
        <v>RC40-暗配</v>
      </c>
      <c r="C1440" s="51" t="e">
        <v>#REF!</v>
      </c>
      <c r="D1440" s="51" t="str">
        <v/>
      </c>
      <c r="E1440" s="51" t="str">
        <v/>
      </c>
      <c r="F1440" s="52" t="e">
        <v>#REF!</v>
      </c>
      <c r="G1440" s="48" t="e">
        <v>#REF!</v>
      </c>
      <c r="H1440" s="49">
        <v>0</v>
      </c>
      <c r="I1440" s="49" t="e">
        <v>#REF!</v>
      </c>
      <c r="J1440" s="50"/>
    </row>
    <row r="1441" outlineLevel="1" spans="1:10">
      <c r="A1441" s="50">
        <v>492</v>
      </c>
      <c r="B1441" s="51" t="str">
        <v>RC50-暗配</v>
      </c>
      <c r="C1441" s="51" t="e">
        <v>#REF!</v>
      </c>
      <c r="D1441" s="51" t="str">
        <v/>
      </c>
      <c r="E1441" s="51" t="str">
        <v/>
      </c>
      <c r="F1441" s="52" t="e">
        <v>#REF!</v>
      </c>
      <c r="G1441" s="48" t="e">
        <v>#REF!</v>
      </c>
      <c r="H1441" s="49">
        <v>0</v>
      </c>
      <c r="I1441" s="49" t="e">
        <v>#REF!</v>
      </c>
      <c r="J1441" s="50"/>
    </row>
    <row r="1442" outlineLevel="1" spans="1:10">
      <c r="A1442" s="50">
        <v>493</v>
      </c>
      <c r="B1442" s="51" t="str">
        <v>RC15-明配</v>
      </c>
      <c r="C1442" s="51" t="e">
        <v>#REF!</v>
      </c>
      <c r="D1442" s="51" t="str">
        <v/>
      </c>
      <c r="E1442" s="51" t="str">
        <v/>
      </c>
      <c r="F1442" s="52" t="e">
        <v>#REF!</v>
      </c>
      <c r="G1442" s="48" t="e">
        <v>#REF!</v>
      </c>
      <c r="H1442" s="49">
        <v>0</v>
      </c>
      <c r="I1442" s="49" t="e">
        <v>#REF!</v>
      </c>
      <c r="J1442" s="50"/>
    </row>
    <row r="1443" outlineLevel="1" spans="1:10">
      <c r="A1443" s="50">
        <v>494</v>
      </c>
      <c r="B1443" s="51" t="str">
        <v>RC20-明配</v>
      </c>
      <c r="C1443" s="51" t="e">
        <v>#REF!</v>
      </c>
      <c r="D1443" s="51" t="str">
        <v/>
      </c>
      <c r="E1443" s="51" t="str">
        <v/>
      </c>
      <c r="F1443" s="52" t="e">
        <v>#REF!</v>
      </c>
      <c r="G1443" s="48" t="e">
        <v>#REF!</v>
      </c>
      <c r="H1443" s="49">
        <v>0</v>
      </c>
      <c r="I1443" s="49" t="e">
        <v>#REF!</v>
      </c>
      <c r="J1443" s="50"/>
    </row>
    <row r="1444" outlineLevel="1" spans="1:10">
      <c r="A1444" s="50">
        <v>495</v>
      </c>
      <c r="B1444" s="51" t="str">
        <v>RC25-明配</v>
      </c>
      <c r="C1444" s="51" t="e">
        <v>#REF!</v>
      </c>
      <c r="D1444" s="51" t="str">
        <v/>
      </c>
      <c r="E1444" s="51" t="str">
        <v/>
      </c>
      <c r="F1444" s="52" t="e">
        <v>#REF!</v>
      </c>
      <c r="G1444" s="48" t="e">
        <v>#REF!</v>
      </c>
      <c r="H1444" s="49">
        <v>0</v>
      </c>
      <c r="I1444" s="49" t="e">
        <v>#REF!</v>
      </c>
      <c r="J1444" s="50"/>
    </row>
    <row r="1445" outlineLevel="1" spans="1:10">
      <c r="A1445" s="50">
        <v>496</v>
      </c>
      <c r="B1445" s="51" t="str">
        <v>RC32-明配</v>
      </c>
      <c r="C1445" s="51" t="e">
        <v>#REF!</v>
      </c>
      <c r="D1445" s="51" t="str">
        <v/>
      </c>
      <c r="E1445" s="51" t="str">
        <v/>
      </c>
      <c r="F1445" s="52" t="e">
        <v>#REF!</v>
      </c>
      <c r="G1445" s="48" t="e">
        <v>#REF!</v>
      </c>
      <c r="H1445" s="49">
        <v>0</v>
      </c>
      <c r="I1445" s="49" t="e">
        <v>#REF!</v>
      </c>
      <c r="J1445" s="50"/>
    </row>
    <row r="1446" outlineLevel="1" spans="1:10">
      <c r="A1446" s="50">
        <v>497</v>
      </c>
      <c r="B1446" s="51" t="str">
        <v>RC40-明配</v>
      </c>
      <c r="C1446" s="51" t="e">
        <v>#REF!</v>
      </c>
      <c r="D1446" s="51" t="str">
        <v/>
      </c>
      <c r="E1446" s="51" t="str">
        <v/>
      </c>
      <c r="F1446" s="52" t="e">
        <v>#REF!</v>
      </c>
      <c r="G1446" s="48" t="e">
        <v>#REF!</v>
      </c>
      <c r="H1446" s="49">
        <v>0</v>
      </c>
      <c r="I1446" s="49" t="e">
        <v>#REF!</v>
      </c>
      <c r="J1446" s="50"/>
    </row>
    <row r="1447" outlineLevel="1" spans="1:10">
      <c r="A1447" s="50">
        <v>498</v>
      </c>
      <c r="B1447" s="51" t="str">
        <v>RC50-明配</v>
      </c>
      <c r="C1447" s="51" t="e">
        <v>#REF!</v>
      </c>
      <c r="D1447" s="51" t="str">
        <v/>
      </c>
      <c r="E1447" s="51" t="str">
        <v/>
      </c>
      <c r="F1447" s="52" t="e">
        <v>#REF!</v>
      </c>
      <c r="G1447" s="48" t="e">
        <v>#REF!</v>
      </c>
      <c r="H1447" s="49">
        <v>0</v>
      </c>
      <c r="I1447" s="49" t="e">
        <v>#REF!</v>
      </c>
      <c r="J1447" s="50"/>
    </row>
    <row r="1448" outlineLevel="1" spans="1:10">
      <c r="A1448" s="50">
        <v>499</v>
      </c>
      <c r="B1448" s="51" t="str">
        <v>电缆保护管-阻水钢板1</v>
      </c>
      <c r="C1448" s="51" t="e">
        <v>#REF!</v>
      </c>
      <c r="D1448" s="51" t="str">
        <v/>
      </c>
      <c r="E1448" s="51" t="str">
        <v/>
      </c>
      <c r="F1448" s="52" t="e">
        <v>#REF!</v>
      </c>
      <c r="G1448" s="48" t="e">
        <v>#REF!</v>
      </c>
      <c r="H1448" s="49">
        <v>0</v>
      </c>
      <c r="I1448" s="49" t="e">
        <v>#REF!</v>
      </c>
      <c r="J1448" s="50"/>
    </row>
    <row r="1449" outlineLevel="1" spans="1:10">
      <c r="A1449" s="50">
        <v>500</v>
      </c>
      <c r="B1449" s="51" t="str">
        <v>电缆保护管-阻水钢板2</v>
      </c>
      <c r="C1449" s="51" t="e">
        <v>#REF!</v>
      </c>
      <c r="D1449" s="51" t="str">
        <v/>
      </c>
      <c r="E1449" s="51" t="str">
        <v/>
      </c>
      <c r="F1449" s="52" t="e">
        <v>#REF!</v>
      </c>
      <c r="G1449" s="48" t="e">
        <v>#REF!</v>
      </c>
      <c r="H1449" s="49">
        <v>0</v>
      </c>
      <c r="I1449" s="49" t="e">
        <v>#REF!</v>
      </c>
      <c r="J1449" s="50"/>
    </row>
    <row r="1450" outlineLevel="1" spans="1:10">
      <c r="A1450" s="50">
        <v>501</v>
      </c>
      <c r="B1450" s="51" t="str">
        <v>电缆保护管-阻水钢板3</v>
      </c>
      <c r="C1450" s="51" t="e">
        <v>#REF!</v>
      </c>
      <c r="D1450" s="51" t="str">
        <v/>
      </c>
      <c r="E1450" s="51" t="str">
        <v/>
      </c>
      <c r="F1450" s="52" t="e">
        <v>#REF!</v>
      </c>
      <c r="G1450" s="48" t="e">
        <v>#REF!</v>
      </c>
      <c r="H1450" s="49">
        <v>0</v>
      </c>
      <c r="I1450" s="49" t="e">
        <v>#REF!</v>
      </c>
      <c r="J1450" s="50"/>
    </row>
    <row r="1451" outlineLevel="1" spans="1:10">
      <c r="A1451" s="50">
        <v>502</v>
      </c>
      <c r="B1451" s="51" t="str">
        <v>电缆保护管-止水翼环1</v>
      </c>
      <c r="C1451" s="51" t="e">
        <v>#REF!</v>
      </c>
      <c r="D1451" s="51" t="str">
        <v/>
      </c>
      <c r="E1451" s="51" t="str">
        <v/>
      </c>
      <c r="F1451" s="52" t="e">
        <v>#REF!</v>
      </c>
      <c r="G1451" s="48" t="e">
        <v>#REF!</v>
      </c>
      <c r="H1451" s="49">
        <v>0</v>
      </c>
      <c r="I1451" s="49" t="e">
        <v>#REF!</v>
      </c>
      <c r="J1451" s="50"/>
    </row>
    <row r="1452" outlineLevel="1" spans="1:10">
      <c r="A1452" s="50">
        <v>503</v>
      </c>
      <c r="B1452" s="51" t="str">
        <v>电缆保护管-止水翼环2</v>
      </c>
      <c r="C1452" s="51" t="e">
        <v>#REF!</v>
      </c>
      <c r="D1452" s="51" t="str">
        <v/>
      </c>
      <c r="E1452" s="51" t="str">
        <v/>
      </c>
      <c r="F1452" s="52" t="e">
        <v>#REF!</v>
      </c>
      <c r="G1452" s="48" t="e">
        <v>#REF!</v>
      </c>
      <c r="H1452" s="49">
        <v>0</v>
      </c>
      <c r="I1452" s="49" t="e">
        <v>#REF!</v>
      </c>
      <c r="J1452" s="50"/>
    </row>
    <row r="1453" outlineLevel="1" spans="1:10">
      <c r="A1453" s="50">
        <v>504</v>
      </c>
      <c r="B1453" s="51" t="str">
        <v>电缆保护管-止水翼环3</v>
      </c>
      <c r="C1453" s="51" t="e">
        <v>#REF!</v>
      </c>
      <c r="D1453" s="51" t="str">
        <v/>
      </c>
      <c r="E1453" s="51" t="str">
        <v/>
      </c>
      <c r="F1453" s="52" t="e">
        <v>#REF!</v>
      </c>
      <c r="G1453" s="48" t="e">
        <v>#REF!</v>
      </c>
      <c r="H1453" s="49">
        <v>0</v>
      </c>
      <c r="I1453" s="49" t="e">
        <v>#REF!</v>
      </c>
      <c r="J1453" s="50"/>
    </row>
    <row r="1454" outlineLevel="1" spans="1:10">
      <c r="A1454" s="50">
        <v>505</v>
      </c>
      <c r="B1454" s="51" t="str">
        <v>电缆保护管-止水翼环4</v>
      </c>
      <c r="C1454" s="51" t="e">
        <v>#REF!</v>
      </c>
      <c r="D1454" s="51" t="str">
        <v/>
      </c>
      <c r="E1454" s="51" t="str">
        <v/>
      </c>
      <c r="F1454" s="52" t="e">
        <v>#REF!</v>
      </c>
      <c r="G1454" s="48" t="e">
        <v>#REF!</v>
      </c>
      <c r="H1454" s="49">
        <v>0</v>
      </c>
      <c r="I1454" s="49" t="e">
        <v>#REF!</v>
      </c>
      <c r="J1454" s="50"/>
    </row>
    <row r="1455" outlineLevel="1" spans="1:10">
      <c r="A1455" s="50">
        <v>506</v>
      </c>
      <c r="B1455" s="51" t="str">
        <v>电缆保护管-止水翼环5</v>
      </c>
      <c r="C1455" s="51" t="e">
        <v>#REF!</v>
      </c>
      <c r="D1455" s="51" t="str">
        <v/>
      </c>
      <c r="E1455" s="51" t="str">
        <v/>
      </c>
      <c r="F1455" s="52" t="e">
        <v>#REF!</v>
      </c>
      <c r="G1455" s="48" t="e">
        <v>#REF!</v>
      </c>
      <c r="H1455" s="49">
        <v>0</v>
      </c>
      <c r="I1455" s="49" t="e">
        <v>#REF!</v>
      </c>
      <c r="J1455" s="50"/>
    </row>
    <row r="1456" outlineLevel="1" spans="1:10">
      <c r="A1456" s="50">
        <v>507</v>
      </c>
      <c r="B1456" s="51" t="str">
        <v>电缆保护管-RC150</v>
      </c>
      <c r="C1456" s="51" t="e">
        <v>#REF!</v>
      </c>
      <c r="D1456" s="51" t="str">
        <v/>
      </c>
      <c r="E1456" s="51" t="str">
        <v/>
      </c>
      <c r="F1456" s="52" t="e">
        <v>#REF!</v>
      </c>
      <c r="G1456" s="48" t="e">
        <v>#REF!</v>
      </c>
      <c r="H1456" s="49">
        <v>0</v>
      </c>
      <c r="I1456" s="49" t="e">
        <v>#REF!</v>
      </c>
      <c r="J1456" s="50"/>
    </row>
    <row r="1457" outlineLevel="1" spans="1:10">
      <c r="A1457" s="50">
        <v>508</v>
      </c>
      <c r="B1457" s="51" t="str">
        <v>电缆保护管-RC100</v>
      </c>
      <c r="C1457" s="51" t="e">
        <v>#REF!</v>
      </c>
      <c r="D1457" s="51" t="str">
        <v/>
      </c>
      <c r="E1457" s="51" t="str">
        <v/>
      </c>
      <c r="F1457" s="52" t="e">
        <v>#REF!</v>
      </c>
      <c r="G1457" s="48" t="e">
        <v>#REF!</v>
      </c>
      <c r="H1457" s="49">
        <v>0</v>
      </c>
      <c r="I1457" s="49" t="e">
        <v>#REF!</v>
      </c>
      <c r="J1457" s="50"/>
    </row>
    <row r="1458" outlineLevel="1" spans="1:10">
      <c r="A1458" s="50">
        <v>509</v>
      </c>
      <c r="B1458" s="51" t="str">
        <v>电缆保护管-RC80</v>
      </c>
      <c r="C1458" s="51" t="e">
        <v>#REF!</v>
      </c>
      <c r="D1458" s="51" t="str">
        <v/>
      </c>
      <c r="E1458" s="51" t="str">
        <v/>
      </c>
      <c r="F1458" s="52" t="e">
        <v>#REF!</v>
      </c>
      <c r="G1458" s="48" t="e">
        <v>#REF!</v>
      </c>
      <c r="H1458" s="49">
        <v>0</v>
      </c>
      <c r="I1458" s="49" t="e">
        <v>#REF!</v>
      </c>
      <c r="J1458" s="50"/>
    </row>
    <row r="1459" outlineLevel="1" spans="1:10">
      <c r="A1459" s="50">
        <v>510</v>
      </c>
      <c r="B1459" s="51" t="str">
        <v>电缆保护管-RC50</v>
      </c>
      <c r="C1459" s="51" t="e">
        <v>#REF!</v>
      </c>
      <c r="D1459" s="51" t="str">
        <v/>
      </c>
      <c r="E1459" s="51" t="str">
        <v/>
      </c>
      <c r="F1459" s="52" t="e">
        <v>#REF!</v>
      </c>
      <c r="G1459" s="48" t="e">
        <v>#REF!</v>
      </c>
      <c r="H1459" s="49">
        <v>0</v>
      </c>
      <c r="I1459" s="49" t="e">
        <v>#REF!</v>
      </c>
      <c r="J1459" s="50"/>
    </row>
    <row r="1460" outlineLevel="1" spans="1:10">
      <c r="A1460" s="50">
        <v>511</v>
      </c>
      <c r="B1460" s="51" t="str">
        <v>密闭肋套管-DN15至32</v>
      </c>
      <c r="C1460" s="51" t="e">
        <v>#REF!</v>
      </c>
      <c r="D1460" s="51" t="str">
        <v/>
      </c>
      <c r="E1460" s="51" t="str">
        <v/>
      </c>
      <c r="F1460" s="52" t="e">
        <v>#REF!</v>
      </c>
      <c r="G1460" s="48" t="e">
        <v>#REF!</v>
      </c>
      <c r="H1460" s="49">
        <v>0</v>
      </c>
      <c r="I1460" s="49" t="e">
        <v>#REF!</v>
      </c>
      <c r="J1460" s="50"/>
    </row>
    <row r="1461" outlineLevel="1" spans="1:10">
      <c r="A1461" s="50">
        <v>512</v>
      </c>
      <c r="B1461" s="51" t="str">
        <v>密闭肋套管-DN50</v>
      </c>
      <c r="C1461" s="51" t="e">
        <v>#REF!</v>
      </c>
      <c r="D1461" s="51" t="str">
        <v/>
      </c>
      <c r="E1461" s="51" t="str">
        <v/>
      </c>
      <c r="F1461" s="52" t="e">
        <v>#REF!</v>
      </c>
      <c r="G1461" s="48" t="e">
        <v>#REF!</v>
      </c>
      <c r="H1461" s="49">
        <v>0</v>
      </c>
      <c r="I1461" s="49" t="e">
        <v>#REF!</v>
      </c>
      <c r="J1461" s="50"/>
    </row>
    <row r="1462" outlineLevel="1" spans="1:10">
      <c r="A1462" s="50">
        <v>513</v>
      </c>
      <c r="B1462" s="51" t="str">
        <v>密闭肋套管-DN65至70</v>
      </c>
      <c r="C1462" s="51" t="e">
        <v>#REF!</v>
      </c>
      <c r="D1462" s="51" t="str">
        <v/>
      </c>
      <c r="E1462" s="51" t="str">
        <v/>
      </c>
      <c r="F1462" s="52" t="e">
        <v>#REF!</v>
      </c>
      <c r="G1462" s="48" t="e">
        <v>#REF!</v>
      </c>
      <c r="H1462" s="49">
        <v>0</v>
      </c>
      <c r="I1462" s="49" t="e">
        <v>#REF!</v>
      </c>
      <c r="J1462" s="50"/>
    </row>
    <row r="1463" outlineLevel="1" spans="1:10">
      <c r="A1463" s="50">
        <v>514</v>
      </c>
      <c r="B1463" s="51" t="str">
        <v>密闭肋套管-DN80至100</v>
      </c>
      <c r="C1463" s="51" t="e">
        <v>#REF!</v>
      </c>
      <c r="D1463" s="51" t="str">
        <v/>
      </c>
      <c r="E1463" s="51" t="str">
        <v/>
      </c>
      <c r="F1463" s="52" t="e">
        <v>#REF!</v>
      </c>
      <c r="G1463" s="48" t="e">
        <v>#REF!</v>
      </c>
      <c r="H1463" s="49">
        <v>0</v>
      </c>
      <c r="I1463" s="49" t="e">
        <v>#REF!</v>
      </c>
      <c r="J1463" s="50"/>
    </row>
    <row r="1464" outlineLevel="1" spans="1:10">
      <c r="A1464" s="50">
        <v>515</v>
      </c>
      <c r="B1464" s="51" t="str">
        <v>排污泵防水电缆</v>
      </c>
      <c r="C1464" s="51" t="e">
        <v>#REF!</v>
      </c>
      <c r="D1464" s="51" t="str">
        <v/>
      </c>
      <c r="E1464" s="51" t="str">
        <v/>
      </c>
      <c r="F1464" s="52" t="e">
        <v>#REF!</v>
      </c>
      <c r="G1464" s="48" t="e">
        <v>#REF!</v>
      </c>
      <c r="H1464" s="49">
        <v>0</v>
      </c>
      <c r="I1464" s="49" t="e">
        <v>#REF!</v>
      </c>
      <c r="J1464" s="50"/>
    </row>
    <row r="1465" outlineLevel="1" spans="1:10">
      <c r="A1465" s="50">
        <v>516</v>
      </c>
      <c r="B1465" s="51" t="str">
        <v>综合配线-BV2.5</v>
      </c>
      <c r="C1465" s="51" t="e">
        <v>#REF!</v>
      </c>
      <c r="D1465" s="51" t="str">
        <v/>
      </c>
      <c r="E1465" s="51" t="str">
        <v/>
      </c>
      <c r="F1465" s="52" t="e">
        <v>#REF!</v>
      </c>
      <c r="G1465" s="48" t="e">
        <v>#REF!</v>
      </c>
      <c r="H1465" s="49">
        <v>325.17</v>
      </c>
      <c r="I1465" s="49" t="e">
        <v>#REF!</v>
      </c>
      <c r="J1465" s="50"/>
    </row>
    <row r="1466" outlineLevel="1" spans="1:10">
      <c r="A1466" s="50">
        <v>517</v>
      </c>
      <c r="B1466" s="51" t="str">
        <v>综合配线-BV4</v>
      </c>
      <c r="C1466" s="51" t="e">
        <v>#REF!</v>
      </c>
      <c r="D1466" s="51" t="str">
        <v/>
      </c>
      <c r="E1466" s="51" t="str">
        <v/>
      </c>
      <c r="F1466" s="52" t="e">
        <v>#REF!</v>
      </c>
      <c r="G1466" s="48" t="e">
        <v>#REF!</v>
      </c>
      <c r="H1466" s="49">
        <v>1</v>
      </c>
      <c r="I1466" s="49" t="e">
        <v>#REF!</v>
      </c>
      <c r="J1466" s="50"/>
    </row>
    <row r="1467" outlineLevel="1" spans="1:10">
      <c r="A1467" s="50">
        <v>518</v>
      </c>
      <c r="B1467" s="51" t="str">
        <v>综合配线-BV6</v>
      </c>
      <c r="C1467" s="51" t="e">
        <v>#REF!</v>
      </c>
      <c r="D1467" s="51" t="str">
        <v/>
      </c>
      <c r="E1467" s="51" t="str">
        <v/>
      </c>
      <c r="F1467" s="52" t="e">
        <v>#REF!</v>
      </c>
      <c r="G1467" s="48" t="e">
        <v>#REF!</v>
      </c>
      <c r="H1467" s="49">
        <v>0</v>
      </c>
      <c r="I1467" s="49" t="e">
        <v>#REF!</v>
      </c>
      <c r="J1467" s="50"/>
    </row>
    <row r="1468" outlineLevel="1" spans="1:10">
      <c r="A1468" s="50">
        <v>519</v>
      </c>
      <c r="B1468" s="51" t="str">
        <v>综合配线-BV10</v>
      </c>
      <c r="C1468" s="51" t="e">
        <v>#REF!</v>
      </c>
      <c r="D1468" s="51" t="str">
        <v/>
      </c>
      <c r="E1468" s="51" t="str">
        <v/>
      </c>
      <c r="F1468" s="52" t="e">
        <v>#REF!</v>
      </c>
      <c r="G1468" s="48" t="e">
        <v>#REF!</v>
      </c>
      <c r="H1468" s="49">
        <v>0</v>
      </c>
      <c r="I1468" s="49" t="e">
        <v>#REF!</v>
      </c>
      <c r="J1468" s="50"/>
    </row>
    <row r="1469" outlineLevel="1" spans="1:10">
      <c r="A1469" s="50">
        <v>520</v>
      </c>
      <c r="B1469" s="51" t="str">
        <v>综合配线-BV16</v>
      </c>
      <c r="C1469" s="51" t="e">
        <v>#REF!</v>
      </c>
      <c r="D1469" s="51" t="str">
        <v/>
      </c>
      <c r="E1469" s="51" t="str">
        <v/>
      </c>
      <c r="F1469" s="52" t="e">
        <v>#REF!</v>
      </c>
      <c r="G1469" s="48" t="e">
        <v>#REF!</v>
      </c>
      <c r="H1469" s="49">
        <v>0</v>
      </c>
      <c r="I1469" s="49" t="e">
        <v>#REF!</v>
      </c>
      <c r="J1469" s="50"/>
    </row>
    <row r="1470" outlineLevel="1" spans="1:10">
      <c r="A1470" s="50">
        <v>521</v>
      </c>
      <c r="B1470" s="51" t="str">
        <v>综合配线-BV25</v>
      </c>
      <c r="C1470" s="51" t="e">
        <v>#REF!</v>
      </c>
      <c r="D1470" s="51" t="str">
        <v/>
      </c>
      <c r="E1470" s="51" t="str">
        <v/>
      </c>
      <c r="F1470" s="52" t="e">
        <v>#REF!</v>
      </c>
      <c r="G1470" s="48" t="e">
        <v>#REF!</v>
      </c>
      <c r="H1470" s="49">
        <v>0</v>
      </c>
      <c r="I1470" s="49" t="e">
        <v>#REF!</v>
      </c>
      <c r="J1470" s="50"/>
    </row>
    <row r="1471" outlineLevel="1" spans="1:10">
      <c r="A1471" s="50">
        <v>522</v>
      </c>
      <c r="B1471" s="51" t="str">
        <v>综合配线-ZRBV2.5</v>
      </c>
      <c r="C1471" s="51" t="e">
        <v>#REF!</v>
      </c>
      <c r="D1471" s="51" t="str">
        <v/>
      </c>
      <c r="E1471" s="51" t="str">
        <v/>
      </c>
      <c r="F1471" s="52" t="e">
        <v>#REF!</v>
      </c>
      <c r="G1471" s="48" t="e">
        <v>#REF!</v>
      </c>
      <c r="H1471" s="49">
        <v>0</v>
      </c>
      <c r="I1471" s="49" t="e">
        <v>#REF!</v>
      </c>
      <c r="J1471" s="50"/>
    </row>
    <row r="1472" outlineLevel="1" spans="1:10">
      <c r="A1472" s="50">
        <v>523</v>
      </c>
      <c r="B1472" s="51" t="str">
        <v>综合配线-ZRBV4</v>
      </c>
      <c r="C1472" s="51" t="e">
        <v>#REF!</v>
      </c>
      <c r="D1472" s="51" t="str">
        <v/>
      </c>
      <c r="E1472" s="51" t="str">
        <v/>
      </c>
      <c r="F1472" s="52" t="e">
        <v>#REF!</v>
      </c>
      <c r="G1472" s="48" t="e">
        <v>#REF!</v>
      </c>
      <c r="H1472" s="49">
        <v>0</v>
      </c>
      <c r="I1472" s="49" t="e">
        <v>#REF!</v>
      </c>
      <c r="J1472" s="50"/>
    </row>
    <row r="1473" outlineLevel="1" spans="1:10">
      <c r="A1473" s="50">
        <v>524</v>
      </c>
      <c r="B1473" s="51" t="str">
        <v>综合配线-NHBV1.5</v>
      </c>
      <c r="C1473" s="51" t="e">
        <v>#REF!</v>
      </c>
      <c r="D1473" s="51" t="str">
        <v/>
      </c>
      <c r="E1473" s="51" t="str">
        <v/>
      </c>
      <c r="F1473" s="52" t="e">
        <v>#REF!</v>
      </c>
      <c r="G1473" s="48" t="e">
        <v>#REF!</v>
      </c>
      <c r="H1473" s="49">
        <v>142.77</v>
      </c>
      <c r="I1473" s="49" t="e">
        <v>#REF!</v>
      </c>
      <c r="J1473" s="50"/>
    </row>
    <row r="1474" outlineLevel="1" spans="1:10">
      <c r="A1474" s="50">
        <v>525</v>
      </c>
      <c r="B1474" s="51" t="str">
        <v>综合配线-NHBV2.5</v>
      </c>
      <c r="C1474" s="51" t="e">
        <v>#REF!</v>
      </c>
      <c r="D1474" s="51" t="str">
        <v/>
      </c>
      <c r="E1474" s="51" t="str">
        <v/>
      </c>
      <c r="F1474" s="52" t="e">
        <v>#REF!</v>
      </c>
      <c r="G1474" s="48" t="e">
        <v>#REF!</v>
      </c>
      <c r="H1474" s="49">
        <v>238.68</v>
      </c>
      <c r="I1474" s="49" t="e">
        <v>#REF!</v>
      </c>
      <c r="J1474" s="50"/>
    </row>
    <row r="1475" outlineLevel="1" spans="1:10">
      <c r="A1475" s="50">
        <v>526</v>
      </c>
      <c r="B1475" s="51" t="str">
        <v>综合配线-NHBV4</v>
      </c>
      <c r="C1475" s="51" t="e">
        <v>#REF!</v>
      </c>
      <c r="D1475" s="51" t="str">
        <v/>
      </c>
      <c r="E1475" s="51" t="str">
        <v/>
      </c>
      <c r="F1475" s="52" t="e">
        <v>#REF!</v>
      </c>
      <c r="G1475" s="48" t="e">
        <v>#REF!</v>
      </c>
      <c r="H1475" s="49">
        <v>1</v>
      </c>
      <c r="I1475" s="49" t="e">
        <v>#REF!</v>
      </c>
      <c r="J1475" s="50"/>
    </row>
    <row r="1476" outlineLevel="1" spans="1:10">
      <c r="A1476" s="50">
        <v>527</v>
      </c>
      <c r="B1476" s="51" t="str">
        <v>综合配线-WDZNBYJ2.5</v>
      </c>
      <c r="C1476" s="51" t="e">
        <v>#REF!</v>
      </c>
      <c r="D1476" s="51" t="str">
        <v/>
      </c>
      <c r="E1476" s="51" t="str">
        <v/>
      </c>
      <c r="F1476" s="52" t="e">
        <v>#REF!</v>
      </c>
      <c r="G1476" s="48" t="e">
        <v>#REF!</v>
      </c>
      <c r="H1476" s="49">
        <v>292.63</v>
      </c>
      <c r="I1476" s="49" t="e">
        <v>#REF!</v>
      </c>
      <c r="J1476" s="50"/>
    </row>
    <row r="1477" outlineLevel="1" spans="1:10">
      <c r="A1477" s="50">
        <v>528</v>
      </c>
      <c r="B1477" s="51" t="str">
        <v>综合配线-WDZNBYJ4</v>
      </c>
      <c r="C1477" s="51" t="e">
        <v>#REF!</v>
      </c>
      <c r="D1477" s="51" t="str">
        <v/>
      </c>
      <c r="E1477" s="51" t="str">
        <v/>
      </c>
      <c r="F1477" s="52" t="e">
        <v>#REF!</v>
      </c>
      <c r="G1477" s="48" t="e">
        <v>#REF!</v>
      </c>
      <c r="H1477" s="49">
        <v>812.56</v>
      </c>
      <c r="I1477" s="49" t="e">
        <v>#REF!</v>
      </c>
      <c r="J1477" s="50"/>
    </row>
    <row r="1478" outlineLevel="1" spans="1:10">
      <c r="A1478" s="50">
        <v>529</v>
      </c>
      <c r="B1478" s="51" t="str">
        <v>综合配线-WDZBYJ2.5</v>
      </c>
      <c r="C1478" s="51" t="e">
        <v>#REF!</v>
      </c>
      <c r="D1478" s="51" t="str">
        <v/>
      </c>
      <c r="E1478" s="51" t="str">
        <v/>
      </c>
      <c r="F1478" s="52" t="e">
        <v>#REF!</v>
      </c>
      <c r="G1478" s="48" t="e">
        <v>#REF!</v>
      </c>
      <c r="H1478" s="49">
        <v>10</v>
      </c>
      <c r="I1478" s="49" t="e">
        <v>#REF!</v>
      </c>
      <c r="J1478" s="50"/>
    </row>
    <row r="1479" outlineLevel="1" spans="1:10">
      <c r="A1479" s="50">
        <v>530</v>
      </c>
      <c r="B1479" s="51" t="str">
        <v>综合配线-WDZBYJ4</v>
      </c>
      <c r="C1479" s="51" t="e">
        <v>#REF!</v>
      </c>
      <c r="D1479" s="51" t="str">
        <v/>
      </c>
      <c r="E1479" s="51" t="str">
        <v/>
      </c>
      <c r="F1479" s="52" t="e">
        <v>#REF!</v>
      </c>
      <c r="G1479" s="48" t="e">
        <v>#REF!</v>
      </c>
      <c r="H1479" s="49">
        <v>271.55</v>
      </c>
      <c r="I1479" s="49" t="e">
        <v>#REF!</v>
      </c>
      <c r="J1479" s="50"/>
    </row>
    <row r="1480" outlineLevel="1" spans="1:10">
      <c r="A1480" s="50">
        <v>531</v>
      </c>
      <c r="B1480" s="51" t="str">
        <v>综合配线-WDZBYJ6</v>
      </c>
      <c r="C1480" s="51" t="e">
        <v>#REF!</v>
      </c>
      <c r="D1480" s="51" t="str">
        <v/>
      </c>
      <c r="E1480" s="51" t="str">
        <v/>
      </c>
      <c r="F1480" s="52" t="e">
        <v>#REF!</v>
      </c>
      <c r="G1480" s="48" t="e">
        <v>#REF!</v>
      </c>
      <c r="H1480" s="49">
        <v>2</v>
      </c>
      <c r="I1480" s="49" t="e">
        <v>#REF!</v>
      </c>
      <c r="J1480" s="50"/>
    </row>
    <row r="1481" outlineLevel="1" spans="1:10">
      <c r="A1481" s="50">
        <v>532</v>
      </c>
      <c r="B1481" s="51" t="str">
        <v>综合配线-WDZBYJ10</v>
      </c>
      <c r="C1481" s="51" t="e">
        <v>#REF!</v>
      </c>
      <c r="D1481" s="51" t="str">
        <v/>
      </c>
      <c r="E1481" s="51" t="str">
        <v/>
      </c>
      <c r="F1481" s="52" t="e">
        <v>#REF!</v>
      </c>
      <c r="G1481" s="48" t="e">
        <v>#REF!</v>
      </c>
      <c r="H1481" s="49">
        <v>353.37</v>
      </c>
      <c r="I1481" s="49" t="e">
        <v>#REF!</v>
      </c>
      <c r="J1481" s="50"/>
    </row>
    <row r="1482" outlineLevel="1" spans="1:10">
      <c r="A1482" s="50">
        <v>533</v>
      </c>
      <c r="B1482" s="51" t="str">
        <v>综合配线-WDZNRYJS2*2.5</v>
      </c>
      <c r="C1482" s="51" t="e">
        <v>#REF!</v>
      </c>
      <c r="D1482" s="51" t="str">
        <v/>
      </c>
      <c r="E1482" s="51" t="str">
        <v/>
      </c>
      <c r="F1482" s="52" t="e">
        <v>#REF!</v>
      </c>
      <c r="G1482" s="48" t="e">
        <v>#REF!</v>
      </c>
      <c r="H1482" s="49">
        <v>207.27</v>
      </c>
      <c r="I1482" s="49" t="e">
        <v>#REF!</v>
      </c>
      <c r="J1482" s="50"/>
    </row>
    <row r="1483" outlineLevel="1" spans="1:10">
      <c r="A1483" s="50">
        <v>534</v>
      </c>
      <c r="B1483" s="51" t="str">
        <v>综合配线-NHRVS2*2.5</v>
      </c>
      <c r="C1483" s="51" t="e">
        <v>#REF!</v>
      </c>
      <c r="D1483" s="51" t="str">
        <v/>
      </c>
      <c r="E1483" s="51" t="str">
        <v/>
      </c>
      <c r="F1483" s="52" t="e">
        <v>#REF!</v>
      </c>
      <c r="G1483" s="48" t="e">
        <v>#REF!</v>
      </c>
      <c r="H1483" s="49">
        <v>0</v>
      </c>
      <c r="I1483" s="49" t="e">
        <v>#REF!</v>
      </c>
      <c r="J1483" s="50"/>
    </row>
    <row r="1484" outlineLevel="1" spans="1:10">
      <c r="A1484" s="50" t="str">
        <v/>
      </c>
      <c r="B1484" s="51" t="str">
        <v>B.18.4照明器具</v>
      </c>
      <c r="C1484" s="51" t="str">
        <v/>
      </c>
      <c r="D1484" s="51" t="str">
        <v/>
      </c>
      <c r="E1484" s="51" t="str">
        <v/>
      </c>
      <c r="F1484" s="52" t="str">
        <v/>
      </c>
      <c r="G1484" s="48" t="str">
        <v/>
      </c>
      <c r="H1484" s="49">
        <v>0</v>
      </c>
      <c r="I1484" s="49" t="e">
        <v>#REF!</v>
      </c>
      <c r="J1484" s="50"/>
    </row>
    <row r="1485" outlineLevel="1" spans="1:10">
      <c r="A1485" s="50">
        <v>535</v>
      </c>
      <c r="B1485" s="51" t="str">
        <v>灯具-门上座灯</v>
      </c>
      <c r="C1485" s="51" t="e">
        <v>#REF!</v>
      </c>
      <c r="D1485" s="51" t="str">
        <v/>
      </c>
      <c r="E1485" s="51" t="str">
        <v/>
      </c>
      <c r="F1485" s="52" t="e">
        <v>#REF!</v>
      </c>
      <c r="G1485" s="48" t="e">
        <v>#REF!</v>
      </c>
      <c r="H1485" s="49">
        <v>2</v>
      </c>
      <c r="I1485" s="49" t="e">
        <v>#REF!</v>
      </c>
      <c r="J1485" s="50"/>
    </row>
    <row r="1486" outlineLevel="1" spans="1:10">
      <c r="A1486" s="50">
        <v>536</v>
      </c>
      <c r="B1486" s="51" t="str">
        <v>灯具-节能座灯头</v>
      </c>
      <c r="C1486" s="51" t="e">
        <v>#REF!</v>
      </c>
      <c r="D1486" s="51" t="str">
        <v/>
      </c>
      <c r="E1486" s="51" t="str">
        <v/>
      </c>
      <c r="F1486" s="52" t="e">
        <v>#REF!</v>
      </c>
      <c r="G1486" s="48" t="e">
        <v>#REF!</v>
      </c>
      <c r="H1486" s="49">
        <v>0</v>
      </c>
      <c r="I1486" s="49" t="e">
        <v>#REF!</v>
      </c>
      <c r="J1486" s="50"/>
    </row>
    <row r="1487" outlineLevel="1" spans="1:10">
      <c r="A1487" s="50">
        <v>537</v>
      </c>
      <c r="B1487" s="51" t="str">
        <v>灯具-普通座灯头</v>
      </c>
      <c r="C1487" s="51" t="e">
        <v>#REF!</v>
      </c>
      <c r="D1487" s="51" t="str">
        <v/>
      </c>
      <c r="E1487" s="51" t="str">
        <v/>
      </c>
      <c r="F1487" s="52" t="e">
        <v>#REF!</v>
      </c>
      <c r="G1487" s="48" t="e">
        <v>#REF!</v>
      </c>
      <c r="H1487" s="49">
        <v>0</v>
      </c>
      <c r="I1487" s="49" t="e">
        <v>#REF!</v>
      </c>
      <c r="J1487" s="50"/>
    </row>
    <row r="1488" outlineLevel="1" spans="1:10">
      <c r="A1488" s="50">
        <v>538</v>
      </c>
      <c r="B1488" s="51" t="str">
        <v>灯具-壁灯</v>
      </c>
      <c r="C1488" s="51" t="e">
        <v>#REF!</v>
      </c>
      <c r="D1488" s="51" t="str">
        <v/>
      </c>
      <c r="E1488" s="51" t="str">
        <v/>
      </c>
      <c r="F1488" s="52" t="e">
        <v>#REF!</v>
      </c>
      <c r="G1488" s="48" t="e">
        <v>#REF!</v>
      </c>
      <c r="H1488" s="49">
        <v>0</v>
      </c>
      <c r="I1488" s="49" t="e">
        <v>#REF!</v>
      </c>
      <c r="J1488" s="50"/>
    </row>
    <row r="1489" outlineLevel="1" spans="1:10">
      <c r="A1489" s="50">
        <v>539</v>
      </c>
      <c r="B1489" s="51" t="str">
        <v>灯具-吸顶灯</v>
      </c>
      <c r="C1489" s="51" t="e">
        <v>#REF!</v>
      </c>
      <c r="D1489" s="51" t="str">
        <v/>
      </c>
      <c r="E1489" s="51" t="str">
        <v/>
      </c>
      <c r="F1489" s="52" t="e">
        <v>#REF!</v>
      </c>
      <c r="G1489" s="48" t="e">
        <v>#REF!</v>
      </c>
      <c r="H1489" s="49">
        <v>0</v>
      </c>
      <c r="I1489" s="49" t="e">
        <v>#REF!</v>
      </c>
      <c r="J1489" s="50"/>
    </row>
    <row r="1490" ht="28.8" outlineLevel="1" spans="1:10">
      <c r="A1490" s="50">
        <v>540</v>
      </c>
      <c r="B1490" s="51" t="str">
        <v>灯具-吸顶灯(自带声光控开关) </v>
      </c>
      <c r="C1490" s="51" t="e">
        <v>#REF!</v>
      </c>
      <c r="D1490" s="51" t="str">
        <v/>
      </c>
      <c r="E1490" s="51" t="str">
        <v/>
      </c>
      <c r="F1490" s="52" t="e">
        <v>#REF!</v>
      </c>
      <c r="G1490" s="48" t="e">
        <v>#REF!</v>
      </c>
      <c r="H1490" s="49">
        <v>0</v>
      </c>
      <c r="I1490" s="49" t="e">
        <v>#REF!</v>
      </c>
      <c r="J1490" s="50"/>
    </row>
    <row r="1491" ht="28.8" outlineLevel="1" spans="1:10">
      <c r="A1491" s="50">
        <v>541</v>
      </c>
      <c r="B1491" s="51" t="str">
        <v>灯具-半圆球吸顶灯 灯罩直径(300mm以内)</v>
      </c>
      <c r="C1491" s="51" t="e">
        <v>#REF!</v>
      </c>
      <c r="D1491" s="51" t="str">
        <v/>
      </c>
      <c r="E1491" s="51" t="str">
        <v/>
      </c>
      <c r="F1491" s="52" t="e">
        <v>#REF!</v>
      </c>
      <c r="G1491" s="48" t="e">
        <v>#REF!</v>
      </c>
      <c r="H1491" s="49">
        <v>1</v>
      </c>
      <c r="I1491" s="49" t="e">
        <v>#REF!</v>
      </c>
      <c r="J1491" s="50"/>
    </row>
    <row r="1492" ht="28.8" outlineLevel="1" spans="1:10">
      <c r="A1492" s="50">
        <v>542</v>
      </c>
      <c r="B1492" s="51" t="str">
        <v>灯具-半圆球吸顶灯 灯罩直径(350mm以内)</v>
      </c>
      <c r="C1492" s="51" t="e">
        <v>#REF!</v>
      </c>
      <c r="D1492" s="51" t="str">
        <v/>
      </c>
      <c r="E1492" s="51" t="str">
        <v/>
      </c>
      <c r="F1492" s="52" t="e">
        <v>#REF!</v>
      </c>
      <c r="G1492" s="48" t="e">
        <v>#REF!</v>
      </c>
      <c r="H1492" s="49">
        <v>1</v>
      </c>
      <c r="I1492" s="49" t="e">
        <v>#REF!</v>
      </c>
      <c r="J1492" s="50"/>
    </row>
    <row r="1493" outlineLevel="1" spans="1:10">
      <c r="A1493" s="50">
        <v>543</v>
      </c>
      <c r="B1493" s="51" t="str">
        <v>灯具-紧凑型节能日光灯</v>
      </c>
      <c r="C1493" s="51" t="e">
        <v>#REF!</v>
      </c>
      <c r="D1493" s="51" t="str">
        <v/>
      </c>
      <c r="E1493" s="51" t="str">
        <v/>
      </c>
      <c r="F1493" s="52" t="e">
        <v>#REF!</v>
      </c>
      <c r="G1493" s="48" t="e">
        <v>#REF!</v>
      </c>
      <c r="H1493" s="49">
        <v>4</v>
      </c>
      <c r="I1493" s="49" t="e">
        <v>#REF!</v>
      </c>
      <c r="J1493" s="50"/>
    </row>
    <row r="1494" outlineLevel="1" spans="1:10">
      <c r="A1494" s="50">
        <v>544</v>
      </c>
      <c r="B1494" s="51" t="str">
        <v>灯具-单管荧光灯-吊链安装</v>
      </c>
      <c r="C1494" s="51" t="e">
        <v>#REF!</v>
      </c>
      <c r="D1494" s="51" t="str">
        <v/>
      </c>
      <c r="E1494" s="51" t="str">
        <v/>
      </c>
      <c r="F1494" s="52" t="e">
        <v>#REF!</v>
      </c>
      <c r="G1494" s="48" t="e">
        <v>#REF!</v>
      </c>
      <c r="H1494" s="49">
        <v>4</v>
      </c>
      <c r="I1494" s="49" t="e">
        <v>#REF!</v>
      </c>
      <c r="J1494" s="50"/>
    </row>
    <row r="1495" outlineLevel="1" spans="1:10">
      <c r="A1495" s="50">
        <v>545</v>
      </c>
      <c r="B1495" s="51" t="str">
        <v>灯具-单管荧光灯-壁装</v>
      </c>
      <c r="C1495" s="51" t="e">
        <v>#REF!</v>
      </c>
      <c r="D1495" s="51" t="str">
        <v/>
      </c>
      <c r="E1495" s="51" t="str">
        <v/>
      </c>
      <c r="F1495" s="52" t="e">
        <v>#REF!</v>
      </c>
      <c r="G1495" s="48" t="e">
        <v>#REF!</v>
      </c>
      <c r="H1495" s="49">
        <v>0</v>
      </c>
      <c r="I1495" s="49" t="e">
        <v>#REF!</v>
      </c>
      <c r="J1495" s="50"/>
    </row>
    <row r="1496" outlineLevel="1" spans="1:10">
      <c r="A1496" s="50">
        <v>546</v>
      </c>
      <c r="B1496" s="51" t="str">
        <v>灯具-单管荧光灯-吊杆安装</v>
      </c>
      <c r="C1496" s="51" t="e">
        <v>#REF!</v>
      </c>
      <c r="D1496" s="51" t="str">
        <v/>
      </c>
      <c r="E1496" s="51" t="str">
        <v/>
      </c>
      <c r="F1496" s="52" t="e">
        <v>#REF!</v>
      </c>
      <c r="G1496" s="48" t="e">
        <v>#REF!</v>
      </c>
      <c r="H1496" s="49">
        <v>2</v>
      </c>
      <c r="I1496" s="49" t="e">
        <v>#REF!</v>
      </c>
      <c r="J1496" s="50"/>
    </row>
    <row r="1497" outlineLevel="1" spans="1:10">
      <c r="A1497" s="50">
        <v>547</v>
      </c>
      <c r="B1497" s="51" t="str">
        <v>灯具-单管荧光灯-吸顶安装</v>
      </c>
      <c r="C1497" s="51" t="e">
        <v>#REF!</v>
      </c>
      <c r="D1497" s="51" t="str">
        <v/>
      </c>
      <c r="E1497" s="51" t="str">
        <v/>
      </c>
      <c r="F1497" s="52" t="e">
        <v>#REF!</v>
      </c>
      <c r="G1497" s="48" t="e">
        <v>#REF!</v>
      </c>
      <c r="H1497" s="49">
        <v>2</v>
      </c>
      <c r="I1497" s="49" t="e">
        <v>#REF!</v>
      </c>
      <c r="J1497" s="50"/>
    </row>
    <row r="1498" outlineLevel="1" spans="1:10">
      <c r="A1498" s="50">
        <v>548</v>
      </c>
      <c r="B1498" s="51" t="str">
        <v>疏散出口标志灯-带蓄电池</v>
      </c>
      <c r="C1498" s="51" t="e">
        <v>#REF!</v>
      </c>
      <c r="D1498" s="51" t="str">
        <v/>
      </c>
      <c r="E1498" s="51" t="str">
        <v/>
      </c>
      <c r="F1498" s="52" t="e">
        <v>#REF!</v>
      </c>
      <c r="G1498" s="48" t="e">
        <v>#REF!</v>
      </c>
      <c r="H1498" s="49">
        <v>0</v>
      </c>
      <c r="I1498" s="49" t="e">
        <v>#REF!</v>
      </c>
      <c r="J1498" s="50"/>
    </row>
    <row r="1499" ht="28.8" outlineLevel="1" spans="1:10">
      <c r="A1499" s="50">
        <v>549</v>
      </c>
      <c r="B1499" s="51" t="str">
        <v>疏散出口标志灯（防护等级IP67）带蓄电池</v>
      </c>
      <c r="C1499" s="51" t="e">
        <v>#REF!</v>
      </c>
      <c r="D1499" s="51" t="str">
        <v/>
      </c>
      <c r="E1499" s="51" t="str">
        <v/>
      </c>
      <c r="F1499" s="52" t="e">
        <v>#REF!</v>
      </c>
      <c r="G1499" s="48" t="e">
        <v>#REF!</v>
      </c>
      <c r="H1499" s="49">
        <v>0</v>
      </c>
      <c r="I1499" s="49" t="e">
        <v>#REF!</v>
      </c>
      <c r="J1499" s="50"/>
    </row>
    <row r="1500" outlineLevel="1" spans="1:10">
      <c r="A1500" s="50">
        <v>550</v>
      </c>
      <c r="B1500" s="51" t="str">
        <v>楼层指示标志灯-带蓄电池</v>
      </c>
      <c r="C1500" s="51" t="e">
        <v>#REF!</v>
      </c>
      <c r="D1500" s="51" t="str">
        <v/>
      </c>
      <c r="E1500" s="51" t="str">
        <v/>
      </c>
      <c r="F1500" s="52" t="e">
        <v>#REF!</v>
      </c>
      <c r="G1500" s="48" t="e">
        <v>#REF!</v>
      </c>
      <c r="H1500" s="49">
        <v>0</v>
      </c>
      <c r="I1500" s="49" t="e">
        <v>#REF!</v>
      </c>
      <c r="J1500" s="50"/>
    </row>
    <row r="1501" ht="28.8" outlineLevel="1" spans="1:10">
      <c r="A1501" s="50">
        <v>551</v>
      </c>
      <c r="B1501" s="51" t="str">
        <v>单向单面疏散指示标志灯-带蓄电池</v>
      </c>
      <c r="C1501" s="51" t="e">
        <v>#REF!</v>
      </c>
      <c r="D1501" s="51" t="str">
        <v/>
      </c>
      <c r="E1501" s="51" t="str">
        <v/>
      </c>
      <c r="F1501" s="52" t="e">
        <v>#REF!</v>
      </c>
      <c r="G1501" s="48" t="e">
        <v>#REF!</v>
      </c>
      <c r="H1501" s="49">
        <v>0</v>
      </c>
      <c r="I1501" s="49" t="e">
        <v>#REF!</v>
      </c>
      <c r="J1501" s="50"/>
    </row>
    <row r="1502" ht="28.8" outlineLevel="1" spans="1:10">
      <c r="A1502" s="50">
        <v>552</v>
      </c>
      <c r="B1502" s="51" t="str">
        <v>单向双面疏散指示标志灯-带蓄电池</v>
      </c>
      <c r="C1502" s="51" t="e">
        <v>#REF!</v>
      </c>
      <c r="D1502" s="51" t="str">
        <v/>
      </c>
      <c r="E1502" s="51" t="str">
        <v/>
      </c>
      <c r="F1502" s="52" t="e">
        <v>#REF!</v>
      </c>
      <c r="G1502" s="48" t="e">
        <v>#REF!</v>
      </c>
      <c r="H1502" s="49">
        <v>0</v>
      </c>
      <c r="I1502" s="49" t="e">
        <v>#REF!</v>
      </c>
      <c r="J1502" s="50"/>
    </row>
    <row r="1503" ht="28.8" outlineLevel="1" spans="1:10">
      <c r="A1503" s="50">
        <v>553</v>
      </c>
      <c r="B1503" s="51" t="str">
        <v>双向单面疏散指示标志灯-带蓄电池</v>
      </c>
      <c r="C1503" s="51" t="e">
        <v>#REF!</v>
      </c>
      <c r="D1503" s="51" t="str">
        <v/>
      </c>
      <c r="E1503" s="51" t="str">
        <v/>
      </c>
      <c r="F1503" s="52" t="e">
        <v>#REF!</v>
      </c>
      <c r="G1503" s="48" t="e">
        <v>#REF!</v>
      </c>
      <c r="H1503" s="49">
        <v>0</v>
      </c>
      <c r="I1503" s="49" t="e">
        <v>#REF!</v>
      </c>
      <c r="J1503" s="50"/>
    </row>
    <row r="1504" outlineLevel="1" spans="1:10">
      <c r="A1504" s="50">
        <v>554</v>
      </c>
      <c r="B1504" s="51" t="str">
        <v>安全出口标志灯-带蓄电池</v>
      </c>
      <c r="C1504" s="51" t="e">
        <v>#REF!</v>
      </c>
      <c r="D1504" s="51" t="str">
        <v/>
      </c>
      <c r="E1504" s="51" t="str">
        <v/>
      </c>
      <c r="F1504" s="52" t="e">
        <v>#REF!</v>
      </c>
      <c r="G1504" s="48" t="e">
        <v>#REF!</v>
      </c>
      <c r="H1504" s="49">
        <v>0</v>
      </c>
      <c r="I1504" s="49" t="e">
        <v>#REF!</v>
      </c>
      <c r="J1504" s="50"/>
    </row>
    <row r="1505" ht="28.8" outlineLevel="1" spans="1:10">
      <c r="A1505" s="50">
        <v>555</v>
      </c>
      <c r="B1505" s="51" t="str">
        <v>E-X带禁止入内的安全出口标志灯-带蓄电池</v>
      </c>
      <c r="C1505" s="51" t="e">
        <v>#REF!</v>
      </c>
      <c r="D1505" s="51" t="str">
        <v/>
      </c>
      <c r="E1505" s="51" t="str">
        <v/>
      </c>
      <c r="F1505" s="52" t="e">
        <v>#REF!</v>
      </c>
      <c r="G1505" s="48" t="e">
        <v>#REF!</v>
      </c>
      <c r="H1505" s="49">
        <v>0</v>
      </c>
      <c r="I1505" s="49" t="e">
        <v>#REF!</v>
      </c>
      <c r="J1505" s="50"/>
    </row>
    <row r="1506" outlineLevel="1" spans="1:10">
      <c r="A1506" s="50">
        <v>556</v>
      </c>
      <c r="B1506" s="51" t="str">
        <v>火灾禁入标志灯-带蓄电池</v>
      </c>
      <c r="C1506" s="51" t="e">
        <v>#REF!</v>
      </c>
      <c r="D1506" s="51" t="str">
        <v/>
      </c>
      <c r="E1506" s="51" t="str">
        <v/>
      </c>
      <c r="F1506" s="52" t="e">
        <v>#REF!</v>
      </c>
      <c r="G1506" s="48" t="e">
        <v>#REF!</v>
      </c>
      <c r="H1506" s="49">
        <v>0</v>
      </c>
      <c r="I1506" s="49" t="e">
        <v>#REF!</v>
      </c>
      <c r="J1506" s="50"/>
    </row>
    <row r="1507" outlineLevel="1" spans="1:10">
      <c r="A1507" s="50">
        <v>557</v>
      </c>
      <c r="B1507" s="51" t="str">
        <v>E1消防应急壁灯-带蓄电池</v>
      </c>
      <c r="C1507" s="51" t="e">
        <v>#REF!</v>
      </c>
      <c r="D1507" s="51" t="str">
        <v/>
      </c>
      <c r="E1507" s="51" t="str">
        <v/>
      </c>
      <c r="F1507" s="52" t="e">
        <v>#REF!</v>
      </c>
      <c r="G1507" s="48" t="e">
        <v>#REF!</v>
      </c>
      <c r="H1507" s="49">
        <v>0</v>
      </c>
      <c r="I1507" s="49" t="e">
        <v>#REF!</v>
      </c>
      <c r="J1507" s="50"/>
    </row>
    <row r="1508" outlineLevel="1" spans="1:10">
      <c r="A1508" s="50">
        <v>558</v>
      </c>
      <c r="B1508" s="51" t="str">
        <v>消防应急吸顶灯-带蓄电池</v>
      </c>
      <c r="C1508" s="51" t="e">
        <v>#REF!</v>
      </c>
      <c r="D1508" s="51" t="str">
        <v/>
      </c>
      <c r="E1508" s="51" t="str">
        <v/>
      </c>
      <c r="F1508" s="52" t="e">
        <v>#REF!</v>
      </c>
      <c r="G1508" s="48" t="e">
        <v>#REF!</v>
      </c>
      <c r="H1508" s="49">
        <v>0</v>
      </c>
      <c r="I1508" s="49" t="e">
        <v>#REF!</v>
      </c>
      <c r="J1508" s="50"/>
    </row>
    <row r="1509" ht="28.8" outlineLevel="1" spans="1:10">
      <c r="A1509" s="50">
        <v>559</v>
      </c>
      <c r="B1509" s="51" t="str">
        <v>消防应急吸顶灯（防护等级IP67）带蓄电池</v>
      </c>
      <c r="C1509" s="51" t="e">
        <v>#REF!</v>
      </c>
      <c r="D1509" s="51" t="str">
        <v/>
      </c>
      <c r="E1509" s="51" t="str">
        <v/>
      </c>
      <c r="F1509" s="52" t="e">
        <v>#REF!</v>
      </c>
      <c r="G1509" s="48" t="e">
        <v>#REF!</v>
      </c>
      <c r="H1509" s="49">
        <v>0</v>
      </c>
      <c r="I1509" s="49" t="e">
        <v>#REF!</v>
      </c>
      <c r="J1509" s="50"/>
    </row>
    <row r="1510" outlineLevel="1" spans="1:10">
      <c r="A1510" s="50">
        <v>560</v>
      </c>
      <c r="B1510" s="51" t="str">
        <v>灯具-安全出口标志灯</v>
      </c>
      <c r="C1510" s="51" t="e">
        <v>#REF!</v>
      </c>
      <c r="D1510" s="51" t="str">
        <v/>
      </c>
      <c r="E1510" s="51" t="str">
        <v/>
      </c>
      <c r="F1510" s="52" t="e">
        <v>#REF!</v>
      </c>
      <c r="G1510" s="48" t="e">
        <v>#REF!</v>
      </c>
      <c r="H1510" s="49">
        <v>0</v>
      </c>
      <c r="I1510" s="49" t="e">
        <v>#REF!</v>
      </c>
      <c r="J1510" s="50"/>
    </row>
    <row r="1511" outlineLevel="1" spans="1:10">
      <c r="A1511" s="50">
        <v>561</v>
      </c>
      <c r="B1511" s="51" t="str">
        <v>灯具-多信息复合标志灯</v>
      </c>
      <c r="C1511" s="51" t="e">
        <v>#REF!</v>
      </c>
      <c r="D1511" s="51" t="str">
        <v/>
      </c>
      <c r="E1511" s="51" t="str">
        <v/>
      </c>
      <c r="F1511" s="52" t="e">
        <v>#REF!</v>
      </c>
      <c r="G1511" s="48" t="e">
        <v>#REF!</v>
      </c>
      <c r="H1511" s="49">
        <v>0</v>
      </c>
      <c r="I1511" s="49" t="e">
        <v>#REF!</v>
      </c>
      <c r="J1511" s="50"/>
    </row>
    <row r="1512" outlineLevel="1" spans="1:10">
      <c r="A1512" s="50">
        <v>562</v>
      </c>
      <c r="B1512" s="51" t="str">
        <v>灯具-楼层指示标志灯</v>
      </c>
      <c r="C1512" s="51" t="e">
        <v>#REF!</v>
      </c>
      <c r="D1512" s="51" t="str">
        <v/>
      </c>
      <c r="E1512" s="51" t="str">
        <v/>
      </c>
      <c r="F1512" s="52" t="e">
        <v>#REF!</v>
      </c>
      <c r="G1512" s="48" t="e">
        <v>#REF!</v>
      </c>
      <c r="H1512" s="49">
        <v>2</v>
      </c>
      <c r="I1512" s="49" t="e">
        <v>#REF!</v>
      </c>
      <c r="J1512" s="50"/>
    </row>
    <row r="1513" outlineLevel="1" spans="1:10">
      <c r="A1513" s="50">
        <v>563</v>
      </c>
      <c r="B1513" s="51" t="str">
        <v>灯具-疏散出口标志灯</v>
      </c>
      <c r="C1513" s="51" t="e">
        <v>#REF!</v>
      </c>
      <c r="D1513" s="51" t="str">
        <v/>
      </c>
      <c r="E1513" s="51" t="str">
        <v/>
      </c>
      <c r="F1513" s="52" t="e">
        <v>#REF!</v>
      </c>
      <c r="G1513" s="48" t="e">
        <v>#REF!</v>
      </c>
      <c r="H1513" s="49">
        <v>4</v>
      </c>
      <c r="I1513" s="49" t="e">
        <v>#REF!</v>
      </c>
      <c r="J1513" s="50"/>
    </row>
    <row r="1514" ht="28.8" outlineLevel="1" spans="1:10">
      <c r="A1514" s="50">
        <v>564</v>
      </c>
      <c r="B1514" s="51" t="str">
        <v>灯具-单向双面疏散指示标志灯</v>
      </c>
      <c r="C1514" s="51" t="e">
        <v>#REF!</v>
      </c>
      <c r="D1514" s="51" t="str">
        <v/>
      </c>
      <c r="E1514" s="51" t="str">
        <v/>
      </c>
      <c r="F1514" s="52" t="e">
        <v>#REF!</v>
      </c>
      <c r="G1514" s="48" t="e">
        <v>#REF!</v>
      </c>
      <c r="H1514" s="49">
        <v>2</v>
      </c>
      <c r="I1514" s="49" t="e">
        <v>#REF!</v>
      </c>
      <c r="J1514" s="50"/>
    </row>
    <row r="1515" ht="28.8" outlineLevel="1" spans="1:10">
      <c r="A1515" s="50">
        <v>565</v>
      </c>
      <c r="B1515" s="51" t="str">
        <v>灯具-消防应急壁灯（微波感应）带蓄电池</v>
      </c>
      <c r="C1515" s="51" t="e">
        <v>#REF!</v>
      </c>
      <c r="D1515" s="51" t="str">
        <v/>
      </c>
      <c r="E1515" s="51" t="str">
        <v/>
      </c>
      <c r="F1515" s="52" t="e">
        <v>#REF!</v>
      </c>
      <c r="G1515" s="48" t="e">
        <v>#REF!</v>
      </c>
      <c r="H1515" s="49">
        <v>1</v>
      </c>
      <c r="I1515" s="49" t="e">
        <v>#REF!</v>
      </c>
      <c r="J1515" s="50"/>
    </row>
    <row r="1516" ht="28.8" outlineLevel="1" spans="1:10">
      <c r="A1516" s="50">
        <v>566</v>
      </c>
      <c r="B1516" s="51" t="str">
        <v>灯具-消防应急吸顶灯-附微波感应带蓄电池</v>
      </c>
      <c r="C1516" s="51" t="e">
        <v>#REF!</v>
      </c>
      <c r="D1516" s="51" t="str">
        <v/>
      </c>
      <c r="E1516" s="51" t="str">
        <v/>
      </c>
      <c r="F1516" s="52" t="e">
        <v>#REF!</v>
      </c>
      <c r="G1516" s="48" t="e">
        <v>#REF!</v>
      </c>
      <c r="H1516" s="49">
        <v>10</v>
      </c>
      <c r="I1516" s="49" t="e">
        <v>#REF!</v>
      </c>
      <c r="J1516" s="50"/>
    </row>
    <row r="1517" ht="28.8" outlineLevel="1" spans="1:10">
      <c r="A1517" s="50">
        <v>567</v>
      </c>
      <c r="B1517" s="51" t="str">
        <v>灯具-单向单面疏散指示标志灯</v>
      </c>
      <c r="C1517" s="51" t="e">
        <v>#REF!</v>
      </c>
      <c r="D1517" s="51" t="str">
        <v/>
      </c>
      <c r="E1517" s="51" t="str">
        <v/>
      </c>
      <c r="F1517" s="52" t="e">
        <v>#REF!</v>
      </c>
      <c r="G1517" s="48" t="e">
        <v>#REF!</v>
      </c>
      <c r="H1517" s="49">
        <v>2</v>
      </c>
      <c r="I1517" s="49" t="e">
        <v>#REF!</v>
      </c>
      <c r="J1517" s="50"/>
    </row>
    <row r="1518" outlineLevel="1" spans="1:10">
      <c r="A1518" s="50">
        <v>568</v>
      </c>
      <c r="B1518" s="51" t="str">
        <v>灯具-消防应急壁灯</v>
      </c>
      <c r="C1518" s="51" t="e">
        <v>#REF!</v>
      </c>
      <c r="D1518" s="51" t="str">
        <v/>
      </c>
      <c r="E1518" s="51" t="str">
        <v/>
      </c>
      <c r="F1518" s="52" t="e">
        <v>#REF!</v>
      </c>
      <c r="G1518" s="48" t="e">
        <v>#REF!</v>
      </c>
      <c r="H1518" s="49">
        <v>0</v>
      </c>
      <c r="I1518" s="49" t="e">
        <v>#REF!</v>
      </c>
      <c r="J1518" s="50"/>
    </row>
    <row r="1519" outlineLevel="1" spans="1:10">
      <c r="A1519" s="50">
        <v>569</v>
      </c>
      <c r="B1519" s="51" t="str">
        <v>灯具-应急单管荧光灯</v>
      </c>
      <c r="C1519" s="51" t="e">
        <v>#REF!</v>
      </c>
      <c r="D1519" s="51" t="str">
        <v/>
      </c>
      <c r="E1519" s="51" t="str">
        <v/>
      </c>
      <c r="F1519" s="52" t="e">
        <v>#REF!</v>
      </c>
      <c r="G1519" s="48" t="e">
        <v>#REF!</v>
      </c>
      <c r="H1519" s="49">
        <v>0</v>
      </c>
      <c r="I1519" s="49" t="e">
        <v>#REF!</v>
      </c>
      <c r="J1519" s="50"/>
    </row>
    <row r="1520" outlineLevel="1" spans="1:10">
      <c r="A1520" s="50" t="str">
        <v/>
      </c>
      <c r="B1520" s="51" t="str">
        <v>B.18.5开关插座</v>
      </c>
      <c r="C1520" s="51" t="str">
        <v/>
      </c>
      <c r="D1520" s="51" t="str">
        <v/>
      </c>
      <c r="E1520" s="51" t="str">
        <v/>
      </c>
      <c r="F1520" s="52" t="str">
        <v/>
      </c>
      <c r="G1520" s="48" t="str">
        <v/>
      </c>
      <c r="H1520" s="49">
        <v>0</v>
      </c>
      <c r="I1520" s="49" t="e">
        <v>#REF!</v>
      </c>
      <c r="J1520" s="50"/>
    </row>
    <row r="1521" outlineLevel="1" spans="1:10">
      <c r="A1521" s="50">
        <v>570</v>
      </c>
      <c r="B1521" s="51" t="str">
        <v>单联单控开关</v>
      </c>
      <c r="C1521" s="51" t="e">
        <v>#REF!</v>
      </c>
      <c r="D1521" s="51" t="str">
        <v/>
      </c>
      <c r="E1521" s="51" t="str">
        <v/>
      </c>
      <c r="F1521" s="52" t="e">
        <v>#REF!</v>
      </c>
      <c r="G1521" s="48" t="e">
        <v>#REF!</v>
      </c>
      <c r="H1521" s="49">
        <v>2</v>
      </c>
      <c r="I1521" s="49" t="e">
        <v>#REF!</v>
      </c>
      <c r="J1521" s="50"/>
    </row>
    <row r="1522" outlineLevel="1" spans="1:10">
      <c r="A1522" s="50">
        <v>571</v>
      </c>
      <c r="B1522" s="51" t="str">
        <v>单联双控开关</v>
      </c>
      <c r="C1522" s="51" t="e">
        <v>#REF!</v>
      </c>
      <c r="D1522" s="51" t="str">
        <v/>
      </c>
      <c r="E1522" s="51" t="str">
        <v/>
      </c>
      <c r="F1522" s="52" t="e">
        <v>#REF!</v>
      </c>
      <c r="G1522" s="48" t="e">
        <v>#REF!</v>
      </c>
      <c r="H1522" s="49">
        <v>2</v>
      </c>
      <c r="I1522" s="49" t="e">
        <v>#REF!</v>
      </c>
      <c r="J1522" s="50"/>
    </row>
    <row r="1523" outlineLevel="1" spans="1:10">
      <c r="A1523" s="50">
        <v>572</v>
      </c>
      <c r="B1523" s="51" t="str">
        <v>双联单控开关</v>
      </c>
      <c r="C1523" s="51" t="e">
        <v>#REF!</v>
      </c>
      <c r="D1523" s="51" t="str">
        <v/>
      </c>
      <c r="E1523" s="51" t="str">
        <v/>
      </c>
      <c r="F1523" s="52" t="e">
        <v>#REF!</v>
      </c>
      <c r="G1523" s="48" t="e">
        <v>#REF!</v>
      </c>
      <c r="H1523" s="49">
        <v>5</v>
      </c>
      <c r="I1523" s="49" t="e">
        <v>#REF!</v>
      </c>
      <c r="J1523" s="50"/>
    </row>
    <row r="1524" outlineLevel="1" spans="1:10">
      <c r="A1524" s="50">
        <v>573</v>
      </c>
      <c r="B1524" s="51" t="str">
        <v>三联单控开关</v>
      </c>
      <c r="C1524" s="51" t="e">
        <v>#REF!</v>
      </c>
      <c r="D1524" s="51" t="str">
        <v/>
      </c>
      <c r="E1524" s="51" t="str">
        <v/>
      </c>
      <c r="F1524" s="52" t="e">
        <v>#REF!</v>
      </c>
      <c r="G1524" s="48" t="e">
        <v>#REF!</v>
      </c>
      <c r="H1524" s="49">
        <v>1</v>
      </c>
      <c r="I1524" s="49" t="e">
        <v>#REF!</v>
      </c>
      <c r="J1524" s="50"/>
    </row>
    <row r="1525" outlineLevel="1" spans="1:10">
      <c r="A1525" s="50">
        <v>574</v>
      </c>
      <c r="B1525" s="51" t="str">
        <v>四联单控开关</v>
      </c>
      <c r="C1525" s="51" t="e">
        <v>#REF!</v>
      </c>
      <c r="D1525" s="51" t="str">
        <v/>
      </c>
      <c r="E1525" s="51" t="str">
        <v/>
      </c>
      <c r="F1525" s="52" t="e">
        <v>#REF!</v>
      </c>
      <c r="G1525" s="48" t="e">
        <v>#REF!</v>
      </c>
      <c r="H1525" s="49">
        <v>0</v>
      </c>
      <c r="I1525" s="49" t="e">
        <v>#REF!</v>
      </c>
      <c r="J1525" s="50"/>
    </row>
    <row r="1526" outlineLevel="1" spans="1:10">
      <c r="A1526" s="50">
        <v>575</v>
      </c>
      <c r="B1526" s="51" t="str">
        <v>五孔插座</v>
      </c>
      <c r="C1526" s="51" t="e">
        <v>#REF!</v>
      </c>
      <c r="D1526" s="51" t="str">
        <v/>
      </c>
      <c r="E1526" s="51" t="str">
        <v/>
      </c>
      <c r="F1526" s="52" t="e">
        <v>#REF!</v>
      </c>
      <c r="G1526" s="48" t="e">
        <v>#REF!</v>
      </c>
      <c r="H1526" s="49">
        <v>6</v>
      </c>
      <c r="I1526" s="49" t="e">
        <v>#REF!</v>
      </c>
      <c r="J1526" s="50"/>
    </row>
    <row r="1527" outlineLevel="1" spans="1:10">
      <c r="A1527" s="50">
        <v>576</v>
      </c>
      <c r="B1527" s="51" t="str">
        <v>电梯检修插座</v>
      </c>
      <c r="C1527" s="51" t="e">
        <v>#REF!</v>
      </c>
      <c r="D1527" s="51" t="str">
        <v/>
      </c>
      <c r="E1527" s="51" t="str">
        <v/>
      </c>
      <c r="F1527" s="52" t="e">
        <v>#REF!</v>
      </c>
      <c r="G1527" s="48" t="e">
        <v>#REF!</v>
      </c>
      <c r="H1527" s="49">
        <v>2</v>
      </c>
      <c r="I1527" s="49" t="e">
        <v>#REF!</v>
      </c>
      <c r="J1527" s="50"/>
    </row>
    <row r="1528" outlineLevel="1" spans="1:10">
      <c r="A1528" s="50">
        <v>577</v>
      </c>
      <c r="B1528" s="51" t="str">
        <v>卫生间五孔插座（IP54）</v>
      </c>
      <c r="C1528" s="51" t="e">
        <v>#REF!</v>
      </c>
      <c r="D1528" s="51" t="str">
        <v/>
      </c>
      <c r="E1528" s="51" t="str">
        <v/>
      </c>
      <c r="F1528" s="52" t="e">
        <v>#REF!</v>
      </c>
      <c r="G1528" s="48" t="e">
        <v>#REF!</v>
      </c>
      <c r="H1528" s="49">
        <v>0</v>
      </c>
      <c r="I1528" s="49" t="e">
        <v>#REF!</v>
      </c>
      <c r="J1528" s="50"/>
    </row>
    <row r="1529" outlineLevel="1" spans="1:10">
      <c r="A1529" s="50">
        <v>578</v>
      </c>
      <c r="B1529" s="51" t="str">
        <v>电磁阀五孔插座（IP54）</v>
      </c>
      <c r="C1529" s="51" t="e">
        <v>#REF!</v>
      </c>
      <c r="D1529" s="51" t="str">
        <v/>
      </c>
      <c r="E1529" s="51" t="str">
        <v/>
      </c>
      <c r="F1529" s="52" t="e">
        <v>#REF!</v>
      </c>
      <c r="G1529" s="48" t="e">
        <v>#REF!</v>
      </c>
      <c r="H1529" s="49">
        <v>0</v>
      </c>
      <c r="I1529" s="49" t="e">
        <v>#REF!</v>
      </c>
      <c r="J1529" s="50"/>
    </row>
    <row r="1530" ht="28.8" outlineLevel="1" spans="1:10">
      <c r="A1530" s="50">
        <v>579</v>
      </c>
      <c r="B1530" s="51" t="str">
        <v>空调挂机、柜机三孔插座-（带开关）</v>
      </c>
      <c r="C1530" s="51" t="e">
        <v>#REF!</v>
      </c>
      <c r="D1530" s="51" t="str">
        <v/>
      </c>
      <c r="E1530" s="51" t="str">
        <v/>
      </c>
      <c r="F1530" s="52" t="e">
        <v>#REF!</v>
      </c>
      <c r="G1530" s="48" t="e">
        <v>#REF!</v>
      </c>
      <c r="H1530" s="49">
        <v>0</v>
      </c>
      <c r="I1530" s="49" t="e">
        <v>#REF!</v>
      </c>
      <c r="J1530" s="50"/>
    </row>
    <row r="1531" outlineLevel="1" spans="1:10">
      <c r="A1531" s="50">
        <v>580</v>
      </c>
      <c r="B1531" s="51" t="str">
        <v>电动门五孔插座</v>
      </c>
      <c r="C1531" s="51" t="e">
        <v>#REF!</v>
      </c>
      <c r="D1531" s="51" t="str">
        <v/>
      </c>
      <c r="E1531" s="51" t="str">
        <v/>
      </c>
      <c r="F1531" s="52" t="e">
        <v>#REF!</v>
      </c>
      <c r="G1531" s="48" t="e">
        <v>#REF!</v>
      </c>
      <c r="H1531" s="49">
        <v>0</v>
      </c>
      <c r="I1531" s="49" t="e">
        <v>#REF!</v>
      </c>
      <c r="J1531" s="50"/>
    </row>
    <row r="1532" outlineLevel="1" spans="1:10">
      <c r="A1532" s="50">
        <v>581</v>
      </c>
      <c r="B1532" s="51" t="str">
        <v>五孔插座</v>
      </c>
      <c r="C1532" s="51" t="e">
        <v>#REF!</v>
      </c>
      <c r="D1532" s="51" t="str">
        <v/>
      </c>
      <c r="E1532" s="51" t="str">
        <v/>
      </c>
      <c r="F1532" s="52" t="e">
        <v>#REF!</v>
      </c>
      <c r="G1532" s="48" t="e">
        <v>#REF!</v>
      </c>
      <c r="H1532" s="49">
        <v>0</v>
      </c>
      <c r="I1532" s="49" t="e">
        <v>#REF!</v>
      </c>
      <c r="J1532" s="50"/>
    </row>
    <row r="1533" outlineLevel="1" spans="1:10">
      <c r="A1533" s="50">
        <v>582</v>
      </c>
      <c r="B1533" s="51" t="str">
        <v>电伴热插座</v>
      </c>
      <c r="C1533" s="51" t="e">
        <v>#REF!</v>
      </c>
      <c r="D1533" s="51" t="str">
        <v/>
      </c>
      <c r="E1533" s="51" t="str">
        <v/>
      </c>
      <c r="F1533" s="52" t="e">
        <v>#REF!</v>
      </c>
      <c r="G1533" s="48" t="e">
        <v>#REF!</v>
      </c>
      <c r="H1533" s="49">
        <v>0</v>
      </c>
      <c r="I1533" s="49" t="e">
        <v>#REF!</v>
      </c>
      <c r="J1533" s="50"/>
    </row>
    <row r="1534" outlineLevel="1" spans="1:10">
      <c r="A1534" s="50">
        <v>583</v>
      </c>
      <c r="B1534" s="51" t="str">
        <v>警报插座</v>
      </c>
      <c r="C1534" s="51" t="e">
        <v>#REF!</v>
      </c>
      <c r="D1534" s="51" t="str">
        <v/>
      </c>
      <c r="E1534" s="51" t="str">
        <v/>
      </c>
      <c r="F1534" s="52" t="e">
        <v>#REF!</v>
      </c>
      <c r="G1534" s="48" t="e">
        <v>#REF!</v>
      </c>
      <c r="H1534" s="49">
        <v>0</v>
      </c>
      <c r="I1534" s="49" t="e">
        <v>#REF!</v>
      </c>
      <c r="J1534" s="50"/>
    </row>
    <row r="1535" outlineLevel="1" spans="1:10">
      <c r="A1535" s="50">
        <v>584</v>
      </c>
      <c r="B1535" s="51" t="str">
        <v>滤毒室插座</v>
      </c>
      <c r="C1535" s="51" t="e">
        <v>#REF!</v>
      </c>
      <c r="D1535" s="51" t="str">
        <v/>
      </c>
      <c r="E1535" s="51" t="str">
        <v/>
      </c>
      <c r="F1535" s="52" t="e">
        <v>#REF!</v>
      </c>
      <c r="G1535" s="48" t="e">
        <v>#REF!</v>
      </c>
      <c r="H1535" s="49">
        <v>0</v>
      </c>
      <c r="I1535" s="49" t="e">
        <v>#REF!</v>
      </c>
      <c r="J1535" s="50"/>
    </row>
    <row r="1536" outlineLevel="1" spans="1:10">
      <c r="A1536" s="50">
        <v>585</v>
      </c>
      <c r="B1536" s="51" t="str">
        <v>人防呼唤按钮</v>
      </c>
      <c r="C1536" s="51" t="e">
        <v>#REF!</v>
      </c>
      <c r="D1536" s="51" t="str">
        <v/>
      </c>
      <c r="E1536" s="51" t="str">
        <v/>
      </c>
      <c r="F1536" s="52" t="e">
        <v>#REF!</v>
      </c>
      <c r="G1536" s="48" t="e">
        <v>#REF!</v>
      </c>
      <c r="H1536" s="49">
        <v>0</v>
      </c>
      <c r="I1536" s="49" t="e">
        <v>#REF!</v>
      </c>
      <c r="J1536" s="50"/>
    </row>
    <row r="1537" outlineLevel="1" spans="1:10">
      <c r="A1537" s="50">
        <v>586</v>
      </c>
      <c r="B1537" s="51" t="str">
        <v>电话插孔</v>
      </c>
      <c r="C1537" s="51" t="e">
        <v>#REF!</v>
      </c>
      <c r="D1537" s="51" t="str">
        <v/>
      </c>
      <c r="E1537" s="51" t="str">
        <v/>
      </c>
      <c r="F1537" s="52" t="e">
        <v>#REF!</v>
      </c>
      <c r="G1537" s="48" t="e">
        <v>#REF!</v>
      </c>
      <c r="H1537" s="49">
        <v>0</v>
      </c>
      <c r="I1537" s="49" t="e">
        <v>#REF!</v>
      </c>
      <c r="J1537" s="50"/>
    </row>
    <row r="1538" ht="28.8" outlineLevel="1" spans="1:10">
      <c r="A1538" s="50">
        <v>587</v>
      </c>
      <c r="B1538" s="51" t="str">
        <v>暗装排气扇接线盒（含面板）</v>
      </c>
      <c r="C1538" s="51" t="e">
        <v>#REF!</v>
      </c>
      <c r="D1538" s="51" t="str">
        <v/>
      </c>
      <c r="E1538" s="51" t="str">
        <v/>
      </c>
      <c r="F1538" s="52" t="e">
        <v>#REF!</v>
      </c>
      <c r="G1538" s="48" t="e">
        <v>#REF!</v>
      </c>
      <c r="H1538" s="49">
        <v>0</v>
      </c>
      <c r="I1538" s="49" t="e">
        <v>#REF!</v>
      </c>
      <c r="J1538" s="50"/>
    </row>
    <row r="1539" outlineLevel="1" spans="1:10">
      <c r="A1539" s="50">
        <v>588</v>
      </c>
      <c r="B1539" s="51" t="str">
        <v>空白面板</v>
      </c>
      <c r="C1539" s="51" t="e">
        <v>#REF!</v>
      </c>
      <c r="D1539" s="51" t="str">
        <v/>
      </c>
      <c r="E1539" s="51" t="str">
        <v/>
      </c>
      <c r="F1539" s="52" t="e">
        <v>#REF!</v>
      </c>
      <c r="G1539" s="48" t="e">
        <v>#REF!</v>
      </c>
      <c r="H1539" s="49">
        <v>0</v>
      </c>
      <c r="I1539" s="49" t="e">
        <v>#REF!</v>
      </c>
      <c r="J1539" s="50"/>
    </row>
    <row r="1540" outlineLevel="1" spans="1:10">
      <c r="A1540" s="50">
        <v>589</v>
      </c>
      <c r="B1540" s="51" t="str">
        <v>暗装塑料接线盒</v>
      </c>
      <c r="C1540" s="51" t="e">
        <v>#REF!</v>
      </c>
      <c r="D1540" s="51" t="str">
        <v/>
      </c>
      <c r="E1540" s="51" t="str">
        <v/>
      </c>
      <c r="F1540" s="52" t="e">
        <v>#REF!</v>
      </c>
      <c r="G1540" s="48" t="e">
        <v>#REF!</v>
      </c>
      <c r="H1540" s="49">
        <v>32</v>
      </c>
      <c r="I1540" s="49" t="e">
        <v>#REF!</v>
      </c>
      <c r="J1540" s="50"/>
    </row>
    <row r="1541" outlineLevel="1" spans="1:10">
      <c r="A1541" s="50">
        <v>590</v>
      </c>
      <c r="B1541" s="51" t="str">
        <v>暗装钢制接线盒</v>
      </c>
      <c r="C1541" s="51" t="e">
        <v>#REF!</v>
      </c>
      <c r="D1541" s="51" t="str">
        <v/>
      </c>
      <c r="E1541" s="51" t="str">
        <v/>
      </c>
      <c r="F1541" s="52" t="e">
        <v>#REF!</v>
      </c>
      <c r="G1541" s="48" t="e">
        <v>#REF!</v>
      </c>
      <c r="H1541" s="49">
        <v>21</v>
      </c>
      <c r="I1541" s="49" t="e">
        <v>#REF!</v>
      </c>
      <c r="J1541" s="50"/>
    </row>
    <row r="1542" outlineLevel="1" spans="1:10">
      <c r="A1542" s="50">
        <v>591</v>
      </c>
      <c r="B1542" s="51" t="str">
        <v>低压熔断器</v>
      </c>
      <c r="C1542" s="51" t="e">
        <v>#REF!</v>
      </c>
      <c r="D1542" s="51" t="str">
        <v/>
      </c>
      <c r="E1542" s="51" t="str">
        <v/>
      </c>
      <c r="F1542" s="52" t="e">
        <v>#REF!</v>
      </c>
      <c r="G1542" s="48" t="e">
        <v>#REF!</v>
      </c>
      <c r="H1542" s="49">
        <v>0</v>
      </c>
      <c r="I1542" s="49" t="e">
        <v>#REF!</v>
      </c>
      <c r="J1542" s="50"/>
    </row>
    <row r="1543" outlineLevel="1" spans="1:10">
      <c r="A1543" s="50" t="str">
        <v/>
      </c>
      <c r="B1543" s="51" t="str">
        <v>B.18.6防雷接地</v>
      </c>
      <c r="C1543" s="51" t="str">
        <v/>
      </c>
      <c r="D1543" s="51" t="str">
        <v/>
      </c>
      <c r="E1543" s="51" t="str">
        <v/>
      </c>
      <c r="F1543" s="52" t="str">
        <v/>
      </c>
      <c r="G1543" s="48" t="str">
        <v/>
      </c>
      <c r="H1543" s="49">
        <v>0</v>
      </c>
      <c r="I1543" s="49" t="e">
        <v>#REF!</v>
      </c>
      <c r="J1543" s="50"/>
    </row>
    <row r="1544" outlineLevel="1" spans="1:10">
      <c r="A1544" s="50">
        <v>592</v>
      </c>
      <c r="B1544" s="51" t="str">
        <v>接地极</v>
      </c>
      <c r="C1544" s="51" t="e">
        <v>#REF!</v>
      </c>
      <c r="D1544" s="51" t="str">
        <v/>
      </c>
      <c r="E1544" s="51" t="str">
        <v/>
      </c>
      <c r="F1544" s="52" t="e">
        <v>#REF!</v>
      </c>
      <c r="G1544" s="48" t="e">
        <v>#REF!</v>
      </c>
      <c r="H1544" s="49">
        <v>792.41</v>
      </c>
      <c r="I1544" s="49" t="e">
        <v>#REF!</v>
      </c>
      <c r="J1544" s="50"/>
    </row>
    <row r="1545" outlineLevel="1" spans="1:10">
      <c r="A1545" s="50">
        <v>593</v>
      </c>
      <c r="B1545" s="51" t="str">
        <v>避雷引下线1</v>
      </c>
      <c r="C1545" s="51" t="e">
        <v>#REF!</v>
      </c>
      <c r="D1545" s="51" t="str">
        <v/>
      </c>
      <c r="E1545" s="51" t="str">
        <v/>
      </c>
      <c r="F1545" s="52" t="e">
        <v>#REF!</v>
      </c>
      <c r="G1545" s="48" t="e">
        <v>#REF!</v>
      </c>
      <c r="H1545" s="49">
        <v>98.91</v>
      </c>
      <c r="I1545" s="49" t="e">
        <v>#REF!</v>
      </c>
      <c r="J1545" s="50"/>
    </row>
    <row r="1546" outlineLevel="1" spans="1:10">
      <c r="A1546" s="50">
        <v>594</v>
      </c>
      <c r="B1546" s="51" t="str">
        <v>局部等电位端子箱</v>
      </c>
      <c r="C1546" s="51" t="e">
        <v>#REF!</v>
      </c>
      <c r="D1546" s="51" t="str">
        <v/>
      </c>
      <c r="E1546" s="51" t="str">
        <v/>
      </c>
      <c r="F1546" s="52" t="e">
        <v>#REF!</v>
      </c>
      <c r="G1546" s="48" t="e">
        <v>#REF!</v>
      </c>
      <c r="H1546" s="49">
        <v>4</v>
      </c>
      <c r="I1546" s="49" t="e">
        <v>#REF!</v>
      </c>
      <c r="J1546" s="50"/>
    </row>
    <row r="1547" outlineLevel="1" spans="1:10">
      <c r="A1547" s="50">
        <v>595</v>
      </c>
      <c r="B1547" s="51" t="str">
        <v>总等电位连接端子箱</v>
      </c>
      <c r="C1547" s="51" t="e">
        <v>#REF!</v>
      </c>
      <c r="D1547" s="51" t="str">
        <v/>
      </c>
      <c r="E1547" s="51" t="str">
        <v/>
      </c>
      <c r="F1547" s="52" t="e">
        <v>#REF!</v>
      </c>
      <c r="G1547" s="48" t="e">
        <v>#REF!</v>
      </c>
      <c r="H1547" s="49">
        <v>2</v>
      </c>
      <c r="I1547" s="49" t="e">
        <v>#REF!</v>
      </c>
      <c r="J1547" s="50"/>
    </row>
    <row r="1548" ht="28.8" outlineLevel="1" spans="1:10">
      <c r="A1548" s="50">
        <v>596</v>
      </c>
      <c r="B1548" s="51" t="str">
        <v>进出户管道、突出金属物接地</v>
      </c>
      <c r="C1548" s="51" t="e">
        <v>#REF!</v>
      </c>
      <c r="D1548" s="51" t="str">
        <v/>
      </c>
      <c r="E1548" s="51" t="str">
        <v/>
      </c>
      <c r="F1548" s="52" t="e">
        <v>#REF!</v>
      </c>
      <c r="G1548" s="48" t="e">
        <v>#REF!</v>
      </c>
      <c r="H1548" s="49">
        <v>10</v>
      </c>
      <c r="I1548" s="49" t="e">
        <v>#REF!</v>
      </c>
      <c r="J1548" s="50"/>
    </row>
    <row r="1549" outlineLevel="1" spans="1:10">
      <c r="A1549" s="50">
        <v>597</v>
      </c>
      <c r="B1549" s="51" t="str">
        <v>钢铝窗接地</v>
      </c>
      <c r="C1549" s="51" t="e">
        <v>#REF!</v>
      </c>
      <c r="D1549" s="51" t="str">
        <v/>
      </c>
      <c r="E1549" s="51" t="str">
        <v/>
      </c>
      <c r="F1549" s="52" t="e">
        <v>#REF!</v>
      </c>
      <c r="G1549" s="48" t="e">
        <v>#REF!</v>
      </c>
      <c r="H1549" s="49">
        <v>0</v>
      </c>
      <c r="I1549" s="49" t="e">
        <v>#REF!</v>
      </c>
      <c r="J1549" s="50"/>
    </row>
    <row r="1550" outlineLevel="1" spans="1:10">
      <c r="A1550" s="50">
        <v>598</v>
      </c>
      <c r="B1550" s="51" t="str">
        <v>接地跨接线</v>
      </c>
      <c r="C1550" s="51" t="e">
        <v>#REF!</v>
      </c>
      <c r="D1550" s="51" t="str">
        <v/>
      </c>
      <c r="E1550" s="51" t="str">
        <v/>
      </c>
      <c r="F1550" s="52" t="e">
        <v>#REF!</v>
      </c>
      <c r="G1550" s="48" t="e">
        <v>#REF!</v>
      </c>
      <c r="H1550" s="49">
        <v>8</v>
      </c>
      <c r="I1550" s="49" t="e">
        <v>#REF!</v>
      </c>
      <c r="J1550" s="50"/>
    </row>
    <row r="1551" outlineLevel="1" spans="1:10">
      <c r="A1551" s="50">
        <v>599</v>
      </c>
      <c r="B1551" s="51" t="str">
        <v>接地端子板</v>
      </c>
      <c r="C1551" s="51" t="e">
        <v>#REF!</v>
      </c>
      <c r="D1551" s="51" t="str">
        <v/>
      </c>
      <c r="E1551" s="51" t="str">
        <v/>
      </c>
      <c r="F1551" s="52" t="e">
        <v>#REF!</v>
      </c>
      <c r="G1551" s="48" t="e">
        <v>#REF!</v>
      </c>
      <c r="H1551" s="49">
        <v>0</v>
      </c>
      <c r="I1551" s="49" t="e">
        <v>#REF!</v>
      </c>
      <c r="J1551" s="50"/>
    </row>
    <row r="1552" outlineLevel="1" spans="1:10">
      <c r="A1552" s="50">
        <v>600</v>
      </c>
      <c r="B1552" s="51" t="str">
        <v>接地连接板</v>
      </c>
      <c r="C1552" s="51" t="e">
        <v>#REF!</v>
      </c>
      <c r="D1552" s="51" t="str">
        <v/>
      </c>
      <c r="E1552" s="51" t="str">
        <v/>
      </c>
      <c r="F1552" s="52" t="e">
        <v>#REF!</v>
      </c>
      <c r="G1552" s="48" t="e">
        <v>#REF!</v>
      </c>
      <c r="H1552" s="49">
        <v>1</v>
      </c>
      <c r="I1552" s="49" t="e">
        <v>#REF!</v>
      </c>
      <c r="J1552" s="50"/>
    </row>
    <row r="1553" outlineLevel="1" spans="1:10">
      <c r="A1553" s="50">
        <v>601</v>
      </c>
      <c r="B1553" s="51" t="str">
        <v>镀锌钢板接地极</v>
      </c>
      <c r="C1553" s="51" t="e">
        <v>#REF!</v>
      </c>
      <c r="D1553" s="51" t="str">
        <v/>
      </c>
      <c r="E1553" s="51" t="str">
        <v/>
      </c>
      <c r="F1553" s="52" t="e">
        <v>#REF!</v>
      </c>
      <c r="G1553" s="48" t="e">
        <v>#REF!</v>
      </c>
      <c r="H1553" s="49">
        <v>0</v>
      </c>
      <c r="I1553" s="49" t="e">
        <v>#REF!</v>
      </c>
      <c r="J1553" s="50"/>
    </row>
    <row r="1554" outlineLevel="1" spans="1:10">
      <c r="A1554" s="50">
        <v>602</v>
      </c>
      <c r="B1554" s="51" t="str">
        <v>接地母线-40*4（室外）</v>
      </c>
      <c r="C1554" s="51" t="e">
        <v>#REF!</v>
      </c>
      <c r="D1554" s="51" t="str">
        <v/>
      </c>
      <c r="E1554" s="51" t="str">
        <v/>
      </c>
      <c r="F1554" s="52" t="e">
        <v>#REF!</v>
      </c>
      <c r="G1554" s="48" t="e">
        <v>#REF!</v>
      </c>
      <c r="H1554" s="49">
        <v>28</v>
      </c>
      <c r="I1554" s="49" t="e">
        <v>#REF!</v>
      </c>
      <c r="J1554" s="50"/>
    </row>
    <row r="1555" outlineLevel="1" spans="1:10">
      <c r="A1555" s="50">
        <v>603</v>
      </c>
      <c r="B1555" s="51" t="str">
        <v>接地母线-50*5</v>
      </c>
      <c r="C1555" s="51" t="e">
        <v>#REF!</v>
      </c>
      <c r="D1555" s="51" t="str">
        <v/>
      </c>
      <c r="E1555" s="51" t="str">
        <v/>
      </c>
      <c r="F1555" s="52" t="e">
        <v>#REF!</v>
      </c>
      <c r="G1555" s="48" t="e">
        <v>#REF!</v>
      </c>
      <c r="H1555" s="49">
        <v>0</v>
      </c>
      <c r="I1555" s="49" t="e">
        <v>#REF!</v>
      </c>
      <c r="J1555" s="50"/>
    </row>
    <row r="1556" outlineLevel="1" spans="1:10">
      <c r="A1556" s="50">
        <v>604</v>
      </c>
      <c r="B1556" s="51" t="str">
        <v>接地母线-40*4</v>
      </c>
      <c r="C1556" s="51" t="e">
        <v>#REF!</v>
      </c>
      <c r="D1556" s="51" t="str">
        <v/>
      </c>
      <c r="E1556" s="51" t="str">
        <v/>
      </c>
      <c r="F1556" s="52" t="e">
        <v>#REF!</v>
      </c>
      <c r="G1556" s="48" t="e">
        <v>#REF!</v>
      </c>
      <c r="H1556" s="49">
        <v>29</v>
      </c>
      <c r="I1556" s="49" t="e">
        <v>#REF!</v>
      </c>
      <c r="J1556" s="50"/>
    </row>
    <row r="1557" outlineLevel="1" spans="1:10">
      <c r="A1557" s="50">
        <v>605</v>
      </c>
      <c r="B1557" s="51" t="str">
        <v>阻燃塑料管配管-PC32-暗配</v>
      </c>
      <c r="C1557" s="51" t="e">
        <v>#REF!</v>
      </c>
      <c r="D1557" s="51" t="str">
        <v/>
      </c>
      <c r="E1557" s="51" t="str">
        <v/>
      </c>
      <c r="F1557" s="52" t="e">
        <v>#REF!</v>
      </c>
      <c r="G1557" s="48" t="e">
        <v>#REF!</v>
      </c>
      <c r="H1557" s="49">
        <v>1.35</v>
      </c>
      <c r="I1557" s="49" t="e">
        <v>#REF!</v>
      </c>
      <c r="J1557" s="50"/>
    </row>
    <row r="1558" outlineLevel="1" spans="1:10">
      <c r="A1558" s="50">
        <v>606</v>
      </c>
      <c r="B1558" s="51" t="str">
        <v>综合配线-BV25</v>
      </c>
      <c r="C1558" s="51" t="e">
        <v>#REF!</v>
      </c>
      <c r="D1558" s="51" t="str">
        <v/>
      </c>
      <c r="E1558" s="51" t="str">
        <v/>
      </c>
      <c r="F1558" s="52" t="e">
        <v>#REF!</v>
      </c>
      <c r="G1558" s="48" t="e">
        <v>#REF!</v>
      </c>
      <c r="H1558" s="49">
        <v>1.35</v>
      </c>
      <c r="I1558" s="49" t="e">
        <v>#REF!</v>
      </c>
      <c r="J1558" s="50"/>
    </row>
    <row r="1559" outlineLevel="1" spans="1:10">
      <c r="A1559" s="50">
        <v>607</v>
      </c>
      <c r="B1559" s="51" t="str">
        <v>接地装置</v>
      </c>
      <c r="C1559" s="51" t="e">
        <v>#REF!</v>
      </c>
      <c r="D1559" s="51" t="str">
        <v/>
      </c>
      <c r="E1559" s="51" t="str">
        <v/>
      </c>
      <c r="F1559" s="52" t="e">
        <v>#REF!</v>
      </c>
      <c r="G1559" s="48" t="e">
        <v>#REF!</v>
      </c>
      <c r="H1559" s="49">
        <v>1</v>
      </c>
      <c r="I1559" s="49" t="e">
        <v>#REF!</v>
      </c>
      <c r="J1559" s="50"/>
    </row>
    <row r="1560" outlineLevel="1" spans="1:10">
      <c r="A1560" s="50" t="str">
        <v/>
      </c>
      <c r="B1560" s="51" t="str">
        <v>B.19弱电工程</v>
      </c>
      <c r="C1560" s="51" t="str">
        <v/>
      </c>
      <c r="D1560" s="51" t="str">
        <v/>
      </c>
      <c r="E1560" s="51" t="str">
        <v/>
      </c>
      <c r="F1560" s="52" t="str">
        <v/>
      </c>
      <c r="G1560" s="48" t="str">
        <v/>
      </c>
      <c r="H1560" s="49">
        <v>0</v>
      </c>
      <c r="I1560" s="49" t="e">
        <v>#REF!</v>
      </c>
      <c r="J1560" s="50"/>
    </row>
    <row r="1561" outlineLevel="1" spans="1:10">
      <c r="A1561" s="50">
        <v>608</v>
      </c>
      <c r="B1561" s="51" t="str">
        <v>金属桥架-100*100</v>
      </c>
      <c r="C1561" s="51" t="e">
        <v>#REF!</v>
      </c>
      <c r="D1561" s="51" t="str">
        <v/>
      </c>
      <c r="E1561" s="51" t="str">
        <v/>
      </c>
      <c r="F1561" s="52" t="e">
        <v>#REF!</v>
      </c>
      <c r="G1561" s="48" t="e">
        <v>#REF!</v>
      </c>
      <c r="H1561" s="49">
        <v>15</v>
      </c>
      <c r="I1561" s="49" t="e">
        <v>#REF!</v>
      </c>
      <c r="J1561" s="50"/>
    </row>
    <row r="1562" outlineLevel="1" spans="1:10">
      <c r="A1562" s="50">
        <v>609</v>
      </c>
      <c r="B1562" s="51" t="str">
        <v>金属桥架-300*200</v>
      </c>
      <c r="C1562" s="51" t="e">
        <v>#REF!</v>
      </c>
      <c r="D1562" s="51" t="str">
        <v/>
      </c>
      <c r="E1562" s="51" t="str">
        <v/>
      </c>
      <c r="F1562" s="52" t="e">
        <v>#REF!</v>
      </c>
      <c r="G1562" s="48" t="e">
        <v>#REF!</v>
      </c>
      <c r="H1562" s="49">
        <v>0</v>
      </c>
      <c r="I1562" s="49" t="e">
        <v>#REF!</v>
      </c>
      <c r="J1562" s="50"/>
    </row>
    <row r="1563" outlineLevel="1" spans="1:10">
      <c r="A1563" s="50">
        <v>610</v>
      </c>
      <c r="B1563" s="51" t="str">
        <v>金属桥架-200*200</v>
      </c>
      <c r="C1563" s="51" t="e">
        <v>#REF!</v>
      </c>
      <c r="D1563" s="51" t="str">
        <v/>
      </c>
      <c r="E1563" s="51" t="str">
        <v/>
      </c>
      <c r="F1563" s="52" t="e">
        <v>#REF!</v>
      </c>
      <c r="G1563" s="48" t="e">
        <v>#REF!</v>
      </c>
      <c r="H1563" s="49">
        <v>0</v>
      </c>
      <c r="I1563" s="49" t="e">
        <v>#REF!</v>
      </c>
      <c r="J1563" s="50"/>
    </row>
    <row r="1564" outlineLevel="1" spans="1:10">
      <c r="A1564" s="50">
        <v>611</v>
      </c>
      <c r="B1564" s="51" t="str">
        <v>金属桥架-200*100</v>
      </c>
      <c r="C1564" s="51" t="e">
        <v>#REF!</v>
      </c>
      <c r="D1564" s="51" t="str">
        <v/>
      </c>
      <c r="E1564" s="51" t="str">
        <v/>
      </c>
      <c r="F1564" s="52" t="e">
        <v>#REF!</v>
      </c>
      <c r="G1564" s="48" t="e">
        <v>#REF!</v>
      </c>
      <c r="H1564" s="49">
        <v>18</v>
      </c>
      <c r="I1564" s="49" t="e">
        <v>#REF!</v>
      </c>
      <c r="J1564" s="50"/>
    </row>
    <row r="1565" outlineLevel="1" spans="1:10">
      <c r="A1565" s="50">
        <v>612</v>
      </c>
      <c r="B1565" s="51" t="str">
        <v>金属桥架-150*100</v>
      </c>
      <c r="C1565" s="51" t="e">
        <v>#REF!</v>
      </c>
      <c r="D1565" s="51" t="str">
        <v/>
      </c>
      <c r="E1565" s="51" t="str">
        <v/>
      </c>
      <c r="F1565" s="52" t="e">
        <v>#REF!</v>
      </c>
      <c r="G1565" s="48" t="e">
        <v>#REF!</v>
      </c>
      <c r="H1565" s="49">
        <v>1</v>
      </c>
      <c r="I1565" s="49" t="e">
        <v>#REF!</v>
      </c>
      <c r="J1565" s="50"/>
    </row>
    <row r="1566" outlineLevel="1" spans="1:10">
      <c r="A1566" s="50">
        <v>613</v>
      </c>
      <c r="B1566" s="51" t="str">
        <v>金属桥架-150*100</v>
      </c>
      <c r="C1566" s="51" t="e">
        <v>#REF!</v>
      </c>
      <c r="D1566" s="51" t="str">
        <v/>
      </c>
      <c r="E1566" s="51" t="str">
        <v/>
      </c>
      <c r="F1566" s="52" t="e">
        <v>#REF!</v>
      </c>
      <c r="G1566" s="48" t="e">
        <v>#REF!</v>
      </c>
      <c r="H1566" s="49">
        <v>0</v>
      </c>
      <c r="I1566" s="49" t="e">
        <v>#REF!</v>
      </c>
      <c r="J1566" s="50"/>
    </row>
    <row r="1567" outlineLevel="1" spans="1:10">
      <c r="A1567" s="50">
        <v>614</v>
      </c>
      <c r="B1567" s="51" t="str">
        <v>金属桥架-200*100</v>
      </c>
      <c r="C1567" s="51" t="e">
        <v>#REF!</v>
      </c>
      <c r="D1567" s="51" t="str">
        <v/>
      </c>
      <c r="E1567" s="51" t="str">
        <v/>
      </c>
      <c r="F1567" s="52" t="e">
        <v>#REF!</v>
      </c>
      <c r="G1567" s="48" t="e">
        <v>#REF!</v>
      </c>
      <c r="H1567" s="49">
        <v>0</v>
      </c>
      <c r="I1567" s="49" t="e">
        <v>#REF!</v>
      </c>
      <c r="J1567" s="50"/>
    </row>
    <row r="1568" outlineLevel="1" spans="1:10">
      <c r="A1568" s="50">
        <v>615</v>
      </c>
      <c r="B1568" s="51" t="str">
        <v>金属桥架-80*50</v>
      </c>
      <c r="C1568" s="51" t="e">
        <v>#REF!</v>
      </c>
      <c r="D1568" s="51" t="str">
        <v/>
      </c>
      <c r="E1568" s="51" t="str">
        <v/>
      </c>
      <c r="F1568" s="52" t="e">
        <v>#REF!</v>
      </c>
      <c r="G1568" s="48" t="e">
        <v>#REF!</v>
      </c>
      <c r="H1568" s="49">
        <v>0</v>
      </c>
      <c r="I1568" s="49" t="e">
        <v>#REF!</v>
      </c>
      <c r="J1568" s="50"/>
    </row>
    <row r="1569" outlineLevel="1" spans="1:10">
      <c r="A1569" s="50">
        <v>616</v>
      </c>
      <c r="B1569" s="51" t="str">
        <v>金属桥架-100*50</v>
      </c>
      <c r="C1569" s="51" t="e">
        <v>#REF!</v>
      </c>
      <c r="D1569" s="51" t="str">
        <v/>
      </c>
      <c r="E1569" s="51" t="str">
        <v/>
      </c>
      <c r="F1569" s="52" t="e">
        <v>#REF!</v>
      </c>
      <c r="G1569" s="48" t="e">
        <v>#REF!</v>
      </c>
      <c r="H1569" s="49">
        <v>0</v>
      </c>
      <c r="I1569" s="49" t="e">
        <v>#REF!</v>
      </c>
      <c r="J1569" s="50"/>
    </row>
    <row r="1570" outlineLevel="1" spans="1:10">
      <c r="A1570" s="50">
        <v>617</v>
      </c>
      <c r="B1570" s="51" t="str">
        <v>防火堵洞</v>
      </c>
      <c r="C1570" s="51" t="e">
        <v>#REF!</v>
      </c>
      <c r="D1570" s="51" t="str">
        <v/>
      </c>
      <c r="E1570" s="51" t="str">
        <v/>
      </c>
      <c r="F1570" s="52" t="e">
        <v>#REF!</v>
      </c>
      <c r="G1570" s="48" t="e">
        <v>#REF!</v>
      </c>
      <c r="H1570" s="49">
        <v>3</v>
      </c>
      <c r="I1570" s="49" t="e">
        <v>#REF!</v>
      </c>
      <c r="J1570" s="50"/>
    </row>
    <row r="1571" outlineLevel="1" spans="1:10">
      <c r="A1571" s="50">
        <v>618</v>
      </c>
      <c r="B1571" s="51" t="str">
        <v>阻燃塑料管配管-PC20-暗配</v>
      </c>
      <c r="C1571" s="51" t="e">
        <v>#REF!</v>
      </c>
      <c r="D1571" s="51" t="str">
        <v/>
      </c>
      <c r="E1571" s="51" t="str">
        <v/>
      </c>
      <c r="F1571" s="52" t="e">
        <v>#REF!</v>
      </c>
      <c r="G1571" s="48" t="e">
        <v>#REF!</v>
      </c>
      <c r="H1571" s="49">
        <v>27.38</v>
      </c>
      <c r="I1571" s="49" t="e">
        <v>#REF!</v>
      </c>
      <c r="J1571" s="50"/>
    </row>
    <row r="1572" outlineLevel="1" spans="1:10">
      <c r="A1572" s="50">
        <v>619</v>
      </c>
      <c r="B1572" s="51" t="str">
        <v>阻燃塑料管配管-PC25-暗配</v>
      </c>
      <c r="C1572" s="51" t="e">
        <v>#REF!</v>
      </c>
      <c r="D1572" s="51" t="str">
        <v/>
      </c>
      <c r="E1572" s="51" t="str">
        <v/>
      </c>
      <c r="F1572" s="52" t="e">
        <v>#REF!</v>
      </c>
      <c r="G1572" s="48" t="e">
        <v>#REF!</v>
      </c>
      <c r="H1572" s="49">
        <v>15.54</v>
      </c>
      <c r="I1572" s="49" t="e">
        <v>#REF!</v>
      </c>
      <c r="J1572" s="50"/>
    </row>
    <row r="1573" outlineLevel="1" spans="1:10">
      <c r="A1573" s="50">
        <v>620</v>
      </c>
      <c r="B1573" s="51" t="str">
        <v>薄壁钢导管配管-JDG20-暗配</v>
      </c>
      <c r="C1573" s="51" t="e">
        <v>#REF!</v>
      </c>
      <c r="D1573" s="51" t="str">
        <v/>
      </c>
      <c r="E1573" s="51" t="str">
        <v/>
      </c>
      <c r="F1573" s="52" t="e">
        <v>#REF!</v>
      </c>
      <c r="G1573" s="48" t="e">
        <v>#REF!</v>
      </c>
      <c r="H1573" s="49">
        <v>0</v>
      </c>
      <c r="I1573" s="49" t="e">
        <v>#REF!</v>
      </c>
      <c r="J1573" s="50"/>
    </row>
    <row r="1574" outlineLevel="1" spans="1:10">
      <c r="A1574" s="50">
        <v>621</v>
      </c>
      <c r="B1574" s="51" t="str">
        <v>薄壁钢导管配管-JDG25-暗配</v>
      </c>
      <c r="C1574" s="51" t="e">
        <v>#REF!</v>
      </c>
      <c r="D1574" s="51" t="str">
        <v/>
      </c>
      <c r="E1574" s="51" t="str">
        <v/>
      </c>
      <c r="F1574" s="52" t="e">
        <v>#REF!</v>
      </c>
      <c r="G1574" s="48" t="e">
        <v>#REF!</v>
      </c>
      <c r="H1574" s="49">
        <v>0</v>
      </c>
      <c r="I1574" s="49" t="e">
        <v>#REF!</v>
      </c>
      <c r="J1574" s="50"/>
    </row>
    <row r="1575" outlineLevel="1" spans="1:10">
      <c r="A1575" s="50">
        <v>622</v>
      </c>
      <c r="B1575" s="51" t="str">
        <v>SC20-暗配</v>
      </c>
      <c r="C1575" s="51" t="e">
        <v>#REF!</v>
      </c>
      <c r="D1575" s="51" t="str">
        <v/>
      </c>
      <c r="E1575" s="51" t="str">
        <v/>
      </c>
      <c r="F1575" s="52" t="e">
        <v>#REF!</v>
      </c>
      <c r="G1575" s="48" t="e">
        <v>#REF!</v>
      </c>
      <c r="H1575" s="49">
        <v>21.33</v>
      </c>
      <c r="I1575" s="49" t="e">
        <v>#REF!</v>
      </c>
      <c r="J1575" s="50"/>
    </row>
    <row r="1576" outlineLevel="1" spans="1:10">
      <c r="A1576" s="50">
        <v>623</v>
      </c>
      <c r="B1576" s="51" t="str">
        <v>SC40-暗配</v>
      </c>
      <c r="C1576" s="51" t="e">
        <v>#REF!</v>
      </c>
      <c r="D1576" s="51" t="str">
        <v/>
      </c>
      <c r="E1576" s="51" t="str">
        <v/>
      </c>
      <c r="F1576" s="52" t="e">
        <v>#REF!</v>
      </c>
      <c r="G1576" s="48" t="e">
        <v>#REF!</v>
      </c>
      <c r="H1576" s="49">
        <v>0</v>
      </c>
      <c r="I1576" s="49" t="e">
        <v>#REF!</v>
      </c>
      <c r="J1576" s="50"/>
    </row>
    <row r="1577" outlineLevel="1" spans="1:10">
      <c r="A1577" s="50">
        <v>624</v>
      </c>
      <c r="B1577" s="51" t="str">
        <v>SC80-暗配</v>
      </c>
      <c r="C1577" s="51" t="e">
        <v>#REF!</v>
      </c>
      <c r="D1577" s="51" t="str">
        <v/>
      </c>
      <c r="E1577" s="51" t="str">
        <v/>
      </c>
      <c r="F1577" s="52" t="e">
        <v>#REF!</v>
      </c>
      <c r="G1577" s="48" t="e">
        <v>#REF!</v>
      </c>
      <c r="H1577" s="49">
        <v>0</v>
      </c>
      <c r="I1577" s="49" t="e">
        <v>#REF!</v>
      </c>
      <c r="J1577" s="50"/>
    </row>
    <row r="1578" outlineLevel="1" spans="1:10">
      <c r="A1578" s="50">
        <v>625</v>
      </c>
      <c r="B1578" s="51" t="str">
        <v>暗装塑料接线盒</v>
      </c>
      <c r="C1578" s="51" t="e">
        <v>#REF!</v>
      </c>
      <c r="D1578" s="51" t="str">
        <v/>
      </c>
      <c r="E1578" s="51" t="str">
        <v/>
      </c>
      <c r="F1578" s="52" t="e">
        <v>#REF!</v>
      </c>
      <c r="G1578" s="48" t="e">
        <v>#REF!</v>
      </c>
      <c r="H1578" s="49">
        <v>4</v>
      </c>
      <c r="I1578" s="49" t="e">
        <v>#REF!</v>
      </c>
      <c r="J1578" s="50"/>
    </row>
    <row r="1579" outlineLevel="1" spans="1:10">
      <c r="A1579" s="50">
        <v>626</v>
      </c>
      <c r="B1579" s="51" t="str">
        <v>暗装钢制接线盒</v>
      </c>
      <c r="C1579" s="51" t="e">
        <v>#REF!</v>
      </c>
      <c r="D1579" s="51" t="str">
        <v/>
      </c>
      <c r="E1579" s="51" t="str">
        <v/>
      </c>
      <c r="F1579" s="52" t="e">
        <v>#REF!</v>
      </c>
      <c r="G1579" s="48" t="e">
        <v>#REF!</v>
      </c>
      <c r="H1579" s="49">
        <v>2</v>
      </c>
      <c r="I1579" s="49" t="e">
        <v>#REF!</v>
      </c>
      <c r="J1579" s="50"/>
    </row>
    <row r="1580" outlineLevel="1" spans="1:10">
      <c r="A1580" s="50">
        <v>627</v>
      </c>
      <c r="B1580" s="51" t="str">
        <v>空白面板</v>
      </c>
      <c r="C1580" s="51" t="e">
        <v>#REF!</v>
      </c>
      <c r="D1580" s="51" t="str">
        <v/>
      </c>
      <c r="E1580" s="51" t="str">
        <v/>
      </c>
      <c r="F1580" s="52" t="e">
        <v>#REF!</v>
      </c>
      <c r="G1580" s="48" t="e">
        <v>#REF!</v>
      </c>
      <c r="H1580" s="49">
        <v>6</v>
      </c>
      <c r="I1580" s="49" t="e">
        <v>#REF!</v>
      </c>
      <c r="J1580" s="50"/>
    </row>
    <row r="1581" outlineLevel="1" spans="1:10">
      <c r="A1581" s="50">
        <v>628</v>
      </c>
      <c r="B1581" s="51" t="str">
        <v>管内穿铁丝</v>
      </c>
      <c r="C1581" s="51" t="e">
        <v>#REF!</v>
      </c>
      <c r="D1581" s="51" t="str">
        <v/>
      </c>
      <c r="E1581" s="51" t="str">
        <v/>
      </c>
      <c r="F1581" s="52" t="e">
        <v>#REF!</v>
      </c>
      <c r="G1581" s="48" t="e">
        <v>#REF!</v>
      </c>
      <c r="H1581" s="49">
        <v>64.25</v>
      </c>
      <c r="I1581" s="49" t="e">
        <v>#REF!</v>
      </c>
      <c r="J1581" s="50"/>
    </row>
    <row r="1582" outlineLevel="1" spans="1:10">
      <c r="A1582" s="50">
        <v>629</v>
      </c>
      <c r="B1582" s="51" t="str">
        <v>电缆保护管-RC80</v>
      </c>
      <c r="C1582" s="51" t="e">
        <v>#REF!</v>
      </c>
      <c r="D1582" s="51" t="str">
        <v/>
      </c>
      <c r="E1582" s="51" t="str">
        <v/>
      </c>
      <c r="F1582" s="52" t="e">
        <v>#REF!</v>
      </c>
      <c r="G1582" s="48" t="e">
        <v>#REF!</v>
      </c>
      <c r="H1582" s="49">
        <v>0</v>
      </c>
      <c r="I1582" s="49" t="e">
        <v>#REF!</v>
      </c>
      <c r="J1582" s="50"/>
    </row>
    <row r="1583" outlineLevel="1" spans="1:10">
      <c r="A1583" s="50" t="str">
        <v/>
      </c>
      <c r="B1583" s="51" t="str">
        <v>B.20消防工程</v>
      </c>
      <c r="C1583" s="51" t="str">
        <v/>
      </c>
      <c r="D1583" s="51" t="str">
        <v/>
      </c>
      <c r="E1583" s="51" t="str">
        <v/>
      </c>
      <c r="F1583" s="52" t="str">
        <v/>
      </c>
      <c r="G1583" s="48" t="str">
        <v/>
      </c>
      <c r="H1583" s="49">
        <v>0</v>
      </c>
      <c r="I1583" s="49" t="e">
        <v>#REF!</v>
      </c>
      <c r="J1583" s="50"/>
    </row>
    <row r="1584" outlineLevel="1" spans="1:10">
      <c r="A1584" s="50">
        <v>630</v>
      </c>
      <c r="B1584" s="51" t="str">
        <v>防火桥架-100*100</v>
      </c>
      <c r="C1584" s="51" t="e">
        <v>#REF!</v>
      </c>
      <c r="D1584" s="51" t="str">
        <v/>
      </c>
      <c r="E1584" s="51" t="str">
        <v/>
      </c>
      <c r="F1584" s="52" t="e">
        <v>#REF!</v>
      </c>
      <c r="G1584" s="48" t="e">
        <v>#REF!</v>
      </c>
      <c r="H1584" s="49">
        <v>31.6</v>
      </c>
      <c r="I1584" s="49" t="e">
        <v>#REF!</v>
      </c>
      <c r="J1584" s="50"/>
    </row>
    <row r="1585" outlineLevel="1" spans="1:10">
      <c r="A1585" s="50">
        <v>631</v>
      </c>
      <c r="B1585" s="51" t="str">
        <v>防火桥架-200*100</v>
      </c>
      <c r="C1585" s="51" t="e">
        <v>#REF!</v>
      </c>
      <c r="D1585" s="51" t="str">
        <v/>
      </c>
      <c r="E1585" s="51" t="str">
        <v/>
      </c>
      <c r="F1585" s="52" t="e">
        <v>#REF!</v>
      </c>
      <c r="G1585" s="48" t="e">
        <v>#REF!</v>
      </c>
      <c r="H1585" s="49">
        <v>0</v>
      </c>
      <c r="I1585" s="49" t="e">
        <v>#REF!</v>
      </c>
      <c r="J1585" s="50"/>
    </row>
    <row r="1586" outlineLevel="1" spans="1:10">
      <c r="A1586" s="50">
        <v>632</v>
      </c>
      <c r="B1586" s="51" t="str">
        <v>防火桥架-200*150</v>
      </c>
      <c r="C1586" s="51" t="e">
        <v>#REF!</v>
      </c>
      <c r="D1586" s="51" t="str">
        <v/>
      </c>
      <c r="E1586" s="51" t="str">
        <v/>
      </c>
      <c r="F1586" s="52" t="e">
        <v>#REF!</v>
      </c>
      <c r="G1586" s="48" t="e">
        <v>#REF!</v>
      </c>
      <c r="H1586" s="49">
        <v>0</v>
      </c>
      <c r="I1586" s="49" t="e">
        <v>#REF!</v>
      </c>
      <c r="J1586" s="50"/>
    </row>
    <row r="1587" outlineLevel="1" spans="1:10">
      <c r="A1587" s="50">
        <v>633</v>
      </c>
      <c r="B1587" s="51" t="str">
        <v>防火桥架-200*200</v>
      </c>
      <c r="C1587" s="51" t="e">
        <v>#REF!</v>
      </c>
      <c r="D1587" s="51" t="str">
        <v/>
      </c>
      <c r="E1587" s="51" t="str">
        <v/>
      </c>
      <c r="F1587" s="52" t="e">
        <v>#REF!</v>
      </c>
      <c r="G1587" s="48" t="e">
        <v>#REF!</v>
      </c>
      <c r="H1587" s="49">
        <v>0</v>
      </c>
      <c r="I1587" s="49" t="e">
        <v>#REF!</v>
      </c>
      <c r="J1587" s="50"/>
    </row>
    <row r="1588" outlineLevel="1" spans="1:10">
      <c r="A1588" s="50">
        <v>634</v>
      </c>
      <c r="B1588" s="51" t="str">
        <v>防火桥架-300*150</v>
      </c>
      <c r="C1588" s="51" t="e">
        <v>#REF!</v>
      </c>
      <c r="D1588" s="51" t="str">
        <v/>
      </c>
      <c r="E1588" s="51" t="str">
        <v/>
      </c>
      <c r="F1588" s="52" t="e">
        <v>#REF!</v>
      </c>
      <c r="G1588" s="48" t="e">
        <v>#REF!</v>
      </c>
      <c r="H1588" s="49">
        <v>0</v>
      </c>
      <c r="I1588" s="49" t="e">
        <v>#REF!</v>
      </c>
      <c r="J1588" s="50"/>
    </row>
    <row r="1589" outlineLevel="1" spans="1:10">
      <c r="A1589" s="50">
        <v>635</v>
      </c>
      <c r="B1589" s="51" t="str">
        <v>防火桥架-300*200</v>
      </c>
      <c r="C1589" s="51" t="e">
        <v>#REF!</v>
      </c>
      <c r="D1589" s="51" t="str">
        <v/>
      </c>
      <c r="E1589" s="51" t="str">
        <v/>
      </c>
      <c r="F1589" s="52" t="e">
        <v>#REF!</v>
      </c>
      <c r="G1589" s="48" t="e">
        <v>#REF!</v>
      </c>
      <c r="H1589" s="49">
        <v>0</v>
      </c>
      <c r="I1589" s="49" t="e">
        <v>#REF!</v>
      </c>
      <c r="J1589" s="50"/>
    </row>
    <row r="1590" outlineLevel="1" spans="1:10">
      <c r="A1590" s="50">
        <v>636</v>
      </c>
      <c r="B1590" s="51" t="str">
        <v>防火桥架-400*150</v>
      </c>
      <c r="C1590" s="51" t="e">
        <v>#REF!</v>
      </c>
      <c r="D1590" s="51" t="str">
        <v/>
      </c>
      <c r="E1590" s="51" t="str">
        <v/>
      </c>
      <c r="F1590" s="52" t="e">
        <v>#REF!</v>
      </c>
      <c r="G1590" s="48" t="e">
        <v>#REF!</v>
      </c>
      <c r="H1590" s="49">
        <v>0</v>
      </c>
      <c r="I1590" s="49" t="e">
        <v>#REF!</v>
      </c>
      <c r="J1590" s="50"/>
    </row>
    <row r="1591" outlineLevel="1" spans="1:10">
      <c r="A1591" s="50">
        <v>637</v>
      </c>
      <c r="B1591" s="51" t="str">
        <v>防火桥架-400*200</v>
      </c>
      <c r="C1591" s="51" t="e">
        <v>#REF!</v>
      </c>
      <c r="D1591" s="51" t="str">
        <v/>
      </c>
      <c r="E1591" s="51" t="str">
        <v/>
      </c>
      <c r="F1591" s="52" t="e">
        <v>#REF!</v>
      </c>
      <c r="G1591" s="48" t="e">
        <v>#REF!</v>
      </c>
      <c r="H1591" s="49">
        <v>0</v>
      </c>
      <c r="I1591" s="49" t="e">
        <v>#REF!</v>
      </c>
      <c r="J1591" s="50"/>
    </row>
    <row r="1592" outlineLevel="1" spans="1:10">
      <c r="A1592" s="50">
        <v>636</v>
      </c>
      <c r="B1592" s="51" t="str">
        <v>防火堵洞</v>
      </c>
      <c r="C1592" s="51" t="e">
        <v>#REF!</v>
      </c>
      <c r="D1592" s="51" t="str">
        <v/>
      </c>
      <c r="E1592" s="51" t="str">
        <v/>
      </c>
      <c r="F1592" s="52" t="e">
        <v>#REF!</v>
      </c>
      <c r="G1592" s="48" t="e">
        <v>#REF!</v>
      </c>
      <c r="H1592" s="49">
        <v>5</v>
      </c>
      <c r="I1592" s="49" t="e">
        <v>#REF!</v>
      </c>
      <c r="J1592" s="50"/>
    </row>
    <row r="1593" outlineLevel="1" spans="1:10">
      <c r="A1593" s="50">
        <v>638</v>
      </c>
      <c r="B1593" s="51" t="str">
        <v>薄壁钢导管配管-JDG20-暗配</v>
      </c>
      <c r="C1593" s="51" t="e">
        <v>#REF!</v>
      </c>
      <c r="D1593" s="51" t="str">
        <v/>
      </c>
      <c r="E1593" s="51" t="str">
        <v/>
      </c>
      <c r="F1593" s="52" t="e">
        <v>#REF!</v>
      </c>
      <c r="G1593" s="48" t="e">
        <v>#REF!</v>
      </c>
      <c r="H1593" s="49">
        <v>0</v>
      </c>
      <c r="I1593" s="49" t="e">
        <v>#REF!</v>
      </c>
      <c r="J1593" s="50"/>
    </row>
    <row r="1594" outlineLevel="1" spans="1:10">
      <c r="A1594" s="50">
        <v>639</v>
      </c>
      <c r="B1594" s="51" t="str">
        <v>薄壁钢导管配管-JDG25-暗配</v>
      </c>
      <c r="C1594" s="51" t="e">
        <v>#REF!</v>
      </c>
      <c r="D1594" s="51" t="str">
        <v/>
      </c>
      <c r="E1594" s="51" t="str">
        <v/>
      </c>
      <c r="F1594" s="52" t="e">
        <v>#REF!</v>
      </c>
      <c r="G1594" s="48" t="e">
        <v>#REF!</v>
      </c>
      <c r="H1594" s="49">
        <v>0</v>
      </c>
      <c r="I1594" s="49" t="e">
        <v>#REF!</v>
      </c>
      <c r="J1594" s="50"/>
    </row>
    <row r="1595" outlineLevel="1" spans="1:10">
      <c r="A1595" s="50">
        <v>640</v>
      </c>
      <c r="B1595" s="51" t="str">
        <v>SC15-暗配</v>
      </c>
      <c r="C1595" s="51" t="e">
        <v>#REF!</v>
      </c>
      <c r="D1595" s="51" t="str">
        <v/>
      </c>
      <c r="E1595" s="51" t="str">
        <v/>
      </c>
      <c r="F1595" s="52" t="e">
        <v>#REF!</v>
      </c>
      <c r="G1595" s="48" t="e">
        <v>#REF!</v>
      </c>
      <c r="H1595" s="49">
        <v>1</v>
      </c>
      <c r="I1595" s="49" t="e">
        <v>#REF!</v>
      </c>
      <c r="J1595" s="50"/>
    </row>
    <row r="1596" outlineLevel="1" spans="1:10">
      <c r="A1596" s="50">
        <v>641</v>
      </c>
      <c r="B1596" s="51" t="str">
        <v>SC20-暗配</v>
      </c>
      <c r="C1596" s="51" t="e">
        <v>#REF!</v>
      </c>
      <c r="D1596" s="51" t="str">
        <v/>
      </c>
      <c r="E1596" s="51" t="str">
        <v/>
      </c>
      <c r="F1596" s="52" t="e">
        <v>#REF!</v>
      </c>
      <c r="G1596" s="48" t="e">
        <v>#REF!</v>
      </c>
      <c r="H1596" s="49">
        <v>312.97</v>
      </c>
      <c r="I1596" s="49" t="e">
        <v>#REF!</v>
      </c>
      <c r="J1596" s="50"/>
    </row>
    <row r="1597" outlineLevel="1" spans="1:10">
      <c r="A1597" s="50">
        <v>642</v>
      </c>
      <c r="B1597" s="51" t="str">
        <v>SC25-暗配</v>
      </c>
      <c r="C1597" s="51" t="e">
        <v>#REF!</v>
      </c>
      <c r="D1597" s="51" t="str">
        <v/>
      </c>
      <c r="E1597" s="51" t="str">
        <v/>
      </c>
      <c r="F1597" s="52" t="e">
        <v>#REF!</v>
      </c>
      <c r="G1597" s="48" t="e">
        <v>#REF!</v>
      </c>
      <c r="H1597" s="49">
        <v>21.26</v>
      </c>
      <c r="I1597" s="49" t="e">
        <v>#REF!</v>
      </c>
      <c r="J1597" s="50"/>
    </row>
    <row r="1598" outlineLevel="1" spans="1:10">
      <c r="A1598" s="50">
        <v>643</v>
      </c>
      <c r="B1598" s="51" t="str">
        <v>管内穿铁丝</v>
      </c>
      <c r="C1598" s="51" t="e">
        <v>#REF!</v>
      </c>
      <c r="D1598" s="51" t="str">
        <v/>
      </c>
      <c r="E1598" s="51" t="str">
        <v/>
      </c>
      <c r="F1598" s="52" t="e">
        <v>#REF!</v>
      </c>
      <c r="G1598" s="48" t="e">
        <v>#REF!</v>
      </c>
      <c r="H1598" s="49">
        <v>334.23</v>
      </c>
      <c r="I1598" s="49" t="e">
        <v>#REF!</v>
      </c>
      <c r="J1598" s="50"/>
    </row>
    <row r="1599" outlineLevel="1" spans="1:10">
      <c r="A1599" s="50">
        <v>644</v>
      </c>
      <c r="B1599" s="51" t="str">
        <v>暗装钢制接线盒</v>
      </c>
      <c r="C1599" s="51" t="e">
        <v>#REF!</v>
      </c>
      <c r="D1599" s="51" t="str">
        <v/>
      </c>
      <c r="E1599" s="51" t="str">
        <v/>
      </c>
      <c r="F1599" s="52" t="e">
        <v>#REF!</v>
      </c>
      <c r="G1599" s="48" t="e">
        <v>#REF!</v>
      </c>
      <c r="H1599" s="49">
        <v>42</v>
      </c>
      <c r="I1599" s="49" t="e">
        <v>#REF!</v>
      </c>
      <c r="J1599" s="50"/>
    </row>
    <row r="1600" outlineLevel="1" spans="1:10">
      <c r="A1600" s="50" t="str">
        <v/>
      </c>
      <c r="B1600" s="51" t="str">
        <v>地上电气</v>
      </c>
      <c r="C1600" s="51" t="str">
        <v/>
      </c>
      <c r="D1600" s="51" t="str">
        <v/>
      </c>
      <c r="E1600" s="51" t="str">
        <v/>
      </c>
      <c r="F1600" s="52" t="str">
        <v/>
      </c>
      <c r="G1600" s="48" t="str">
        <v/>
      </c>
      <c r="H1600" s="49">
        <v>0</v>
      </c>
      <c r="I1600" s="49" t="e">
        <v>#REF!</v>
      </c>
      <c r="J1600" s="50"/>
    </row>
    <row r="1601" outlineLevel="1" spans="1:10">
      <c r="A1601" s="50" t="str">
        <v/>
      </c>
      <c r="B1601" s="51" t="str">
        <v>B.21强电工程</v>
      </c>
      <c r="C1601" s="51" t="str">
        <v/>
      </c>
      <c r="D1601" s="51" t="str">
        <v/>
      </c>
      <c r="E1601" s="51" t="str">
        <v/>
      </c>
      <c r="F1601" s="52" t="str">
        <v/>
      </c>
      <c r="G1601" s="48" t="str">
        <v/>
      </c>
      <c r="H1601" s="49">
        <v>0</v>
      </c>
      <c r="I1601" s="49" t="e">
        <v>#REF!</v>
      </c>
      <c r="J1601" s="50"/>
    </row>
    <row r="1602" outlineLevel="1" spans="1:10">
      <c r="A1602" s="50" t="str">
        <v/>
      </c>
      <c r="B1602" s="51" t="str">
        <v>B.21.1配电箱</v>
      </c>
      <c r="C1602" s="51" t="str">
        <v/>
      </c>
      <c r="D1602" s="51" t="str">
        <v/>
      </c>
      <c r="E1602" s="51" t="str">
        <v/>
      </c>
      <c r="F1602" s="52" t="str">
        <v/>
      </c>
      <c r="G1602" s="48" t="str">
        <v/>
      </c>
      <c r="H1602" s="49">
        <v>0</v>
      </c>
      <c r="I1602" s="49" t="e">
        <v>#REF!</v>
      </c>
      <c r="J1602" s="50"/>
    </row>
    <row r="1603" outlineLevel="1" spans="1:10">
      <c r="A1603" s="50">
        <v>645</v>
      </c>
      <c r="B1603" s="51" t="str">
        <v>AL1配电箱</v>
      </c>
      <c r="C1603" s="51" t="e">
        <v>#REF!</v>
      </c>
      <c r="D1603" s="51" t="str">
        <v/>
      </c>
      <c r="E1603" s="51" t="str">
        <v/>
      </c>
      <c r="F1603" s="52" t="e">
        <v>#REF!</v>
      </c>
      <c r="G1603" s="48" t="e">
        <v>#REF!</v>
      </c>
      <c r="H1603" s="49">
        <v>44</v>
      </c>
      <c r="I1603" s="49" t="e">
        <v>#REF!</v>
      </c>
      <c r="J1603" s="50"/>
    </row>
    <row r="1604" outlineLevel="1" spans="1:10">
      <c r="A1604" s="50">
        <v>646</v>
      </c>
      <c r="B1604" s="51" t="str">
        <v>AL2配电箱</v>
      </c>
      <c r="C1604" s="51" t="e">
        <v>#REF!</v>
      </c>
      <c r="D1604" s="51" t="str">
        <v/>
      </c>
      <c r="E1604" s="51" t="str">
        <v/>
      </c>
      <c r="F1604" s="52" t="e">
        <v>#REF!</v>
      </c>
      <c r="G1604" s="48" t="e">
        <v>#REF!</v>
      </c>
      <c r="H1604" s="49">
        <v>1</v>
      </c>
      <c r="I1604" s="49" t="e">
        <v>#REF!</v>
      </c>
      <c r="J1604" s="50"/>
    </row>
    <row r="1605" ht="28.8" outlineLevel="1" spans="1:10">
      <c r="A1605" s="50">
        <v>647</v>
      </c>
      <c r="B1605" s="51" t="str">
        <v>应急照明配电箱-0.3KW DC36V</v>
      </c>
      <c r="C1605" s="51" t="e">
        <v>#REF!</v>
      </c>
      <c r="D1605" s="51" t="str">
        <v/>
      </c>
      <c r="E1605" s="51" t="str">
        <v/>
      </c>
      <c r="F1605" s="52" t="e">
        <v>#REF!</v>
      </c>
      <c r="G1605" s="48" t="e">
        <v>#REF!</v>
      </c>
      <c r="H1605" s="49">
        <v>1</v>
      </c>
      <c r="I1605" s="49" t="e">
        <v>#REF!</v>
      </c>
      <c r="J1605" s="50"/>
    </row>
    <row r="1606" ht="28.8" outlineLevel="1" spans="1:10">
      <c r="A1606" s="50">
        <v>648</v>
      </c>
      <c r="B1606" s="51" t="str">
        <v>应急照明配电箱-0.6KW DC36V</v>
      </c>
      <c r="C1606" s="51" t="e">
        <v>#REF!</v>
      </c>
      <c r="D1606" s="51" t="str">
        <v/>
      </c>
      <c r="E1606" s="51" t="str">
        <v/>
      </c>
      <c r="F1606" s="52" t="e">
        <v>#REF!</v>
      </c>
      <c r="G1606" s="48" t="e">
        <v>#REF!</v>
      </c>
      <c r="H1606" s="49">
        <v>0</v>
      </c>
      <c r="I1606" s="49" t="e">
        <v>#REF!</v>
      </c>
      <c r="J1606" s="50"/>
    </row>
    <row r="1607" ht="28.8" outlineLevel="1" spans="1:10">
      <c r="A1607" s="50">
        <v>649</v>
      </c>
      <c r="B1607" s="51" t="str">
        <v>应急照明配电箱-0.9KW DC36V</v>
      </c>
      <c r="C1607" s="51" t="e">
        <v>#REF!</v>
      </c>
      <c r="D1607" s="51" t="str">
        <v/>
      </c>
      <c r="E1607" s="51" t="str">
        <v/>
      </c>
      <c r="F1607" s="52" t="e">
        <v>#REF!</v>
      </c>
      <c r="G1607" s="48" t="e">
        <v>#REF!</v>
      </c>
      <c r="H1607" s="49">
        <v>0</v>
      </c>
      <c r="I1607" s="49" t="e">
        <v>#REF!</v>
      </c>
      <c r="J1607" s="50"/>
    </row>
    <row r="1608" ht="28.8" outlineLevel="1" spans="1:10">
      <c r="A1608" s="50">
        <v>650</v>
      </c>
      <c r="B1608" s="51" t="str">
        <v>公区电源箱（半周长1.0m以内）</v>
      </c>
      <c r="C1608" s="51" t="e">
        <v>#REF!</v>
      </c>
      <c r="D1608" s="51" t="str">
        <v/>
      </c>
      <c r="E1608" s="51" t="str">
        <v/>
      </c>
      <c r="F1608" s="52" t="e">
        <v>#REF!</v>
      </c>
      <c r="G1608" s="48" t="e">
        <v>#REF!</v>
      </c>
      <c r="H1608" s="49">
        <v>2</v>
      </c>
      <c r="I1608" s="49" t="e">
        <v>#REF!</v>
      </c>
      <c r="J1608" s="50"/>
    </row>
    <row r="1609" ht="28.8" outlineLevel="1" spans="1:10">
      <c r="A1609" s="50">
        <v>651</v>
      </c>
      <c r="B1609" s="51" t="str">
        <v>公区电源箱（半周长1.5m以内）</v>
      </c>
      <c r="C1609" s="51" t="e">
        <v>#REF!</v>
      </c>
      <c r="D1609" s="51" t="str">
        <v/>
      </c>
      <c r="E1609" s="51" t="str">
        <v/>
      </c>
      <c r="F1609" s="52" t="e">
        <v>#REF!</v>
      </c>
      <c r="G1609" s="48" t="e">
        <v>#REF!</v>
      </c>
      <c r="H1609" s="49">
        <v>2</v>
      </c>
      <c r="I1609" s="49" t="e">
        <v>#REF!</v>
      </c>
      <c r="J1609" s="50"/>
    </row>
    <row r="1610" ht="28.8" outlineLevel="1" spans="1:10">
      <c r="A1610" s="50">
        <v>652</v>
      </c>
      <c r="B1610" s="51" t="str">
        <v>公区电源箱（半周长2m以内）</v>
      </c>
      <c r="C1610" s="51" t="e">
        <v>#REF!</v>
      </c>
      <c r="D1610" s="51" t="str">
        <v/>
      </c>
      <c r="E1610" s="51" t="str">
        <v/>
      </c>
      <c r="F1610" s="52" t="e">
        <v>#REF!</v>
      </c>
      <c r="G1610" s="48" t="e">
        <v>#REF!</v>
      </c>
      <c r="H1610" s="49">
        <v>0</v>
      </c>
      <c r="I1610" s="49" t="e">
        <v>#REF!</v>
      </c>
      <c r="J1610" s="50"/>
    </row>
    <row r="1611" outlineLevel="1" spans="1:10">
      <c r="A1611" s="50">
        <v>653</v>
      </c>
      <c r="B1611" s="51" t="str">
        <v>应急电源配电箱</v>
      </c>
      <c r="C1611" s="51" t="e">
        <v>#REF!</v>
      </c>
      <c r="D1611" s="51" t="str">
        <v/>
      </c>
      <c r="E1611" s="51" t="str">
        <v/>
      </c>
      <c r="F1611" s="52" t="e">
        <v>#REF!</v>
      </c>
      <c r="G1611" s="48" t="e">
        <v>#REF!</v>
      </c>
      <c r="H1611" s="49">
        <v>2</v>
      </c>
      <c r="I1611" s="49" t="e">
        <v>#REF!</v>
      </c>
      <c r="J1611" s="50"/>
    </row>
    <row r="1612" outlineLevel="1" spans="1:10">
      <c r="A1612" s="50" t="str">
        <v/>
      </c>
      <c r="B1612" s="51" t="str">
        <v>B.21.2电力桥架</v>
      </c>
      <c r="C1612" s="51" t="str">
        <v/>
      </c>
      <c r="D1612" s="51" t="str">
        <v/>
      </c>
      <c r="E1612" s="51" t="str">
        <v/>
      </c>
      <c r="F1612" s="52" t="str">
        <v/>
      </c>
      <c r="G1612" s="48" t="str">
        <v/>
      </c>
      <c r="H1612" s="49">
        <v>0</v>
      </c>
      <c r="I1612" s="49" t="e">
        <v>#REF!</v>
      </c>
      <c r="J1612" s="50"/>
    </row>
    <row r="1613" outlineLevel="1" spans="1:10">
      <c r="A1613" s="50">
        <v>654</v>
      </c>
      <c r="B1613" s="51" t="str">
        <v>防火桥架-100*100</v>
      </c>
      <c r="C1613" s="51" t="e">
        <v>#REF!</v>
      </c>
      <c r="D1613" s="51" t="str">
        <v/>
      </c>
      <c r="E1613" s="51" t="str">
        <v/>
      </c>
      <c r="F1613" s="52" t="e">
        <v>#REF!</v>
      </c>
      <c r="G1613" s="48" t="e">
        <v>#REF!</v>
      </c>
      <c r="H1613" s="49">
        <v>66.22</v>
      </c>
      <c r="I1613" s="49" t="e">
        <v>#REF!</v>
      </c>
      <c r="J1613" s="50"/>
    </row>
    <row r="1614" outlineLevel="1" spans="1:10">
      <c r="A1614" s="50">
        <v>655</v>
      </c>
      <c r="B1614" s="51" t="str">
        <v>防火桥架-200*100</v>
      </c>
      <c r="C1614" s="51" t="e">
        <v>#REF!</v>
      </c>
      <c r="D1614" s="51" t="str">
        <v/>
      </c>
      <c r="E1614" s="51" t="str">
        <v/>
      </c>
      <c r="F1614" s="52" t="e">
        <v>#REF!</v>
      </c>
      <c r="G1614" s="48" t="e">
        <v>#REF!</v>
      </c>
      <c r="H1614" s="49">
        <v>0</v>
      </c>
      <c r="I1614" s="49" t="e">
        <v>#REF!</v>
      </c>
      <c r="J1614" s="50"/>
    </row>
    <row r="1615" outlineLevel="1" spans="1:10">
      <c r="A1615" s="50">
        <v>656</v>
      </c>
      <c r="B1615" s="51" t="str">
        <v>防火桥架-300*150</v>
      </c>
      <c r="C1615" s="51" t="e">
        <v>#REF!</v>
      </c>
      <c r="D1615" s="51" t="str">
        <v/>
      </c>
      <c r="E1615" s="51" t="str">
        <v/>
      </c>
      <c r="F1615" s="52" t="e">
        <v>#REF!</v>
      </c>
      <c r="G1615" s="48" t="e">
        <v>#REF!</v>
      </c>
      <c r="H1615" s="49">
        <v>1</v>
      </c>
      <c r="I1615" s="49" t="e">
        <v>#REF!</v>
      </c>
      <c r="J1615" s="50"/>
    </row>
    <row r="1616" outlineLevel="1" spans="1:10">
      <c r="A1616" s="50">
        <v>657</v>
      </c>
      <c r="B1616" s="51" t="str">
        <v>电业桥架-200*150</v>
      </c>
      <c r="C1616" s="51" t="e">
        <v>#REF!</v>
      </c>
      <c r="D1616" s="51" t="str">
        <v/>
      </c>
      <c r="E1616" s="51" t="str">
        <v/>
      </c>
      <c r="F1616" s="52" t="e">
        <v>#REF!</v>
      </c>
      <c r="G1616" s="48" t="e">
        <v>#REF!</v>
      </c>
      <c r="H1616" s="49">
        <v>0</v>
      </c>
      <c r="I1616" s="49" t="e">
        <v>#REF!</v>
      </c>
      <c r="J1616" s="50"/>
    </row>
    <row r="1617" outlineLevel="1" spans="1:10">
      <c r="A1617" s="50">
        <v>658</v>
      </c>
      <c r="B1617" s="51" t="str">
        <v>电业桥架-200*200</v>
      </c>
      <c r="C1617" s="51" t="e">
        <v>#REF!</v>
      </c>
      <c r="D1617" s="51" t="str">
        <v/>
      </c>
      <c r="E1617" s="51" t="str">
        <v/>
      </c>
      <c r="F1617" s="52" t="e">
        <v>#REF!</v>
      </c>
      <c r="G1617" s="48" t="e">
        <v>#REF!</v>
      </c>
      <c r="H1617" s="49">
        <v>0</v>
      </c>
      <c r="I1617" s="49" t="e">
        <v>#REF!</v>
      </c>
      <c r="J1617" s="50"/>
    </row>
    <row r="1618" outlineLevel="1" spans="1:10">
      <c r="A1618" s="50">
        <v>659</v>
      </c>
      <c r="B1618" s="51" t="str">
        <v>电业桥架-300*150</v>
      </c>
      <c r="C1618" s="51" t="e">
        <v>#REF!</v>
      </c>
      <c r="D1618" s="51" t="str">
        <v/>
      </c>
      <c r="E1618" s="51" t="str">
        <v/>
      </c>
      <c r="F1618" s="52" t="e">
        <v>#REF!</v>
      </c>
      <c r="G1618" s="48" t="e">
        <v>#REF!</v>
      </c>
      <c r="H1618" s="49">
        <v>0</v>
      </c>
      <c r="I1618" s="49" t="e">
        <v>#REF!</v>
      </c>
      <c r="J1618" s="50"/>
    </row>
    <row r="1619" outlineLevel="1" spans="1:10">
      <c r="A1619" s="50">
        <v>660</v>
      </c>
      <c r="B1619" s="51" t="str">
        <v>电业桥架-300*200</v>
      </c>
      <c r="C1619" s="51" t="e">
        <v>#REF!</v>
      </c>
      <c r="D1619" s="51" t="str">
        <v/>
      </c>
      <c r="E1619" s="51" t="str">
        <v/>
      </c>
      <c r="F1619" s="52" t="e">
        <v>#REF!</v>
      </c>
      <c r="G1619" s="48" t="e">
        <v>#REF!</v>
      </c>
      <c r="H1619" s="49">
        <v>0</v>
      </c>
      <c r="I1619" s="49" t="e">
        <v>#REF!</v>
      </c>
      <c r="J1619" s="50"/>
    </row>
    <row r="1620" outlineLevel="1" spans="1:10">
      <c r="A1620" s="50">
        <v>661</v>
      </c>
      <c r="B1620" s="51" t="str">
        <v>电业桥架-400*200</v>
      </c>
      <c r="C1620" s="51" t="e">
        <v>#REF!</v>
      </c>
      <c r="D1620" s="51" t="str">
        <v/>
      </c>
      <c r="E1620" s="51" t="str">
        <v/>
      </c>
      <c r="F1620" s="52" t="e">
        <v>#REF!</v>
      </c>
      <c r="G1620" s="48" t="e">
        <v>#REF!</v>
      </c>
      <c r="H1620" s="49">
        <v>0</v>
      </c>
      <c r="I1620" s="49" t="e">
        <v>#REF!</v>
      </c>
      <c r="J1620" s="50"/>
    </row>
    <row r="1621" outlineLevel="1" spans="1:10">
      <c r="A1621" s="50">
        <v>662</v>
      </c>
      <c r="B1621" s="51" t="str">
        <v>防火堵洞</v>
      </c>
      <c r="C1621" s="51" t="e">
        <v>#REF!</v>
      </c>
      <c r="D1621" s="51" t="str">
        <v/>
      </c>
      <c r="E1621" s="51" t="str">
        <v/>
      </c>
      <c r="F1621" s="52" t="e">
        <v>#REF!</v>
      </c>
      <c r="G1621" s="48" t="e">
        <v>#REF!</v>
      </c>
      <c r="H1621" s="49">
        <v>22</v>
      </c>
      <c r="I1621" s="49" t="e">
        <v>#REF!</v>
      </c>
      <c r="J1621" s="50"/>
    </row>
    <row r="1622" outlineLevel="1" spans="1:10">
      <c r="A1622" s="50" t="str">
        <v/>
      </c>
      <c r="B1622" s="51" t="str">
        <v>B.21.3配管配线</v>
      </c>
      <c r="C1622" s="51" t="str">
        <v/>
      </c>
      <c r="D1622" s="51" t="str">
        <v/>
      </c>
      <c r="E1622" s="51" t="str">
        <v/>
      </c>
      <c r="F1622" s="52" t="str">
        <v/>
      </c>
      <c r="G1622" s="48" t="str">
        <v/>
      </c>
      <c r="H1622" s="49">
        <v>0</v>
      </c>
      <c r="I1622" s="49" t="e">
        <v>#REF!</v>
      </c>
      <c r="J1622" s="50"/>
    </row>
    <row r="1623" outlineLevel="1" spans="1:10">
      <c r="A1623" s="50">
        <v>663</v>
      </c>
      <c r="B1623" s="51" t="str">
        <v>阻燃塑料管配管-PC20-暗配</v>
      </c>
      <c r="C1623" s="51" t="e">
        <v>#REF!</v>
      </c>
      <c r="D1623" s="51" t="str">
        <v/>
      </c>
      <c r="E1623" s="51" t="str">
        <v/>
      </c>
      <c r="F1623" s="52" t="e">
        <v>#REF!</v>
      </c>
      <c r="G1623" s="48" t="e">
        <v>#REF!</v>
      </c>
      <c r="H1623" s="49">
        <v>5982.23</v>
      </c>
      <c r="I1623" s="49" t="e">
        <v>#REF!</v>
      </c>
      <c r="J1623" s="50"/>
    </row>
    <row r="1624" outlineLevel="1" spans="1:10">
      <c r="A1624" s="50">
        <v>664</v>
      </c>
      <c r="B1624" s="51" t="str">
        <v>阻燃塑料管配管-PC25-暗配</v>
      </c>
      <c r="C1624" s="51" t="e">
        <v>#REF!</v>
      </c>
      <c r="D1624" s="51" t="str">
        <v/>
      </c>
      <c r="E1624" s="51" t="str">
        <v/>
      </c>
      <c r="F1624" s="52" t="e">
        <v>#REF!</v>
      </c>
      <c r="G1624" s="48" t="e">
        <v>#REF!</v>
      </c>
      <c r="H1624" s="49">
        <v>3843.05</v>
      </c>
      <c r="I1624" s="49" t="e">
        <v>#REF!</v>
      </c>
      <c r="J1624" s="50"/>
    </row>
    <row r="1625" outlineLevel="1" spans="1:10">
      <c r="A1625" s="50">
        <v>665</v>
      </c>
      <c r="B1625" s="51" t="str">
        <v>阻燃塑料管配管-PC32-暗配</v>
      </c>
      <c r="C1625" s="51" t="e">
        <v>#REF!</v>
      </c>
      <c r="D1625" s="51" t="str">
        <v/>
      </c>
      <c r="E1625" s="51" t="str">
        <v/>
      </c>
      <c r="F1625" s="52" t="e">
        <v>#REF!</v>
      </c>
      <c r="G1625" s="48" t="e">
        <v>#REF!</v>
      </c>
      <c r="H1625" s="49">
        <v>300.25</v>
      </c>
      <c r="I1625" s="49" t="e">
        <v>#REF!</v>
      </c>
      <c r="J1625" s="50"/>
    </row>
    <row r="1626" outlineLevel="1" spans="1:10">
      <c r="A1626" s="50">
        <v>666</v>
      </c>
      <c r="B1626" s="51" t="str">
        <v>薄壁钢导管配管-JDG15-暗配</v>
      </c>
      <c r="C1626" s="51" t="e">
        <v>#REF!</v>
      </c>
      <c r="D1626" s="51" t="str">
        <v/>
      </c>
      <c r="E1626" s="51" t="str">
        <v/>
      </c>
      <c r="F1626" s="52" t="e">
        <v>#REF!</v>
      </c>
      <c r="G1626" s="48" t="e">
        <v>#REF!</v>
      </c>
      <c r="H1626" s="49">
        <v>1</v>
      </c>
      <c r="I1626" s="49" t="e">
        <v>#REF!</v>
      </c>
      <c r="J1626" s="50"/>
    </row>
    <row r="1627" outlineLevel="1" spans="1:10">
      <c r="A1627" s="50">
        <v>667</v>
      </c>
      <c r="B1627" s="51" t="str">
        <v>薄壁钢导管配管-JDG20-暗配</v>
      </c>
      <c r="C1627" s="51" t="e">
        <v>#REF!</v>
      </c>
      <c r="D1627" s="51" t="str">
        <v/>
      </c>
      <c r="E1627" s="51" t="str">
        <v/>
      </c>
      <c r="F1627" s="52" t="e">
        <v>#REF!</v>
      </c>
      <c r="G1627" s="48" t="e">
        <v>#REF!</v>
      </c>
      <c r="H1627" s="49">
        <v>512</v>
      </c>
      <c r="I1627" s="49" t="e">
        <v>#REF!</v>
      </c>
      <c r="J1627" s="50"/>
    </row>
    <row r="1628" outlineLevel="1" spans="1:10">
      <c r="A1628" s="50">
        <v>668</v>
      </c>
      <c r="B1628" s="51" t="str">
        <v>薄壁钢导管配管-JDG25-暗配</v>
      </c>
      <c r="C1628" s="51" t="e">
        <v>#REF!</v>
      </c>
      <c r="D1628" s="51" t="str">
        <v/>
      </c>
      <c r="E1628" s="51" t="str">
        <v/>
      </c>
      <c r="F1628" s="52" t="e">
        <v>#REF!</v>
      </c>
      <c r="G1628" s="48" t="e">
        <v>#REF!</v>
      </c>
      <c r="H1628" s="49">
        <v>1285</v>
      </c>
      <c r="I1628" s="49" t="e">
        <v>#REF!</v>
      </c>
      <c r="J1628" s="50"/>
    </row>
    <row r="1629" outlineLevel="1" spans="1:10">
      <c r="A1629" s="50">
        <v>669</v>
      </c>
      <c r="B1629" s="51" t="str">
        <v>薄壁钢导管配管-JDG32-暗配</v>
      </c>
      <c r="C1629" s="51" t="e">
        <v>#REF!</v>
      </c>
      <c r="D1629" s="51" t="str">
        <v/>
      </c>
      <c r="E1629" s="51" t="str">
        <v/>
      </c>
      <c r="F1629" s="52" t="e">
        <v>#REF!</v>
      </c>
      <c r="G1629" s="48" t="e">
        <v>#REF!</v>
      </c>
      <c r="H1629" s="49">
        <v>1</v>
      </c>
      <c r="I1629" s="49" t="e">
        <v>#REF!</v>
      </c>
      <c r="J1629" s="50"/>
    </row>
    <row r="1630" outlineLevel="1" spans="1:10">
      <c r="A1630" s="50">
        <v>670</v>
      </c>
      <c r="B1630" s="51" t="str">
        <v>薄壁钢导管配管-JDG40-暗配</v>
      </c>
      <c r="C1630" s="51" t="e">
        <v>#REF!</v>
      </c>
      <c r="D1630" s="51" t="str">
        <v/>
      </c>
      <c r="E1630" s="51" t="str">
        <v/>
      </c>
      <c r="F1630" s="52" t="e">
        <v>#REF!</v>
      </c>
      <c r="G1630" s="48" t="e">
        <v>#REF!</v>
      </c>
      <c r="H1630" s="49">
        <v>1</v>
      </c>
      <c r="I1630" s="49" t="e">
        <v>#REF!</v>
      </c>
      <c r="J1630" s="50"/>
    </row>
    <row r="1631" outlineLevel="1" spans="1:10">
      <c r="A1631" s="50">
        <v>671</v>
      </c>
      <c r="B1631" s="51" t="str">
        <v>薄壁钢导管配管-JDG15-明配</v>
      </c>
      <c r="C1631" s="51" t="e">
        <v>#REF!</v>
      </c>
      <c r="D1631" s="51" t="str">
        <v/>
      </c>
      <c r="E1631" s="51" t="str">
        <v/>
      </c>
      <c r="F1631" s="52" t="e">
        <v>#REF!</v>
      </c>
      <c r="G1631" s="48" t="e">
        <v>#REF!</v>
      </c>
      <c r="H1631" s="49">
        <v>1</v>
      </c>
      <c r="I1631" s="49" t="e">
        <v>#REF!</v>
      </c>
      <c r="J1631" s="50"/>
    </row>
    <row r="1632" outlineLevel="1" spans="1:10">
      <c r="A1632" s="50">
        <v>672</v>
      </c>
      <c r="B1632" s="51" t="str">
        <v>薄壁钢导管配管-JDG20-明配</v>
      </c>
      <c r="C1632" s="51" t="e">
        <v>#REF!</v>
      </c>
      <c r="D1632" s="51" t="str">
        <v/>
      </c>
      <c r="E1632" s="51" t="str">
        <v/>
      </c>
      <c r="F1632" s="52" t="e">
        <v>#REF!</v>
      </c>
      <c r="G1632" s="48" t="e">
        <v>#REF!</v>
      </c>
      <c r="H1632" s="49">
        <v>319.01</v>
      </c>
      <c r="I1632" s="49" t="e">
        <v>#REF!</v>
      </c>
      <c r="J1632" s="50"/>
    </row>
    <row r="1633" outlineLevel="1" spans="1:10">
      <c r="A1633" s="50">
        <v>673</v>
      </c>
      <c r="B1633" s="51" t="str">
        <v>薄壁钢导管配管-JDG25-明配</v>
      </c>
      <c r="C1633" s="51" t="e">
        <v>#REF!</v>
      </c>
      <c r="D1633" s="51" t="str">
        <v/>
      </c>
      <c r="E1633" s="51" t="str">
        <v/>
      </c>
      <c r="F1633" s="52" t="e">
        <v>#REF!</v>
      </c>
      <c r="G1633" s="48" t="e">
        <v>#REF!</v>
      </c>
      <c r="H1633" s="49">
        <v>1</v>
      </c>
      <c r="I1633" s="49" t="e">
        <v>#REF!</v>
      </c>
      <c r="J1633" s="50"/>
    </row>
    <row r="1634" outlineLevel="1" spans="1:10">
      <c r="A1634" s="50">
        <v>674</v>
      </c>
      <c r="B1634" s="51" t="str">
        <v>薄壁钢导管配管-JDG32-明配</v>
      </c>
      <c r="C1634" s="51" t="e">
        <v>#REF!</v>
      </c>
      <c r="D1634" s="51" t="str">
        <v/>
      </c>
      <c r="E1634" s="51" t="str">
        <v/>
      </c>
      <c r="F1634" s="52" t="e">
        <v>#REF!</v>
      </c>
      <c r="G1634" s="48" t="e">
        <v>#REF!</v>
      </c>
      <c r="H1634" s="49">
        <v>278.97</v>
      </c>
      <c r="I1634" s="49" t="e">
        <v>#REF!</v>
      </c>
      <c r="J1634" s="50"/>
    </row>
    <row r="1635" outlineLevel="1" spans="1:10">
      <c r="A1635" s="50">
        <v>675</v>
      </c>
      <c r="B1635" s="51" t="str">
        <v>薄壁钢导管配管-JDG40-明配</v>
      </c>
      <c r="C1635" s="51" t="e">
        <v>#REF!</v>
      </c>
      <c r="D1635" s="51" t="str">
        <v/>
      </c>
      <c r="E1635" s="51" t="str">
        <v/>
      </c>
      <c r="F1635" s="52" t="e">
        <v>#REF!</v>
      </c>
      <c r="G1635" s="48" t="e">
        <v>#REF!</v>
      </c>
      <c r="H1635" s="49">
        <v>1</v>
      </c>
      <c r="I1635" s="49" t="e">
        <v>#REF!</v>
      </c>
      <c r="J1635" s="50"/>
    </row>
    <row r="1636" outlineLevel="1" spans="1:10">
      <c r="A1636" s="50">
        <v>676</v>
      </c>
      <c r="B1636" s="51" t="str">
        <v>SC15-暗配</v>
      </c>
      <c r="C1636" s="51" t="e">
        <v>#REF!</v>
      </c>
      <c r="D1636" s="51" t="str">
        <v/>
      </c>
      <c r="E1636" s="51" t="str">
        <v/>
      </c>
      <c r="F1636" s="52" t="e">
        <v>#REF!</v>
      </c>
      <c r="G1636" s="48" t="e">
        <v>#REF!</v>
      </c>
      <c r="H1636" s="49">
        <v>0</v>
      </c>
      <c r="I1636" s="49" t="e">
        <v>#REF!</v>
      </c>
      <c r="J1636" s="50"/>
    </row>
    <row r="1637" outlineLevel="1" spans="1:10">
      <c r="A1637" s="50">
        <v>677</v>
      </c>
      <c r="B1637" s="51" t="str">
        <v>SC20-暗配</v>
      </c>
      <c r="C1637" s="51" t="e">
        <v>#REF!</v>
      </c>
      <c r="D1637" s="51" t="str">
        <v/>
      </c>
      <c r="E1637" s="51" t="str">
        <v/>
      </c>
      <c r="F1637" s="52" t="e">
        <v>#REF!</v>
      </c>
      <c r="G1637" s="48" t="e">
        <v>#REF!</v>
      </c>
      <c r="H1637" s="49">
        <v>646.57</v>
      </c>
      <c r="I1637" s="49" t="e">
        <v>#REF!</v>
      </c>
      <c r="J1637" s="50"/>
    </row>
    <row r="1638" outlineLevel="1" spans="1:10">
      <c r="A1638" s="50">
        <v>678</v>
      </c>
      <c r="B1638" s="51" t="str">
        <v>SC25-暗配</v>
      </c>
      <c r="C1638" s="51" t="e">
        <v>#REF!</v>
      </c>
      <c r="D1638" s="51" t="str">
        <v/>
      </c>
      <c r="E1638" s="51" t="str">
        <v/>
      </c>
      <c r="F1638" s="52" t="e">
        <v>#REF!</v>
      </c>
      <c r="G1638" s="48" t="e">
        <v>#REF!</v>
      </c>
      <c r="H1638" s="49">
        <v>0</v>
      </c>
      <c r="I1638" s="49" t="e">
        <v>#REF!</v>
      </c>
      <c r="J1638" s="50"/>
    </row>
    <row r="1639" outlineLevel="1" spans="1:10">
      <c r="A1639" s="50">
        <v>679</v>
      </c>
      <c r="B1639" s="51" t="str">
        <v>SC32-暗配</v>
      </c>
      <c r="C1639" s="51" t="e">
        <v>#REF!</v>
      </c>
      <c r="D1639" s="51" t="str">
        <v/>
      </c>
      <c r="E1639" s="51" t="str">
        <v/>
      </c>
      <c r="F1639" s="52" t="e">
        <v>#REF!</v>
      </c>
      <c r="G1639" s="48" t="e">
        <v>#REF!</v>
      </c>
      <c r="H1639" s="49">
        <v>7.3</v>
      </c>
      <c r="I1639" s="49" t="e">
        <v>#REF!</v>
      </c>
      <c r="J1639" s="50"/>
    </row>
    <row r="1640" outlineLevel="1" spans="1:10">
      <c r="A1640" s="50">
        <v>680</v>
      </c>
      <c r="B1640" s="51" t="str">
        <v>SC40-暗配</v>
      </c>
      <c r="C1640" s="51" t="e">
        <v>#REF!</v>
      </c>
      <c r="D1640" s="51" t="str">
        <v/>
      </c>
      <c r="E1640" s="51" t="str">
        <v/>
      </c>
      <c r="F1640" s="52" t="e">
        <v>#REF!</v>
      </c>
      <c r="G1640" s="48" t="e">
        <v>#REF!</v>
      </c>
      <c r="H1640" s="49">
        <v>17.76</v>
      </c>
      <c r="I1640" s="49" t="e">
        <v>#REF!</v>
      </c>
      <c r="J1640" s="50"/>
    </row>
    <row r="1641" outlineLevel="1" spans="1:10">
      <c r="A1641" s="50">
        <v>681</v>
      </c>
      <c r="B1641" s="51" t="str">
        <v>SC50-暗配</v>
      </c>
      <c r="C1641" s="51" t="e">
        <v>#REF!</v>
      </c>
      <c r="D1641" s="51" t="str">
        <v/>
      </c>
      <c r="E1641" s="51" t="str">
        <v/>
      </c>
      <c r="F1641" s="52" t="e">
        <v>#REF!</v>
      </c>
      <c r="G1641" s="48" t="e">
        <v>#REF!</v>
      </c>
      <c r="H1641" s="49">
        <v>1</v>
      </c>
      <c r="I1641" s="49" t="e">
        <v>#REF!</v>
      </c>
      <c r="J1641" s="50"/>
    </row>
    <row r="1642" outlineLevel="1" spans="1:10">
      <c r="A1642" s="50">
        <v>682</v>
      </c>
      <c r="B1642" s="51" t="str">
        <v>SC70-暗配</v>
      </c>
      <c r="C1642" s="51" t="e">
        <v>#REF!</v>
      </c>
      <c r="D1642" s="51" t="str">
        <v/>
      </c>
      <c r="E1642" s="51" t="str">
        <v/>
      </c>
      <c r="F1642" s="52" t="e">
        <v>#REF!</v>
      </c>
      <c r="G1642" s="48" t="e">
        <v>#REF!</v>
      </c>
      <c r="H1642" s="49">
        <v>17.85</v>
      </c>
      <c r="I1642" s="49" t="e">
        <v>#REF!</v>
      </c>
      <c r="J1642" s="50"/>
    </row>
    <row r="1643" outlineLevel="1" spans="1:10">
      <c r="A1643" s="50">
        <v>683</v>
      </c>
      <c r="B1643" s="51" t="str">
        <v>金属软管配管-DN20</v>
      </c>
      <c r="C1643" s="51" t="e">
        <v>#REF!</v>
      </c>
      <c r="D1643" s="51" t="str">
        <v/>
      </c>
      <c r="E1643" s="51" t="str">
        <v/>
      </c>
      <c r="F1643" s="52" t="e">
        <v>#REF!</v>
      </c>
      <c r="G1643" s="48" t="e">
        <v>#REF!</v>
      </c>
      <c r="H1643" s="49">
        <v>22</v>
      </c>
      <c r="I1643" s="49" t="e">
        <v>#REF!</v>
      </c>
      <c r="J1643" s="50"/>
    </row>
    <row r="1644" outlineLevel="1" spans="1:10">
      <c r="A1644" s="50">
        <v>684</v>
      </c>
      <c r="B1644" s="51" t="str">
        <v>金属软管配管-DN25</v>
      </c>
      <c r="C1644" s="51" t="e">
        <v>#REF!</v>
      </c>
      <c r="D1644" s="51" t="str">
        <v/>
      </c>
      <c r="E1644" s="51" t="str">
        <v/>
      </c>
      <c r="F1644" s="52" t="e">
        <v>#REF!</v>
      </c>
      <c r="G1644" s="48" t="e">
        <v>#REF!</v>
      </c>
      <c r="H1644" s="49">
        <v>2</v>
      </c>
      <c r="I1644" s="49" t="e">
        <v>#REF!</v>
      </c>
      <c r="J1644" s="50"/>
    </row>
    <row r="1645" outlineLevel="1" spans="1:10">
      <c r="A1645" s="50">
        <v>685</v>
      </c>
      <c r="B1645" s="51" t="str">
        <v>金属软管配管-DN32</v>
      </c>
      <c r="C1645" s="51" t="e">
        <v>#REF!</v>
      </c>
      <c r="D1645" s="51" t="str">
        <v/>
      </c>
      <c r="E1645" s="51" t="str">
        <v/>
      </c>
      <c r="F1645" s="52" t="e">
        <v>#REF!</v>
      </c>
      <c r="G1645" s="48" t="e">
        <v>#REF!</v>
      </c>
      <c r="H1645" s="49">
        <v>33</v>
      </c>
      <c r="I1645" s="49" t="e">
        <v>#REF!</v>
      </c>
      <c r="J1645" s="50"/>
    </row>
    <row r="1646" outlineLevel="1" spans="1:10">
      <c r="A1646" s="50">
        <v>686</v>
      </c>
      <c r="B1646" s="51" t="str">
        <v>综合配线-BV2.5</v>
      </c>
      <c r="C1646" s="51" t="e">
        <v>#REF!</v>
      </c>
      <c r="D1646" s="51" t="str">
        <v/>
      </c>
      <c r="E1646" s="51" t="str">
        <v/>
      </c>
      <c r="F1646" s="52" t="e">
        <v>#REF!</v>
      </c>
      <c r="G1646" s="48" t="e">
        <v>#REF!</v>
      </c>
      <c r="H1646" s="49">
        <v>19520</v>
      </c>
      <c r="I1646" s="49" t="e">
        <v>#REF!</v>
      </c>
      <c r="J1646" s="50"/>
    </row>
    <row r="1647" outlineLevel="1" spans="1:10">
      <c r="A1647" s="50">
        <v>687</v>
      </c>
      <c r="B1647" s="51" t="str">
        <v>综合配线-BV4</v>
      </c>
      <c r="C1647" s="51" t="e">
        <v>#REF!</v>
      </c>
      <c r="D1647" s="51" t="str">
        <v/>
      </c>
      <c r="E1647" s="51" t="str">
        <v/>
      </c>
      <c r="F1647" s="52" t="e">
        <v>#REF!</v>
      </c>
      <c r="G1647" s="48" t="e">
        <v>#REF!</v>
      </c>
      <c r="H1647" s="49">
        <v>15525.11</v>
      </c>
      <c r="I1647" s="49" t="e">
        <v>#REF!</v>
      </c>
      <c r="J1647" s="50"/>
    </row>
    <row r="1648" outlineLevel="1" spans="1:10">
      <c r="A1648" s="50">
        <v>688</v>
      </c>
      <c r="B1648" s="51" t="str">
        <v>综合配线-BV6</v>
      </c>
      <c r="C1648" s="51" t="e">
        <v>#REF!</v>
      </c>
      <c r="D1648" s="51" t="str">
        <v/>
      </c>
      <c r="E1648" s="51" t="str">
        <v/>
      </c>
      <c r="F1648" s="52" t="e">
        <v>#REF!</v>
      </c>
      <c r="G1648" s="48" t="e">
        <v>#REF!</v>
      </c>
      <c r="H1648" s="49">
        <v>10</v>
      </c>
      <c r="I1648" s="49" t="e">
        <v>#REF!</v>
      </c>
      <c r="J1648" s="50"/>
    </row>
    <row r="1649" outlineLevel="1" spans="1:10">
      <c r="A1649" s="50">
        <v>689</v>
      </c>
      <c r="B1649" s="51" t="str">
        <v>综合配线-BV10</v>
      </c>
      <c r="C1649" s="51" t="e">
        <v>#REF!</v>
      </c>
      <c r="D1649" s="51" t="str">
        <v/>
      </c>
      <c r="E1649" s="51" t="str">
        <v/>
      </c>
      <c r="F1649" s="52" t="e">
        <v>#REF!</v>
      </c>
      <c r="G1649" s="48" t="e">
        <v>#REF!</v>
      </c>
      <c r="H1649" s="49">
        <v>1</v>
      </c>
      <c r="I1649" s="49" t="e">
        <v>#REF!</v>
      </c>
      <c r="J1649" s="50"/>
    </row>
    <row r="1650" outlineLevel="1" spans="1:10">
      <c r="A1650" s="50">
        <v>690</v>
      </c>
      <c r="B1650" s="51" t="str">
        <v>综合配线-BV16</v>
      </c>
      <c r="C1650" s="51" t="e">
        <v>#REF!</v>
      </c>
      <c r="D1650" s="51" t="str">
        <v/>
      </c>
      <c r="E1650" s="51" t="str">
        <v/>
      </c>
      <c r="F1650" s="52" t="e">
        <v>#REF!</v>
      </c>
      <c r="G1650" s="48" t="e">
        <v>#REF!</v>
      </c>
      <c r="H1650" s="49">
        <v>1752.07</v>
      </c>
      <c r="I1650" s="49" t="e">
        <v>#REF!</v>
      </c>
      <c r="J1650" s="50"/>
    </row>
    <row r="1651" outlineLevel="1" spans="1:10">
      <c r="A1651" s="50">
        <v>691</v>
      </c>
      <c r="B1651" s="51" t="str">
        <v>综合配线-BV25</v>
      </c>
      <c r="C1651" s="51" t="e">
        <v>#REF!</v>
      </c>
      <c r="D1651" s="51" t="str">
        <v/>
      </c>
      <c r="E1651" s="51" t="str">
        <v/>
      </c>
      <c r="F1651" s="52" t="e">
        <v>#REF!</v>
      </c>
      <c r="G1651" s="48" t="e">
        <v>#REF!</v>
      </c>
      <c r="H1651" s="49">
        <v>0</v>
      </c>
      <c r="I1651" s="49" t="e">
        <v>#REF!</v>
      </c>
      <c r="J1651" s="50"/>
    </row>
    <row r="1652" outlineLevel="1" spans="1:10">
      <c r="A1652" s="50">
        <v>692</v>
      </c>
      <c r="B1652" s="51" t="str">
        <v>综合配线-BVR4</v>
      </c>
      <c r="C1652" s="51" t="e">
        <v>#REF!</v>
      </c>
      <c r="D1652" s="51" t="str">
        <v/>
      </c>
      <c r="E1652" s="51" t="str">
        <v/>
      </c>
      <c r="F1652" s="52" t="e">
        <v>#REF!</v>
      </c>
      <c r="G1652" s="48" t="e">
        <v>#REF!</v>
      </c>
      <c r="H1652" s="49">
        <v>189.83</v>
      </c>
      <c r="I1652" s="49" t="e">
        <v>#REF!</v>
      </c>
      <c r="J1652" s="50"/>
    </row>
    <row r="1653" outlineLevel="1" spans="1:10">
      <c r="A1653" s="50">
        <v>693</v>
      </c>
      <c r="B1653" s="51" t="str">
        <v>综合配线-NHBV2.5</v>
      </c>
      <c r="C1653" s="51" t="e">
        <v>#REF!</v>
      </c>
      <c r="D1653" s="51" t="str">
        <v/>
      </c>
      <c r="E1653" s="51" t="str">
        <v/>
      </c>
      <c r="F1653" s="52" t="e">
        <v>#REF!</v>
      </c>
      <c r="G1653" s="48" t="e">
        <v>#REF!</v>
      </c>
      <c r="H1653" s="49">
        <v>197.56</v>
      </c>
      <c r="I1653" s="49" t="e">
        <v>#REF!</v>
      </c>
      <c r="J1653" s="50"/>
    </row>
    <row r="1654" outlineLevel="1" spans="1:10">
      <c r="A1654" s="50">
        <v>694</v>
      </c>
      <c r="B1654" s="51" t="str">
        <v>综合配线-NHBV4</v>
      </c>
      <c r="C1654" s="51" t="e">
        <v>#REF!</v>
      </c>
      <c r="D1654" s="51" t="str">
        <v/>
      </c>
      <c r="E1654" s="51" t="str">
        <v/>
      </c>
      <c r="F1654" s="52" t="e">
        <v>#REF!</v>
      </c>
      <c r="G1654" s="48" t="e">
        <v>#REF!</v>
      </c>
      <c r="H1654" s="49">
        <v>1</v>
      </c>
      <c r="I1654" s="49" t="e">
        <v>#REF!</v>
      </c>
      <c r="J1654" s="50"/>
    </row>
    <row r="1655" outlineLevel="1" spans="1:10">
      <c r="A1655" s="50">
        <v>695</v>
      </c>
      <c r="B1655" s="51" t="str">
        <v>综合配线-WDZNBYJ2.5</v>
      </c>
      <c r="C1655" s="51" t="e">
        <v>#REF!</v>
      </c>
      <c r="D1655" s="51" t="str">
        <v/>
      </c>
      <c r="E1655" s="51" t="str">
        <v/>
      </c>
      <c r="F1655" s="52" t="e">
        <v>#REF!</v>
      </c>
      <c r="G1655" s="48" t="e">
        <v>#REF!</v>
      </c>
      <c r="H1655" s="49">
        <v>400.09</v>
      </c>
      <c r="I1655" s="49" t="e">
        <v>#REF!</v>
      </c>
      <c r="J1655" s="50"/>
    </row>
    <row r="1656" outlineLevel="1" spans="1:10">
      <c r="A1656" s="50">
        <v>696</v>
      </c>
      <c r="B1656" s="51" t="str">
        <v>综合配线-WDZBYJ2.5</v>
      </c>
      <c r="C1656" s="51" t="e">
        <v>#REF!</v>
      </c>
      <c r="D1656" s="51" t="str">
        <v/>
      </c>
      <c r="E1656" s="51" t="str">
        <v/>
      </c>
      <c r="F1656" s="52" t="e">
        <v>#REF!</v>
      </c>
      <c r="G1656" s="48" t="e">
        <v>#REF!</v>
      </c>
      <c r="H1656" s="49">
        <v>10</v>
      </c>
      <c r="I1656" s="49" t="e">
        <v>#REF!</v>
      </c>
      <c r="J1656" s="50"/>
    </row>
    <row r="1657" outlineLevel="1" spans="1:10">
      <c r="A1657" s="50">
        <v>697</v>
      </c>
      <c r="B1657" s="51" t="str">
        <v>综合配线-WDZNBYJ4</v>
      </c>
      <c r="C1657" s="51" t="e">
        <v>#REF!</v>
      </c>
      <c r="D1657" s="51" t="str">
        <v/>
      </c>
      <c r="E1657" s="51" t="str">
        <v/>
      </c>
      <c r="F1657" s="52" t="e">
        <v>#REF!</v>
      </c>
      <c r="G1657" s="48" t="e">
        <v>#REF!</v>
      </c>
      <c r="H1657" s="49">
        <v>1</v>
      </c>
      <c r="I1657" s="49" t="e">
        <v>#REF!</v>
      </c>
      <c r="J1657" s="50"/>
    </row>
    <row r="1658" outlineLevel="1" spans="1:10">
      <c r="A1658" s="50">
        <v>698</v>
      </c>
      <c r="B1658" s="51" t="str">
        <v>综合配线-WDZBYJ10</v>
      </c>
      <c r="C1658" s="51" t="e">
        <v>#REF!</v>
      </c>
      <c r="D1658" s="51" t="str">
        <v/>
      </c>
      <c r="E1658" s="51" t="str">
        <v/>
      </c>
      <c r="F1658" s="52" t="e">
        <v>#REF!</v>
      </c>
      <c r="G1658" s="48" t="e">
        <v>#REF!</v>
      </c>
      <c r="H1658" s="49">
        <v>53.37</v>
      </c>
      <c r="I1658" s="49" t="e">
        <v>#REF!</v>
      </c>
      <c r="J1658" s="50"/>
    </row>
    <row r="1659" outlineLevel="1" spans="1:10">
      <c r="A1659" s="50">
        <v>699</v>
      </c>
      <c r="B1659" s="51" t="str">
        <v>综合配线-WDZNRYJS2*2.5</v>
      </c>
      <c r="C1659" s="51" t="e">
        <v>#REF!</v>
      </c>
      <c r="D1659" s="51" t="str">
        <v/>
      </c>
      <c r="E1659" s="51" t="str">
        <v/>
      </c>
      <c r="F1659" s="52" t="e">
        <v>#REF!</v>
      </c>
      <c r="G1659" s="48" t="e">
        <v>#REF!</v>
      </c>
      <c r="H1659" s="49">
        <v>750</v>
      </c>
      <c r="I1659" s="49" t="e">
        <v>#REF!</v>
      </c>
      <c r="J1659" s="50"/>
    </row>
    <row r="1660" outlineLevel="1" spans="1:10">
      <c r="A1660" s="50">
        <v>700</v>
      </c>
      <c r="B1660" s="51" t="str">
        <v>综合配线-RVV-3*1.0</v>
      </c>
      <c r="C1660" s="51" t="e">
        <v>#REF!</v>
      </c>
      <c r="D1660" s="51" t="str">
        <v/>
      </c>
      <c r="E1660" s="51" t="str">
        <v/>
      </c>
      <c r="F1660" s="52" t="e">
        <v>#REF!</v>
      </c>
      <c r="G1660" s="48" t="e">
        <v>#REF!</v>
      </c>
      <c r="H1660" s="49">
        <v>0</v>
      </c>
      <c r="I1660" s="49" t="e">
        <v>#REF!</v>
      </c>
      <c r="J1660" s="50"/>
    </row>
    <row r="1661" outlineLevel="1" spans="1:10">
      <c r="A1661" s="50">
        <v>701</v>
      </c>
      <c r="B1661" s="51" t="str">
        <v>综合配线-RVV-4*1.0</v>
      </c>
      <c r="C1661" s="51" t="e">
        <v>#REF!</v>
      </c>
      <c r="D1661" s="51" t="str">
        <v/>
      </c>
      <c r="E1661" s="51" t="str">
        <v/>
      </c>
      <c r="F1661" s="52" t="e">
        <v>#REF!</v>
      </c>
      <c r="G1661" s="48" t="e">
        <v>#REF!</v>
      </c>
      <c r="H1661" s="49">
        <v>0</v>
      </c>
      <c r="I1661" s="49" t="e">
        <v>#REF!</v>
      </c>
      <c r="J1661" s="50"/>
    </row>
    <row r="1662" outlineLevel="1" spans="1:10">
      <c r="A1662" s="50">
        <v>702</v>
      </c>
      <c r="B1662" s="51" t="str">
        <v>综合配线-RVV-5*1.0</v>
      </c>
      <c r="C1662" s="51" t="e">
        <v>#REF!</v>
      </c>
      <c r="D1662" s="51" t="str">
        <v/>
      </c>
      <c r="E1662" s="51" t="str">
        <v/>
      </c>
      <c r="F1662" s="52" t="e">
        <v>#REF!</v>
      </c>
      <c r="G1662" s="48" t="e">
        <v>#REF!</v>
      </c>
      <c r="H1662" s="49">
        <v>0</v>
      </c>
      <c r="I1662" s="49" t="e">
        <v>#REF!</v>
      </c>
      <c r="J1662" s="50"/>
    </row>
    <row r="1663" outlineLevel="1" spans="1:10">
      <c r="A1663" s="50">
        <v>703</v>
      </c>
      <c r="B1663" s="51" t="str">
        <v>钢套管DN15-32</v>
      </c>
      <c r="C1663" s="51" t="e">
        <v>#REF!</v>
      </c>
      <c r="D1663" s="51" t="str">
        <v/>
      </c>
      <c r="E1663" s="51" t="str">
        <v/>
      </c>
      <c r="F1663" s="52" t="e">
        <v>#REF!</v>
      </c>
      <c r="G1663" s="48" t="e">
        <v>#REF!</v>
      </c>
      <c r="H1663" s="49">
        <v>682</v>
      </c>
      <c r="I1663" s="49" t="e">
        <v>#REF!</v>
      </c>
      <c r="J1663" s="50"/>
    </row>
    <row r="1664" outlineLevel="1" spans="1:10">
      <c r="A1664" s="50">
        <v>704</v>
      </c>
      <c r="B1664" s="51" t="str">
        <v>钢套管DN40-50</v>
      </c>
      <c r="C1664" s="51" t="e">
        <v>#REF!</v>
      </c>
      <c r="D1664" s="51" t="str">
        <v/>
      </c>
      <c r="E1664" s="51" t="str">
        <v/>
      </c>
      <c r="F1664" s="52" t="e">
        <v>#REF!</v>
      </c>
      <c r="G1664" s="48" t="e">
        <v>#REF!</v>
      </c>
      <c r="H1664" s="49">
        <v>1</v>
      </c>
      <c r="I1664" s="49" t="e">
        <v>#REF!</v>
      </c>
      <c r="J1664" s="50"/>
    </row>
    <row r="1665" outlineLevel="1" spans="1:10">
      <c r="A1665" s="50">
        <v>705</v>
      </c>
      <c r="B1665" s="51" t="str">
        <v>钢套管DN65-70</v>
      </c>
      <c r="C1665" s="51" t="e">
        <v>#REF!</v>
      </c>
      <c r="D1665" s="51" t="str">
        <v/>
      </c>
      <c r="E1665" s="51" t="str">
        <v/>
      </c>
      <c r="F1665" s="52" t="e">
        <v>#REF!</v>
      </c>
      <c r="G1665" s="48" t="e">
        <v>#REF!</v>
      </c>
      <c r="H1665" s="49">
        <v>88</v>
      </c>
      <c r="I1665" s="49" t="e">
        <v>#REF!</v>
      </c>
      <c r="J1665" s="50"/>
    </row>
    <row r="1666" outlineLevel="1" spans="1:10">
      <c r="A1666" s="50">
        <v>706</v>
      </c>
      <c r="B1666" s="51" t="str">
        <v>钢套管DN80-100</v>
      </c>
      <c r="C1666" s="51" t="e">
        <v>#REF!</v>
      </c>
      <c r="D1666" s="51" t="str">
        <v/>
      </c>
      <c r="E1666" s="51" t="str">
        <v/>
      </c>
      <c r="F1666" s="52" t="e">
        <v>#REF!</v>
      </c>
      <c r="G1666" s="48" t="e">
        <v>#REF!</v>
      </c>
      <c r="H1666" s="49">
        <v>1</v>
      </c>
      <c r="I1666" s="49" t="e">
        <v>#REF!</v>
      </c>
      <c r="J1666" s="50"/>
    </row>
    <row r="1667" outlineLevel="1" spans="1:10">
      <c r="A1667" s="50" t="str">
        <v/>
      </c>
      <c r="B1667" s="51" t="str">
        <v>B.21.4照明器具</v>
      </c>
      <c r="C1667" s="51" t="str">
        <v/>
      </c>
      <c r="D1667" s="51" t="str">
        <v/>
      </c>
      <c r="E1667" s="51" t="str">
        <v/>
      </c>
      <c r="F1667" s="52" t="str">
        <v/>
      </c>
      <c r="G1667" s="48" t="str">
        <v/>
      </c>
      <c r="H1667" s="49">
        <v>0</v>
      </c>
      <c r="I1667" s="49" t="e">
        <v>#REF!</v>
      </c>
      <c r="J1667" s="50"/>
    </row>
    <row r="1668" outlineLevel="1" spans="1:10">
      <c r="A1668" s="50">
        <v>707</v>
      </c>
      <c r="B1668" s="51" t="str">
        <v>灯具-门上座灯</v>
      </c>
      <c r="C1668" s="51" t="e">
        <v>#REF!</v>
      </c>
      <c r="D1668" s="51" t="str">
        <v/>
      </c>
      <c r="E1668" s="51" t="str">
        <v/>
      </c>
      <c r="F1668" s="52" t="e">
        <v>#REF!</v>
      </c>
      <c r="G1668" s="48" t="e">
        <v>#REF!</v>
      </c>
      <c r="H1668" s="49">
        <v>60</v>
      </c>
      <c r="I1668" s="49" t="e">
        <v>#REF!</v>
      </c>
      <c r="J1668" s="50"/>
    </row>
    <row r="1669" outlineLevel="1" spans="1:10">
      <c r="A1669" s="50">
        <v>708</v>
      </c>
      <c r="B1669" s="51" t="str">
        <v>灯具-普通座灯头</v>
      </c>
      <c r="C1669" s="51" t="e">
        <v>#REF!</v>
      </c>
      <c r="D1669" s="51" t="str">
        <v/>
      </c>
      <c r="E1669" s="51" t="str">
        <v/>
      </c>
      <c r="F1669" s="52" t="e">
        <v>#REF!</v>
      </c>
      <c r="G1669" s="48" t="e">
        <v>#REF!</v>
      </c>
      <c r="H1669" s="49">
        <v>485</v>
      </c>
      <c r="I1669" s="49" t="e">
        <v>#REF!</v>
      </c>
      <c r="J1669" s="50"/>
    </row>
    <row r="1670" outlineLevel="1" spans="1:10">
      <c r="A1670" s="50">
        <v>709</v>
      </c>
      <c r="B1670" s="51" t="str">
        <v>灯具-单管荧光灯-吊链安装</v>
      </c>
      <c r="C1670" s="51" t="e">
        <v>#REF!</v>
      </c>
      <c r="D1670" s="51" t="str">
        <v/>
      </c>
      <c r="E1670" s="51" t="str">
        <v/>
      </c>
      <c r="F1670" s="52" t="e">
        <v>#REF!</v>
      </c>
      <c r="G1670" s="48" t="e">
        <v>#REF!</v>
      </c>
      <c r="H1670" s="49">
        <v>1</v>
      </c>
      <c r="I1670" s="49" t="e">
        <v>#REF!</v>
      </c>
      <c r="J1670" s="50"/>
    </row>
    <row r="1671" outlineLevel="1" spans="1:10">
      <c r="A1671" s="50">
        <v>710</v>
      </c>
      <c r="B1671" s="51" t="str">
        <v>疏散出口标志灯-带蓄电池</v>
      </c>
      <c r="C1671" s="51" t="e">
        <v>#REF!</v>
      </c>
      <c r="D1671" s="51" t="str">
        <v/>
      </c>
      <c r="E1671" s="51" t="str">
        <v/>
      </c>
      <c r="F1671" s="52" t="e">
        <v>#REF!</v>
      </c>
      <c r="G1671" s="48" t="e">
        <v>#REF!</v>
      </c>
      <c r="H1671" s="49">
        <v>0</v>
      </c>
      <c r="I1671" s="49" t="e">
        <v>#REF!</v>
      </c>
      <c r="J1671" s="50"/>
    </row>
    <row r="1672" ht="28.8" outlineLevel="1" spans="1:10">
      <c r="A1672" s="50">
        <v>711</v>
      </c>
      <c r="B1672" s="51" t="str">
        <v>疏散出口标志灯（防护等级IP67）带蓄电池</v>
      </c>
      <c r="C1672" s="51" t="e">
        <v>#REF!</v>
      </c>
      <c r="D1672" s="51" t="str">
        <v/>
      </c>
      <c r="E1672" s="51" t="str">
        <v/>
      </c>
      <c r="F1672" s="52" t="e">
        <v>#REF!</v>
      </c>
      <c r="G1672" s="48" t="e">
        <v>#REF!</v>
      </c>
      <c r="H1672" s="49">
        <v>0</v>
      </c>
      <c r="I1672" s="49" t="e">
        <v>#REF!</v>
      </c>
      <c r="J1672" s="50"/>
    </row>
    <row r="1673" outlineLevel="1" spans="1:10">
      <c r="A1673" s="50">
        <v>712</v>
      </c>
      <c r="B1673" s="51" t="str">
        <v>楼层指示标志灯-带蓄电池</v>
      </c>
      <c r="C1673" s="51" t="e">
        <v>#REF!</v>
      </c>
      <c r="D1673" s="51" t="str">
        <v/>
      </c>
      <c r="E1673" s="51" t="str">
        <v/>
      </c>
      <c r="F1673" s="52" t="e">
        <v>#REF!</v>
      </c>
      <c r="G1673" s="48" t="e">
        <v>#REF!</v>
      </c>
      <c r="H1673" s="49">
        <v>0</v>
      </c>
      <c r="I1673" s="49" t="e">
        <v>#REF!</v>
      </c>
      <c r="J1673" s="50"/>
    </row>
    <row r="1674" ht="28.8" outlineLevel="1" spans="1:10">
      <c r="A1674" s="50">
        <v>713</v>
      </c>
      <c r="B1674" s="51" t="str">
        <v>单向单面疏散指示标志灯-带蓄电池</v>
      </c>
      <c r="C1674" s="51" t="e">
        <v>#REF!</v>
      </c>
      <c r="D1674" s="51" t="str">
        <v/>
      </c>
      <c r="E1674" s="51" t="str">
        <v/>
      </c>
      <c r="F1674" s="52" t="e">
        <v>#REF!</v>
      </c>
      <c r="G1674" s="48" t="e">
        <v>#REF!</v>
      </c>
      <c r="H1674" s="49">
        <v>0</v>
      </c>
      <c r="I1674" s="49" t="e">
        <v>#REF!</v>
      </c>
      <c r="J1674" s="50"/>
    </row>
    <row r="1675" ht="28.8" outlineLevel="1" spans="1:10">
      <c r="A1675" s="50">
        <v>714</v>
      </c>
      <c r="B1675" s="51" t="str">
        <v>单向双面疏散指示标志灯-带蓄电池</v>
      </c>
      <c r="C1675" s="51" t="e">
        <v>#REF!</v>
      </c>
      <c r="D1675" s="51" t="str">
        <v/>
      </c>
      <c r="E1675" s="51" t="str">
        <v/>
      </c>
      <c r="F1675" s="52" t="e">
        <v>#REF!</v>
      </c>
      <c r="G1675" s="48" t="e">
        <v>#REF!</v>
      </c>
      <c r="H1675" s="49">
        <v>0</v>
      </c>
      <c r="I1675" s="49" t="e">
        <v>#REF!</v>
      </c>
      <c r="J1675" s="50"/>
    </row>
    <row r="1676" ht="28.8" outlineLevel="1" spans="1:10">
      <c r="A1676" s="50">
        <v>715</v>
      </c>
      <c r="B1676" s="51" t="str">
        <v>双向单面疏散指示标志灯-带蓄电池</v>
      </c>
      <c r="C1676" s="51" t="e">
        <v>#REF!</v>
      </c>
      <c r="D1676" s="51" t="str">
        <v/>
      </c>
      <c r="E1676" s="51" t="str">
        <v/>
      </c>
      <c r="F1676" s="52" t="e">
        <v>#REF!</v>
      </c>
      <c r="G1676" s="48" t="e">
        <v>#REF!</v>
      </c>
      <c r="H1676" s="49">
        <v>0</v>
      </c>
      <c r="I1676" s="49" t="e">
        <v>#REF!</v>
      </c>
      <c r="J1676" s="50"/>
    </row>
    <row r="1677" outlineLevel="1" spans="1:10">
      <c r="A1677" s="50">
        <v>716</v>
      </c>
      <c r="B1677" s="51" t="str">
        <v>安全出口标志灯-带蓄电池</v>
      </c>
      <c r="C1677" s="51" t="e">
        <v>#REF!</v>
      </c>
      <c r="D1677" s="51" t="str">
        <v/>
      </c>
      <c r="E1677" s="51" t="str">
        <v/>
      </c>
      <c r="F1677" s="52" t="e">
        <v>#REF!</v>
      </c>
      <c r="G1677" s="48" t="e">
        <v>#REF!</v>
      </c>
      <c r="H1677" s="49">
        <v>0</v>
      </c>
      <c r="I1677" s="49" t="e">
        <v>#REF!</v>
      </c>
      <c r="J1677" s="50"/>
    </row>
    <row r="1678" ht="28.8" outlineLevel="1" spans="1:10">
      <c r="A1678" s="50">
        <v>717</v>
      </c>
      <c r="B1678" s="51" t="str">
        <v>E-X带禁止入内的安全出口标志灯-带蓄电池</v>
      </c>
      <c r="C1678" s="51" t="e">
        <v>#REF!</v>
      </c>
      <c r="D1678" s="51" t="str">
        <v/>
      </c>
      <c r="E1678" s="51" t="str">
        <v/>
      </c>
      <c r="F1678" s="52" t="e">
        <v>#REF!</v>
      </c>
      <c r="G1678" s="48" t="e">
        <v>#REF!</v>
      </c>
      <c r="H1678" s="49">
        <v>0</v>
      </c>
      <c r="I1678" s="49" t="e">
        <v>#REF!</v>
      </c>
      <c r="J1678" s="50"/>
    </row>
    <row r="1679" outlineLevel="1" spans="1:10">
      <c r="A1679" s="50">
        <v>718</v>
      </c>
      <c r="B1679" s="51" t="str">
        <v>火灾禁入标志灯-带蓄电池</v>
      </c>
      <c r="C1679" s="51" t="e">
        <v>#REF!</v>
      </c>
      <c r="D1679" s="51" t="str">
        <v/>
      </c>
      <c r="E1679" s="51" t="str">
        <v/>
      </c>
      <c r="F1679" s="52" t="e">
        <v>#REF!</v>
      </c>
      <c r="G1679" s="48" t="e">
        <v>#REF!</v>
      </c>
      <c r="H1679" s="49">
        <v>0</v>
      </c>
      <c r="I1679" s="49" t="e">
        <v>#REF!</v>
      </c>
      <c r="J1679" s="50"/>
    </row>
    <row r="1680" outlineLevel="1" spans="1:10">
      <c r="A1680" s="50">
        <v>719</v>
      </c>
      <c r="B1680" s="51" t="str">
        <v>E1消防应急壁灯-带蓄电池</v>
      </c>
      <c r="C1680" s="51" t="e">
        <v>#REF!</v>
      </c>
      <c r="D1680" s="51" t="str">
        <v/>
      </c>
      <c r="E1680" s="51" t="str">
        <v/>
      </c>
      <c r="F1680" s="52" t="e">
        <v>#REF!</v>
      </c>
      <c r="G1680" s="48" t="e">
        <v>#REF!</v>
      </c>
      <c r="H1680" s="49">
        <v>0</v>
      </c>
      <c r="I1680" s="49" t="e">
        <v>#REF!</v>
      </c>
      <c r="J1680" s="50"/>
    </row>
    <row r="1681" outlineLevel="1" spans="1:10">
      <c r="A1681" s="50">
        <v>720</v>
      </c>
      <c r="B1681" s="51" t="str">
        <v>消防应急吸顶灯-带蓄电池</v>
      </c>
      <c r="C1681" s="51" t="e">
        <v>#REF!</v>
      </c>
      <c r="D1681" s="51" t="str">
        <v/>
      </c>
      <c r="E1681" s="51" t="str">
        <v/>
      </c>
      <c r="F1681" s="52" t="e">
        <v>#REF!</v>
      </c>
      <c r="G1681" s="48" t="e">
        <v>#REF!</v>
      </c>
      <c r="H1681" s="49">
        <v>0</v>
      </c>
      <c r="I1681" s="49" t="e">
        <v>#REF!</v>
      </c>
      <c r="J1681" s="50"/>
    </row>
    <row r="1682" ht="28.8" outlineLevel="1" spans="1:10">
      <c r="A1682" s="50">
        <v>721</v>
      </c>
      <c r="B1682" s="51" t="str">
        <v>消防应急吸顶灯（防护等级IP67）带蓄电池</v>
      </c>
      <c r="C1682" s="51" t="e">
        <v>#REF!</v>
      </c>
      <c r="D1682" s="51" t="str">
        <v/>
      </c>
      <c r="E1682" s="51" t="str">
        <v/>
      </c>
      <c r="F1682" s="52" t="e">
        <v>#REF!</v>
      </c>
      <c r="G1682" s="48" t="e">
        <v>#REF!</v>
      </c>
      <c r="H1682" s="49">
        <v>0</v>
      </c>
      <c r="I1682" s="49" t="e">
        <v>#REF!</v>
      </c>
      <c r="J1682" s="50"/>
    </row>
    <row r="1683" outlineLevel="1" spans="1:10">
      <c r="A1683" s="50">
        <v>722</v>
      </c>
      <c r="B1683" s="51" t="str">
        <v>灯具-安全出口标志灯</v>
      </c>
      <c r="C1683" s="51" t="e">
        <v>#REF!</v>
      </c>
      <c r="D1683" s="51" t="str">
        <v/>
      </c>
      <c r="E1683" s="51" t="str">
        <v/>
      </c>
      <c r="F1683" s="52" t="e">
        <v>#REF!</v>
      </c>
      <c r="G1683" s="48" t="e">
        <v>#REF!</v>
      </c>
      <c r="H1683" s="49">
        <v>4</v>
      </c>
      <c r="I1683" s="49" t="e">
        <v>#REF!</v>
      </c>
      <c r="J1683" s="50"/>
    </row>
    <row r="1684" outlineLevel="1" spans="1:10">
      <c r="A1684" s="50">
        <v>723</v>
      </c>
      <c r="B1684" s="51" t="str">
        <v>灯具-疏散出口标志灯</v>
      </c>
      <c r="C1684" s="51" t="e">
        <v>#REF!</v>
      </c>
      <c r="D1684" s="51" t="str">
        <v/>
      </c>
      <c r="E1684" s="51" t="str">
        <v/>
      </c>
      <c r="F1684" s="52" t="e">
        <v>#REF!</v>
      </c>
      <c r="G1684" s="48" t="e">
        <v>#REF!</v>
      </c>
      <c r="H1684" s="49">
        <v>42</v>
      </c>
      <c r="I1684" s="49" t="e">
        <v>#REF!</v>
      </c>
      <c r="J1684" s="50"/>
    </row>
    <row r="1685" outlineLevel="1" spans="1:10">
      <c r="A1685" s="50">
        <v>724</v>
      </c>
      <c r="B1685" s="51" t="str">
        <v>灯具-火灾禁入标志灯</v>
      </c>
      <c r="C1685" s="51" t="e">
        <v>#REF!</v>
      </c>
      <c r="D1685" s="51" t="str">
        <v/>
      </c>
      <c r="E1685" s="51" t="str">
        <v/>
      </c>
      <c r="F1685" s="52" t="e">
        <v>#REF!</v>
      </c>
      <c r="G1685" s="48" t="e">
        <v>#REF!</v>
      </c>
      <c r="H1685" s="49">
        <v>2</v>
      </c>
      <c r="I1685" s="49" t="e">
        <v>#REF!</v>
      </c>
      <c r="J1685" s="50"/>
    </row>
    <row r="1686" outlineLevel="1" spans="1:10">
      <c r="A1686" s="50">
        <v>725</v>
      </c>
      <c r="B1686" s="51" t="str">
        <v>灯具-楼层指示标志灯</v>
      </c>
      <c r="C1686" s="51" t="e">
        <v>#REF!</v>
      </c>
      <c r="D1686" s="51" t="str">
        <v/>
      </c>
      <c r="E1686" s="51" t="str">
        <v/>
      </c>
      <c r="F1686" s="52" t="e">
        <v>#REF!</v>
      </c>
      <c r="G1686" s="48" t="e">
        <v>#REF!</v>
      </c>
      <c r="H1686" s="49">
        <v>26</v>
      </c>
      <c r="I1686" s="49" t="e">
        <v>#REF!</v>
      </c>
      <c r="J1686" s="50"/>
    </row>
    <row r="1687" ht="28.8" outlineLevel="1" spans="1:10">
      <c r="A1687" s="50">
        <v>726</v>
      </c>
      <c r="B1687" s="51" t="str">
        <v>灯具-消防应急壁灯（微波感应）带蓄电池</v>
      </c>
      <c r="C1687" s="51" t="e">
        <v>#REF!</v>
      </c>
      <c r="D1687" s="51" t="str">
        <v/>
      </c>
      <c r="E1687" s="51" t="str">
        <v/>
      </c>
      <c r="F1687" s="52" t="e">
        <v>#REF!</v>
      </c>
      <c r="G1687" s="48" t="e">
        <v>#REF!</v>
      </c>
      <c r="H1687" s="49">
        <v>2</v>
      </c>
      <c r="I1687" s="49" t="e">
        <v>#REF!</v>
      </c>
      <c r="J1687" s="50"/>
    </row>
    <row r="1688" ht="28.8" outlineLevel="1" spans="1:10">
      <c r="A1688" s="50">
        <v>727</v>
      </c>
      <c r="B1688" s="51" t="str">
        <v>灯具-消防应急吸顶灯-附微波感应带蓄电池</v>
      </c>
      <c r="C1688" s="51" t="e">
        <v>#REF!</v>
      </c>
      <c r="D1688" s="51" t="str">
        <v/>
      </c>
      <c r="E1688" s="51" t="str">
        <v/>
      </c>
      <c r="F1688" s="52" t="e">
        <v>#REF!</v>
      </c>
      <c r="G1688" s="48" t="e">
        <v>#REF!</v>
      </c>
      <c r="H1688" s="49">
        <v>122</v>
      </c>
      <c r="I1688" s="49" t="e">
        <v>#REF!</v>
      </c>
      <c r="J1688" s="50"/>
    </row>
    <row r="1689" ht="28.8" outlineLevel="1" spans="1:10">
      <c r="A1689" s="50">
        <v>728</v>
      </c>
      <c r="B1689" s="51" t="str">
        <v>灯具-单向单面疏散指示标志灯</v>
      </c>
      <c r="C1689" s="51" t="e">
        <v>#REF!</v>
      </c>
      <c r="D1689" s="51" t="str">
        <v/>
      </c>
      <c r="E1689" s="51" t="str">
        <v/>
      </c>
      <c r="F1689" s="52" t="e">
        <v>#REF!</v>
      </c>
      <c r="G1689" s="48" t="e">
        <v>#REF!</v>
      </c>
      <c r="H1689" s="49">
        <v>24</v>
      </c>
      <c r="I1689" s="49" t="e">
        <v>#REF!</v>
      </c>
      <c r="J1689" s="50"/>
    </row>
    <row r="1690" outlineLevel="1" spans="1:10">
      <c r="A1690" s="50" t="str">
        <v/>
      </c>
      <c r="B1690" s="51" t="str">
        <v>B.21.5开关插座</v>
      </c>
      <c r="C1690" s="51" t="str">
        <v/>
      </c>
      <c r="D1690" s="51" t="str">
        <v/>
      </c>
      <c r="E1690" s="51" t="str">
        <v/>
      </c>
      <c r="F1690" s="52" t="str">
        <v/>
      </c>
      <c r="G1690" s="48" t="str">
        <v/>
      </c>
      <c r="H1690" s="49">
        <v>0</v>
      </c>
      <c r="I1690" s="49" t="e">
        <v>#REF!</v>
      </c>
      <c r="J1690" s="50"/>
    </row>
    <row r="1691" outlineLevel="1" spans="1:10">
      <c r="A1691" s="50">
        <v>729</v>
      </c>
      <c r="B1691" s="51" t="str">
        <v>五孔插座</v>
      </c>
      <c r="C1691" s="51" t="e">
        <v>#REF!</v>
      </c>
      <c r="D1691" s="51" t="str">
        <v/>
      </c>
      <c r="E1691" s="51" t="str">
        <v/>
      </c>
      <c r="F1691" s="52" t="e">
        <v>#REF!</v>
      </c>
      <c r="G1691" s="48" t="e">
        <v>#REF!</v>
      </c>
      <c r="H1691" s="49">
        <v>66</v>
      </c>
      <c r="I1691" s="49" t="e">
        <v>#REF!</v>
      </c>
      <c r="J1691" s="50"/>
    </row>
    <row r="1692" outlineLevel="1" spans="1:10">
      <c r="A1692" s="50">
        <v>730</v>
      </c>
      <c r="B1692" s="51" t="str">
        <v>电伴热插座</v>
      </c>
      <c r="C1692" s="51" t="e">
        <v>#REF!</v>
      </c>
      <c r="D1692" s="51" t="str">
        <v/>
      </c>
      <c r="E1692" s="51" t="str">
        <v/>
      </c>
      <c r="F1692" s="52" t="e">
        <v>#REF!</v>
      </c>
      <c r="G1692" s="48" t="e">
        <v>#REF!</v>
      </c>
      <c r="H1692" s="49">
        <v>1</v>
      </c>
      <c r="I1692" s="49" t="e">
        <v>#REF!</v>
      </c>
      <c r="J1692" s="50"/>
    </row>
    <row r="1693" outlineLevel="1" spans="1:10">
      <c r="A1693" s="50">
        <v>731</v>
      </c>
      <c r="B1693" s="51" t="str">
        <v>洗衣机插座</v>
      </c>
      <c r="C1693" s="51" t="e">
        <v>#REF!</v>
      </c>
      <c r="D1693" s="51" t="str">
        <v/>
      </c>
      <c r="E1693" s="51" t="str">
        <v/>
      </c>
      <c r="F1693" s="52" t="e">
        <v>#REF!</v>
      </c>
      <c r="G1693" s="48" t="e">
        <v>#REF!</v>
      </c>
      <c r="H1693" s="49">
        <v>44</v>
      </c>
      <c r="I1693" s="49" t="e">
        <v>#REF!</v>
      </c>
      <c r="J1693" s="50"/>
    </row>
    <row r="1694" outlineLevel="1" spans="1:10">
      <c r="A1694" s="50">
        <v>732</v>
      </c>
      <c r="B1694" s="51" t="str">
        <v>安全型燃气插座</v>
      </c>
      <c r="C1694" s="51" t="e">
        <v>#REF!</v>
      </c>
      <c r="D1694" s="51" t="str">
        <v/>
      </c>
      <c r="E1694" s="51" t="str">
        <v/>
      </c>
      <c r="F1694" s="52" t="e">
        <v>#REF!</v>
      </c>
      <c r="G1694" s="48" t="e">
        <v>#REF!</v>
      </c>
      <c r="H1694" s="49">
        <v>44</v>
      </c>
      <c r="I1694" s="49" t="e">
        <v>#REF!</v>
      </c>
      <c r="J1694" s="50"/>
    </row>
    <row r="1695" outlineLevel="1" spans="1:10">
      <c r="A1695" s="50">
        <v>733</v>
      </c>
      <c r="B1695" s="51" t="str">
        <v>电辅热插座</v>
      </c>
      <c r="C1695" s="51" t="e">
        <v>#REF!</v>
      </c>
      <c r="D1695" s="51" t="str">
        <v/>
      </c>
      <c r="E1695" s="51" t="str">
        <v/>
      </c>
      <c r="F1695" s="52" t="e">
        <v>#REF!</v>
      </c>
      <c r="G1695" s="48" t="e">
        <v>#REF!</v>
      </c>
      <c r="H1695" s="49">
        <v>44</v>
      </c>
      <c r="I1695" s="49" t="e">
        <v>#REF!</v>
      </c>
      <c r="J1695" s="50"/>
    </row>
    <row r="1696" outlineLevel="1" spans="1:10">
      <c r="A1696" s="50">
        <v>734</v>
      </c>
      <c r="B1696" s="51" t="str">
        <v>油烟机插座</v>
      </c>
      <c r="C1696" s="51" t="e">
        <v>#REF!</v>
      </c>
      <c r="D1696" s="51" t="str">
        <v/>
      </c>
      <c r="E1696" s="51" t="str">
        <v/>
      </c>
      <c r="F1696" s="52" t="e">
        <v>#REF!</v>
      </c>
      <c r="G1696" s="48" t="e">
        <v>#REF!</v>
      </c>
      <c r="H1696" s="49">
        <v>44</v>
      </c>
      <c r="I1696" s="49" t="e">
        <v>#REF!</v>
      </c>
      <c r="J1696" s="50"/>
    </row>
    <row r="1697" outlineLevel="1" spans="1:10">
      <c r="A1697" s="50">
        <v>735</v>
      </c>
      <c r="B1697" s="51" t="str">
        <v>厨房五孔插座</v>
      </c>
      <c r="C1697" s="51" t="e">
        <v>#REF!</v>
      </c>
      <c r="D1697" s="51" t="str">
        <v/>
      </c>
      <c r="E1697" s="51" t="str">
        <v/>
      </c>
      <c r="F1697" s="52" t="e">
        <v>#REF!</v>
      </c>
      <c r="G1697" s="48" t="e">
        <v>#REF!</v>
      </c>
      <c r="H1697" s="49">
        <v>220</v>
      </c>
      <c r="I1697" s="49" t="e">
        <v>#REF!</v>
      </c>
      <c r="J1697" s="50"/>
    </row>
    <row r="1698" outlineLevel="1" spans="1:10">
      <c r="A1698" s="50">
        <v>736</v>
      </c>
      <c r="B1698" s="51" t="str">
        <v>剃须刀插座</v>
      </c>
      <c r="C1698" s="51" t="e">
        <v>#REF!</v>
      </c>
      <c r="D1698" s="51" t="str">
        <v/>
      </c>
      <c r="E1698" s="51" t="str">
        <v/>
      </c>
      <c r="F1698" s="52" t="e">
        <v>#REF!</v>
      </c>
      <c r="G1698" s="48" t="e">
        <v>#REF!</v>
      </c>
      <c r="H1698" s="49">
        <v>88</v>
      </c>
      <c r="I1698" s="49" t="e">
        <v>#REF!</v>
      </c>
      <c r="J1698" s="50"/>
    </row>
    <row r="1699" outlineLevel="1" spans="1:10">
      <c r="A1699" s="50">
        <v>737</v>
      </c>
      <c r="B1699" s="51" t="str">
        <v>七孔插座</v>
      </c>
      <c r="C1699" s="51" t="e">
        <v>#REF!</v>
      </c>
      <c r="D1699" s="51" t="str">
        <v/>
      </c>
      <c r="E1699" s="51" t="str">
        <v/>
      </c>
      <c r="F1699" s="52" t="e">
        <v>#REF!</v>
      </c>
      <c r="G1699" s="48" t="e">
        <v>#REF!</v>
      </c>
      <c r="H1699" s="49">
        <v>88</v>
      </c>
      <c r="I1699" s="49" t="e">
        <v>#REF!</v>
      </c>
      <c r="J1699" s="50"/>
    </row>
    <row r="1700" outlineLevel="1" spans="1:10">
      <c r="A1700" s="50">
        <v>738</v>
      </c>
      <c r="B1700" s="51" t="str">
        <v>防溅盒</v>
      </c>
      <c r="C1700" s="51" t="e">
        <v>#REF!</v>
      </c>
      <c r="D1700" s="51" t="str">
        <v/>
      </c>
      <c r="E1700" s="51" t="str">
        <v/>
      </c>
      <c r="F1700" s="52" t="e">
        <v>#REF!</v>
      </c>
      <c r="G1700" s="48" t="e">
        <v>#REF!</v>
      </c>
      <c r="H1700" s="49">
        <v>0</v>
      </c>
      <c r="I1700" s="49" t="e">
        <v>#REF!</v>
      </c>
      <c r="J1700" s="50"/>
    </row>
    <row r="1701" outlineLevel="1" spans="1:10">
      <c r="A1701" s="50">
        <v>739</v>
      </c>
      <c r="B1701" s="51" t="str">
        <v>智能马桶插座</v>
      </c>
      <c r="C1701" s="51" t="e">
        <v>#REF!</v>
      </c>
      <c r="D1701" s="51" t="str">
        <v/>
      </c>
      <c r="E1701" s="51" t="str">
        <v/>
      </c>
      <c r="F1701" s="52" t="e">
        <v>#REF!</v>
      </c>
      <c r="G1701" s="48" t="e">
        <v>#REF!</v>
      </c>
      <c r="H1701" s="49">
        <v>88</v>
      </c>
      <c r="I1701" s="49" t="e">
        <v>#REF!</v>
      </c>
      <c r="J1701" s="50"/>
    </row>
    <row r="1702" outlineLevel="1" spans="1:10">
      <c r="A1702" s="50">
        <v>740</v>
      </c>
      <c r="B1702" s="51" t="str">
        <v>冰箱插座</v>
      </c>
      <c r="C1702" s="51" t="e">
        <v>#REF!</v>
      </c>
      <c r="D1702" s="51" t="str">
        <v/>
      </c>
      <c r="E1702" s="51" t="str">
        <v/>
      </c>
      <c r="F1702" s="52" t="e">
        <v>#REF!</v>
      </c>
      <c r="G1702" s="48" t="e">
        <v>#REF!</v>
      </c>
      <c r="H1702" s="49">
        <v>44</v>
      </c>
      <c r="I1702" s="49" t="e">
        <v>#REF!</v>
      </c>
      <c r="J1702" s="50"/>
    </row>
    <row r="1703" ht="28.8" outlineLevel="1" spans="1:10">
      <c r="A1703" s="50">
        <v>741</v>
      </c>
      <c r="B1703" s="51" t="str">
        <v>空调挂机、柜机三孔插座-（带开关）</v>
      </c>
      <c r="C1703" s="51" t="e">
        <v>#REF!</v>
      </c>
      <c r="D1703" s="51" t="str">
        <v/>
      </c>
      <c r="E1703" s="51" t="str">
        <v/>
      </c>
      <c r="F1703" s="52" t="e">
        <v>#REF!</v>
      </c>
      <c r="G1703" s="48" t="e">
        <v>#REF!</v>
      </c>
      <c r="H1703" s="49">
        <v>221</v>
      </c>
      <c r="I1703" s="49" t="e">
        <v>#REF!</v>
      </c>
      <c r="J1703" s="50"/>
    </row>
    <row r="1704" outlineLevel="1" spans="1:10">
      <c r="A1704" s="50">
        <v>742</v>
      </c>
      <c r="B1704" s="51" t="str">
        <v>热水器插座</v>
      </c>
      <c r="C1704" s="51" t="e">
        <v>#REF!</v>
      </c>
      <c r="D1704" s="51" t="str">
        <v/>
      </c>
      <c r="E1704" s="51" t="str">
        <v/>
      </c>
      <c r="F1704" s="52" t="e">
        <v>#REF!</v>
      </c>
      <c r="G1704" s="48" t="e">
        <v>#REF!</v>
      </c>
      <c r="H1704" s="49">
        <v>0</v>
      </c>
      <c r="I1704" s="49" t="e">
        <v>#REF!</v>
      </c>
      <c r="J1704" s="50"/>
    </row>
    <row r="1705" outlineLevel="1" spans="1:10">
      <c r="A1705" s="50">
        <v>743</v>
      </c>
      <c r="B1705" s="51" t="str">
        <v>单联双控开关</v>
      </c>
      <c r="C1705" s="51" t="e">
        <v>#REF!</v>
      </c>
      <c r="D1705" s="51" t="str">
        <v/>
      </c>
      <c r="E1705" s="51" t="str">
        <v/>
      </c>
      <c r="F1705" s="52" t="e">
        <v>#REF!</v>
      </c>
      <c r="G1705" s="48" t="e">
        <v>#REF!</v>
      </c>
      <c r="H1705" s="49">
        <v>266</v>
      </c>
      <c r="I1705" s="49" t="e">
        <v>#REF!</v>
      </c>
      <c r="J1705" s="50"/>
    </row>
    <row r="1706" outlineLevel="1" spans="1:10">
      <c r="A1706" s="50">
        <v>744</v>
      </c>
      <c r="B1706" s="51" t="str">
        <v>单联单控开关</v>
      </c>
      <c r="C1706" s="51" t="e">
        <v>#REF!</v>
      </c>
      <c r="D1706" s="51" t="str">
        <v/>
      </c>
      <c r="E1706" s="51" t="str">
        <v/>
      </c>
      <c r="F1706" s="52" t="e">
        <v>#REF!</v>
      </c>
      <c r="G1706" s="48" t="e">
        <v>#REF!</v>
      </c>
      <c r="H1706" s="49">
        <v>398</v>
      </c>
      <c r="I1706" s="49" t="e">
        <v>#REF!</v>
      </c>
      <c r="J1706" s="50"/>
    </row>
    <row r="1707" outlineLevel="1" spans="1:10">
      <c r="A1707" s="50">
        <v>745</v>
      </c>
      <c r="B1707" s="51" t="str">
        <v>双联单控开关</v>
      </c>
      <c r="C1707" s="51" t="e">
        <v>#REF!</v>
      </c>
      <c r="D1707" s="51" t="str">
        <v/>
      </c>
      <c r="E1707" s="51" t="str">
        <v/>
      </c>
      <c r="F1707" s="52" t="e">
        <v>#REF!</v>
      </c>
      <c r="G1707" s="48" t="e">
        <v>#REF!</v>
      </c>
      <c r="H1707" s="49">
        <v>178</v>
      </c>
      <c r="I1707" s="49" t="e">
        <v>#REF!</v>
      </c>
      <c r="J1707" s="50"/>
    </row>
    <row r="1708" outlineLevel="1" spans="1:10">
      <c r="A1708" s="50">
        <v>746</v>
      </c>
      <c r="B1708" s="51" t="str">
        <v>三联单控开关</v>
      </c>
      <c r="C1708" s="51" t="e">
        <v>#REF!</v>
      </c>
      <c r="D1708" s="51" t="str">
        <v/>
      </c>
      <c r="E1708" s="51" t="str">
        <v/>
      </c>
      <c r="F1708" s="52" t="e">
        <v>#REF!</v>
      </c>
      <c r="G1708" s="48" t="e">
        <v>#REF!</v>
      </c>
      <c r="H1708" s="49">
        <v>0</v>
      </c>
      <c r="I1708" s="49" t="e">
        <v>#REF!</v>
      </c>
      <c r="J1708" s="50"/>
    </row>
    <row r="1709" outlineLevel="1" spans="1:10">
      <c r="A1709" s="50">
        <v>747</v>
      </c>
      <c r="B1709" s="51" t="str">
        <v>热力温控开关</v>
      </c>
      <c r="C1709" s="51" t="e">
        <v>#REF!</v>
      </c>
      <c r="D1709" s="51" t="str">
        <v/>
      </c>
      <c r="E1709" s="51" t="str">
        <v/>
      </c>
      <c r="F1709" s="52" t="e">
        <v>#REF!</v>
      </c>
      <c r="G1709" s="48" t="e">
        <v>#REF!</v>
      </c>
      <c r="H1709" s="49">
        <v>44</v>
      </c>
      <c r="I1709" s="49" t="e">
        <v>#REF!</v>
      </c>
      <c r="J1709" s="50"/>
    </row>
    <row r="1710" ht="28.8" outlineLevel="1" spans="1:10">
      <c r="A1710" s="50">
        <v>748</v>
      </c>
      <c r="B1710" s="51" t="str">
        <v>暗装排气扇接线盒（含面板）</v>
      </c>
      <c r="C1710" s="51" t="e">
        <v>#REF!</v>
      </c>
      <c r="D1710" s="51" t="str">
        <v/>
      </c>
      <c r="E1710" s="51" t="str">
        <v/>
      </c>
      <c r="F1710" s="52" t="e">
        <v>#REF!</v>
      </c>
      <c r="G1710" s="48" t="e">
        <v>#REF!</v>
      </c>
      <c r="H1710" s="49">
        <v>88</v>
      </c>
      <c r="I1710" s="49" t="e">
        <v>#REF!</v>
      </c>
      <c r="J1710" s="50"/>
    </row>
    <row r="1711" outlineLevel="1" spans="1:10">
      <c r="A1711" s="50">
        <v>749</v>
      </c>
      <c r="B1711" s="51" t="str">
        <v>密闭接线盒</v>
      </c>
      <c r="C1711" s="51" t="e">
        <v>#REF!</v>
      </c>
      <c r="D1711" s="51" t="str">
        <v/>
      </c>
      <c r="E1711" s="51" t="str">
        <v/>
      </c>
      <c r="F1711" s="52" t="e">
        <v>#REF!</v>
      </c>
      <c r="G1711" s="48" t="e">
        <v>#REF!</v>
      </c>
      <c r="H1711" s="49">
        <v>0</v>
      </c>
      <c r="I1711" s="49" t="e">
        <v>#REF!</v>
      </c>
      <c r="J1711" s="50"/>
    </row>
    <row r="1712" outlineLevel="1" spans="1:10">
      <c r="A1712" s="50">
        <v>750</v>
      </c>
      <c r="B1712" s="51" t="str">
        <v>暗装塑料接线盒</v>
      </c>
      <c r="C1712" s="51" t="e">
        <v>#REF!</v>
      </c>
      <c r="D1712" s="51" t="str">
        <v/>
      </c>
      <c r="E1712" s="51" t="str">
        <v/>
      </c>
      <c r="F1712" s="52" t="e">
        <v>#REF!</v>
      </c>
      <c r="G1712" s="48" t="e">
        <v>#REF!</v>
      </c>
      <c r="H1712" s="49">
        <v>2930</v>
      </c>
      <c r="I1712" s="49" t="e">
        <v>#REF!</v>
      </c>
      <c r="J1712" s="50"/>
    </row>
    <row r="1713" outlineLevel="1" spans="1:10">
      <c r="A1713" s="50">
        <v>751</v>
      </c>
      <c r="B1713" s="51" t="str">
        <v>暗装钢制接线盒</v>
      </c>
      <c r="C1713" s="51" t="e">
        <v>#REF!</v>
      </c>
      <c r="D1713" s="51" t="str">
        <v/>
      </c>
      <c r="E1713" s="51" t="str">
        <v/>
      </c>
      <c r="F1713" s="52" t="e">
        <v>#REF!</v>
      </c>
      <c r="G1713" s="48" t="e">
        <v>#REF!</v>
      </c>
      <c r="H1713" s="49">
        <v>1190</v>
      </c>
      <c r="I1713" s="49" t="e">
        <v>#REF!</v>
      </c>
      <c r="J1713" s="50"/>
    </row>
    <row r="1714" outlineLevel="1" spans="1:10">
      <c r="A1714" s="50" t="str">
        <v/>
      </c>
      <c r="B1714" s="51" t="str">
        <v>B.21.6防雷接地</v>
      </c>
      <c r="C1714" s="51" t="str">
        <v/>
      </c>
      <c r="D1714" s="51" t="str">
        <v/>
      </c>
      <c r="E1714" s="51" t="str">
        <v/>
      </c>
      <c r="F1714" s="52" t="str">
        <v/>
      </c>
      <c r="G1714" s="48" t="str">
        <v/>
      </c>
      <c r="H1714" s="49">
        <v>0</v>
      </c>
      <c r="I1714" s="49" t="e">
        <v>#REF!</v>
      </c>
      <c r="J1714" s="50"/>
    </row>
    <row r="1715" outlineLevel="1" spans="1:10">
      <c r="A1715" s="50">
        <v>752</v>
      </c>
      <c r="B1715" s="51" t="str">
        <v>避雷引下线1</v>
      </c>
      <c r="C1715" s="51" t="e">
        <v>#REF!</v>
      </c>
      <c r="D1715" s="51" t="str">
        <v/>
      </c>
      <c r="E1715" s="51" t="str">
        <v/>
      </c>
      <c r="F1715" s="52" t="e">
        <v>#REF!</v>
      </c>
      <c r="G1715" s="48" t="e">
        <v>#REF!</v>
      </c>
      <c r="H1715" s="49">
        <v>578.98</v>
      </c>
      <c r="I1715" s="49" t="e">
        <v>#REF!</v>
      </c>
      <c r="J1715" s="50"/>
    </row>
    <row r="1716" outlineLevel="1" spans="1:10">
      <c r="A1716" s="50">
        <v>753</v>
      </c>
      <c r="B1716" s="51" t="str">
        <v>避雷引下线2</v>
      </c>
      <c r="C1716" s="51" t="e">
        <v>#REF!</v>
      </c>
      <c r="D1716" s="51" t="str">
        <v/>
      </c>
      <c r="E1716" s="51" t="str">
        <v/>
      </c>
      <c r="F1716" s="52" t="e">
        <v>#REF!</v>
      </c>
      <c r="G1716" s="48" t="e">
        <v>#REF!</v>
      </c>
      <c r="H1716" s="49">
        <v>10</v>
      </c>
      <c r="I1716" s="49" t="e">
        <v>#REF!</v>
      </c>
      <c r="J1716" s="50"/>
    </row>
    <row r="1717" outlineLevel="1" spans="1:10">
      <c r="A1717" s="50">
        <v>754</v>
      </c>
      <c r="B1717" s="51" t="str">
        <v>均压环</v>
      </c>
      <c r="C1717" s="51" t="e">
        <v>#REF!</v>
      </c>
      <c r="D1717" s="51" t="str">
        <v/>
      </c>
      <c r="E1717" s="51" t="str">
        <v/>
      </c>
      <c r="F1717" s="52" t="e">
        <v>#REF!</v>
      </c>
      <c r="G1717" s="48" t="e">
        <v>#REF!</v>
      </c>
      <c r="H1717" s="49">
        <v>530.54</v>
      </c>
      <c r="I1717" s="49" t="e">
        <v>#REF!</v>
      </c>
      <c r="J1717" s="50"/>
    </row>
    <row r="1718" outlineLevel="1" spans="1:10">
      <c r="A1718" s="50">
        <v>755</v>
      </c>
      <c r="B1718" s="51" t="str">
        <v>接地母线-25*4</v>
      </c>
      <c r="C1718" s="51" t="e">
        <v>#REF!</v>
      </c>
      <c r="D1718" s="51" t="str">
        <v/>
      </c>
      <c r="E1718" s="51" t="str">
        <v/>
      </c>
      <c r="F1718" s="52" t="e">
        <v>#REF!</v>
      </c>
      <c r="G1718" s="48" t="e">
        <v>#REF!</v>
      </c>
      <c r="H1718" s="49">
        <v>62</v>
      </c>
      <c r="I1718" s="49" t="e">
        <v>#REF!</v>
      </c>
      <c r="J1718" s="50"/>
    </row>
    <row r="1719" outlineLevel="1" spans="1:10">
      <c r="A1719" s="50">
        <v>756</v>
      </c>
      <c r="B1719" s="51" t="str">
        <v>接地母线-40*4</v>
      </c>
      <c r="C1719" s="51" t="e">
        <v>#REF!</v>
      </c>
      <c r="D1719" s="51" t="str">
        <v/>
      </c>
      <c r="E1719" s="51" t="str">
        <v/>
      </c>
      <c r="F1719" s="52" t="e">
        <v>#REF!</v>
      </c>
      <c r="G1719" s="48" t="e">
        <v>#REF!</v>
      </c>
      <c r="H1719" s="49">
        <v>66.75</v>
      </c>
      <c r="I1719" s="49" t="e">
        <v>#REF!</v>
      </c>
      <c r="J1719" s="50"/>
    </row>
    <row r="1720" outlineLevel="1" spans="1:10">
      <c r="A1720" s="50">
        <v>757</v>
      </c>
      <c r="B1720" s="51" t="str">
        <v>接地端子板</v>
      </c>
      <c r="C1720" s="51" t="e">
        <v>#REF!</v>
      </c>
      <c r="D1720" s="51" t="str">
        <v/>
      </c>
      <c r="E1720" s="51" t="str">
        <v/>
      </c>
      <c r="F1720" s="52" t="e">
        <v>#REF!</v>
      </c>
      <c r="G1720" s="48" t="e">
        <v>#REF!</v>
      </c>
      <c r="H1720" s="49">
        <v>22</v>
      </c>
      <c r="I1720" s="49" t="e">
        <v>#REF!</v>
      </c>
      <c r="J1720" s="50"/>
    </row>
    <row r="1721" outlineLevel="1" spans="1:10">
      <c r="A1721" s="50">
        <v>758</v>
      </c>
      <c r="B1721" s="51" t="str">
        <v>卫生间等电位接地</v>
      </c>
      <c r="C1721" s="51" t="e">
        <v>#REF!</v>
      </c>
      <c r="D1721" s="51" t="str">
        <v/>
      </c>
      <c r="E1721" s="51" t="str">
        <v/>
      </c>
      <c r="F1721" s="52" t="e">
        <v>#REF!</v>
      </c>
      <c r="G1721" s="48" t="e">
        <v>#REF!</v>
      </c>
      <c r="H1721" s="49">
        <v>89</v>
      </c>
      <c r="I1721" s="49" t="e">
        <v>#REF!</v>
      </c>
      <c r="J1721" s="50"/>
    </row>
    <row r="1722" outlineLevel="1" spans="1:10">
      <c r="A1722" s="50">
        <v>759</v>
      </c>
      <c r="B1722" s="51" t="str">
        <v>避雷网1</v>
      </c>
      <c r="C1722" s="51" t="e">
        <v>#REF!</v>
      </c>
      <c r="D1722" s="51" t="str">
        <v/>
      </c>
      <c r="E1722" s="51" t="str">
        <v/>
      </c>
      <c r="F1722" s="52" t="e">
        <v>#REF!</v>
      </c>
      <c r="G1722" s="48" t="e">
        <v>#REF!</v>
      </c>
      <c r="H1722" s="49">
        <v>450</v>
      </c>
      <c r="I1722" s="49" t="e">
        <v>#REF!</v>
      </c>
      <c r="J1722" s="50"/>
    </row>
    <row r="1723" outlineLevel="1" spans="1:10">
      <c r="A1723" s="50" t="str">
        <v/>
      </c>
      <c r="B1723" s="51" t="str">
        <v>B.22弱电工程</v>
      </c>
      <c r="C1723" s="51" t="str">
        <v/>
      </c>
      <c r="D1723" s="51" t="str">
        <v/>
      </c>
      <c r="E1723" s="51" t="str">
        <v/>
      </c>
      <c r="F1723" s="52" t="str">
        <v/>
      </c>
      <c r="G1723" s="48" t="str">
        <v/>
      </c>
      <c r="H1723" s="49">
        <v>0</v>
      </c>
      <c r="I1723" s="49" t="e">
        <v>#REF!</v>
      </c>
      <c r="J1723" s="50"/>
    </row>
    <row r="1724" outlineLevel="1" spans="1:10">
      <c r="A1724" s="50">
        <v>760</v>
      </c>
      <c r="B1724" s="51" t="str">
        <v>弱电箱</v>
      </c>
      <c r="C1724" s="51" t="e">
        <v>#REF!</v>
      </c>
      <c r="D1724" s="51" t="str">
        <v/>
      </c>
      <c r="E1724" s="51" t="str">
        <v/>
      </c>
      <c r="F1724" s="52" t="e">
        <v>#REF!</v>
      </c>
      <c r="G1724" s="48" t="e">
        <v>#REF!</v>
      </c>
      <c r="H1724" s="49">
        <v>44</v>
      </c>
      <c r="I1724" s="49" t="e">
        <v>#REF!</v>
      </c>
      <c r="J1724" s="50"/>
    </row>
    <row r="1725" outlineLevel="1" spans="1:10">
      <c r="A1725" s="50">
        <v>761</v>
      </c>
      <c r="B1725" s="51" t="str">
        <v>金属桥架-100*100</v>
      </c>
      <c r="C1725" s="51" t="e">
        <v>#REF!</v>
      </c>
      <c r="D1725" s="51" t="str">
        <v/>
      </c>
      <c r="E1725" s="51" t="str">
        <v/>
      </c>
      <c r="F1725" s="52" t="e">
        <v>#REF!</v>
      </c>
      <c r="G1725" s="48" t="e">
        <v>#REF!</v>
      </c>
      <c r="H1725" s="49">
        <v>58</v>
      </c>
      <c r="I1725" s="49" t="e">
        <v>#REF!</v>
      </c>
      <c r="J1725" s="50"/>
    </row>
    <row r="1726" outlineLevel="1" spans="1:10">
      <c r="A1726" s="50">
        <v>762</v>
      </c>
      <c r="B1726" s="51" t="str">
        <v>金属桥架-150*100</v>
      </c>
      <c r="C1726" s="51" t="e">
        <v>#REF!</v>
      </c>
      <c r="D1726" s="51" t="str">
        <v/>
      </c>
      <c r="E1726" s="51" t="str">
        <v/>
      </c>
      <c r="F1726" s="52" t="e">
        <v>#REF!</v>
      </c>
      <c r="G1726" s="48" t="e">
        <v>#REF!</v>
      </c>
      <c r="H1726" s="49">
        <v>1</v>
      </c>
      <c r="I1726" s="49" t="e">
        <v>#REF!</v>
      </c>
      <c r="J1726" s="50"/>
    </row>
    <row r="1727" outlineLevel="1" spans="1:10">
      <c r="A1727" s="50">
        <v>763</v>
      </c>
      <c r="B1727" s="51" t="str">
        <v>防火堵洞</v>
      </c>
      <c r="C1727" s="51" t="e">
        <v>#REF!</v>
      </c>
      <c r="D1727" s="51" t="str">
        <v/>
      </c>
      <c r="E1727" s="51" t="str">
        <v/>
      </c>
      <c r="F1727" s="52" t="e">
        <v>#REF!</v>
      </c>
      <c r="G1727" s="48" t="e">
        <v>#REF!</v>
      </c>
      <c r="H1727" s="49">
        <v>22</v>
      </c>
      <c r="I1727" s="49" t="e">
        <v>#REF!</v>
      </c>
      <c r="J1727" s="50"/>
    </row>
    <row r="1728" outlineLevel="1" spans="1:10">
      <c r="A1728" s="50">
        <v>764</v>
      </c>
      <c r="B1728" s="51" t="str">
        <v>阻燃塑料管配管-PC20-暗配</v>
      </c>
      <c r="C1728" s="51" t="e">
        <v>#REF!</v>
      </c>
      <c r="D1728" s="51" t="str">
        <v/>
      </c>
      <c r="E1728" s="51" t="str">
        <v/>
      </c>
      <c r="F1728" s="52" t="e">
        <v>#REF!</v>
      </c>
      <c r="G1728" s="48" t="e">
        <v>#REF!</v>
      </c>
      <c r="H1728" s="49">
        <v>1184.15</v>
      </c>
      <c r="I1728" s="49" t="e">
        <v>#REF!</v>
      </c>
      <c r="J1728" s="50"/>
    </row>
    <row r="1729" outlineLevel="1" spans="1:10">
      <c r="A1729" s="50">
        <v>765</v>
      </c>
      <c r="B1729" s="51" t="str">
        <v>阻燃塑料管配管-PC25-暗配</v>
      </c>
      <c r="C1729" s="51" t="e">
        <v>#REF!</v>
      </c>
      <c r="D1729" s="51" t="str">
        <v/>
      </c>
      <c r="E1729" s="51" t="str">
        <v/>
      </c>
      <c r="F1729" s="52" t="e">
        <v>#REF!</v>
      </c>
      <c r="G1729" s="48" t="e">
        <v>#REF!</v>
      </c>
      <c r="H1729" s="49">
        <v>938.29</v>
      </c>
      <c r="I1729" s="49" t="e">
        <v>#REF!</v>
      </c>
      <c r="J1729" s="50"/>
    </row>
    <row r="1730" outlineLevel="1" spans="1:10">
      <c r="A1730" s="50">
        <v>766</v>
      </c>
      <c r="B1730" s="51" t="str">
        <v>阻燃塑料管配管-PC32-暗配</v>
      </c>
      <c r="C1730" s="51" t="e">
        <v>#REF!</v>
      </c>
      <c r="D1730" s="51" t="str">
        <v/>
      </c>
      <c r="E1730" s="51" t="str">
        <v/>
      </c>
      <c r="F1730" s="52" t="e">
        <v>#REF!</v>
      </c>
      <c r="G1730" s="48" t="e">
        <v>#REF!</v>
      </c>
      <c r="H1730" s="49">
        <v>0</v>
      </c>
      <c r="I1730" s="49" t="e">
        <v>#REF!</v>
      </c>
      <c r="J1730" s="50"/>
    </row>
    <row r="1731" outlineLevel="1" spans="1:10">
      <c r="A1731" s="50">
        <v>767</v>
      </c>
      <c r="B1731" s="51" t="str">
        <v>薄壁钢导管配管-JDG20-暗配</v>
      </c>
      <c r="C1731" s="51" t="e">
        <v>#REF!</v>
      </c>
      <c r="D1731" s="51" t="str">
        <v/>
      </c>
      <c r="E1731" s="51" t="str">
        <v/>
      </c>
      <c r="F1731" s="52" t="e">
        <v>#REF!</v>
      </c>
      <c r="G1731" s="48" t="e">
        <v>#REF!</v>
      </c>
      <c r="H1731" s="49">
        <v>0</v>
      </c>
      <c r="I1731" s="49" t="e">
        <v>#REF!</v>
      </c>
      <c r="J1731" s="50"/>
    </row>
    <row r="1732" outlineLevel="1" spans="1:10">
      <c r="A1732" s="50">
        <v>768</v>
      </c>
      <c r="B1732" s="51" t="str">
        <v>薄壁钢导管配管-JDG25-暗配</v>
      </c>
      <c r="C1732" s="51" t="e">
        <v>#REF!</v>
      </c>
      <c r="D1732" s="51" t="str">
        <v/>
      </c>
      <c r="E1732" s="51" t="str">
        <v/>
      </c>
      <c r="F1732" s="52" t="e">
        <v>#REF!</v>
      </c>
      <c r="G1732" s="48" t="e">
        <v>#REF!</v>
      </c>
      <c r="H1732" s="49">
        <v>0</v>
      </c>
      <c r="I1732" s="49" t="e">
        <v>#REF!</v>
      </c>
      <c r="J1732" s="50"/>
    </row>
    <row r="1733" outlineLevel="1" spans="1:10">
      <c r="A1733" s="50">
        <v>769</v>
      </c>
      <c r="B1733" s="51" t="str">
        <v>薄壁钢导管配管-JDG20-明配</v>
      </c>
      <c r="C1733" s="51" t="e">
        <v>#REF!</v>
      </c>
      <c r="D1733" s="51" t="str">
        <v/>
      </c>
      <c r="E1733" s="51" t="str">
        <v/>
      </c>
      <c r="F1733" s="52" t="e">
        <v>#REF!</v>
      </c>
      <c r="G1733" s="48" t="e">
        <v>#REF!</v>
      </c>
      <c r="H1733" s="49">
        <v>194.34</v>
      </c>
      <c r="I1733" s="49" t="e">
        <v>#REF!</v>
      </c>
      <c r="J1733" s="50"/>
    </row>
    <row r="1734" outlineLevel="1" spans="1:10">
      <c r="A1734" s="50">
        <v>770</v>
      </c>
      <c r="B1734" s="51" t="str">
        <v>薄壁钢导管配管-JDG25-明配</v>
      </c>
      <c r="C1734" s="51" t="e">
        <v>#REF!</v>
      </c>
      <c r="D1734" s="51" t="str">
        <v/>
      </c>
      <c r="E1734" s="51" t="str">
        <v/>
      </c>
      <c r="F1734" s="52" t="e">
        <v>#REF!</v>
      </c>
      <c r="G1734" s="48" t="e">
        <v>#REF!</v>
      </c>
      <c r="H1734" s="49">
        <v>1251.8</v>
      </c>
      <c r="I1734" s="49" t="e">
        <v>#REF!</v>
      </c>
      <c r="J1734" s="50"/>
    </row>
    <row r="1735" outlineLevel="1" spans="1:10">
      <c r="A1735" s="50">
        <v>771</v>
      </c>
      <c r="B1735" s="51" t="str">
        <v>SC20-暗配</v>
      </c>
      <c r="C1735" s="51" t="e">
        <v>#REF!</v>
      </c>
      <c r="D1735" s="51" t="str">
        <v/>
      </c>
      <c r="E1735" s="51" t="str">
        <v/>
      </c>
      <c r="F1735" s="52" t="e">
        <v>#REF!</v>
      </c>
      <c r="G1735" s="48" t="e">
        <v>#REF!</v>
      </c>
      <c r="H1735" s="49">
        <v>71.41</v>
      </c>
      <c r="I1735" s="49" t="e">
        <v>#REF!</v>
      </c>
      <c r="J1735" s="50"/>
    </row>
    <row r="1736" outlineLevel="1" spans="1:10">
      <c r="A1736" s="50">
        <v>772</v>
      </c>
      <c r="B1736" s="51" t="str">
        <v>金属软管配管-DN25</v>
      </c>
      <c r="C1736" s="51" t="e">
        <v>#REF!</v>
      </c>
      <c r="D1736" s="51" t="str">
        <v/>
      </c>
      <c r="E1736" s="51" t="str">
        <v/>
      </c>
      <c r="F1736" s="52" t="e">
        <v>#REF!</v>
      </c>
      <c r="G1736" s="48" t="e">
        <v>#REF!</v>
      </c>
      <c r="H1736" s="49">
        <v>11</v>
      </c>
      <c r="I1736" s="49" t="e">
        <v>#REF!</v>
      </c>
      <c r="J1736" s="50"/>
    </row>
    <row r="1737" outlineLevel="1" spans="1:10">
      <c r="A1737" s="50">
        <v>773</v>
      </c>
      <c r="B1737" s="51" t="str">
        <v>暗装塑料接线盒</v>
      </c>
      <c r="C1737" s="51" t="e">
        <v>#REF!</v>
      </c>
      <c r="D1737" s="51" t="str">
        <v/>
      </c>
      <c r="E1737" s="51" t="str">
        <v/>
      </c>
      <c r="F1737" s="52" t="e">
        <v>#REF!</v>
      </c>
      <c r="G1737" s="48" t="e">
        <v>#REF!</v>
      </c>
      <c r="H1737" s="49">
        <v>316</v>
      </c>
      <c r="I1737" s="49" t="e">
        <v>#REF!</v>
      </c>
      <c r="J1737" s="50"/>
    </row>
    <row r="1738" outlineLevel="1" spans="1:10">
      <c r="A1738" s="50">
        <v>774</v>
      </c>
      <c r="B1738" s="51" t="str">
        <v>暗装钢制接线盒</v>
      </c>
      <c r="C1738" s="51" t="e">
        <v>#REF!</v>
      </c>
      <c r="D1738" s="51" t="str">
        <v/>
      </c>
      <c r="E1738" s="51" t="str">
        <v/>
      </c>
      <c r="F1738" s="52" t="e">
        <v>#REF!</v>
      </c>
      <c r="G1738" s="48" t="e">
        <v>#REF!</v>
      </c>
      <c r="H1738" s="49">
        <v>4</v>
      </c>
      <c r="I1738" s="49" t="e">
        <v>#REF!</v>
      </c>
      <c r="J1738" s="50"/>
    </row>
    <row r="1739" outlineLevel="1" spans="1:10">
      <c r="A1739" s="50">
        <v>775</v>
      </c>
      <c r="B1739" s="51" t="str">
        <v>空白面板</v>
      </c>
      <c r="C1739" s="51" t="e">
        <v>#REF!</v>
      </c>
      <c r="D1739" s="51" t="str">
        <v/>
      </c>
      <c r="E1739" s="51" t="str">
        <v/>
      </c>
      <c r="F1739" s="52" t="e">
        <v>#REF!</v>
      </c>
      <c r="G1739" s="48" t="e">
        <v>#REF!</v>
      </c>
      <c r="H1739" s="49">
        <v>176</v>
      </c>
      <c r="I1739" s="49" t="e">
        <v>#REF!</v>
      </c>
      <c r="J1739" s="50"/>
    </row>
    <row r="1740" outlineLevel="1" spans="1:10">
      <c r="A1740" s="50">
        <v>776</v>
      </c>
      <c r="B1740" s="51" t="str">
        <v>管内穿铁丝</v>
      </c>
      <c r="C1740" s="51" t="e">
        <v>#REF!</v>
      </c>
      <c r="D1740" s="51" t="str">
        <v/>
      </c>
      <c r="E1740" s="51" t="str">
        <v/>
      </c>
      <c r="F1740" s="52" t="e">
        <v>#REF!</v>
      </c>
      <c r="G1740" s="48" t="e">
        <v>#REF!</v>
      </c>
      <c r="H1740" s="49">
        <v>3550.99</v>
      </c>
      <c r="I1740" s="49" t="e">
        <v>#REF!</v>
      </c>
      <c r="J1740" s="50"/>
    </row>
    <row r="1741" outlineLevel="1" spans="1:10">
      <c r="A1741" s="50" t="str">
        <v/>
      </c>
      <c r="B1741" s="51" t="str">
        <v>B.23消防工程</v>
      </c>
      <c r="C1741" s="51" t="str">
        <v/>
      </c>
      <c r="D1741" s="51" t="str">
        <v/>
      </c>
      <c r="E1741" s="51" t="str">
        <v/>
      </c>
      <c r="F1741" s="52" t="str">
        <v/>
      </c>
      <c r="G1741" s="48" t="str">
        <v/>
      </c>
      <c r="H1741" s="49">
        <v>0</v>
      </c>
      <c r="I1741" s="49" t="e">
        <v>#REF!</v>
      </c>
      <c r="J1741" s="50"/>
    </row>
    <row r="1742" outlineLevel="1" spans="1:10">
      <c r="A1742" s="50">
        <v>777</v>
      </c>
      <c r="B1742" s="51" t="str">
        <v>防火桥架-100*100</v>
      </c>
      <c r="C1742" s="51" t="e">
        <v>#REF!</v>
      </c>
      <c r="D1742" s="51" t="str">
        <v/>
      </c>
      <c r="E1742" s="51" t="str">
        <v/>
      </c>
      <c r="F1742" s="52" t="e">
        <v>#REF!</v>
      </c>
      <c r="G1742" s="48" t="e">
        <v>#REF!</v>
      </c>
      <c r="H1742" s="49">
        <v>63.64</v>
      </c>
      <c r="I1742" s="49" t="e">
        <v>#REF!</v>
      </c>
      <c r="J1742" s="50"/>
    </row>
    <row r="1743" outlineLevel="1" spans="1:10">
      <c r="A1743" s="50">
        <v>778</v>
      </c>
      <c r="B1743" s="51" t="str">
        <v>防火桥架-150*100</v>
      </c>
      <c r="C1743" s="51" t="e">
        <v>#REF!</v>
      </c>
      <c r="D1743" s="51" t="str">
        <v/>
      </c>
      <c r="E1743" s="51" t="str">
        <v/>
      </c>
      <c r="F1743" s="52" t="e">
        <v>#REF!</v>
      </c>
      <c r="G1743" s="48" t="e">
        <v>#REF!</v>
      </c>
      <c r="H1743" s="49">
        <v>0</v>
      </c>
      <c r="I1743" s="49" t="e">
        <v>#REF!</v>
      </c>
      <c r="J1743" s="50"/>
    </row>
    <row r="1744" outlineLevel="1" spans="1:10">
      <c r="A1744" s="50">
        <v>779</v>
      </c>
      <c r="B1744" s="51" t="str">
        <v>防火堵洞</v>
      </c>
      <c r="C1744" s="51" t="e">
        <v>#REF!</v>
      </c>
      <c r="D1744" s="51" t="str">
        <v/>
      </c>
      <c r="E1744" s="51" t="str">
        <v/>
      </c>
      <c r="F1744" s="52" t="e">
        <v>#REF!</v>
      </c>
      <c r="G1744" s="48" t="e">
        <v>#REF!</v>
      </c>
      <c r="H1744" s="49">
        <v>22</v>
      </c>
      <c r="I1744" s="49" t="e">
        <v>#REF!</v>
      </c>
      <c r="J1744" s="50"/>
    </row>
    <row r="1745" outlineLevel="1" spans="1:10">
      <c r="A1745" s="50">
        <v>780</v>
      </c>
      <c r="B1745" s="51" t="str">
        <v>SC15-暗配</v>
      </c>
      <c r="C1745" s="51" t="e">
        <v>#REF!</v>
      </c>
      <c r="D1745" s="51" t="str">
        <v/>
      </c>
      <c r="E1745" s="51" t="str">
        <v/>
      </c>
      <c r="F1745" s="52" t="e">
        <v>#REF!</v>
      </c>
      <c r="G1745" s="48" t="e">
        <v>#REF!</v>
      </c>
      <c r="H1745" s="49">
        <v>1</v>
      </c>
      <c r="I1745" s="49" t="e">
        <v>#REF!</v>
      </c>
      <c r="J1745" s="50"/>
    </row>
    <row r="1746" outlineLevel="1" spans="1:10">
      <c r="A1746" s="50">
        <v>781</v>
      </c>
      <c r="B1746" s="51" t="str">
        <v>SC20-暗配</v>
      </c>
      <c r="C1746" s="51" t="e">
        <v>#REF!</v>
      </c>
      <c r="D1746" s="51" t="str">
        <v/>
      </c>
      <c r="E1746" s="51" t="str">
        <v/>
      </c>
      <c r="F1746" s="52" t="e">
        <v>#REF!</v>
      </c>
      <c r="G1746" s="48" t="e">
        <v>#REF!</v>
      </c>
      <c r="H1746" s="49">
        <v>360.07</v>
      </c>
      <c r="I1746" s="49" t="e">
        <v>#REF!</v>
      </c>
      <c r="J1746" s="50"/>
    </row>
    <row r="1747" outlineLevel="1" spans="1:10">
      <c r="A1747" s="50">
        <v>782</v>
      </c>
      <c r="B1747" s="51" t="str">
        <v>SC25-暗配</v>
      </c>
      <c r="C1747" s="51" t="e">
        <v>#REF!</v>
      </c>
      <c r="D1747" s="51" t="str">
        <v/>
      </c>
      <c r="E1747" s="51" t="str">
        <v/>
      </c>
      <c r="F1747" s="52" t="e">
        <v>#REF!</v>
      </c>
      <c r="G1747" s="48" t="e">
        <v>#REF!</v>
      </c>
      <c r="H1747" s="49">
        <v>1</v>
      </c>
      <c r="I1747" s="49" t="e">
        <v>#REF!</v>
      </c>
      <c r="J1747" s="50"/>
    </row>
    <row r="1748" outlineLevel="1" spans="1:10">
      <c r="A1748" s="50">
        <v>783</v>
      </c>
      <c r="B1748" s="51" t="str">
        <v>薄壁钢导管配管-JDG20-明配</v>
      </c>
      <c r="C1748" s="51" t="e">
        <v>#REF!</v>
      </c>
      <c r="D1748" s="51" t="str">
        <v/>
      </c>
      <c r="E1748" s="51" t="str">
        <v/>
      </c>
      <c r="F1748" s="52" t="e">
        <v>#REF!</v>
      </c>
      <c r="G1748" s="48" t="e">
        <v>#REF!</v>
      </c>
      <c r="H1748" s="49">
        <v>258.25</v>
      </c>
      <c r="I1748" s="49" t="e">
        <v>#REF!</v>
      </c>
      <c r="J1748" s="50"/>
    </row>
    <row r="1749" outlineLevel="1" spans="1:10">
      <c r="A1749" s="50">
        <v>784</v>
      </c>
      <c r="B1749" s="51" t="str">
        <v>薄壁钢导管配管-JDG25-暗配</v>
      </c>
      <c r="C1749" s="51" t="e">
        <v>#REF!</v>
      </c>
      <c r="D1749" s="51" t="str">
        <v/>
      </c>
      <c r="E1749" s="51" t="str">
        <v/>
      </c>
      <c r="F1749" s="52" t="e">
        <v>#REF!</v>
      </c>
      <c r="G1749" s="48" t="e">
        <v>#REF!</v>
      </c>
      <c r="H1749" s="49">
        <v>0</v>
      </c>
      <c r="I1749" s="49" t="e">
        <v>#REF!</v>
      </c>
      <c r="J1749" s="50"/>
    </row>
    <row r="1750" outlineLevel="1" spans="1:10">
      <c r="A1750" s="50">
        <v>785</v>
      </c>
      <c r="B1750" s="51" t="str">
        <v>薄壁钢导管配管-JDG32-暗配</v>
      </c>
      <c r="C1750" s="51" t="e">
        <v>#REF!</v>
      </c>
      <c r="D1750" s="51" t="str">
        <v/>
      </c>
      <c r="E1750" s="51" t="str">
        <v/>
      </c>
      <c r="F1750" s="52" t="e">
        <v>#REF!</v>
      </c>
      <c r="G1750" s="48" t="e">
        <v>#REF!</v>
      </c>
      <c r="H1750" s="49">
        <v>0</v>
      </c>
      <c r="I1750" s="49" t="e">
        <v>#REF!</v>
      </c>
      <c r="J1750" s="50"/>
    </row>
    <row r="1751" outlineLevel="1" spans="1:10">
      <c r="A1751" s="50">
        <v>786</v>
      </c>
      <c r="B1751" s="51" t="str">
        <v>金属软管配管-DN20</v>
      </c>
      <c r="C1751" s="51" t="e">
        <v>#REF!</v>
      </c>
      <c r="D1751" s="51" t="str">
        <v/>
      </c>
      <c r="E1751" s="51" t="str">
        <v/>
      </c>
      <c r="F1751" s="52" t="e">
        <v>#REF!</v>
      </c>
      <c r="G1751" s="48" t="e">
        <v>#REF!</v>
      </c>
      <c r="H1751" s="49">
        <v>1</v>
      </c>
      <c r="I1751" s="49" t="e">
        <v>#REF!</v>
      </c>
      <c r="J1751" s="50"/>
    </row>
    <row r="1752" outlineLevel="1" spans="1:10">
      <c r="A1752" s="50">
        <v>787</v>
      </c>
      <c r="B1752" s="51" t="str">
        <v>管内穿铁丝</v>
      </c>
      <c r="C1752" s="51" t="e">
        <v>#REF!</v>
      </c>
      <c r="D1752" s="51" t="str">
        <v/>
      </c>
      <c r="E1752" s="51" t="str">
        <v/>
      </c>
      <c r="F1752" s="52" t="e">
        <v>#REF!</v>
      </c>
      <c r="G1752" s="48" t="e">
        <v>#REF!</v>
      </c>
      <c r="H1752" s="49">
        <v>618.32</v>
      </c>
      <c r="I1752" s="49" t="e">
        <v>#REF!</v>
      </c>
      <c r="J1752" s="50"/>
    </row>
    <row r="1753" outlineLevel="1" spans="1:10">
      <c r="A1753" s="50">
        <v>788</v>
      </c>
      <c r="B1753" s="51" t="str">
        <v>暗装钢制接线盒</v>
      </c>
      <c r="C1753" s="51" t="e">
        <v>#REF!</v>
      </c>
      <c r="D1753" s="51" t="str">
        <v/>
      </c>
      <c r="E1753" s="51" t="str">
        <v/>
      </c>
      <c r="F1753" s="52" t="e">
        <v>#REF!</v>
      </c>
      <c r="G1753" s="48" t="e">
        <v>#REF!</v>
      </c>
      <c r="H1753" s="49">
        <v>352</v>
      </c>
      <c r="I1753" s="49" t="e">
        <v>#REF!</v>
      </c>
      <c r="J1753" s="50"/>
    </row>
    <row r="1754" outlineLevel="1" spans="1:10">
      <c r="A1754" s="50" t="str">
        <v/>
      </c>
      <c r="B1754" s="51" t="str">
        <v/>
      </c>
      <c r="C1754" s="51" t="str">
        <v/>
      </c>
      <c r="D1754" s="51" t="str">
        <v/>
      </c>
      <c r="E1754" s="51" t="str">
        <v/>
      </c>
      <c r="F1754" s="52" t="str">
        <v/>
      </c>
      <c r="G1754" s="48" t="str">
        <v/>
      </c>
      <c r="H1754" s="49">
        <v>0</v>
      </c>
      <c r="I1754" s="49">
        <v>0</v>
      </c>
      <c r="J1754" s="50"/>
    </row>
    <row r="1755" outlineLevel="1" spans="1:10">
      <c r="A1755" s="50" t="str">
        <v/>
      </c>
      <c r="B1755" s="51" t="str">
        <v/>
      </c>
      <c r="C1755" s="51" t="str">
        <v/>
      </c>
      <c r="D1755" s="51" t="str">
        <v/>
      </c>
      <c r="E1755" s="51" t="str">
        <v/>
      </c>
      <c r="F1755" s="52" t="str">
        <v/>
      </c>
      <c r="G1755" s="48" t="str">
        <v/>
      </c>
      <c r="H1755" s="49">
        <v>0</v>
      </c>
      <c r="I1755" s="49">
        <v>0</v>
      </c>
      <c r="J1755" s="50"/>
    </row>
    <row r="1756" outlineLevel="1" spans="1:10">
      <c r="A1756" s="50" t="str">
        <v/>
      </c>
      <c r="B1756" s="51" t="str">
        <v/>
      </c>
      <c r="C1756" s="51" t="str">
        <v/>
      </c>
      <c r="D1756" s="51" t="str">
        <v/>
      </c>
      <c r="E1756" s="51" t="str">
        <v/>
      </c>
      <c r="F1756" s="52" t="str">
        <v/>
      </c>
      <c r="G1756" s="48" t="str">
        <v/>
      </c>
      <c r="H1756" s="49">
        <v>0</v>
      </c>
      <c r="I1756" s="49">
        <v>0</v>
      </c>
      <c r="J1756" s="50"/>
    </row>
    <row r="1757" outlineLevel="1" spans="1:10">
      <c r="A1757" s="50" t="str">
        <v/>
      </c>
      <c r="B1757" s="51" t="str">
        <v/>
      </c>
      <c r="C1757" s="51" t="str">
        <v/>
      </c>
      <c r="D1757" s="51" t="str">
        <v/>
      </c>
      <c r="E1757" s="51" t="str">
        <v/>
      </c>
      <c r="F1757" s="52" t="str">
        <v/>
      </c>
      <c r="G1757" s="48" t="str">
        <v/>
      </c>
      <c r="H1757" s="49">
        <v>0</v>
      </c>
      <c r="I1757" s="49">
        <v>0</v>
      </c>
      <c r="J1757" s="50"/>
    </row>
    <row r="1758" outlineLevel="1" spans="1:10">
      <c r="A1758" s="50" t="str">
        <v/>
      </c>
      <c r="B1758" s="51" t="str">
        <v/>
      </c>
      <c r="C1758" s="51" t="str">
        <v/>
      </c>
      <c r="D1758" s="51" t="str">
        <v/>
      </c>
      <c r="E1758" s="51" t="str">
        <v/>
      </c>
      <c r="F1758" s="52" t="str">
        <v/>
      </c>
      <c r="G1758" s="48" t="str">
        <v/>
      </c>
      <c r="H1758" s="49">
        <v>0</v>
      </c>
      <c r="I1758" s="49">
        <v>0</v>
      </c>
      <c r="J1758" s="50"/>
    </row>
    <row r="1759" outlineLevel="1" spans="1:10">
      <c r="A1759" s="50" t="str">
        <v/>
      </c>
      <c r="B1759" s="51" t="str">
        <v/>
      </c>
      <c r="C1759" s="51" t="str">
        <v/>
      </c>
      <c r="D1759" s="51" t="str">
        <v/>
      </c>
      <c r="E1759" s="51" t="str">
        <v/>
      </c>
      <c r="F1759" s="52" t="str">
        <v/>
      </c>
      <c r="G1759" s="48" t="str">
        <v/>
      </c>
      <c r="H1759" s="49">
        <v>0</v>
      </c>
      <c r="I1759" s="49">
        <v>0</v>
      </c>
      <c r="J1759" s="50"/>
    </row>
    <row r="1760" outlineLevel="1" spans="1:10">
      <c r="A1760" s="50" t="str">
        <v/>
      </c>
      <c r="B1760" s="51" t="str">
        <v/>
      </c>
      <c r="C1760" s="51" t="str">
        <v/>
      </c>
      <c r="D1760" s="51" t="str">
        <v/>
      </c>
      <c r="E1760" s="51" t="str">
        <v/>
      </c>
      <c r="F1760" s="52" t="str">
        <v/>
      </c>
      <c r="G1760" s="48" t="str">
        <v/>
      </c>
      <c r="H1760" s="49">
        <v>0</v>
      </c>
      <c r="I1760" s="49">
        <v>0</v>
      </c>
      <c r="J1760" s="50"/>
    </row>
    <row r="1761" outlineLevel="1" spans="1:10">
      <c r="A1761" s="50" t="str">
        <v/>
      </c>
      <c r="B1761" s="51" t="str">
        <v/>
      </c>
      <c r="C1761" s="51" t="str">
        <v/>
      </c>
      <c r="D1761" s="51" t="str">
        <v/>
      </c>
      <c r="E1761" s="51" t="str">
        <v/>
      </c>
      <c r="F1761" s="52" t="str">
        <v/>
      </c>
      <c r="G1761" s="48" t="str">
        <v/>
      </c>
      <c r="H1761" s="49">
        <v>0</v>
      </c>
      <c r="I1761" s="49">
        <v>0</v>
      </c>
      <c r="J1761" s="50"/>
    </row>
    <row r="1762" outlineLevel="1" spans="1:10">
      <c r="A1762" s="50" t="str">
        <v/>
      </c>
      <c r="B1762" s="51" t="str">
        <v/>
      </c>
      <c r="C1762" s="51" t="str">
        <v/>
      </c>
      <c r="D1762" s="51" t="str">
        <v/>
      </c>
      <c r="E1762" s="51" t="str">
        <v/>
      </c>
      <c r="F1762" s="52" t="str">
        <v/>
      </c>
      <c r="G1762" s="48" t="str">
        <v/>
      </c>
      <c r="H1762" s="49">
        <v>0</v>
      </c>
      <c r="I1762" s="49">
        <v>0</v>
      </c>
      <c r="J1762" s="50"/>
    </row>
    <row r="1763" outlineLevel="1" spans="1:10">
      <c r="A1763" s="50" t="str">
        <v/>
      </c>
      <c r="B1763" s="51" t="str">
        <v/>
      </c>
      <c r="C1763" s="51" t="str">
        <v/>
      </c>
      <c r="D1763" s="51" t="str">
        <v/>
      </c>
      <c r="E1763" s="51" t="str">
        <v/>
      </c>
      <c r="F1763" s="52" t="str">
        <v/>
      </c>
      <c r="G1763" s="48" t="str">
        <v/>
      </c>
      <c r="H1763" s="49">
        <v>0</v>
      </c>
      <c r="I1763" s="49">
        <v>0</v>
      </c>
      <c r="J1763" s="50"/>
    </row>
    <row r="1764" outlineLevel="1" spans="1:10">
      <c r="A1764" s="50" t="str">
        <v/>
      </c>
      <c r="B1764" s="51" t="str">
        <v/>
      </c>
      <c r="C1764" s="51" t="str">
        <v/>
      </c>
      <c r="D1764" s="51" t="str">
        <v/>
      </c>
      <c r="E1764" s="51" t="str">
        <v/>
      </c>
      <c r="F1764" s="52" t="str">
        <v/>
      </c>
      <c r="G1764" s="48" t="str">
        <v/>
      </c>
      <c r="H1764" s="49">
        <v>0</v>
      </c>
      <c r="I1764" s="49">
        <v>0</v>
      </c>
      <c r="J1764" s="50"/>
    </row>
    <row r="1765" outlineLevel="1" spans="1:10">
      <c r="A1765" s="50" t="str">
        <v/>
      </c>
      <c r="B1765" s="51" t="str">
        <v/>
      </c>
      <c r="C1765" s="51" t="str">
        <v/>
      </c>
      <c r="D1765" s="51" t="str">
        <v/>
      </c>
      <c r="E1765" s="51" t="str">
        <v/>
      </c>
      <c r="F1765" s="52" t="str">
        <v/>
      </c>
      <c r="G1765" s="48" t="str">
        <v/>
      </c>
      <c r="H1765" s="49">
        <v>0</v>
      </c>
      <c r="I1765" s="49">
        <v>0</v>
      </c>
      <c r="J1765" s="50"/>
    </row>
    <row r="1766" outlineLevel="1" spans="1:10">
      <c r="A1766" s="50" t="str">
        <v/>
      </c>
      <c r="B1766" s="51" t="str">
        <v/>
      </c>
      <c r="C1766" s="51" t="str">
        <v/>
      </c>
      <c r="D1766" s="51" t="str">
        <v/>
      </c>
      <c r="E1766" s="51" t="str">
        <v/>
      </c>
      <c r="F1766" s="52" t="str">
        <v/>
      </c>
      <c r="G1766" s="48" t="str">
        <v/>
      </c>
      <c r="H1766" s="49">
        <v>0</v>
      </c>
      <c r="I1766" s="49">
        <v>0</v>
      </c>
      <c r="J1766" s="50"/>
    </row>
    <row r="1767" outlineLevel="1" spans="1:10">
      <c r="A1767" s="50" t="str">
        <v/>
      </c>
      <c r="B1767" s="51" t="str">
        <v/>
      </c>
      <c r="C1767" s="51" t="str">
        <v/>
      </c>
      <c r="D1767" s="51" t="str">
        <v/>
      </c>
      <c r="E1767" s="51" t="str">
        <v/>
      </c>
      <c r="F1767" s="52" t="str">
        <v/>
      </c>
      <c r="G1767" s="48" t="str">
        <v/>
      </c>
      <c r="H1767" s="49">
        <v>0</v>
      </c>
      <c r="I1767" s="49">
        <v>0</v>
      </c>
      <c r="J1767" s="50"/>
    </row>
    <row r="1768" outlineLevel="1" spans="1:10">
      <c r="A1768" s="50" t="str">
        <v/>
      </c>
      <c r="B1768" s="51" t="str">
        <v/>
      </c>
      <c r="C1768" s="51" t="str">
        <v/>
      </c>
      <c r="D1768" s="51" t="str">
        <v/>
      </c>
      <c r="E1768" s="51" t="str">
        <v/>
      </c>
      <c r="F1768" s="52" t="str">
        <v/>
      </c>
      <c r="G1768" s="48" t="str">
        <v/>
      </c>
      <c r="H1768" s="49">
        <v>0</v>
      </c>
      <c r="I1768" s="49">
        <v>0</v>
      </c>
      <c r="J1768" s="50"/>
    </row>
    <row r="1769" outlineLevel="1" spans="1:10">
      <c r="A1769" s="50" t="str">
        <v/>
      </c>
      <c r="B1769" s="51" t="str">
        <v/>
      </c>
      <c r="C1769" s="51" t="str">
        <v/>
      </c>
      <c r="D1769" s="51" t="str">
        <v/>
      </c>
      <c r="E1769" s="51" t="str">
        <v/>
      </c>
      <c r="F1769" s="52" t="str">
        <v/>
      </c>
      <c r="G1769" s="48" t="str">
        <v/>
      </c>
      <c r="H1769" s="49">
        <v>0</v>
      </c>
      <c r="I1769" s="49">
        <v>0</v>
      </c>
      <c r="J1769" s="50"/>
    </row>
    <row r="1770" outlineLevel="1" spans="1:10">
      <c r="A1770" s="50" t="str">
        <v/>
      </c>
      <c r="B1770" s="51" t="str">
        <v/>
      </c>
      <c r="C1770" s="51" t="str">
        <v/>
      </c>
      <c r="D1770" s="51" t="str">
        <v/>
      </c>
      <c r="E1770" s="51" t="str">
        <v/>
      </c>
      <c r="F1770" s="52" t="str">
        <v/>
      </c>
      <c r="G1770" s="48" t="str">
        <v/>
      </c>
      <c r="H1770" s="49">
        <v>0</v>
      </c>
      <c r="I1770" s="49">
        <v>0</v>
      </c>
      <c r="J1770" s="50"/>
    </row>
    <row r="1771" outlineLevel="1" spans="1:10">
      <c r="A1771" s="50" t="str">
        <v/>
      </c>
      <c r="B1771" s="51" t="str">
        <v/>
      </c>
      <c r="C1771" s="51" t="str">
        <v/>
      </c>
      <c r="D1771" s="51" t="str">
        <v/>
      </c>
      <c r="E1771" s="51" t="str">
        <v/>
      </c>
      <c r="F1771" s="52" t="str">
        <v/>
      </c>
      <c r="G1771" s="48" t="str">
        <v/>
      </c>
      <c r="H1771" s="49">
        <v>0</v>
      </c>
      <c r="I1771" s="49">
        <v>0</v>
      </c>
      <c r="J1771" s="50"/>
    </row>
    <row r="1772" outlineLevel="1" spans="1:10">
      <c r="A1772" s="50" t="str">
        <v/>
      </c>
      <c r="B1772" s="51" t="str">
        <v/>
      </c>
      <c r="C1772" s="51" t="str">
        <v/>
      </c>
      <c r="D1772" s="51" t="str">
        <v/>
      </c>
      <c r="E1772" s="51" t="str">
        <v/>
      </c>
      <c r="F1772" s="52" t="str">
        <v/>
      </c>
      <c r="G1772" s="48" t="str">
        <v/>
      </c>
      <c r="H1772" s="49">
        <v>0</v>
      </c>
      <c r="I1772" s="49">
        <v>0</v>
      </c>
      <c r="J1772" s="50"/>
    </row>
    <row r="1773" outlineLevel="1" spans="1:10">
      <c r="A1773" s="50" t="str">
        <v/>
      </c>
      <c r="B1773" s="51" t="str">
        <v/>
      </c>
      <c r="C1773" s="51" t="str">
        <v/>
      </c>
      <c r="D1773" s="51" t="str">
        <v/>
      </c>
      <c r="E1773" s="51" t="str">
        <v/>
      </c>
      <c r="F1773" s="52" t="str">
        <v/>
      </c>
      <c r="G1773" s="48" t="str">
        <v/>
      </c>
      <c r="H1773" s="49">
        <v>0</v>
      </c>
      <c r="I1773" s="49">
        <v>0</v>
      </c>
      <c r="J1773" s="50"/>
    </row>
    <row r="1774" outlineLevel="1" spans="1:10">
      <c r="A1774" s="50" t="str">
        <v/>
      </c>
      <c r="B1774" s="51" t="str">
        <v/>
      </c>
      <c r="C1774" s="51" t="str">
        <v/>
      </c>
      <c r="D1774" s="51" t="str">
        <v/>
      </c>
      <c r="E1774" s="51" t="str">
        <v/>
      </c>
      <c r="F1774" s="52" t="str">
        <v/>
      </c>
      <c r="G1774" s="48" t="str">
        <v/>
      </c>
      <c r="H1774" s="49">
        <v>0</v>
      </c>
      <c r="I1774" s="49">
        <v>0</v>
      </c>
      <c r="J1774" s="50"/>
    </row>
    <row r="1775" outlineLevel="1" spans="1:10">
      <c r="A1775" s="50" t="str">
        <v/>
      </c>
      <c r="B1775" s="51" t="str">
        <v/>
      </c>
      <c r="C1775" s="51" t="str">
        <v/>
      </c>
      <c r="D1775" s="51" t="str">
        <v/>
      </c>
      <c r="E1775" s="51" t="str">
        <v/>
      </c>
      <c r="F1775" s="52" t="str">
        <v/>
      </c>
      <c r="G1775" s="48" t="str">
        <v/>
      </c>
      <c r="H1775" s="49">
        <v>0</v>
      </c>
      <c r="I1775" s="49">
        <v>0</v>
      </c>
      <c r="J1775" s="50"/>
    </row>
    <row r="1776" outlineLevel="1" spans="1:10">
      <c r="A1776" s="50" t="str">
        <v/>
      </c>
      <c r="B1776" s="51" t="str">
        <v/>
      </c>
      <c r="C1776" s="51" t="str">
        <v/>
      </c>
      <c r="D1776" s="51" t="str">
        <v/>
      </c>
      <c r="E1776" s="51" t="str">
        <v/>
      </c>
      <c r="F1776" s="52" t="str">
        <v/>
      </c>
      <c r="G1776" s="48" t="str">
        <v/>
      </c>
      <c r="H1776" s="49">
        <v>0</v>
      </c>
      <c r="I1776" s="49">
        <v>0</v>
      </c>
      <c r="J1776" s="50"/>
    </row>
    <row r="1777" outlineLevel="1" spans="1:10">
      <c r="A1777" s="50" t="str">
        <v/>
      </c>
      <c r="B1777" s="51" t="str">
        <v/>
      </c>
      <c r="C1777" s="51" t="str">
        <v/>
      </c>
      <c r="D1777" s="51" t="str">
        <v/>
      </c>
      <c r="E1777" s="51" t="str">
        <v/>
      </c>
      <c r="F1777" s="52" t="str">
        <v/>
      </c>
      <c r="G1777" s="48" t="str">
        <v/>
      </c>
      <c r="H1777" s="49">
        <v>0</v>
      </c>
      <c r="I1777" s="49">
        <v>0</v>
      </c>
      <c r="J1777" s="50"/>
    </row>
    <row r="1778" outlineLevel="1" spans="1:10">
      <c r="A1778" s="50" t="str">
        <v/>
      </c>
      <c r="B1778" s="51" t="str">
        <v/>
      </c>
      <c r="C1778" s="51" t="str">
        <v/>
      </c>
      <c r="D1778" s="51" t="str">
        <v/>
      </c>
      <c r="E1778" s="51" t="str">
        <v/>
      </c>
      <c r="F1778" s="52" t="str">
        <v/>
      </c>
      <c r="G1778" s="48" t="str">
        <v/>
      </c>
      <c r="H1778" s="49">
        <v>0</v>
      </c>
      <c r="I1778" s="49">
        <v>0</v>
      </c>
      <c r="J1778" s="50"/>
    </row>
    <row r="1779" outlineLevel="1" spans="1:10">
      <c r="A1779" s="50" t="str">
        <v/>
      </c>
      <c r="B1779" s="51" t="str">
        <v/>
      </c>
      <c r="C1779" s="51" t="str">
        <v/>
      </c>
      <c r="D1779" s="51" t="str">
        <v/>
      </c>
      <c r="E1779" s="51" t="str">
        <v/>
      </c>
      <c r="F1779" s="52" t="str">
        <v/>
      </c>
      <c r="G1779" s="48" t="str">
        <v/>
      </c>
      <c r="H1779" s="49">
        <v>0</v>
      </c>
      <c r="I1779" s="49">
        <v>0</v>
      </c>
      <c r="J1779" s="50"/>
    </row>
    <row r="1780" outlineLevel="1" spans="1:10">
      <c r="A1780" s="50" t="str">
        <v/>
      </c>
      <c r="B1780" s="51" t="str">
        <v/>
      </c>
      <c r="C1780" s="51" t="str">
        <v/>
      </c>
      <c r="D1780" s="51" t="str">
        <v/>
      </c>
      <c r="E1780" s="51" t="str">
        <v/>
      </c>
      <c r="F1780" s="52" t="str">
        <v/>
      </c>
      <c r="G1780" s="48" t="str">
        <v/>
      </c>
      <c r="H1780" s="49">
        <v>0</v>
      </c>
      <c r="I1780" s="49">
        <v>0</v>
      </c>
      <c r="J1780" s="50"/>
    </row>
    <row r="1781" outlineLevel="1" spans="1:10">
      <c r="A1781" s="50" t="str">
        <v/>
      </c>
      <c r="B1781" s="51" t="str">
        <v/>
      </c>
      <c r="C1781" s="51" t="str">
        <v/>
      </c>
      <c r="D1781" s="51" t="str">
        <v/>
      </c>
      <c r="E1781" s="51" t="str">
        <v/>
      </c>
      <c r="F1781" s="52" t="str">
        <v/>
      </c>
      <c r="G1781" s="48" t="str">
        <v/>
      </c>
      <c r="H1781" s="49">
        <v>0</v>
      </c>
      <c r="I1781" s="49">
        <v>0</v>
      </c>
      <c r="J1781" s="50"/>
    </row>
    <row r="1782" outlineLevel="1" spans="1:10">
      <c r="A1782" s="50" t="str">
        <v/>
      </c>
      <c r="B1782" s="51" t="str">
        <v/>
      </c>
      <c r="C1782" s="51" t="str">
        <v/>
      </c>
      <c r="D1782" s="51" t="str">
        <v/>
      </c>
      <c r="E1782" s="51" t="str">
        <v/>
      </c>
      <c r="F1782" s="52" t="str">
        <v/>
      </c>
      <c r="G1782" s="48" t="str">
        <v/>
      </c>
      <c r="H1782" s="49">
        <v>0</v>
      </c>
      <c r="I1782" s="49">
        <v>0</v>
      </c>
      <c r="J1782" s="50"/>
    </row>
    <row r="1783" outlineLevel="1" spans="1:10">
      <c r="A1783" s="50" t="str">
        <v/>
      </c>
      <c r="B1783" s="51" t="str">
        <v/>
      </c>
      <c r="C1783" s="51" t="str">
        <v/>
      </c>
      <c r="D1783" s="51" t="str">
        <v/>
      </c>
      <c r="E1783" s="51" t="str">
        <v/>
      </c>
      <c r="F1783" s="52" t="str">
        <v/>
      </c>
      <c r="G1783" s="48" t="str">
        <v/>
      </c>
      <c r="H1783" s="49">
        <v>0</v>
      </c>
      <c r="I1783" s="49">
        <v>0</v>
      </c>
      <c r="J1783" s="50"/>
    </row>
    <row r="1784" outlineLevel="1" spans="1:10">
      <c r="A1784" s="50" t="str">
        <v/>
      </c>
      <c r="B1784" s="51" t="str">
        <v/>
      </c>
      <c r="C1784" s="51" t="str">
        <v/>
      </c>
      <c r="D1784" s="51" t="str">
        <v/>
      </c>
      <c r="E1784" s="51" t="str">
        <v/>
      </c>
      <c r="F1784" s="52" t="str">
        <v/>
      </c>
      <c r="G1784" s="48" t="str">
        <v/>
      </c>
      <c r="H1784" s="49">
        <v>0</v>
      </c>
      <c r="I1784" s="49">
        <v>0</v>
      </c>
      <c r="J1784" s="50"/>
    </row>
    <row r="1785" outlineLevel="1" spans="1:10">
      <c r="A1785" s="50" t="str">
        <v/>
      </c>
      <c r="B1785" s="51" t="str">
        <v/>
      </c>
      <c r="C1785" s="51" t="str">
        <v/>
      </c>
      <c r="D1785" s="51" t="str">
        <v/>
      </c>
      <c r="E1785" s="51" t="str">
        <v/>
      </c>
      <c r="F1785" s="52" t="str">
        <v/>
      </c>
      <c r="G1785" s="48" t="str">
        <v/>
      </c>
      <c r="H1785" s="49">
        <v>0</v>
      </c>
      <c r="I1785" s="49">
        <v>0</v>
      </c>
      <c r="J1785" s="50"/>
    </row>
    <row r="1786" outlineLevel="1" spans="1:10">
      <c r="A1786" s="50" t="str">
        <v/>
      </c>
      <c r="B1786" s="51" t="str">
        <v/>
      </c>
      <c r="C1786" s="51" t="str">
        <v/>
      </c>
      <c r="D1786" s="51" t="str">
        <v/>
      </c>
      <c r="E1786" s="51" t="str">
        <v/>
      </c>
      <c r="F1786" s="52" t="str">
        <v/>
      </c>
      <c r="G1786" s="48" t="str">
        <v/>
      </c>
      <c r="H1786" s="49">
        <v>0</v>
      </c>
      <c r="I1786" s="49">
        <v>0</v>
      </c>
      <c r="J1786" s="50"/>
    </row>
    <row r="1787" outlineLevel="1" spans="1:10">
      <c r="A1787" s="50" t="str">
        <v/>
      </c>
      <c r="B1787" s="51" t="str">
        <v/>
      </c>
      <c r="C1787" s="51" t="str">
        <v/>
      </c>
      <c r="D1787" s="51" t="str">
        <v/>
      </c>
      <c r="E1787" s="51" t="str">
        <v/>
      </c>
      <c r="F1787" s="52" t="str">
        <v/>
      </c>
      <c r="G1787" s="48" t="str">
        <v/>
      </c>
      <c r="H1787" s="49">
        <v>0</v>
      </c>
      <c r="I1787" s="49">
        <v>0</v>
      </c>
      <c r="J1787" s="50"/>
    </row>
    <row r="1788" outlineLevel="1" spans="1:10">
      <c r="A1788" s="50" t="str">
        <v/>
      </c>
      <c r="B1788" s="51" t="str">
        <v/>
      </c>
      <c r="C1788" s="51" t="str">
        <v/>
      </c>
      <c r="D1788" s="51" t="str">
        <v/>
      </c>
      <c r="E1788" s="51" t="str">
        <v/>
      </c>
      <c r="F1788" s="52" t="str">
        <v/>
      </c>
      <c r="G1788" s="48" t="str">
        <v/>
      </c>
      <c r="H1788" s="49">
        <v>0</v>
      </c>
      <c r="I1788" s="49">
        <v>0</v>
      </c>
      <c r="J1788" s="50"/>
    </row>
    <row r="1789" outlineLevel="1" spans="1:10">
      <c r="A1789" s="50" t="str">
        <v/>
      </c>
      <c r="B1789" s="51" t="str">
        <v/>
      </c>
      <c r="C1789" s="51" t="str">
        <v/>
      </c>
      <c r="D1789" s="51" t="str">
        <v/>
      </c>
      <c r="E1789" s="51" t="str">
        <v/>
      </c>
      <c r="F1789" s="52" t="str">
        <v/>
      </c>
      <c r="G1789" s="48" t="str">
        <v/>
      </c>
      <c r="H1789" s="49">
        <v>0</v>
      </c>
      <c r="I1789" s="49">
        <v>0</v>
      </c>
      <c r="J1789" s="50"/>
    </row>
    <row r="1790" outlineLevel="1" spans="1:10">
      <c r="A1790" s="50" t="str">
        <v/>
      </c>
      <c r="B1790" s="51" t="str">
        <v/>
      </c>
      <c r="C1790" s="51" t="str">
        <v/>
      </c>
      <c r="D1790" s="51" t="str">
        <v/>
      </c>
      <c r="E1790" s="51" t="str">
        <v/>
      </c>
      <c r="F1790" s="52" t="str">
        <v/>
      </c>
      <c r="G1790" s="48" t="str">
        <v/>
      </c>
      <c r="H1790" s="49">
        <v>0</v>
      </c>
      <c r="I1790" s="49">
        <v>0</v>
      </c>
      <c r="J1790" s="50"/>
    </row>
    <row r="1791" outlineLevel="1" spans="1:10">
      <c r="A1791" s="50" t="str">
        <v/>
      </c>
      <c r="B1791" s="51" t="str">
        <v/>
      </c>
      <c r="C1791" s="51" t="str">
        <v/>
      </c>
      <c r="D1791" s="51" t="str">
        <v/>
      </c>
      <c r="E1791" s="51" t="str">
        <v/>
      </c>
      <c r="F1791" s="52" t="str">
        <v/>
      </c>
      <c r="G1791" s="48" t="str">
        <v/>
      </c>
      <c r="H1791" s="49">
        <v>0</v>
      </c>
      <c r="I1791" s="49">
        <v>0</v>
      </c>
      <c r="J1791" s="50"/>
    </row>
    <row r="1792" outlineLevel="1" spans="1:10">
      <c r="A1792" s="50" t="str">
        <v/>
      </c>
      <c r="B1792" s="51" t="str">
        <v/>
      </c>
      <c r="C1792" s="51" t="str">
        <v/>
      </c>
      <c r="D1792" s="51" t="str">
        <v/>
      </c>
      <c r="E1792" s="51" t="str">
        <v/>
      </c>
      <c r="F1792" s="52" t="str">
        <v/>
      </c>
      <c r="G1792" s="48" t="str">
        <v/>
      </c>
      <c r="H1792" s="49">
        <v>0</v>
      </c>
      <c r="I1792" s="49">
        <v>0</v>
      </c>
      <c r="J1792" s="50"/>
    </row>
    <row r="1793" outlineLevel="1" spans="1:10">
      <c r="A1793" s="50" t="str">
        <v/>
      </c>
      <c r="B1793" s="51" t="str">
        <v/>
      </c>
      <c r="C1793" s="51" t="str">
        <v/>
      </c>
      <c r="D1793" s="51" t="str">
        <v/>
      </c>
      <c r="E1793" s="51" t="str">
        <v/>
      </c>
      <c r="F1793" s="52" t="str">
        <v/>
      </c>
      <c r="G1793" s="48" t="str">
        <v/>
      </c>
      <c r="H1793" s="49">
        <v>0</v>
      </c>
      <c r="I1793" s="49">
        <v>0</v>
      </c>
      <c r="J1793" s="50"/>
    </row>
    <row r="1794" outlineLevel="1" spans="1:10">
      <c r="A1794" s="50" t="str">
        <v/>
      </c>
      <c r="B1794" s="51" t="str">
        <v/>
      </c>
      <c r="C1794" s="51" t="str">
        <v/>
      </c>
      <c r="D1794" s="51" t="str">
        <v/>
      </c>
      <c r="E1794" s="51" t="str">
        <v/>
      </c>
      <c r="F1794" s="52" t="str">
        <v/>
      </c>
      <c r="G1794" s="48" t="str">
        <v/>
      </c>
      <c r="H1794" s="49">
        <v>0</v>
      </c>
      <c r="I1794" s="49">
        <v>0</v>
      </c>
      <c r="J1794" s="50"/>
    </row>
    <row r="1795" outlineLevel="1" spans="1:10">
      <c r="A1795" s="50" t="str">
        <v/>
      </c>
      <c r="B1795" s="51" t="str">
        <v/>
      </c>
      <c r="C1795" s="51" t="str">
        <v/>
      </c>
      <c r="D1795" s="51" t="str">
        <v/>
      </c>
      <c r="E1795" s="51" t="str">
        <v/>
      </c>
      <c r="F1795" s="52" t="str">
        <v/>
      </c>
      <c r="G1795" s="48" t="str">
        <v/>
      </c>
      <c r="H1795" s="49">
        <v>0</v>
      </c>
      <c r="I1795" s="49">
        <v>0</v>
      </c>
      <c r="J1795" s="50"/>
    </row>
    <row r="1796" outlineLevel="1" spans="1:10">
      <c r="A1796" s="50" t="str">
        <v/>
      </c>
      <c r="B1796" s="51" t="str">
        <v/>
      </c>
      <c r="C1796" s="51" t="str">
        <v/>
      </c>
      <c r="D1796" s="51" t="str">
        <v/>
      </c>
      <c r="E1796" s="51" t="str">
        <v/>
      </c>
      <c r="F1796" s="52" t="str">
        <v/>
      </c>
      <c r="G1796" s="48" t="str">
        <v/>
      </c>
      <c r="H1796" s="49">
        <v>0</v>
      </c>
      <c r="I1796" s="49">
        <v>0</v>
      </c>
      <c r="J1796" s="50"/>
    </row>
    <row r="1797" outlineLevel="1" spans="1:10">
      <c r="A1797" s="50" t="str">
        <v/>
      </c>
      <c r="B1797" s="51" t="str">
        <v/>
      </c>
      <c r="C1797" s="51" t="str">
        <v/>
      </c>
      <c r="D1797" s="51" t="str">
        <v/>
      </c>
      <c r="E1797" s="51" t="str">
        <v/>
      </c>
      <c r="F1797" s="52" t="str">
        <v/>
      </c>
      <c r="G1797" s="48" t="str">
        <v/>
      </c>
      <c r="H1797" s="49">
        <v>0</v>
      </c>
      <c r="I1797" s="49">
        <v>0</v>
      </c>
      <c r="J1797" s="50"/>
    </row>
    <row r="1798" outlineLevel="1" spans="1:10">
      <c r="A1798" s="50" t="str">
        <v/>
      </c>
      <c r="B1798" s="51" t="str">
        <v/>
      </c>
      <c r="C1798" s="51" t="str">
        <v/>
      </c>
      <c r="D1798" s="51" t="str">
        <v/>
      </c>
      <c r="E1798" s="51" t="str">
        <v/>
      </c>
      <c r="F1798" s="52" t="str">
        <v/>
      </c>
      <c r="G1798" s="48" t="str">
        <v/>
      </c>
      <c r="H1798" s="49">
        <v>0</v>
      </c>
      <c r="I1798" s="49">
        <v>0</v>
      </c>
      <c r="J1798" s="50"/>
    </row>
    <row r="1799" s="29" customFormat="1" spans="1:10">
      <c r="A1799" s="40"/>
      <c r="B1799" s="41" t="s">
        <v>2357</v>
      </c>
      <c r="C1799" s="41"/>
      <c r="D1799" s="41"/>
      <c r="E1799" s="41"/>
      <c r="F1799" s="42"/>
      <c r="G1799" s="43"/>
      <c r="H1799" s="44"/>
      <c r="I1799" s="44"/>
      <c r="J1799" s="40"/>
    </row>
    <row r="1800" outlineLevel="1" spans="1:10">
      <c r="A1800" s="50" t="str">
        <f ca="1" t="array" ref="A1800:G1916">IF(INDIRECT(K3&amp;"!A4:G120")=0,"",INDIRECT(K3&amp;"!A4:G120"))</f>
        <v/>
      </c>
      <c r="B1800" s="51" t="str">
        <v>E.01单价措施费</v>
      </c>
      <c r="C1800" s="51" t="str">
        <v/>
      </c>
      <c r="D1800" s="51" t="str">
        <v/>
      </c>
      <c r="E1800" s="51" t="str">
        <v/>
      </c>
      <c r="F1800" s="52" t="str">
        <v/>
      </c>
      <c r="G1800" s="48" t="str">
        <v/>
      </c>
      <c r="H1800" s="49">
        <f ca="1" t="array" ref="H1800:H1916">INDIRECT(K3&amp;"!J4:J120")</f>
        <v>0</v>
      </c>
      <c r="I1800" s="49" t="e">
        <f ca="1" t="array" ref="I1800:I1916">INDIRECT(K3&amp;"!T4:T900")</f>
        <v>#REF!</v>
      </c>
      <c r="J1800" s="50"/>
    </row>
    <row r="1801" outlineLevel="1" spans="1:10">
      <c r="A1801" s="50" t="str">
        <v>地下</v>
      </c>
      <c r="B1801" s="51" t="str">
        <v>主体结构</v>
      </c>
      <c r="C1801" s="51" t="str">
        <v/>
      </c>
      <c r="D1801" s="51" t="str">
        <v/>
      </c>
      <c r="E1801" s="51" t="str">
        <v/>
      </c>
      <c r="F1801" s="52" t="str">
        <v/>
      </c>
      <c r="G1801" s="48" t="str">
        <v/>
      </c>
      <c r="H1801" s="49">
        <v>0</v>
      </c>
      <c r="I1801" s="49" t="e">
        <v>#REF!</v>
      </c>
      <c r="J1801" s="50"/>
    </row>
    <row r="1802" outlineLevel="1" spans="1:10">
      <c r="A1802" s="50" t="str">
        <v>一</v>
      </c>
      <c r="B1802" s="51" t="str">
        <v>E.01.01模板工程</v>
      </c>
      <c r="C1802" s="51" t="str">
        <v/>
      </c>
      <c r="D1802" s="51" t="str">
        <v/>
      </c>
      <c r="E1802" s="51" t="str">
        <v/>
      </c>
      <c r="F1802" s="52" t="str">
        <v/>
      </c>
      <c r="G1802" s="48" t="str">
        <v/>
      </c>
      <c r="H1802" s="49">
        <v>3838.23</v>
      </c>
      <c r="I1802" s="49" t="e">
        <v>#REF!</v>
      </c>
      <c r="J1802" s="50"/>
    </row>
    <row r="1803" ht="28.8" outlineLevel="1" spans="1:10">
      <c r="A1803" s="50">
        <v>1</v>
      </c>
      <c r="B1803" s="51" t="str">
        <v>垫层模板</v>
      </c>
      <c r="C1803" s="51" t="e">
        <v>#REF!</v>
      </c>
      <c r="D1803" s="51" t="str">
        <v>地下模板</v>
      </c>
      <c r="E1803" s="51" t="str">
        <v>地下模板</v>
      </c>
      <c r="F1803" s="52" t="e">
        <v>#REF!</v>
      </c>
      <c r="G1803" s="48" t="e">
        <v>#REF!</v>
      </c>
      <c r="H1803" s="49">
        <v>0.78</v>
      </c>
      <c r="I1803" s="49" t="e">
        <v>#REF!</v>
      </c>
      <c r="J1803" s="50"/>
    </row>
    <row r="1804" ht="28.8" outlineLevel="1" spans="1:10">
      <c r="A1804" s="50">
        <v>2</v>
      </c>
      <c r="B1804" s="51" t="str">
        <v>满堂基础模板</v>
      </c>
      <c r="C1804" s="51" t="e">
        <v>#REF!</v>
      </c>
      <c r="D1804" s="51" t="str">
        <v>地下模板</v>
      </c>
      <c r="E1804" s="51" t="str">
        <v>地下模板</v>
      </c>
      <c r="F1804" s="52" t="e">
        <v>#REF!</v>
      </c>
      <c r="G1804" s="48" t="e">
        <v>#REF!</v>
      </c>
      <c r="H1804" s="49">
        <v>80.12</v>
      </c>
      <c r="I1804" s="49" t="e">
        <v>#REF!</v>
      </c>
      <c r="J1804" s="50"/>
    </row>
    <row r="1805" ht="28.8" outlineLevel="1" spans="1:10">
      <c r="A1805" s="50">
        <v>3</v>
      </c>
      <c r="B1805" s="51" t="str">
        <v>独立基础模板</v>
      </c>
      <c r="C1805" s="51" t="e">
        <v>#REF!</v>
      </c>
      <c r="D1805" s="51" t="str">
        <v>地下模板</v>
      </c>
      <c r="E1805" s="51" t="str">
        <v>地下模板</v>
      </c>
      <c r="F1805" s="52" t="e">
        <v>#REF!</v>
      </c>
      <c r="G1805" s="48" t="e">
        <v>#REF!</v>
      </c>
      <c r="H1805" s="49">
        <v>0</v>
      </c>
      <c r="I1805" s="49" t="e">
        <v>#REF!</v>
      </c>
      <c r="J1805" s="50"/>
    </row>
    <row r="1806" ht="28.8" outlineLevel="1" spans="1:10">
      <c r="A1806" s="50">
        <v>4</v>
      </c>
      <c r="B1806" s="51" t="str">
        <v>矩形柱模板</v>
      </c>
      <c r="C1806" s="51" t="e">
        <v>#REF!</v>
      </c>
      <c r="D1806" s="51" t="str">
        <v>地下模板</v>
      </c>
      <c r="E1806" s="51" t="str">
        <v>地下模板</v>
      </c>
      <c r="F1806" s="52" t="e">
        <v>#REF!</v>
      </c>
      <c r="G1806" s="48" t="e">
        <v>#REF!</v>
      </c>
      <c r="H1806" s="49">
        <v>120.29</v>
      </c>
      <c r="I1806" s="49" t="e">
        <v>#REF!</v>
      </c>
      <c r="J1806" s="50"/>
    </row>
    <row r="1807" ht="28.8" outlineLevel="1" spans="1:10">
      <c r="A1807" s="50">
        <v>5</v>
      </c>
      <c r="B1807" s="51" t="str">
        <v>矩形梁模板</v>
      </c>
      <c r="C1807" s="51" t="e">
        <v>#REF!</v>
      </c>
      <c r="D1807" s="51" t="str">
        <v>地下模板</v>
      </c>
      <c r="E1807" s="51" t="str">
        <v>地下模板</v>
      </c>
      <c r="F1807" s="52" t="e">
        <v>#REF!</v>
      </c>
      <c r="G1807" s="48" t="e">
        <v>#REF!</v>
      </c>
      <c r="H1807" s="49">
        <v>323.73</v>
      </c>
      <c r="I1807" s="49" t="e">
        <v>#REF!</v>
      </c>
      <c r="J1807" s="50"/>
    </row>
    <row r="1808" ht="28.8" outlineLevel="1" spans="1:10">
      <c r="A1808" s="50">
        <v>6</v>
      </c>
      <c r="B1808" s="51" t="str">
        <v>预制梁模板</v>
      </c>
      <c r="C1808" s="51" t="e">
        <v>#REF!</v>
      </c>
      <c r="D1808" s="51" t="str">
        <v>地下模板</v>
      </c>
      <c r="E1808" s="51" t="str">
        <v>地下模板</v>
      </c>
      <c r="F1808" s="52" t="e">
        <v>#REF!</v>
      </c>
      <c r="G1808" s="48" t="e">
        <v>#REF!</v>
      </c>
      <c r="H1808" s="49">
        <v>0</v>
      </c>
      <c r="I1808" s="49" t="e">
        <v>#REF!</v>
      </c>
      <c r="J1808" s="50"/>
    </row>
    <row r="1809" ht="28.8" outlineLevel="1" spans="1:10">
      <c r="A1809" s="50">
        <v>7</v>
      </c>
      <c r="B1809" s="51" t="str">
        <v>斜梁模板</v>
      </c>
      <c r="C1809" s="51" t="e">
        <v>#REF!</v>
      </c>
      <c r="D1809" s="51" t="str">
        <v>地下模板</v>
      </c>
      <c r="E1809" s="51" t="str">
        <v>地下模板</v>
      </c>
      <c r="F1809" s="52" t="e">
        <v>#REF!</v>
      </c>
      <c r="G1809" s="48" t="e">
        <v>#REF!</v>
      </c>
      <c r="H1809" s="49">
        <v>0</v>
      </c>
      <c r="I1809" s="49" t="e">
        <v>#REF!</v>
      </c>
      <c r="J1809" s="50"/>
    </row>
    <row r="1810" ht="28.8" outlineLevel="1" spans="1:10">
      <c r="A1810" s="50">
        <v>8</v>
      </c>
      <c r="B1810" s="51" t="str">
        <v>剪力墙内墙模板</v>
      </c>
      <c r="C1810" s="51" t="e">
        <v>#REF!</v>
      </c>
      <c r="D1810" s="51" t="str">
        <v>地下模板</v>
      </c>
      <c r="E1810" s="51" t="str">
        <v>地下模板</v>
      </c>
      <c r="F1810" s="52" t="e">
        <v>#REF!</v>
      </c>
      <c r="G1810" s="48" t="e">
        <v>#REF!</v>
      </c>
      <c r="H1810" s="49">
        <v>2324.619</v>
      </c>
      <c r="I1810" s="49" t="e">
        <v>#REF!</v>
      </c>
      <c r="J1810" s="50"/>
    </row>
    <row r="1811" ht="28.8" outlineLevel="1" spans="1:10">
      <c r="A1811" s="50">
        <v>9</v>
      </c>
      <c r="B1811" s="51" t="str">
        <v>地下剪力墙外墙模.板</v>
      </c>
      <c r="C1811" s="51" t="e">
        <v>#REF!</v>
      </c>
      <c r="D1811" s="51" t="str">
        <v>地下模板</v>
      </c>
      <c r="E1811" s="51" t="str">
        <v>地下模板</v>
      </c>
      <c r="F1811" s="52" t="e">
        <v>#REF!</v>
      </c>
      <c r="G1811" s="48" t="e">
        <v>#REF!</v>
      </c>
      <c r="H1811" s="49">
        <v>258.291</v>
      </c>
      <c r="I1811" s="49" t="e">
        <v>#REF!</v>
      </c>
      <c r="J1811" s="50"/>
    </row>
    <row r="1812" ht="28.8" outlineLevel="1" spans="1:10">
      <c r="A1812" s="50">
        <v>10</v>
      </c>
      <c r="B1812" s="51" t="str">
        <v>电梯井壁模板</v>
      </c>
      <c r="C1812" s="51" t="e">
        <v>#REF!</v>
      </c>
      <c r="D1812" s="51" t="str">
        <v>地下模板</v>
      </c>
      <c r="E1812" s="51" t="str">
        <v>地下模板</v>
      </c>
      <c r="F1812" s="52" t="e">
        <v>#REF!</v>
      </c>
      <c r="G1812" s="48" t="e">
        <v>#REF!</v>
      </c>
      <c r="H1812" s="49">
        <v>55.09</v>
      </c>
      <c r="I1812" s="49" t="e">
        <v>#REF!</v>
      </c>
      <c r="J1812" s="50"/>
    </row>
    <row r="1813" ht="28.8" outlineLevel="1" spans="1:10">
      <c r="A1813" s="50">
        <v>11</v>
      </c>
      <c r="B1813" s="51" t="str">
        <v>平板模板</v>
      </c>
      <c r="C1813" s="51" t="e">
        <v>#REF!</v>
      </c>
      <c r="D1813" s="51" t="str">
        <v>地下模板</v>
      </c>
      <c r="E1813" s="51" t="str">
        <v>地下模板</v>
      </c>
      <c r="F1813" s="52" t="e">
        <v>#REF!</v>
      </c>
      <c r="G1813" s="48" t="e">
        <v>#REF!</v>
      </c>
      <c r="H1813" s="49">
        <v>547.8</v>
      </c>
      <c r="I1813" s="49" t="e">
        <v>#REF!</v>
      </c>
      <c r="J1813" s="50"/>
    </row>
    <row r="1814" ht="28.8" outlineLevel="1" spans="1:10">
      <c r="A1814" s="50">
        <v>12</v>
      </c>
      <c r="B1814" s="51" t="str">
        <v>无梁板模板</v>
      </c>
      <c r="C1814" s="51" t="e">
        <v>#REF!</v>
      </c>
      <c r="D1814" s="51" t="str">
        <v>地下模板</v>
      </c>
      <c r="E1814" s="51" t="str">
        <v>地下模板</v>
      </c>
      <c r="F1814" s="52" t="e">
        <v>#REF!</v>
      </c>
      <c r="G1814" s="48" t="e">
        <v>#REF!</v>
      </c>
      <c r="H1814" s="49">
        <v>0</v>
      </c>
      <c r="I1814" s="49" t="e">
        <v>#REF!</v>
      </c>
      <c r="J1814" s="50"/>
    </row>
    <row r="1815" ht="28.8" outlineLevel="1" spans="1:10">
      <c r="A1815" s="50">
        <v>13</v>
      </c>
      <c r="B1815" s="51" t="str">
        <v>斜板模板</v>
      </c>
      <c r="C1815" s="51" t="e">
        <v>#REF!</v>
      </c>
      <c r="D1815" s="51" t="str">
        <v>地下模板</v>
      </c>
      <c r="E1815" s="51" t="str">
        <v>地下模板</v>
      </c>
      <c r="F1815" s="52" t="e">
        <v>#REF!</v>
      </c>
      <c r="G1815" s="48" t="e">
        <v>#REF!</v>
      </c>
      <c r="H1815" s="49">
        <v>0</v>
      </c>
      <c r="I1815" s="49" t="e">
        <v>#REF!</v>
      </c>
      <c r="J1815" s="50"/>
    </row>
    <row r="1816" ht="28.8" outlineLevel="1" spans="1:10">
      <c r="A1816" s="50">
        <v>14</v>
      </c>
      <c r="B1816" s="51" t="str">
        <v>天沟、檐沟模板</v>
      </c>
      <c r="C1816" s="51" t="e">
        <v>#REF!</v>
      </c>
      <c r="D1816" s="51" t="str">
        <v>地下模板</v>
      </c>
      <c r="E1816" s="51" t="str">
        <v>地下模板</v>
      </c>
      <c r="F1816" s="52" t="e">
        <v>#REF!</v>
      </c>
      <c r="G1816" s="48" t="e">
        <v>#REF!</v>
      </c>
      <c r="H1816" s="49">
        <v>1</v>
      </c>
      <c r="I1816" s="49" t="e">
        <v>#REF!</v>
      </c>
      <c r="J1816" s="50"/>
    </row>
    <row r="1817" ht="28.8" outlineLevel="1" spans="1:10">
      <c r="A1817" s="50">
        <v>15</v>
      </c>
      <c r="B1817" s="51" t="str">
        <v>楼梯模.板</v>
      </c>
      <c r="C1817" s="51" t="e">
        <v>#REF!</v>
      </c>
      <c r="D1817" s="51" t="str">
        <v>地下模板</v>
      </c>
      <c r="E1817" s="51" t="str">
        <v>地下模板</v>
      </c>
      <c r="F1817" s="52" t="e">
        <v>#REF!</v>
      </c>
      <c r="G1817" s="48" t="e">
        <v>#REF!</v>
      </c>
      <c r="H1817" s="49">
        <v>29.91</v>
      </c>
      <c r="I1817" s="49" t="e">
        <v>#REF!</v>
      </c>
      <c r="J1817" s="50"/>
    </row>
    <row r="1818" ht="28.8" outlineLevel="1" spans="1:10">
      <c r="A1818" s="50">
        <v>16</v>
      </c>
      <c r="B1818" s="51" t="str">
        <v>预制板模板</v>
      </c>
      <c r="C1818" s="51" t="e">
        <v>#REF!</v>
      </c>
      <c r="D1818" s="51" t="str">
        <v>地下模板</v>
      </c>
      <c r="E1818" s="51" t="str">
        <v>地下模板</v>
      </c>
      <c r="F1818" s="52" t="e">
        <v>#REF!</v>
      </c>
      <c r="G1818" s="48" t="e">
        <v>#REF!</v>
      </c>
      <c r="H1818" s="49">
        <v>1</v>
      </c>
      <c r="I1818" s="49" t="e">
        <v>#REF!</v>
      </c>
      <c r="J1818" s="50"/>
    </row>
    <row r="1819" ht="28.8" outlineLevel="1" spans="1:10">
      <c r="A1819" s="50">
        <v>17</v>
      </c>
      <c r="B1819" s="51" t="str">
        <v>梁后浇带模板</v>
      </c>
      <c r="C1819" s="51" t="e">
        <v>#REF!</v>
      </c>
      <c r="D1819" s="51" t="str">
        <v>地下模板</v>
      </c>
      <c r="E1819" s="51" t="str">
        <v>地下模板</v>
      </c>
      <c r="F1819" s="52" t="e">
        <v>#REF!</v>
      </c>
      <c r="G1819" s="48" t="e">
        <v>#REF!</v>
      </c>
      <c r="H1819" s="49">
        <v>3.38</v>
      </c>
      <c r="I1819" s="49" t="e">
        <v>#REF!</v>
      </c>
      <c r="J1819" s="50"/>
    </row>
    <row r="1820" ht="28.8" outlineLevel="1" spans="1:10">
      <c r="A1820" s="50">
        <v>18</v>
      </c>
      <c r="B1820" s="51" t="str">
        <v>板后浇带模板</v>
      </c>
      <c r="C1820" s="51" t="e">
        <v>#REF!</v>
      </c>
      <c r="D1820" s="51" t="str">
        <v>地下模板</v>
      </c>
      <c r="E1820" s="51" t="str">
        <v>地下模板</v>
      </c>
      <c r="F1820" s="52" t="e">
        <v>#REF!</v>
      </c>
      <c r="G1820" s="48" t="e">
        <v>#REF!</v>
      </c>
      <c r="H1820" s="49">
        <v>7.06</v>
      </c>
      <c r="I1820" s="49" t="e">
        <v>#REF!</v>
      </c>
      <c r="J1820" s="50"/>
    </row>
    <row r="1821" ht="28.8" outlineLevel="1" spans="1:10">
      <c r="A1821" s="50">
        <v>19</v>
      </c>
      <c r="B1821" s="51" t="str">
        <v>墙后浇带模板</v>
      </c>
      <c r="C1821" s="51" t="e">
        <v>#REF!</v>
      </c>
      <c r="D1821" s="51" t="str">
        <v>地下模板</v>
      </c>
      <c r="E1821" s="51" t="str">
        <v>地下模板</v>
      </c>
      <c r="F1821" s="52" t="e">
        <v>#REF!</v>
      </c>
      <c r="G1821" s="48" t="e">
        <v>#REF!</v>
      </c>
      <c r="H1821" s="49">
        <v>8.18</v>
      </c>
      <c r="I1821" s="49" t="e">
        <v>#REF!</v>
      </c>
      <c r="J1821" s="50"/>
    </row>
    <row r="1822" ht="28.8" outlineLevel="1" spans="1:10">
      <c r="A1822" s="50">
        <v>20</v>
      </c>
      <c r="B1822" s="51" t="str">
        <v>基础后浇带模板</v>
      </c>
      <c r="C1822" s="51" t="e">
        <v>#REF!</v>
      </c>
      <c r="D1822" s="51" t="str">
        <v>地下模板</v>
      </c>
      <c r="E1822" s="51" t="str">
        <v>地下模板</v>
      </c>
      <c r="F1822" s="52" t="e">
        <v>#REF!</v>
      </c>
      <c r="G1822" s="48" t="e">
        <v>#REF!</v>
      </c>
      <c r="H1822" s="49">
        <v>0.98</v>
      </c>
      <c r="I1822" s="49" t="e">
        <v>#REF!</v>
      </c>
      <c r="J1822" s="50"/>
    </row>
    <row r="1823" ht="28.8" outlineLevel="1" spans="1:10">
      <c r="A1823" s="50">
        <v>21</v>
      </c>
      <c r="B1823" s="51" t="str">
        <v>后浇带收口网</v>
      </c>
      <c r="C1823" s="51" t="e">
        <v>#REF!</v>
      </c>
      <c r="D1823" s="51" t="str">
        <v>地下模板</v>
      </c>
      <c r="E1823" s="51" t="str">
        <v>地下模板</v>
      </c>
      <c r="F1823" s="52" t="e">
        <v>#REF!</v>
      </c>
      <c r="G1823" s="48" t="e">
        <v>#REF!</v>
      </c>
      <c r="H1823" s="49">
        <v>76</v>
      </c>
      <c r="I1823" s="49" t="e">
        <v>#REF!</v>
      </c>
      <c r="J1823" s="50"/>
    </row>
    <row r="1824" ht="28.8" outlineLevel="1" spans="1:10">
      <c r="A1824" s="50">
        <v>22</v>
      </c>
      <c r="B1824" s="51" t="str">
        <v>排水沟模板</v>
      </c>
      <c r="C1824" s="51" t="e">
        <v>#REF!</v>
      </c>
      <c r="D1824" s="51" t="str">
        <v>地下模板</v>
      </c>
      <c r="E1824" s="51" t="str">
        <v>地下模板</v>
      </c>
      <c r="F1824" s="52" t="e">
        <v>#REF!</v>
      </c>
      <c r="G1824" s="48" t="e">
        <v>#REF!</v>
      </c>
      <c r="H1824" s="49">
        <v>0</v>
      </c>
      <c r="I1824" s="49" t="e">
        <v>#REF!</v>
      </c>
      <c r="J1824" s="50"/>
    </row>
    <row r="1825" ht="28.8" outlineLevel="1" spans="1:10">
      <c r="A1825" s="50">
        <v>23</v>
      </c>
      <c r="B1825" s="51" t="str">
        <v>消防水池池底模板</v>
      </c>
      <c r="C1825" s="51" t="e">
        <v>#REF!</v>
      </c>
      <c r="D1825" s="51" t="str">
        <v>地下模板</v>
      </c>
      <c r="E1825" s="51" t="str">
        <v>地下模板</v>
      </c>
      <c r="F1825" s="52" t="e">
        <v>#REF!</v>
      </c>
      <c r="G1825" s="48" t="e">
        <v>#REF!</v>
      </c>
      <c r="H1825" s="49">
        <v>0</v>
      </c>
      <c r="I1825" s="49" t="e">
        <v>#REF!</v>
      </c>
      <c r="J1825" s="50"/>
    </row>
    <row r="1826" ht="28.8" outlineLevel="1" spans="1:10">
      <c r="A1826" s="50">
        <v>24</v>
      </c>
      <c r="B1826" s="51" t="str">
        <v>消防水池池壁模板</v>
      </c>
      <c r="C1826" s="51" t="e">
        <v>#REF!</v>
      </c>
      <c r="D1826" s="51" t="str">
        <v>地下模板</v>
      </c>
      <c r="E1826" s="51" t="str">
        <v>地下模板</v>
      </c>
      <c r="F1826" s="52" t="e">
        <v>#REF!</v>
      </c>
      <c r="G1826" s="48" t="e">
        <v>#REF!</v>
      </c>
      <c r="H1826" s="49">
        <v>0</v>
      </c>
      <c r="I1826" s="49" t="e">
        <v>#REF!</v>
      </c>
      <c r="J1826" s="50"/>
    </row>
    <row r="1827" ht="28.8" outlineLevel="1" spans="1:10">
      <c r="A1827" s="50">
        <v>25</v>
      </c>
      <c r="B1827" s="51" t="str">
        <v>设备基础模板</v>
      </c>
      <c r="C1827" s="51" t="e">
        <v>#REF!</v>
      </c>
      <c r="D1827" s="51" t="str">
        <v>地下模板</v>
      </c>
      <c r="E1827" s="51" t="str">
        <v>地下模板</v>
      </c>
      <c r="F1827" s="52" t="e">
        <v>#REF!</v>
      </c>
      <c r="G1827" s="48" t="e">
        <v>#REF!</v>
      </c>
      <c r="H1827" s="49">
        <v>0</v>
      </c>
      <c r="I1827" s="49" t="e">
        <v>#REF!</v>
      </c>
      <c r="J1827" s="50"/>
    </row>
    <row r="1828" ht="28.8" outlineLevel="1" spans="1:10">
      <c r="A1828" s="50">
        <v>26</v>
      </c>
      <c r="B1828" s="51" t="str">
        <v>地下室顶板找坡模板</v>
      </c>
      <c r="C1828" s="51" t="e">
        <v>#REF!</v>
      </c>
      <c r="D1828" s="51" t="str">
        <v>地下模板</v>
      </c>
      <c r="E1828" s="51" t="str">
        <v>地下模板</v>
      </c>
      <c r="F1828" s="52" t="e">
        <v>#REF!</v>
      </c>
      <c r="G1828" s="48" t="e">
        <v>#REF!</v>
      </c>
      <c r="H1828" s="49">
        <v>0</v>
      </c>
      <c r="I1828" s="49" t="e">
        <v>#REF!</v>
      </c>
      <c r="J1828" s="50"/>
    </row>
    <row r="1829" ht="28.8" outlineLevel="1" spans="1:10">
      <c r="A1829" s="50">
        <v>27</v>
      </c>
      <c r="B1829" s="51" t="str">
        <v>散水及坡道模板</v>
      </c>
      <c r="C1829" s="51" t="e">
        <v>#REF!</v>
      </c>
      <c r="D1829" s="51" t="str">
        <v>地下模板</v>
      </c>
      <c r="E1829" s="51" t="str">
        <v>地下模板</v>
      </c>
      <c r="F1829" s="52" t="e">
        <v>#REF!</v>
      </c>
      <c r="G1829" s="48" t="e">
        <v>#REF!</v>
      </c>
      <c r="H1829" s="49">
        <v>0</v>
      </c>
      <c r="I1829" s="49" t="e">
        <v>#REF!</v>
      </c>
      <c r="J1829" s="50"/>
    </row>
    <row r="1830" ht="28.8" outlineLevel="1" spans="1:10">
      <c r="A1830" s="50">
        <v>28</v>
      </c>
      <c r="B1830" s="51" t="str">
        <v>栏板模板</v>
      </c>
      <c r="C1830" s="51" t="e">
        <v>#REF!</v>
      </c>
      <c r="D1830" s="51" t="str">
        <v>地下模板</v>
      </c>
      <c r="E1830" s="51" t="str">
        <v>地下模板</v>
      </c>
      <c r="F1830" s="52" t="e">
        <v>#REF!</v>
      </c>
      <c r="G1830" s="48" t="e">
        <v>#REF!</v>
      </c>
      <c r="H1830" s="49">
        <v>0</v>
      </c>
      <c r="I1830" s="49" t="e">
        <v>#REF!</v>
      </c>
      <c r="J1830" s="50"/>
    </row>
    <row r="1831" outlineLevel="1" spans="1:10">
      <c r="A1831" s="50" t="str">
        <v>二</v>
      </c>
      <c r="B1831" s="51" t="str">
        <v>E.01.02脚手架工程</v>
      </c>
      <c r="C1831" s="51" t="str">
        <v/>
      </c>
      <c r="D1831" s="51" t="str">
        <v/>
      </c>
      <c r="E1831" s="51" t="str">
        <v/>
      </c>
      <c r="F1831" s="52" t="str">
        <v/>
      </c>
      <c r="G1831" s="48" t="str">
        <v/>
      </c>
      <c r="H1831" s="49">
        <v>1040.92</v>
      </c>
      <c r="I1831" s="49" t="e">
        <v>#REF!</v>
      </c>
      <c r="J1831" s="50"/>
    </row>
    <row r="1832" ht="43.2" outlineLevel="1" spans="1:10">
      <c r="A1832" s="50">
        <v>1</v>
      </c>
      <c r="B1832" s="51" t="str">
        <v>地下外墙双排脚手架</v>
      </c>
      <c r="C1832" s="51" t="e">
        <v>#REF!</v>
      </c>
      <c r="D1832" s="51" t="str">
        <v>地下综合脚手架</v>
      </c>
      <c r="E1832" s="51" t="str">
        <v>地下综合脚手架</v>
      </c>
      <c r="F1832" s="52" t="e">
        <v>#REF!</v>
      </c>
      <c r="G1832" s="48" t="e">
        <v>#REF!</v>
      </c>
      <c r="H1832" s="49">
        <v>296.45</v>
      </c>
      <c r="I1832" s="49" t="e">
        <v>#REF!</v>
      </c>
      <c r="J1832" s="50"/>
    </row>
    <row r="1833" ht="43.2" outlineLevel="1" spans="1:10">
      <c r="A1833" s="50">
        <v>2</v>
      </c>
      <c r="B1833" s="51" t="str">
        <v>主楼基础满堂脚手架</v>
      </c>
      <c r="C1833" s="51" t="e">
        <v>#REF!</v>
      </c>
      <c r="D1833" s="51" t="str">
        <v>地下综合脚手架</v>
      </c>
      <c r="E1833" s="51" t="str">
        <v>地下综合脚手架</v>
      </c>
      <c r="F1833" s="52" t="e">
        <v>#REF!</v>
      </c>
      <c r="G1833" s="48" t="e">
        <v>#REF!</v>
      </c>
      <c r="H1833" s="49">
        <v>744.47</v>
      </c>
      <c r="I1833" s="49" t="e">
        <v>#REF!</v>
      </c>
      <c r="J1833" s="50"/>
    </row>
    <row r="1834" ht="43.2" outlineLevel="1" spans="1:10">
      <c r="A1834" s="50" t="str">
        <v/>
      </c>
      <c r="B1834" s="51" t="str">
        <v>地库基础满堂脚手架</v>
      </c>
      <c r="C1834" s="51" t="e">
        <v>#REF!</v>
      </c>
      <c r="D1834" s="51" t="str">
        <v>地下综合脚手架</v>
      </c>
      <c r="E1834" s="51" t="str">
        <v>地下综合脚手架</v>
      </c>
      <c r="F1834" s="52" t="e">
        <v>#REF!</v>
      </c>
      <c r="G1834" s="48" t="e">
        <v>#REF!</v>
      </c>
      <c r="H1834" s="49">
        <v>0</v>
      </c>
      <c r="I1834" s="49" t="e">
        <v>#REF!</v>
      </c>
      <c r="J1834" s="50"/>
    </row>
    <row r="1835" outlineLevel="1" spans="1:10">
      <c r="A1835" s="50" t="str">
        <v>地下</v>
      </c>
      <c r="B1835" s="51" t="str">
        <v>二次结构</v>
      </c>
      <c r="C1835" s="51" t="str">
        <v/>
      </c>
      <c r="D1835" s="51" t="str">
        <v/>
      </c>
      <c r="E1835" s="51" t="str">
        <v/>
      </c>
      <c r="F1835" s="52" t="str">
        <v/>
      </c>
      <c r="G1835" s="48" t="str">
        <v/>
      </c>
      <c r="H1835" s="49">
        <v>0</v>
      </c>
      <c r="I1835" s="49" t="e">
        <v>#REF!</v>
      </c>
      <c r="J1835" s="50"/>
    </row>
    <row r="1836" outlineLevel="1" spans="1:10">
      <c r="A1836" s="50" t="str">
        <v>一</v>
      </c>
      <c r="B1836" s="51" t="str">
        <v>E.01.01模板工程</v>
      </c>
      <c r="C1836" s="51" t="str">
        <v/>
      </c>
      <c r="D1836" s="51" t="str">
        <v/>
      </c>
      <c r="E1836" s="51" t="str">
        <v/>
      </c>
      <c r="F1836" s="52" t="str">
        <v/>
      </c>
      <c r="G1836" s="48" t="str">
        <v/>
      </c>
      <c r="H1836" s="49">
        <v>49.42</v>
      </c>
      <c r="I1836" s="49" t="e">
        <v>#REF!</v>
      </c>
      <c r="J1836" s="50"/>
    </row>
    <row r="1837" ht="28.8" outlineLevel="1" spans="1:10">
      <c r="A1837" s="50">
        <v>1</v>
      </c>
      <c r="B1837" s="51" t="str">
        <v>圈梁模板</v>
      </c>
      <c r="C1837" s="51" t="e">
        <v>#REF!</v>
      </c>
      <c r="D1837" s="51" t="str">
        <v>地下模板</v>
      </c>
      <c r="E1837" s="51" t="str">
        <v>地下模板</v>
      </c>
      <c r="F1837" s="52" t="e">
        <v>#REF!</v>
      </c>
      <c r="G1837" s="48" t="e">
        <v>#REF!</v>
      </c>
      <c r="H1837" s="49">
        <v>23.94</v>
      </c>
      <c r="I1837" s="49" t="e">
        <v>#REF!</v>
      </c>
      <c r="J1837" s="50"/>
    </row>
    <row r="1838" ht="28.8" outlineLevel="1" spans="1:10">
      <c r="A1838" s="50">
        <v>2</v>
      </c>
      <c r="B1838" s="51" t="str">
        <v>构造柱模板</v>
      </c>
      <c r="C1838" s="51" t="e">
        <v>#REF!</v>
      </c>
      <c r="D1838" s="51" t="str">
        <v>地下模板</v>
      </c>
      <c r="E1838" s="51" t="str">
        <v>地下模板</v>
      </c>
      <c r="F1838" s="52" t="e">
        <v>#REF!</v>
      </c>
      <c r="G1838" s="48" t="e">
        <v>#REF!</v>
      </c>
      <c r="H1838" s="49">
        <v>24.48</v>
      </c>
      <c r="I1838" s="49" t="e">
        <v>#REF!</v>
      </c>
      <c r="J1838" s="50"/>
    </row>
    <row r="1839" ht="28.8" outlineLevel="1" spans="1:10">
      <c r="A1839" s="50">
        <v>3</v>
      </c>
      <c r="B1839" s="51" t="str">
        <v>过梁模板</v>
      </c>
      <c r="C1839" s="51" t="e">
        <v>#REF!</v>
      </c>
      <c r="D1839" s="51" t="str">
        <v>地下模板</v>
      </c>
      <c r="E1839" s="51" t="str">
        <v>地下模板</v>
      </c>
      <c r="F1839" s="52" t="e">
        <v>#REF!</v>
      </c>
      <c r="G1839" s="48" t="e">
        <v>#REF!</v>
      </c>
      <c r="H1839" s="49">
        <v>1</v>
      </c>
      <c r="I1839" s="49" t="e">
        <v>#REF!</v>
      </c>
      <c r="J1839" s="50"/>
    </row>
    <row r="1840" ht="28.8" outlineLevel="1" spans="1:10">
      <c r="A1840" s="50">
        <v>4</v>
      </c>
      <c r="B1840" s="51" t="str">
        <v>压顶模板</v>
      </c>
      <c r="C1840" s="51" t="e">
        <v>#REF!</v>
      </c>
      <c r="D1840" s="51" t="str">
        <v>地下模板</v>
      </c>
      <c r="E1840" s="51" t="str">
        <v>地下模板</v>
      </c>
      <c r="F1840" s="52" t="e">
        <v>#REF!</v>
      </c>
      <c r="G1840" s="48" t="e">
        <v>#REF!</v>
      </c>
      <c r="H1840" s="49">
        <v>0</v>
      </c>
      <c r="I1840" s="49" t="e">
        <v>#REF!</v>
      </c>
      <c r="J1840" s="50"/>
    </row>
    <row r="1841" outlineLevel="1" spans="1:10">
      <c r="A1841" s="50" t="str">
        <v>二</v>
      </c>
      <c r="B1841" s="51" t="str">
        <v>E.01.02脚手架工程</v>
      </c>
      <c r="C1841" s="51" t="str">
        <v/>
      </c>
      <c r="D1841" s="51" t="str">
        <v/>
      </c>
      <c r="E1841" s="51" t="str">
        <v/>
      </c>
      <c r="F1841" s="52" t="str">
        <v/>
      </c>
      <c r="G1841" s="48" t="str">
        <v/>
      </c>
      <c r="H1841" s="49">
        <v>1128.01</v>
      </c>
      <c r="I1841" s="49" t="e">
        <v>#REF!</v>
      </c>
      <c r="J1841" s="50"/>
    </row>
    <row r="1842" ht="43.2" outlineLevel="1" spans="1:10">
      <c r="A1842" s="50">
        <v>1</v>
      </c>
      <c r="B1842" s="51" t="str">
        <v>内墙砌筑脚手架</v>
      </c>
      <c r="C1842" s="51" t="e">
        <v>#REF!</v>
      </c>
      <c r="D1842" s="51" t="str">
        <v>地下综合脚手架</v>
      </c>
      <c r="E1842" s="51" t="str">
        <v>地下综合脚手架</v>
      </c>
      <c r="F1842" s="52" t="e">
        <v>#REF!</v>
      </c>
      <c r="G1842" s="48" t="e">
        <v>#REF!</v>
      </c>
      <c r="H1842" s="49">
        <v>562</v>
      </c>
      <c r="I1842" s="49" t="e">
        <v>#REF!</v>
      </c>
      <c r="J1842" s="50"/>
    </row>
    <row r="1843" ht="43.2" outlineLevel="1" spans="1:10">
      <c r="A1843" s="50">
        <v>2</v>
      </c>
      <c r="B1843" s="51" t="str">
        <v>装饰满堂脚手架</v>
      </c>
      <c r="C1843" s="51" t="e">
        <v>#REF!</v>
      </c>
      <c r="D1843" s="51" t="str">
        <v>地下综合脚手架</v>
      </c>
      <c r="E1843" s="51" t="str">
        <v>地下综合脚手架</v>
      </c>
      <c r="F1843" s="52" t="e">
        <v>#REF!</v>
      </c>
      <c r="G1843" s="48" t="e">
        <v>#REF!</v>
      </c>
      <c r="H1843" s="49">
        <v>566.01</v>
      </c>
      <c r="I1843" s="49" t="e">
        <v>#REF!</v>
      </c>
      <c r="J1843" s="50"/>
    </row>
    <row r="1844" ht="43.2" outlineLevel="1" spans="1:10">
      <c r="A1844" s="50">
        <v>3</v>
      </c>
      <c r="B1844" s="51" t="str">
        <v>简易墙面脚手架</v>
      </c>
      <c r="C1844" s="51" t="e">
        <v>#REF!</v>
      </c>
      <c r="D1844" s="51" t="str">
        <v>地下综合脚手架</v>
      </c>
      <c r="E1844" s="51" t="str">
        <v>地下综合脚手架</v>
      </c>
      <c r="F1844" s="52" t="e">
        <v>#REF!</v>
      </c>
      <c r="G1844" s="48" t="e">
        <v>#REF!</v>
      </c>
      <c r="H1844" s="49">
        <v>0</v>
      </c>
      <c r="I1844" s="49" t="e">
        <v>#REF!</v>
      </c>
      <c r="J1844" s="50"/>
    </row>
    <row r="1845" ht="43.2" outlineLevel="1" spans="1:10">
      <c r="A1845" s="50">
        <v>4</v>
      </c>
      <c r="B1845" s="51" t="str">
        <v>简易天棚脚手架</v>
      </c>
      <c r="C1845" s="51" t="e">
        <v>#REF!</v>
      </c>
      <c r="D1845" s="51" t="str">
        <v>地下综合脚手架</v>
      </c>
      <c r="E1845" s="51" t="str">
        <v>地下综合脚手架</v>
      </c>
      <c r="F1845" s="52" t="e">
        <v>#REF!</v>
      </c>
      <c r="G1845" s="48" t="e">
        <v>#REF!</v>
      </c>
      <c r="H1845" s="49">
        <v>0</v>
      </c>
      <c r="I1845" s="49" t="e">
        <v>#REF!</v>
      </c>
      <c r="J1845" s="50"/>
    </row>
    <row r="1846" outlineLevel="1" spans="1:10">
      <c r="A1846" s="50" t="str">
        <v>地上</v>
      </c>
      <c r="B1846" s="51" t="str">
        <v>主体结构</v>
      </c>
      <c r="C1846" s="51" t="str">
        <v/>
      </c>
      <c r="D1846" s="51" t="str">
        <v/>
      </c>
      <c r="E1846" s="51" t="str">
        <v/>
      </c>
      <c r="F1846" s="52" t="str">
        <v/>
      </c>
      <c r="G1846" s="48" t="str">
        <v/>
      </c>
      <c r="H1846" s="49">
        <v>0</v>
      </c>
      <c r="I1846" s="49" t="e">
        <v>#REF!</v>
      </c>
      <c r="J1846" s="50"/>
    </row>
    <row r="1847" outlineLevel="1" spans="1:10">
      <c r="A1847" s="50" t="str">
        <v>一</v>
      </c>
      <c r="B1847" s="51" t="str">
        <v>E.01.01模板工程</v>
      </c>
      <c r="C1847" s="51" t="str">
        <v/>
      </c>
      <c r="D1847" s="51" t="str">
        <v/>
      </c>
      <c r="E1847" s="51" t="str">
        <v/>
      </c>
      <c r="F1847" s="52" t="str">
        <v/>
      </c>
      <c r="G1847" s="48" t="str">
        <v/>
      </c>
      <c r="H1847" s="49">
        <v>21963.6415808</v>
      </c>
      <c r="I1847" s="49" t="e">
        <v>#REF!</v>
      </c>
      <c r="J1847" s="50"/>
    </row>
    <row r="1848" ht="28.8" outlineLevel="1" spans="1:10">
      <c r="A1848" s="50">
        <v>1</v>
      </c>
      <c r="B1848" s="51" t="str">
        <v>设备基础模板</v>
      </c>
      <c r="C1848" s="51" t="e">
        <v>#REF!</v>
      </c>
      <c r="D1848" s="51" t="str">
        <v>地上模板</v>
      </c>
      <c r="E1848" s="51" t="str">
        <v>地上模板</v>
      </c>
      <c r="F1848" s="52" t="e">
        <v>#REF!</v>
      </c>
      <c r="G1848" s="48" t="e">
        <v>#REF!</v>
      </c>
      <c r="H1848" s="49">
        <v>1</v>
      </c>
      <c r="I1848" s="49" t="e">
        <v>#REF!</v>
      </c>
      <c r="J1848" s="50"/>
    </row>
    <row r="1849" ht="28.8" outlineLevel="1" spans="1:10">
      <c r="A1849" s="50">
        <v>2</v>
      </c>
      <c r="B1849" s="51" t="str">
        <v>矩形柱模板</v>
      </c>
      <c r="C1849" s="51" t="e">
        <v>#REF!</v>
      </c>
      <c r="D1849" s="51" t="str">
        <v>地上模板</v>
      </c>
      <c r="E1849" s="51" t="str">
        <v>地上模板</v>
      </c>
      <c r="F1849" s="52" t="e">
        <v>#REF!</v>
      </c>
      <c r="G1849" s="48" t="e">
        <v>#REF!</v>
      </c>
      <c r="H1849" s="49">
        <v>23.93</v>
      </c>
      <c r="I1849" s="49" t="e">
        <v>#REF!</v>
      </c>
      <c r="J1849" s="50"/>
    </row>
    <row r="1850" ht="28.8" outlineLevel="1" spans="1:10">
      <c r="A1850" s="50">
        <v>3</v>
      </c>
      <c r="B1850" s="51" t="str">
        <v>矩形梁模板</v>
      </c>
      <c r="C1850" s="51" t="e">
        <v>#REF!</v>
      </c>
      <c r="D1850" s="51" t="str">
        <v>地上模板</v>
      </c>
      <c r="E1850" s="51" t="str">
        <v>地上模板</v>
      </c>
      <c r="F1850" s="52" t="e">
        <v>#REF!</v>
      </c>
      <c r="G1850" s="48" t="e">
        <v>#REF!</v>
      </c>
      <c r="H1850" s="49">
        <v>2637.01</v>
      </c>
      <c r="I1850" s="49" t="e">
        <v>#REF!</v>
      </c>
      <c r="J1850" s="50"/>
    </row>
    <row r="1851" ht="28.8" outlineLevel="1" spans="1:10">
      <c r="A1851" s="50">
        <v>4</v>
      </c>
      <c r="B1851" s="51" t="str">
        <v>弧形、拱形梁模板</v>
      </c>
      <c r="C1851" s="51" t="e">
        <v>#REF!</v>
      </c>
      <c r="D1851" s="51" t="str">
        <v>地上模板</v>
      </c>
      <c r="E1851" s="51" t="str">
        <v>地上模板</v>
      </c>
      <c r="F1851" s="52" t="e">
        <v>#REF!</v>
      </c>
      <c r="G1851" s="48" t="e">
        <v>#REF!</v>
      </c>
      <c r="H1851" s="49">
        <v>53.17</v>
      </c>
      <c r="I1851" s="49" t="e">
        <v>#REF!</v>
      </c>
      <c r="J1851" s="50"/>
    </row>
    <row r="1852" ht="28.8" outlineLevel="1" spans="1:10">
      <c r="A1852" s="50">
        <v>5</v>
      </c>
      <c r="B1852" s="51" t="str">
        <v>剪力墙内墙模板</v>
      </c>
      <c r="C1852" s="51" t="e">
        <v>#REF!</v>
      </c>
      <c r="D1852" s="51" t="str">
        <v>地上模板</v>
      </c>
      <c r="E1852" s="51" t="str">
        <v>地上模板</v>
      </c>
      <c r="F1852" s="52" t="e">
        <v>#REF!</v>
      </c>
      <c r="G1852" s="48" t="e">
        <v>#REF!</v>
      </c>
      <c r="H1852" s="49">
        <v>10466.37142272</v>
      </c>
      <c r="I1852" s="49" t="e">
        <v>#REF!</v>
      </c>
      <c r="J1852" s="50"/>
    </row>
    <row r="1853" ht="28.8" outlineLevel="1" spans="1:10">
      <c r="A1853" s="50" t="str">
        <v/>
      </c>
      <c r="B1853" s="51" t="str">
        <v>地上剪力墙外墙模.板</v>
      </c>
      <c r="C1853" s="51" t="e">
        <v>#REF!</v>
      </c>
      <c r="D1853" s="51" t="str">
        <v>地上模板</v>
      </c>
      <c r="E1853" s="51" t="str">
        <v>地上模板</v>
      </c>
      <c r="F1853" s="52" t="e">
        <v>#REF!</v>
      </c>
      <c r="G1853" s="48" t="e">
        <v>#REF!</v>
      </c>
      <c r="H1853" s="49">
        <v>1162.93015808</v>
      </c>
      <c r="I1853" s="49" t="e">
        <v>#REF!</v>
      </c>
      <c r="J1853" s="50"/>
    </row>
    <row r="1854" ht="28.8" outlineLevel="1" spans="1:10">
      <c r="A1854" s="50">
        <v>6</v>
      </c>
      <c r="B1854" s="51" t="str">
        <v>电梯井壁模板</v>
      </c>
      <c r="C1854" s="51" t="e">
        <v>#REF!</v>
      </c>
      <c r="D1854" s="51" t="str">
        <v>地上模板</v>
      </c>
      <c r="E1854" s="51" t="str">
        <v>地上模板</v>
      </c>
      <c r="F1854" s="52" t="e">
        <v>#REF!</v>
      </c>
      <c r="G1854" s="48" t="e">
        <v>#REF!</v>
      </c>
      <c r="H1854" s="49">
        <v>382.09</v>
      </c>
      <c r="I1854" s="49" t="e">
        <v>#REF!</v>
      </c>
      <c r="J1854" s="50"/>
    </row>
    <row r="1855" ht="28.8" outlineLevel="1" spans="1:10">
      <c r="A1855" s="50">
        <v>7</v>
      </c>
      <c r="B1855" s="51" t="str">
        <v>平板模板</v>
      </c>
      <c r="C1855" s="51" t="e">
        <v>#REF!</v>
      </c>
      <c r="D1855" s="51" t="str">
        <v>地上模板</v>
      </c>
      <c r="E1855" s="51" t="str">
        <v>地上模板</v>
      </c>
      <c r="F1855" s="52" t="e">
        <v>#REF!</v>
      </c>
      <c r="G1855" s="48" t="e">
        <v>#REF!</v>
      </c>
      <c r="H1855" s="49">
        <v>5085.26</v>
      </c>
      <c r="I1855" s="49" t="e">
        <v>#REF!</v>
      </c>
      <c r="J1855" s="50"/>
    </row>
    <row r="1856" ht="28.8" outlineLevel="1" spans="1:10">
      <c r="A1856" s="50">
        <v>8</v>
      </c>
      <c r="B1856" s="51" t="str">
        <v>斜板模板</v>
      </c>
      <c r="C1856" s="51" t="e">
        <v>#REF!</v>
      </c>
      <c r="D1856" s="51" t="str">
        <v>地上模板</v>
      </c>
      <c r="E1856" s="51" t="str">
        <v>地上模板</v>
      </c>
      <c r="F1856" s="52" t="e">
        <v>#REF!</v>
      </c>
      <c r="G1856" s="48" t="e">
        <v>#REF!</v>
      </c>
      <c r="H1856" s="49">
        <v>432.67</v>
      </c>
      <c r="I1856" s="49" t="e">
        <v>#REF!</v>
      </c>
      <c r="J1856" s="50"/>
    </row>
    <row r="1857" ht="28.8" outlineLevel="1" spans="1:10">
      <c r="A1857" s="50">
        <v>9</v>
      </c>
      <c r="B1857" s="51" t="str">
        <v>拱板模板</v>
      </c>
      <c r="C1857" s="51" t="e">
        <v>#REF!</v>
      </c>
      <c r="D1857" s="51" t="str">
        <v>地上模板</v>
      </c>
      <c r="E1857" s="51" t="str">
        <v>地上模板</v>
      </c>
      <c r="F1857" s="52" t="e">
        <v>#REF!</v>
      </c>
      <c r="G1857" s="48" t="e">
        <v>#REF!</v>
      </c>
      <c r="H1857" s="49">
        <v>59.24</v>
      </c>
      <c r="I1857" s="49" t="e">
        <v>#REF!</v>
      </c>
      <c r="J1857" s="50"/>
    </row>
    <row r="1858" ht="28.8" outlineLevel="1" spans="1:10">
      <c r="A1858" s="50">
        <v>10</v>
      </c>
      <c r="B1858" s="51" t="str">
        <v>PC板补板缝模板</v>
      </c>
      <c r="C1858" s="51" t="e">
        <v>#REF!</v>
      </c>
      <c r="D1858" s="51" t="str">
        <v>地上模板</v>
      </c>
      <c r="E1858" s="51" t="str">
        <v>地上模板</v>
      </c>
      <c r="F1858" s="52" t="e">
        <v>#REF!</v>
      </c>
      <c r="G1858" s="48" t="e">
        <v>#REF!</v>
      </c>
      <c r="H1858" s="49">
        <v>0</v>
      </c>
      <c r="I1858" s="49" t="e">
        <v>#REF!</v>
      </c>
      <c r="J1858" s="50"/>
    </row>
    <row r="1859" ht="28.8" outlineLevel="1" spans="1:10">
      <c r="A1859" s="50">
        <v>11</v>
      </c>
      <c r="B1859" s="51" t="str">
        <v>天沟、檐沟模板</v>
      </c>
      <c r="C1859" s="51" t="e">
        <v>#REF!</v>
      </c>
      <c r="D1859" s="51" t="str">
        <v>地上模板</v>
      </c>
      <c r="E1859" s="51" t="str">
        <v>地上模板</v>
      </c>
      <c r="F1859" s="52" t="e">
        <v>#REF!</v>
      </c>
      <c r="G1859" s="48" t="e">
        <v>#REF!</v>
      </c>
      <c r="H1859" s="49">
        <v>1180.99</v>
      </c>
      <c r="I1859" s="49" t="e">
        <v>#REF!</v>
      </c>
      <c r="J1859" s="50"/>
    </row>
    <row r="1860" ht="28.8" outlineLevel="1" spans="1:10">
      <c r="A1860" s="50">
        <v>12</v>
      </c>
      <c r="B1860" s="51" t="str">
        <v>栏板模板</v>
      </c>
      <c r="C1860" s="51" t="e">
        <v>#REF!</v>
      </c>
      <c r="D1860" s="51" t="str">
        <v>地上模板</v>
      </c>
      <c r="E1860" s="51" t="str">
        <v>地上模板</v>
      </c>
      <c r="F1860" s="52" t="e">
        <v>#REF!</v>
      </c>
      <c r="G1860" s="48" t="e">
        <v>#REF!</v>
      </c>
      <c r="H1860" s="49">
        <v>27.32</v>
      </c>
      <c r="I1860" s="49" t="e">
        <v>#REF!</v>
      </c>
      <c r="J1860" s="50"/>
    </row>
    <row r="1861" ht="28.8" outlineLevel="1" spans="1:10">
      <c r="A1861" s="50">
        <v>13</v>
      </c>
      <c r="B1861" s="51" t="str">
        <v>雨篷模板</v>
      </c>
      <c r="C1861" s="51" t="e">
        <v>#REF!</v>
      </c>
      <c r="D1861" s="51" t="str">
        <v>地上模板</v>
      </c>
      <c r="E1861" s="51" t="str">
        <v>地上模板</v>
      </c>
      <c r="F1861" s="52" t="e">
        <v>#REF!</v>
      </c>
      <c r="G1861" s="48" t="e">
        <v>#REF!</v>
      </c>
      <c r="H1861" s="49">
        <v>3.6</v>
      </c>
      <c r="I1861" s="49" t="e">
        <v>#REF!</v>
      </c>
      <c r="J1861" s="50"/>
    </row>
    <row r="1862" ht="28.8" outlineLevel="1" spans="1:10">
      <c r="A1862" s="50">
        <v>14</v>
      </c>
      <c r="B1862" s="51" t="str">
        <v>楼梯模.板</v>
      </c>
      <c r="C1862" s="51" t="e">
        <v>#REF!</v>
      </c>
      <c r="D1862" s="51" t="str">
        <v>地上模板</v>
      </c>
      <c r="E1862" s="51" t="str">
        <v>地上模板</v>
      </c>
      <c r="F1862" s="52" t="e">
        <v>#REF!</v>
      </c>
      <c r="G1862" s="48" t="e">
        <v>#REF!</v>
      </c>
      <c r="H1862" s="49">
        <v>448.06</v>
      </c>
      <c r="I1862" s="49" t="e">
        <v>#REF!</v>
      </c>
      <c r="J1862" s="50"/>
    </row>
    <row r="1863" outlineLevel="1" spans="1:10">
      <c r="A1863" s="50" t="str">
        <v>二</v>
      </c>
      <c r="B1863" s="51" t="str">
        <v>E.01.02脚手架工程</v>
      </c>
      <c r="C1863" s="51" t="str">
        <v/>
      </c>
      <c r="D1863" s="51" t="str">
        <v/>
      </c>
      <c r="E1863" s="51" t="str">
        <v/>
      </c>
      <c r="F1863" s="52" t="str">
        <v/>
      </c>
      <c r="G1863" s="48" t="str">
        <v/>
      </c>
      <c r="H1863" s="49">
        <v>5430.77</v>
      </c>
      <c r="I1863" s="49" t="e">
        <v>#REF!</v>
      </c>
      <c r="J1863" s="50"/>
    </row>
    <row r="1864" ht="43.2" outlineLevel="1" spans="1:10">
      <c r="A1864" s="50">
        <v>1</v>
      </c>
      <c r="B1864" s="51" t="str">
        <v>外墙双排脚手架</v>
      </c>
      <c r="C1864" s="51" t="e">
        <v>#REF!</v>
      </c>
      <c r="D1864" s="51" t="str">
        <v>地上综合脚手架</v>
      </c>
      <c r="E1864" s="51" t="str">
        <v>地上综合脚手架</v>
      </c>
      <c r="F1864" s="52" t="e">
        <v>#REF!</v>
      </c>
      <c r="G1864" s="48" t="e">
        <v>#REF!</v>
      </c>
      <c r="H1864" s="49">
        <v>1651.3</v>
      </c>
      <c r="I1864" s="49" t="e">
        <v>#REF!</v>
      </c>
      <c r="J1864" s="50"/>
    </row>
    <row r="1865" ht="43.2" outlineLevel="1" spans="1:10">
      <c r="A1865" s="50">
        <v>2</v>
      </c>
      <c r="B1865" s="51" t="str">
        <v>外墙悬挑脚手架</v>
      </c>
      <c r="C1865" s="51" t="e">
        <v>#REF!</v>
      </c>
      <c r="D1865" s="51" t="str">
        <v>地上综合脚手架</v>
      </c>
      <c r="E1865" s="51" t="str">
        <v>地上综合脚手架</v>
      </c>
      <c r="F1865" s="52" t="e">
        <v>#REF!</v>
      </c>
      <c r="G1865" s="48" t="e">
        <v>#REF!</v>
      </c>
      <c r="H1865" s="49">
        <v>3777.47</v>
      </c>
      <c r="I1865" s="49" t="e">
        <v>#REF!</v>
      </c>
      <c r="J1865" s="50"/>
    </row>
    <row r="1866" ht="43.2" outlineLevel="1" spans="1:10">
      <c r="A1866" s="50">
        <v>3</v>
      </c>
      <c r="B1866" s="51" t="str">
        <v>电梯井字脚手架-70m以内</v>
      </c>
      <c r="C1866" s="51" t="e">
        <v>#REF!</v>
      </c>
      <c r="D1866" s="51" t="str">
        <v>地上综合脚手架</v>
      </c>
      <c r="E1866" s="51" t="str">
        <v>地上综合脚手架</v>
      </c>
      <c r="F1866" s="52" t="e">
        <v>#REF!</v>
      </c>
      <c r="G1866" s="48" t="e">
        <v>#REF!</v>
      </c>
      <c r="H1866" s="49">
        <v>0</v>
      </c>
      <c r="I1866" s="49" t="e">
        <v>#REF!</v>
      </c>
      <c r="J1866" s="50"/>
    </row>
    <row r="1867" outlineLevel="1" spans="1:10">
      <c r="A1867" s="50">
        <v>4</v>
      </c>
      <c r="B1867" s="51" t="str">
        <v>电梯井字脚手架-50m以内</v>
      </c>
      <c r="C1867" s="51" t="e">
        <v>#REF!</v>
      </c>
      <c r="D1867" s="51" t="str">
        <v/>
      </c>
      <c r="E1867" s="51" t="str">
        <v/>
      </c>
      <c r="F1867" s="52" t="e">
        <v>#REF!</v>
      </c>
      <c r="G1867" s="48" t="e">
        <v>#REF!</v>
      </c>
      <c r="H1867" s="49">
        <v>2</v>
      </c>
      <c r="I1867" s="49" t="e">
        <v>#REF!</v>
      </c>
      <c r="J1867" s="50"/>
    </row>
    <row r="1868" outlineLevel="1" spans="1:10">
      <c r="A1868" s="50" t="str">
        <v>地上</v>
      </c>
      <c r="B1868" s="51" t="str">
        <v>二次结构</v>
      </c>
      <c r="C1868" s="51" t="str">
        <v/>
      </c>
      <c r="D1868" s="51" t="str">
        <v/>
      </c>
      <c r="E1868" s="51" t="str">
        <v/>
      </c>
      <c r="F1868" s="52" t="str">
        <v/>
      </c>
      <c r="G1868" s="48" t="str">
        <v/>
      </c>
      <c r="H1868" s="49">
        <v>0</v>
      </c>
      <c r="I1868" s="49" t="e">
        <v>#REF!</v>
      </c>
      <c r="J1868" s="50"/>
    </row>
    <row r="1869" outlineLevel="1" spans="1:10">
      <c r="A1869" s="50" t="str">
        <v>一</v>
      </c>
      <c r="B1869" s="51" t="str">
        <v>E.01.01模板工程</v>
      </c>
      <c r="C1869" s="51" t="str">
        <v/>
      </c>
      <c r="D1869" s="51" t="str">
        <v/>
      </c>
      <c r="E1869" s="51" t="str">
        <v/>
      </c>
      <c r="F1869" s="52" t="str">
        <v/>
      </c>
      <c r="G1869" s="48" t="str">
        <v/>
      </c>
      <c r="H1869" s="49">
        <v>1519.69</v>
      </c>
      <c r="I1869" s="49" t="e">
        <v>#REF!</v>
      </c>
      <c r="J1869" s="50"/>
    </row>
    <row r="1870" ht="28.8" outlineLevel="1" spans="1:10">
      <c r="A1870" s="50">
        <v>1</v>
      </c>
      <c r="B1870" s="51" t="str">
        <v>构造柱模板</v>
      </c>
      <c r="C1870" s="51" t="e">
        <v>#REF!</v>
      </c>
      <c r="D1870" s="51" t="str">
        <v>地上模板</v>
      </c>
      <c r="E1870" s="51" t="str">
        <v>地上模板</v>
      </c>
      <c r="F1870" s="52" t="e">
        <v>#REF!</v>
      </c>
      <c r="G1870" s="48" t="e">
        <v>#REF!</v>
      </c>
      <c r="H1870" s="49">
        <v>1026.84</v>
      </c>
      <c r="I1870" s="49" t="e">
        <v>#REF!</v>
      </c>
      <c r="J1870" s="50"/>
    </row>
    <row r="1871" ht="28.8" outlineLevel="1" spans="1:10">
      <c r="A1871" s="50">
        <v>2</v>
      </c>
      <c r="B1871" s="51" t="str">
        <v>圈梁模板</v>
      </c>
      <c r="C1871" s="51" t="e">
        <v>#REF!</v>
      </c>
      <c r="D1871" s="51" t="str">
        <v>地上模板</v>
      </c>
      <c r="E1871" s="51" t="str">
        <v>地上模板</v>
      </c>
      <c r="F1871" s="52" t="e">
        <v>#REF!</v>
      </c>
      <c r="G1871" s="48" t="e">
        <v>#REF!</v>
      </c>
      <c r="H1871" s="49">
        <v>30.11</v>
      </c>
      <c r="I1871" s="49" t="e">
        <v>#REF!</v>
      </c>
      <c r="J1871" s="50"/>
    </row>
    <row r="1872" ht="28.8" outlineLevel="1" spans="1:10">
      <c r="A1872" s="50">
        <v>3</v>
      </c>
      <c r="B1872" s="51" t="str">
        <v>门槛模板</v>
      </c>
      <c r="C1872" s="51" t="e">
        <v>#REF!</v>
      </c>
      <c r="D1872" s="51" t="str">
        <v>地上模板</v>
      </c>
      <c r="E1872" s="51" t="str">
        <v>地上模板</v>
      </c>
      <c r="F1872" s="52" t="e">
        <v>#REF!</v>
      </c>
      <c r="G1872" s="48" t="e">
        <v>#REF!</v>
      </c>
      <c r="H1872" s="49">
        <v>13.6</v>
      </c>
      <c r="I1872" s="49" t="e">
        <v>#REF!</v>
      </c>
      <c r="J1872" s="50"/>
    </row>
    <row r="1873" ht="28.8" outlineLevel="1" spans="1:10">
      <c r="A1873" s="50">
        <v>4</v>
      </c>
      <c r="B1873" s="51" t="str">
        <v>卫生间、厨房、分户墙、电井翻沿模板</v>
      </c>
      <c r="C1873" s="51" t="e">
        <v>#REF!</v>
      </c>
      <c r="D1873" s="51" t="str">
        <v>地上模板</v>
      </c>
      <c r="E1873" s="51" t="str">
        <v>地上模板</v>
      </c>
      <c r="F1873" s="52" t="e">
        <v>#REF!</v>
      </c>
      <c r="G1873" s="48" t="e">
        <v>#REF!</v>
      </c>
      <c r="H1873" s="49">
        <v>297.06</v>
      </c>
      <c r="I1873" s="49" t="e">
        <v>#REF!</v>
      </c>
      <c r="J1873" s="50"/>
    </row>
    <row r="1874" ht="28.8" outlineLevel="1" spans="1:10">
      <c r="A1874" s="50">
        <v>5</v>
      </c>
      <c r="B1874" s="51" t="str">
        <v>过梁模板</v>
      </c>
      <c r="C1874" s="51" t="e">
        <v>#REF!</v>
      </c>
      <c r="D1874" s="51" t="str">
        <v>地上模板</v>
      </c>
      <c r="E1874" s="51" t="str">
        <v>地上模板</v>
      </c>
      <c r="F1874" s="52" t="e">
        <v>#REF!</v>
      </c>
      <c r="G1874" s="48" t="e">
        <v>#REF!</v>
      </c>
      <c r="H1874" s="49">
        <v>74.76</v>
      </c>
      <c r="I1874" s="49" t="e">
        <v>#REF!</v>
      </c>
      <c r="J1874" s="50"/>
    </row>
    <row r="1875" ht="28.8" outlineLevel="1" spans="1:10">
      <c r="A1875" s="50">
        <v>6</v>
      </c>
      <c r="B1875" s="51" t="str">
        <v>压顶模板</v>
      </c>
      <c r="C1875" s="51" t="e">
        <v>#REF!</v>
      </c>
      <c r="D1875" s="51" t="str">
        <v>地上模板</v>
      </c>
      <c r="E1875" s="51" t="str">
        <v>地上模板</v>
      </c>
      <c r="F1875" s="52" t="e">
        <v>#REF!</v>
      </c>
      <c r="G1875" s="48" t="e">
        <v>#REF!</v>
      </c>
      <c r="H1875" s="49">
        <v>66.47</v>
      </c>
      <c r="I1875" s="49" t="e">
        <v>#REF!</v>
      </c>
      <c r="J1875" s="50"/>
    </row>
    <row r="1876" ht="28.8" outlineLevel="1" spans="1:10">
      <c r="A1876" s="50">
        <v>7</v>
      </c>
      <c r="B1876" s="51" t="str">
        <v>散水模板</v>
      </c>
      <c r="C1876" s="51" t="e">
        <v>#REF!</v>
      </c>
      <c r="D1876" s="51" t="str">
        <v>地上模板</v>
      </c>
      <c r="E1876" s="51" t="str">
        <v>地上模板</v>
      </c>
      <c r="F1876" s="52" t="e">
        <v>#REF!</v>
      </c>
      <c r="G1876" s="48" t="e">
        <v>#REF!</v>
      </c>
      <c r="H1876" s="49">
        <v>5.76</v>
      </c>
      <c r="I1876" s="49" t="e">
        <v>#REF!</v>
      </c>
      <c r="J1876" s="50"/>
    </row>
    <row r="1877" ht="28.8" outlineLevel="1" spans="1:10">
      <c r="A1877" s="50">
        <v>8</v>
      </c>
      <c r="B1877" s="51" t="str">
        <v>坡道模板</v>
      </c>
      <c r="C1877" s="51" t="e">
        <v>#REF!</v>
      </c>
      <c r="D1877" s="51" t="str">
        <v>地上模板</v>
      </c>
      <c r="E1877" s="51" t="str">
        <v>地上模板</v>
      </c>
      <c r="F1877" s="52" t="e">
        <v>#REF!</v>
      </c>
      <c r="G1877" s="48" t="e">
        <v>#REF!</v>
      </c>
      <c r="H1877" s="49">
        <v>2.25</v>
      </c>
      <c r="I1877" s="49" t="e">
        <v>#REF!</v>
      </c>
      <c r="J1877" s="50"/>
    </row>
    <row r="1878" ht="28.8" outlineLevel="1" spans="1:10">
      <c r="A1878" s="50">
        <v>9</v>
      </c>
      <c r="B1878" s="51" t="str">
        <v>台阶模板</v>
      </c>
      <c r="C1878" s="51" t="e">
        <v>#REF!</v>
      </c>
      <c r="D1878" s="51" t="str">
        <v>地上模板</v>
      </c>
      <c r="E1878" s="51" t="str">
        <v>地上模板</v>
      </c>
      <c r="F1878" s="52" t="e">
        <v>#REF!</v>
      </c>
      <c r="G1878" s="48" t="e">
        <v>#REF!</v>
      </c>
      <c r="H1878" s="49">
        <v>0</v>
      </c>
      <c r="I1878" s="49" t="e">
        <v>#REF!</v>
      </c>
      <c r="J1878" s="50"/>
    </row>
    <row r="1879" ht="28.8" outlineLevel="1" spans="1:10">
      <c r="A1879" s="50">
        <v>10</v>
      </c>
      <c r="B1879" s="51" t="str">
        <v>水簸箕模板</v>
      </c>
      <c r="C1879" s="51" t="e">
        <v>#REF!</v>
      </c>
      <c r="D1879" s="51" t="str">
        <v>地上模板</v>
      </c>
      <c r="E1879" s="51" t="str">
        <v>地上模板</v>
      </c>
      <c r="F1879" s="52" t="e">
        <v>#REF!</v>
      </c>
      <c r="G1879" s="48" t="e">
        <v>#REF!</v>
      </c>
      <c r="H1879" s="49">
        <v>2.84</v>
      </c>
      <c r="I1879" s="49" t="e">
        <v>#REF!</v>
      </c>
      <c r="J1879" s="50"/>
    </row>
    <row r="1880" outlineLevel="1" spans="1:10">
      <c r="A1880" s="50" t="str">
        <v>二</v>
      </c>
      <c r="B1880" s="51" t="str">
        <v>E.01.02脚手架工程</v>
      </c>
      <c r="C1880" s="51" t="str">
        <v/>
      </c>
      <c r="D1880" s="51" t="str">
        <v/>
      </c>
      <c r="E1880" s="51" t="str">
        <v/>
      </c>
      <c r="F1880" s="52" t="str">
        <v/>
      </c>
      <c r="G1880" s="48" t="str">
        <v/>
      </c>
      <c r="H1880" s="49">
        <v>27228.24</v>
      </c>
      <c r="I1880" s="49" t="e">
        <v>#REF!</v>
      </c>
      <c r="J1880" s="50"/>
    </row>
    <row r="1881" ht="43.2" outlineLevel="1" spans="1:10">
      <c r="A1881" s="50">
        <v>1</v>
      </c>
      <c r="B1881" s="51" t="str">
        <v>内墙砌筑脚手架</v>
      </c>
      <c r="C1881" s="51" t="e">
        <v>#REF!</v>
      </c>
      <c r="D1881" s="51" t="str">
        <v>地上综合脚手架</v>
      </c>
      <c r="E1881" s="51" t="str">
        <v>地上综合脚手架</v>
      </c>
      <c r="F1881" s="52" t="e">
        <v>#REF!</v>
      </c>
      <c r="G1881" s="48" t="e">
        <v>#REF!</v>
      </c>
      <c r="H1881" s="49">
        <v>1135.9</v>
      </c>
      <c r="I1881" s="49" t="e">
        <v>#REF!</v>
      </c>
      <c r="J1881" s="50"/>
    </row>
    <row r="1882" ht="43.2" outlineLevel="1" spans="1:10">
      <c r="A1882" s="50">
        <v>2</v>
      </c>
      <c r="B1882" s="51" t="str">
        <v>简易墙面脚手架</v>
      </c>
      <c r="C1882" s="51" t="e">
        <v>#REF!</v>
      </c>
      <c r="D1882" s="51" t="str">
        <v>地上综合脚手架</v>
      </c>
      <c r="E1882" s="51" t="str">
        <v>地上综合脚手架</v>
      </c>
      <c r="F1882" s="52" t="e">
        <v>#REF!</v>
      </c>
      <c r="G1882" s="48" t="e">
        <v>#REF!</v>
      </c>
      <c r="H1882" s="49">
        <v>20069.34</v>
      </c>
      <c r="I1882" s="49" t="e">
        <v>#REF!</v>
      </c>
      <c r="J1882" s="50"/>
    </row>
    <row r="1883" ht="43.2" outlineLevel="1" spans="1:10">
      <c r="A1883" s="50">
        <v>3</v>
      </c>
      <c r="B1883" s="51" t="str">
        <v>简易天棚脚手架</v>
      </c>
      <c r="C1883" s="51" t="e">
        <v>#REF!</v>
      </c>
      <c r="D1883" s="51" t="str">
        <v>地上综合脚手架</v>
      </c>
      <c r="E1883" s="51" t="str">
        <v>地上综合脚手架</v>
      </c>
      <c r="F1883" s="52" t="e">
        <v>#REF!</v>
      </c>
      <c r="G1883" s="48" t="e">
        <v>#REF!</v>
      </c>
      <c r="H1883" s="49">
        <v>6023</v>
      </c>
      <c r="I1883" s="49" t="e">
        <v>#REF!</v>
      </c>
      <c r="J1883" s="50"/>
    </row>
    <row r="1884" ht="28.8" outlineLevel="1" spans="1:10">
      <c r="A1884" s="50" t="str">
        <v/>
      </c>
      <c r="B1884" s="51" t="str">
        <v>E.02总价措施费（整体措施费）</v>
      </c>
      <c r="C1884" s="51" t="e">
        <v>#REF!</v>
      </c>
      <c r="D1884" s="51" t="str">
        <v/>
      </c>
      <c r="E1884" s="51" t="str">
        <v/>
      </c>
      <c r="F1884" s="52" t="e">
        <v>#REF!</v>
      </c>
      <c r="G1884" s="48" t="e">
        <v>#REF!</v>
      </c>
      <c r="H1884" s="49" t="e">
        <v>#REF!</v>
      </c>
      <c r="I1884" s="49" t="e">
        <v>#REF!</v>
      </c>
      <c r="J1884" s="50"/>
    </row>
    <row r="1885" ht="43.2" outlineLevel="1" spans="1:10">
      <c r="A1885" s="50" t="str">
        <v>地上</v>
      </c>
      <c r="B1885" s="51" t="str">
        <v>E.02总价措施费（整体措施费）</v>
      </c>
      <c r="C1885" s="51" t="e">
        <v>#REF!</v>
      </c>
      <c r="D1885" s="51" t="str">
        <v>地上总价措施费</v>
      </c>
      <c r="E1885" s="51" t="str">
        <v>地上总价措施费</v>
      </c>
      <c r="F1885" s="52" t="e">
        <v>#REF!</v>
      </c>
      <c r="G1885" s="48" t="e">
        <v>#REF!</v>
      </c>
      <c r="H1885" s="49" t="e">
        <v>#REF!</v>
      </c>
      <c r="I1885" s="49" t="e">
        <v>#REF!</v>
      </c>
      <c r="J1885" s="50"/>
    </row>
    <row r="1886" ht="43.2" outlineLevel="1" spans="1:10">
      <c r="A1886" s="50" t="str">
        <v>地下</v>
      </c>
      <c r="B1886" s="51" t="str">
        <v>E.02总价措施费（整体措施费）</v>
      </c>
      <c r="C1886" s="51" t="e">
        <v>#REF!</v>
      </c>
      <c r="D1886" s="51" t="str">
        <v>地下总价措施费</v>
      </c>
      <c r="E1886" s="51" t="str">
        <v>地下总价措施费</v>
      </c>
      <c r="F1886" s="52" t="e">
        <v>#REF!</v>
      </c>
      <c r="G1886" s="48" t="e">
        <v>#REF!</v>
      </c>
      <c r="H1886" s="49" t="e">
        <v>#REF!</v>
      </c>
      <c r="I1886" s="49" t="e">
        <v>#REF!</v>
      </c>
      <c r="J1886" s="50"/>
    </row>
    <row r="1887" outlineLevel="1" spans="1:10">
      <c r="A1887" s="50" t="str">
        <v/>
      </c>
      <c r="B1887" s="51" t="str">
        <v>E.03垂直运输</v>
      </c>
      <c r="C1887" s="51" t="str">
        <v/>
      </c>
      <c r="D1887" s="51" t="str">
        <v/>
      </c>
      <c r="E1887" s="51" t="str">
        <v/>
      </c>
      <c r="F1887" s="52" t="str">
        <v/>
      </c>
      <c r="G1887" s="48" t="str">
        <v/>
      </c>
      <c r="H1887" s="49">
        <v>0</v>
      </c>
      <c r="I1887" s="49" t="e">
        <v>#REF!</v>
      </c>
      <c r="J1887" s="50"/>
    </row>
    <row r="1888" outlineLevel="1" spans="1:10">
      <c r="A1888" s="50" t="str">
        <v>地上</v>
      </c>
      <c r="B1888" s="51" t="str">
        <v>E.03垂直运输</v>
      </c>
      <c r="C1888" s="51" t="e">
        <v>#REF!</v>
      </c>
      <c r="D1888" s="51" t="str">
        <v/>
      </c>
      <c r="E1888" s="51" t="str">
        <v/>
      </c>
      <c r="F1888" s="52" t="str">
        <v/>
      </c>
      <c r="G1888" s="48" t="str">
        <v/>
      </c>
      <c r="H1888" s="49" t="e">
        <v>#REF!</v>
      </c>
      <c r="I1888" s="49" t="e">
        <v>#REF!</v>
      </c>
      <c r="J1888" s="50"/>
    </row>
    <row r="1889" ht="43.2" outlineLevel="1" spans="1:10">
      <c r="A1889" s="50" t="str">
        <v/>
      </c>
      <c r="B1889" s="51" t="str">
        <v>垂运-装配式</v>
      </c>
      <c r="C1889" s="51" t="e">
        <v>#REF!</v>
      </c>
      <c r="D1889" s="51" t="str">
        <v>地上总价措施费</v>
      </c>
      <c r="E1889" s="51" t="str">
        <v>地上总价措施费</v>
      </c>
      <c r="F1889" s="52" t="e">
        <v>#REF!</v>
      </c>
      <c r="G1889" s="48" t="e">
        <v>#REF!</v>
      </c>
      <c r="H1889" s="49">
        <v>0</v>
      </c>
      <c r="I1889" s="49" t="e">
        <v>#REF!</v>
      </c>
      <c r="J1889" s="50"/>
    </row>
    <row r="1890" ht="43.2" outlineLevel="1" spans="1:10">
      <c r="A1890" s="50" t="str">
        <v/>
      </c>
      <c r="B1890" s="51" t="str">
        <v>垂运-非装配式</v>
      </c>
      <c r="C1890" s="51" t="e">
        <v>#REF!</v>
      </c>
      <c r="D1890" s="51" t="str">
        <v>地上总价措施费</v>
      </c>
      <c r="E1890" s="51" t="str">
        <v>地上总价措施费</v>
      </c>
      <c r="F1890" s="52" t="e">
        <v>#REF!</v>
      </c>
      <c r="G1890" s="48" t="e">
        <v>#REF!</v>
      </c>
      <c r="H1890" s="49" t="e">
        <v>#REF!</v>
      </c>
      <c r="I1890" s="49" t="e">
        <v>#REF!</v>
      </c>
      <c r="J1890" s="50"/>
    </row>
    <row r="1891" ht="43.2" outlineLevel="1" spans="1:10">
      <c r="A1891" s="50" t="str">
        <v/>
      </c>
      <c r="B1891" s="51" t="str">
        <v>垂运-配套</v>
      </c>
      <c r="C1891" s="51" t="e">
        <v>#REF!</v>
      </c>
      <c r="D1891" s="51" t="str">
        <v>地上总价措施费</v>
      </c>
      <c r="E1891" s="51" t="str">
        <v>地上总价措施费</v>
      </c>
      <c r="F1891" s="52" t="e">
        <v>#REF!</v>
      </c>
      <c r="G1891" s="48" t="e">
        <v>#REF!</v>
      </c>
      <c r="H1891" s="49">
        <v>0</v>
      </c>
      <c r="I1891" s="49" t="e">
        <v>#REF!</v>
      </c>
      <c r="J1891" s="50"/>
    </row>
    <row r="1892" ht="43.2" outlineLevel="1" spans="1:10">
      <c r="A1892" s="50" t="str">
        <v/>
      </c>
      <c r="B1892" s="51" t="str">
        <v>垂运-地下车库</v>
      </c>
      <c r="C1892" s="51" t="e">
        <v>#REF!</v>
      </c>
      <c r="D1892" s="51" t="str">
        <v>地上总价措施费</v>
      </c>
      <c r="E1892" s="51" t="str">
        <v>地上总价措施费</v>
      </c>
      <c r="F1892" s="52" t="e">
        <v>#REF!</v>
      </c>
      <c r="G1892" s="48" t="e">
        <v>#REF!</v>
      </c>
      <c r="H1892" s="49">
        <v>0</v>
      </c>
      <c r="I1892" s="49" t="e">
        <v>#REF!</v>
      </c>
      <c r="J1892" s="50"/>
    </row>
    <row r="1893" outlineLevel="1" spans="1:10">
      <c r="A1893" s="50" t="str">
        <v>地下</v>
      </c>
      <c r="B1893" s="51" t="str">
        <v>E.03垂直运输</v>
      </c>
      <c r="C1893" s="51" t="e">
        <v>#REF!</v>
      </c>
      <c r="D1893" s="51" t="str">
        <v/>
      </c>
      <c r="E1893" s="51" t="str">
        <v/>
      </c>
      <c r="F1893" s="52" t="str">
        <v/>
      </c>
      <c r="G1893" s="48" t="str">
        <v/>
      </c>
      <c r="H1893" s="49" t="e">
        <v>#REF!</v>
      </c>
      <c r="I1893" s="49" t="e">
        <v>#REF!</v>
      </c>
      <c r="J1893" s="50"/>
    </row>
    <row r="1894" ht="43.2" outlineLevel="1" spans="1:10">
      <c r="A1894" s="50" t="str">
        <v/>
      </c>
      <c r="B1894" s="51" t="str">
        <v>垂运-装配式</v>
      </c>
      <c r="C1894" s="51" t="e">
        <v>#REF!</v>
      </c>
      <c r="D1894" s="51" t="str">
        <v>地下总价措施费</v>
      </c>
      <c r="E1894" s="51" t="str">
        <v>地下总价措施费</v>
      </c>
      <c r="F1894" s="52" t="e">
        <v>#REF!</v>
      </c>
      <c r="G1894" s="48" t="e">
        <v>#REF!</v>
      </c>
      <c r="H1894" s="49">
        <v>0</v>
      </c>
      <c r="I1894" s="49" t="e">
        <v>#REF!</v>
      </c>
      <c r="J1894" s="50"/>
    </row>
    <row r="1895" ht="43.2" outlineLevel="1" spans="1:10">
      <c r="A1895" s="50" t="str">
        <v/>
      </c>
      <c r="B1895" s="51" t="str">
        <v>垂运-非装配式</v>
      </c>
      <c r="C1895" s="51" t="e">
        <v>#REF!</v>
      </c>
      <c r="D1895" s="51" t="str">
        <v>地下总价措施费</v>
      </c>
      <c r="E1895" s="51" t="str">
        <v>地下总价措施费</v>
      </c>
      <c r="F1895" s="52" t="e">
        <v>#REF!</v>
      </c>
      <c r="G1895" s="48" t="e">
        <v>#REF!</v>
      </c>
      <c r="H1895" s="49" t="e">
        <v>#REF!</v>
      </c>
      <c r="I1895" s="49" t="e">
        <v>#REF!</v>
      </c>
      <c r="J1895" s="50"/>
    </row>
    <row r="1896" ht="43.2" outlineLevel="1" spans="1:10">
      <c r="A1896" s="50" t="str">
        <v/>
      </c>
      <c r="B1896" s="51" t="str">
        <v>垂运-配套</v>
      </c>
      <c r="C1896" s="51" t="e">
        <v>#REF!</v>
      </c>
      <c r="D1896" s="51" t="str">
        <v>地下总价措施费</v>
      </c>
      <c r="E1896" s="51" t="str">
        <v>地下总价措施费</v>
      </c>
      <c r="F1896" s="52" t="e">
        <v>#REF!</v>
      </c>
      <c r="G1896" s="48" t="e">
        <v>#REF!</v>
      </c>
      <c r="H1896" s="49">
        <v>0</v>
      </c>
      <c r="I1896" s="49" t="e">
        <v>#REF!</v>
      </c>
      <c r="J1896" s="50"/>
    </row>
    <row r="1897" ht="43.2" outlineLevel="1" spans="1:10">
      <c r="A1897" s="50" t="str">
        <v/>
      </c>
      <c r="B1897" s="51" t="str">
        <v>垂运-地下车库</v>
      </c>
      <c r="C1897" s="51" t="e">
        <v>#REF!</v>
      </c>
      <c r="D1897" s="51" t="str">
        <v>地下总价措施费</v>
      </c>
      <c r="E1897" s="51" t="str">
        <v>地下总价措施费</v>
      </c>
      <c r="F1897" s="52" t="e">
        <v>#REF!</v>
      </c>
      <c r="G1897" s="48" t="e">
        <v>#REF!</v>
      </c>
      <c r="H1897" s="49">
        <v>0</v>
      </c>
      <c r="I1897" s="49" t="e">
        <v>#REF!</v>
      </c>
      <c r="J1897" s="50"/>
    </row>
    <row r="1898" outlineLevel="1" spans="1:10">
      <c r="A1898" s="50" t="str">
        <v/>
      </c>
      <c r="B1898" s="51" t="str">
        <v>合计</v>
      </c>
      <c r="C1898" s="51" t="str">
        <v/>
      </c>
      <c r="D1898" s="51" t="str">
        <v/>
      </c>
      <c r="E1898" s="51" t="str">
        <v/>
      </c>
      <c r="F1898" s="52" t="str">
        <v/>
      </c>
      <c r="G1898" s="48" t="str">
        <v/>
      </c>
      <c r="H1898" s="49">
        <v>0</v>
      </c>
      <c r="I1898" s="49" t="e">
        <v>#REF!</v>
      </c>
      <c r="J1898" s="50"/>
    </row>
    <row r="1899" outlineLevel="1" spans="1:10">
      <c r="A1899" s="50" t="str">
        <v/>
      </c>
      <c r="B1899" s="51" t="str">
        <v/>
      </c>
      <c r="C1899" s="51" t="str">
        <v/>
      </c>
      <c r="D1899" s="51" t="str">
        <v/>
      </c>
      <c r="E1899" s="51" t="str">
        <v/>
      </c>
      <c r="F1899" s="52" t="str">
        <v/>
      </c>
      <c r="G1899" s="48" t="str">
        <v/>
      </c>
      <c r="H1899" s="49">
        <v>0</v>
      </c>
      <c r="I1899" s="49">
        <v>0</v>
      </c>
      <c r="J1899" s="50"/>
    </row>
    <row r="1900" outlineLevel="1" spans="1:10">
      <c r="A1900" s="50" t="str">
        <v/>
      </c>
      <c r="B1900" s="51" t="str">
        <v/>
      </c>
      <c r="C1900" s="51" t="str">
        <v/>
      </c>
      <c r="D1900" s="51" t="str">
        <v/>
      </c>
      <c r="E1900" s="51" t="str">
        <v/>
      </c>
      <c r="F1900" s="52" t="str">
        <v/>
      </c>
      <c r="G1900" s="48" t="str">
        <v/>
      </c>
      <c r="H1900" s="49">
        <v>0</v>
      </c>
      <c r="I1900" s="49">
        <v>0</v>
      </c>
      <c r="J1900" s="50"/>
    </row>
    <row r="1901" outlineLevel="1" spans="1:10">
      <c r="A1901" s="50" t="str">
        <v/>
      </c>
      <c r="B1901" s="51" t="str">
        <v/>
      </c>
      <c r="C1901" s="51" t="str">
        <v/>
      </c>
      <c r="D1901" s="51" t="str">
        <v/>
      </c>
      <c r="E1901" s="51" t="str">
        <v/>
      </c>
      <c r="F1901" s="52" t="str">
        <v/>
      </c>
      <c r="G1901" s="48" t="str">
        <v/>
      </c>
      <c r="H1901" s="49">
        <v>0</v>
      </c>
      <c r="I1901" s="49">
        <v>0</v>
      </c>
      <c r="J1901" s="50"/>
    </row>
    <row r="1902" outlineLevel="1" spans="1:10">
      <c r="A1902" s="50" t="str">
        <v/>
      </c>
      <c r="B1902" s="51" t="str">
        <v/>
      </c>
      <c r="C1902" s="51" t="str">
        <v/>
      </c>
      <c r="D1902" s="51" t="str">
        <v/>
      </c>
      <c r="E1902" s="51" t="str">
        <v/>
      </c>
      <c r="F1902" s="52" t="str">
        <v/>
      </c>
      <c r="G1902" s="48" t="str">
        <v/>
      </c>
      <c r="H1902" s="49">
        <v>0</v>
      </c>
      <c r="I1902" s="49">
        <v>0</v>
      </c>
      <c r="J1902" s="50"/>
    </row>
    <row r="1903" outlineLevel="1" spans="1:10">
      <c r="A1903" s="50" t="str">
        <v/>
      </c>
      <c r="B1903" s="51" t="str">
        <v/>
      </c>
      <c r="C1903" s="51" t="str">
        <v/>
      </c>
      <c r="D1903" s="51" t="str">
        <v/>
      </c>
      <c r="E1903" s="51" t="str">
        <v/>
      </c>
      <c r="F1903" s="52" t="str">
        <v/>
      </c>
      <c r="G1903" s="48" t="str">
        <v/>
      </c>
      <c r="H1903" s="49">
        <v>0</v>
      </c>
      <c r="I1903" s="49">
        <v>0</v>
      </c>
      <c r="J1903" s="50"/>
    </row>
    <row r="1904" outlineLevel="1" spans="1:10">
      <c r="A1904" s="50" t="str">
        <v/>
      </c>
      <c r="B1904" s="51" t="str">
        <v/>
      </c>
      <c r="C1904" s="51" t="str">
        <v/>
      </c>
      <c r="D1904" s="51" t="str">
        <v/>
      </c>
      <c r="E1904" s="51" t="str">
        <v/>
      </c>
      <c r="F1904" s="52" t="str">
        <v/>
      </c>
      <c r="G1904" s="48" t="str">
        <v/>
      </c>
      <c r="H1904" s="49">
        <v>0</v>
      </c>
      <c r="I1904" s="49">
        <v>0</v>
      </c>
      <c r="J1904" s="50"/>
    </row>
    <row r="1905" outlineLevel="1" spans="1:10">
      <c r="A1905" s="50" t="str">
        <v/>
      </c>
      <c r="B1905" s="51" t="str">
        <v/>
      </c>
      <c r="C1905" s="51" t="str">
        <v/>
      </c>
      <c r="D1905" s="51" t="str">
        <v/>
      </c>
      <c r="E1905" s="51" t="str">
        <v/>
      </c>
      <c r="F1905" s="52" t="str">
        <v/>
      </c>
      <c r="G1905" s="48" t="str">
        <v/>
      </c>
      <c r="H1905" s="49">
        <v>0</v>
      </c>
      <c r="I1905" s="49">
        <v>0</v>
      </c>
      <c r="J1905" s="50"/>
    </row>
    <row r="1906" outlineLevel="1" spans="1:10">
      <c r="A1906" s="50" t="str">
        <v/>
      </c>
      <c r="B1906" s="51" t="str">
        <v/>
      </c>
      <c r="C1906" s="51" t="str">
        <v/>
      </c>
      <c r="D1906" s="51" t="str">
        <v/>
      </c>
      <c r="E1906" s="51" t="str">
        <v/>
      </c>
      <c r="F1906" s="52" t="str">
        <v/>
      </c>
      <c r="G1906" s="48" t="str">
        <v/>
      </c>
      <c r="H1906" s="49">
        <v>0</v>
      </c>
      <c r="I1906" s="49">
        <v>0</v>
      </c>
      <c r="J1906" s="50"/>
    </row>
    <row r="1907" outlineLevel="1" spans="1:10">
      <c r="A1907" s="50" t="str">
        <v/>
      </c>
      <c r="B1907" s="51" t="str">
        <v/>
      </c>
      <c r="C1907" s="51" t="str">
        <v/>
      </c>
      <c r="D1907" s="51" t="str">
        <v/>
      </c>
      <c r="E1907" s="51" t="str">
        <v/>
      </c>
      <c r="F1907" s="52" t="str">
        <v/>
      </c>
      <c r="G1907" s="48" t="str">
        <v/>
      </c>
      <c r="H1907" s="49">
        <v>0</v>
      </c>
      <c r="I1907" s="49">
        <v>0</v>
      </c>
      <c r="J1907" s="50"/>
    </row>
    <row r="1908" outlineLevel="1" spans="1:10">
      <c r="A1908" s="50" t="str">
        <v/>
      </c>
      <c r="B1908" s="51" t="str">
        <v/>
      </c>
      <c r="C1908" s="51" t="str">
        <v/>
      </c>
      <c r="D1908" s="51" t="str">
        <v/>
      </c>
      <c r="E1908" s="51" t="str">
        <v/>
      </c>
      <c r="F1908" s="52" t="str">
        <v/>
      </c>
      <c r="G1908" s="48" t="str">
        <v/>
      </c>
      <c r="H1908" s="49">
        <v>0</v>
      </c>
      <c r="I1908" s="49">
        <v>0</v>
      </c>
      <c r="J1908" s="50"/>
    </row>
    <row r="1909" outlineLevel="1" spans="1:10">
      <c r="A1909" s="50" t="str">
        <v/>
      </c>
      <c r="B1909" s="51" t="str">
        <v/>
      </c>
      <c r="C1909" s="51" t="str">
        <v/>
      </c>
      <c r="D1909" s="51" t="str">
        <v/>
      </c>
      <c r="E1909" s="51" t="str">
        <v/>
      </c>
      <c r="F1909" s="52" t="str">
        <v/>
      </c>
      <c r="G1909" s="48" t="str">
        <v/>
      </c>
      <c r="H1909" s="49">
        <v>0</v>
      </c>
      <c r="I1909" s="49">
        <v>0</v>
      </c>
      <c r="J1909" s="50"/>
    </row>
    <row r="1910" outlineLevel="1" spans="1:10">
      <c r="A1910" s="50" t="str">
        <v/>
      </c>
      <c r="B1910" s="51" t="str">
        <v/>
      </c>
      <c r="C1910" s="51" t="str">
        <v/>
      </c>
      <c r="D1910" s="51" t="str">
        <v/>
      </c>
      <c r="E1910" s="51" t="str">
        <v/>
      </c>
      <c r="F1910" s="52" t="str">
        <v/>
      </c>
      <c r="G1910" s="48" t="str">
        <v/>
      </c>
      <c r="H1910" s="49">
        <v>0</v>
      </c>
      <c r="I1910" s="49">
        <v>0</v>
      </c>
      <c r="J1910" s="50"/>
    </row>
    <row r="1911" outlineLevel="1" spans="1:10">
      <c r="A1911" s="50" t="str">
        <v/>
      </c>
      <c r="B1911" s="51" t="str">
        <v/>
      </c>
      <c r="C1911" s="51" t="str">
        <v/>
      </c>
      <c r="D1911" s="51" t="str">
        <v/>
      </c>
      <c r="E1911" s="51" t="str">
        <v/>
      </c>
      <c r="F1911" s="52" t="str">
        <v/>
      </c>
      <c r="G1911" s="48" t="str">
        <v/>
      </c>
      <c r="H1911" s="49">
        <v>0</v>
      </c>
      <c r="I1911" s="49">
        <v>0</v>
      </c>
      <c r="J1911" s="50"/>
    </row>
    <row r="1912" outlineLevel="1" spans="1:10">
      <c r="A1912" s="50" t="str">
        <v/>
      </c>
      <c r="B1912" s="51" t="str">
        <v/>
      </c>
      <c r="C1912" s="51" t="str">
        <v/>
      </c>
      <c r="D1912" s="51" t="str">
        <v/>
      </c>
      <c r="E1912" s="51" t="str">
        <v/>
      </c>
      <c r="F1912" s="52" t="str">
        <v/>
      </c>
      <c r="G1912" s="48" t="str">
        <v/>
      </c>
      <c r="H1912" s="49">
        <v>0</v>
      </c>
      <c r="I1912" s="49">
        <v>0</v>
      </c>
      <c r="J1912" s="50"/>
    </row>
    <row r="1913" outlineLevel="1" spans="1:10">
      <c r="A1913" s="50" t="str">
        <v/>
      </c>
      <c r="B1913" s="51" t="str">
        <v/>
      </c>
      <c r="C1913" s="51" t="str">
        <v/>
      </c>
      <c r="D1913" s="51" t="str">
        <v/>
      </c>
      <c r="E1913" s="51" t="str">
        <v/>
      </c>
      <c r="F1913" s="52" t="str">
        <v/>
      </c>
      <c r="G1913" s="48" t="str">
        <v/>
      </c>
      <c r="H1913" s="49">
        <v>0</v>
      </c>
      <c r="I1913" s="49">
        <v>0</v>
      </c>
      <c r="J1913" s="50"/>
    </row>
    <row r="1914" outlineLevel="1" spans="1:10">
      <c r="A1914" s="50" t="str">
        <v/>
      </c>
      <c r="B1914" s="51" t="str">
        <v/>
      </c>
      <c r="C1914" s="51" t="str">
        <v/>
      </c>
      <c r="D1914" s="51" t="str">
        <v/>
      </c>
      <c r="E1914" s="51" t="str">
        <v/>
      </c>
      <c r="F1914" s="52" t="str">
        <v/>
      </c>
      <c r="G1914" s="48" t="str">
        <v/>
      </c>
      <c r="H1914" s="49">
        <v>0</v>
      </c>
      <c r="I1914" s="49">
        <v>0</v>
      </c>
      <c r="J1914" s="50"/>
    </row>
    <row r="1915" outlineLevel="1" spans="1:10">
      <c r="A1915" s="50" t="str">
        <v/>
      </c>
      <c r="B1915" s="51" t="str">
        <v/>
      </c>
      <c r="C1915" s="51" t="str">
        <v/>
      </c>
      <c r="D1915" s="51" t="str">
        <v/>
      </c>
      <c r="E1915" s="51" t="str">
        <v/>
      </c>
      <c r="F1915" s="52" t="str">
        <v/>
      </c>
      <c r="G1915" s="48" t="str">
        <v/>
      </c>
      <c r="H1915" s="49">
        <v>0</v>
      </c>
      <c r="I1915" s="49">
        <v>0</v>
      </c>
      <c r="J1915" s="50"/>
    </row>
    <row r="1916" outlineLevel="1" spans="1:10">
      <c r="A1916" s="50" t="str">
        <v/>
      </c>
      <c r="B1916" s="51" t="str">
        <v/>
      </c>
      <c r="C1916" s="51" t="str">
        <v/>
      </c>
      <c r="D1916" s="51" t="str">
        <v/>
      </c>
      <c r="E1916" s="51" t="str">
        <v/>
      </c>
      <c r="F1916" s="52" t="str">
        <v/>
      </c>
      <c r="G1916" s="48" t="str">
        <v/>
      </c>
      <c r="H1916" s="49">
        <v>0</v>
      </c>
      <c r="I1916" s="49">
        <v>0</v>
      </c>
      <c r="J1916" s="50"/>
    </row>
  </sheetData>
  <mergeCells count="10">
    <mergeCell ref="A1:J1"/>
    <mergeCell ref="D2:E2"/>
    <mergeCell ref="A2:A3"/>
    <mergeCell ref="B2:B3"/>
    <mergeCell ref="C2:C3"/>
    <mergeCell ref="F2:F3"/>
    <mergeCell ref="G2:G3"/>
    <mergeCell ref="H2:H3"/>
    <mergeCell ref="I2:I3"/>
    <mergeCell ref="J2:J3"/>
  </mergeCells>
  <pageMargins left="0.75" right="0.75" top="1" bottom="1" header="0.5" footer="0.5"/>
  <pageSetup paperSize="9" scale="67"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outlinePr summaryBelow="0" summaryRight="0"/>
  </sheetPr>
  <dimension ref="A1:K1916"/>
  <sheetViews>
    <sheetView view="pageBreakPreview" zoomScaleNormal="100" workbookViewId="0">
      <pane ySplit="3" topLeftCell="A890" activePane="bottomLeft" state="frozen"/>
      <selection/>
      <selection pane="bottomLeft" activeCell="L896" sqref="L896"/>
    </sheetView>
  </sheetViews>
  <sheetFormatPr defaultColWidth="19.6296296296296" defaultRowHeight="14.4"/>
  <cols>
    <col min="1" max="1" width="4.12962962962963" style="28" customWidth="1"/>
    <col min="2" max="2" width="23.6666666666667" style="30" customWidth="1"/>
    <col min="3" max="3" width="36.5" style="30" customWidth="1" collapsed="1"/>
    <col min="4" max="5" width="7.5" style="30" hidden="1" customWidth="1" outlineLevel="1"/>
    <col min="6" max="6" width="7.33333333333333" style="31" customWidth="1"/>
    <col min="7" max="7" width="13.1296296296296" style="32" customWidth="1"/>
    <col min="8" max="8" width="11.4444444444444" style="33" customWidth="1"/>
    <col min="9" max="9" width="16.4444444444444" style="33" customWidth="1"/>
    <col min="10" max="10" width="8.62962962962963" style="28" customWidth="1"/>
    <col min="11" max="11" width="19.6296296296296" style="34" customWidth="1"/>
    <col min="12" max="16384" width="19.6296296296296" style="28" customWidth="1"/>
  </cols>
  <sheetData>
    <row r="1" s="28" customFormat="1" ht="28.2" spans="1:11">
      <c r="A1" s="35" t="s">
        <v>2359</v>
      </c>
      <c r="B1" s="36"/>
      <c r="C1" s="36"/>
      <c r="D1" s="36"/>
      <c r="E1" s="36"/>
      <c r="F1" s="35"/>
      <c r="G1" s="37"/>
      <c r="H1" s="38"/>
      <c r="I1" s="38"/>
      <c r="J1" s="35"/>
      <c r="K1" s="53" t="s">
        <v>2351</v>
      </c>
    </row>
    <row r="2" s="28" customFormat="1" ht="15.6" spans="1:11">
      <c r="A2" s="9" t="s">
        <v>2</v>
      </c>
      <c r="B2" s="9" t="s">
        <v>227</v>
      </c>
      <c r="C2" s="10" t="s">
        <v>228</v>
      </c>
      <c r="D2" s="9" t="s">
        <v>229</v>
      </c>
      <c r="E2" s="9"/>
      <c r="F2" s="10" t="s">
        <v>230</v>
      </c>
      <c r="G2" s="11" t="s">
        <v>231</v>
      </c>
      <c r="H2" s="39" t="s">
        <v>225</v>
      </c>
      <c r="I2" s="39" t="s">
        <v>2352</v>
      </c>
      <c r="J2" s="23" t="s">
        <v>235</v>
      </c>
      <c r="K2" s="53" t="s">
        <v>2353</v>
      </c>
    </row>
    <row r="3" s="28" customFormat="1" ht="15.6" spans="1:11">
      <c r="A3" s="9"/>
      <c r="B3" s="9"/>
      <c r="C3" s="10"/>
      <c r="D3" s="9" t="s">
        <v>236</v>
      </c>
      <c r="E3" s="9" t="s">
        <v>237</v>
      </c>
      <c r="F3" s="10"/>
      <c r="G3" s="11"/>
      <c r="H3" s="39"/>
      <c r="I3" s="39"/>
      <c r="J3" s="23"/>
      <c r="K3" s="53" t="s">
        <v>2354</v>
      </c>
    </row>
    <row r="4" s="29" customFormat="1" spans="1:11">
      <c r="A4" s="40"/>
      <c r="B4" s="41" t="s">
        <v>2355</v>
      </c>
      <c r="C4" s="41"/>
      <c r="D4" s="41"/>
      <c r="E4" s="41"/>
      <c r="F4" s="42"/>
      <c r="G4" s="43"/>
      <c r="H4" s="44"/>
      <c r="I4" s="44"/>
      <c r="J4" s="40"/>
      <c r="K4" s="54"/>
    </row>
    <row r="5" outlineLevel="1" spans="1:10">
      <c r="A5" s="45" t="str">
        <f ca="1" t="array" ref="A5:G900">IF(INDIRECT(K1&amp;"!A4：G900")=0,"",INDIRECT(K1&amp;"!A4：G900"))</f>
        <v/>
      </c>
      <c r="B5" s="46" t="str">
        <v>地下工程</v>
      </c>
      <c r="C5" s="46" t="str">
        <v/>
      </c>
      <c r="D5" s="46" t="str">
        <v/>
      </c>
      <c r="E5" s="46" t="str">
        <v/>
      </c>
      <c r="F5" s="47" t="str">
        <v/>
      </c>
      <c r="G5" s="48" t="str">
        <v/>
      </c>
      <c r="H5" s="49">
        <f ca="1" t="array" ref="H5:H900">INDIRECT(K1&amp;"!L4:L900")</f>
        <v>0</v>
      </c>
      <c r="I5" s="55" t="e">
        <f ca="1" t="array" ref="I5:I900">INDIRECT(K1&amp;"!V4:V900")</f>
        <v>#REF!</v>
      </c>
      <c r="J5" s="50"/>
    </row>
    <row r="6" outlineLevel="1" spans="1:10">
      <c r="A6" s="50" t="str">
        <v/>
      </c>
      <c r="B6" s="51" t="str">
        <v>A.01地下基础工程</v>
      </c>
      <c r="C6" s="51" t="str">
        <v/>
      </c>
      <c r="D6" s="51" t="str">
        <v/>
      </c>
      <c r="E6" s="51" t="str">
        <v/>
      </c>
      <c r="F6" s="52" t="str">
        <v/>
      </c>
      <c r="G6" s="48" t="str">
        <v/>
      </c>
      <c r="H6" s="49">
        <v>0</v>
      </c>
      <c r="I6" s="49" t="e">
        <v>#REF!</v>
      </c>
      <c r="J6" s="50"/>
    </row>
    <row r="7" outlineLevel="1" spans="1:10">
      <c r="A7" s="50" t="str">
        <v/>
      </c>
      <c r="B7" s="51" t="str">
        <v>A.01.01土石方工程</v>
      </c>
      <c r="C7" s="51" t="str">
        <v/>
      </c>
      <c r="D7" s="51" t="str">
        <v/>
      </c>
      <c r="E7" s="51" t="str">
        <v/>
      </c>
      <c r="F7" s="52" t="str">
        <v/>
      </c>
      <c r="G7" s="48" t="str">
        <v/>
      </c>
      <c r="H7" s="49">
        <v>0</v>
      </c>
      <c r="I7" s="49" t="e">
        <v>#REF!</v>
      </c>
      <c r="J7" s="50"/>
    </row>
    <row r="8" outlineLevel="1" spans="1:10">
      <c r="A8" s="50">
        <v>1</v>
      </c>
      <c r="B8" s="51" t="str">
        <v>人工清理基底</v>
      </c>
      <c r="C8" s="51" t="e">
        <v>#REF!</v>
      </c>
      <c r="D8" s="51" t="str">
        <v/>
      </c>
      <c r="E8" s="51" t="str">
        <v/>
      </c>
      <c r="F8" s="52" t="e">
        <v>#REF!</v>
      </c>
      <c r="G8" s="48" t="e">
        <v>#REF!</v>
      </c>
      <c r="H8" s="49">
        <v>0</v>
      </c>
      <c r="I8" s="49" t="e">
        <v>#REF!</v>
      </c>
      <c r="J8" s="50"/>
    </row>
    <row r="9" ht="28.8" outlineLevel="1" spans="1:10">
      <c r="A9" s="50">
        <v>2</v>
      </c>
      <c r="B9" s="51" t="str">
        <v>挖基坑（电梯井.集水坑）</v>
      </c>
      <c r="C9" s="51" t="e">
        <v>#REF!</v>
      </c>
      <c r="D9" s="51" t="str">
        <v/>
      </c>
      <c r="E9" s="51" t="str">
        <v/>
      </c>
      <c r="F9" s="52" t="e">
        <v>#REF!</v>
      </c>
      <c r="G9" s="48" t="e">
        <v>#REF!</v>
      </c>
      <c r="H9" s="49">
        <v>0</v>
      </c>
      <c r="I9" s="49" t="e">
        <v>#REF!</v>
      </c>
      <c r="J9" s="50"/>
    </row>
    <row r="10" outlineLevel="1" spans="1:10">
      <c r="A10" s="50">
        <v>3</v>
      </c>
      <c r="B10" s="51" t="str">
        <v>房心素土回填</v>
      </c>
      <c r="C10" s="51" t="e">
        <v>#REF!</v>
      </c>
      <c r="D10" s="51" t="str">
        <v/>
      </c>
      <c r="E10" s="51" t="str">
        <v/>
      </c>
      <c r="F10" s="52" t="e">
        <v>#REF!</v>
      </c>
      <c r="G10" s="48" t="e">
        <v>#REF!</v>
      </c>
      <c r="H10" s="49">
        <v>0</v>
      </c>
      <c r="I10" s="49" t="e">
        <v>#REF!</v>
      </c>
      <c r="J10" s="50"/>
    </row>
    <row r="11" outlineLevel="1" spans="1:10">
      <c r="A11" s="50">
        <v>4</v>
      </c>
      <c r="B11" s="51" t="str">
        <v>其他素土回填</v>
      </c>
      <c r="C11" s="51" t="e">
        <v>#REF!</v>
      </c>
      <c r="D11" s="51" t="str">
        <v/>
      </c>
      <c r="E11" s="51" t="str">
        <v/>
      </c>
      <c r="F11" s="52" t="e">
        <v>#REF!</v>
      </c>
      <c r="G11" s="48" t="e">
        <v>#REF!</v>
      </c>
      <c r="H11" s="49">
        <v>0</v>
      </c>
      <c r="I11" s="49" t="e">
        <v>#REF!</v>
      </c>
      <c r="J11" s="50"/>
    </row>
    <row r="12" outlineLevel="1" spans="1:10">
      <c r="A12" s="50">
        <v>5</v>
      </c>
      <c r="B12" s="51" t="str">
        <v>3:7灰土回填灰土</v>
      </c>
      <c r="C12" s="51" t="e">
        <v>#REF!</v>
      </c>
      <c r="D12" s="51" t="str">
        <v/>
      </c>
      <c r="E12" s="51" t="str">
        <v/>
      </c>
      <c r="F12" s="52" t="e">
        <v>#REF!</v>
      </c>
      <c r="G12" s="48" t="e">
        <v>#REF!</v>
      </c>
      <c r="H12" s="49">
        <v>0</v>
      </c>
      <c r="I12" s="49" t="e">
        <v>#REF!</v>
      </c>
      <c r="J12" s="50"/>
    </row>
    <row r="13" outlineLevel="1" spans="1:10">
      <c r="A13" s="50">
        <v>6</v>
      </c>
      <c r="B13" s="51" t="str">
        <v>2:8灰土回填灰土</v>
      </c>
      <c r="C13" s="51" t="e">
        <v>#REF!</v>
      </c>
      <c r="D13" s="51" t="str">
        <v/>
      </c>
      <c r="E13" s="51" t="str">
        <v/>
      </c>
      <c r="F13" s="52" t="e">
        <v>#REF!</v>
      </c>
      <c r="G13" s="48" t="e">
        <v>#REF!</v>
      </c>
      <c r="H13" s="49">
        <v>0</v>
      </c>
      <c r="I13" s="49" t="e">
        <v>#REF!</v>
      </c>
      <c r="J13" s="50"/>
    </row>
    <row r="14" outlineLevel="1" spans="1:10">
      <c r="A14" s="50" t="str">
        <v/>
      </c>
      <c r="B14" s="51" t="str">
        <v>A.01.02地基处理工程</v>
      </c>
      <c r="C14" s="51" t="str">
        <v/>
      </c>
      <c r="D14" s="51" t="str">
        <v/>
      </c>
      <c r="E14" s="51" t="str">
        <v/>
      </c>
      <c r="F14" s="52" t="str">
        <v/>
      </c>
      <c r="G14" s="48" t="str">
        <v/>
      </c>
      <c r="H14" s="49">
        <v>0</v>
      </c>
      <c r="I14" s="49" t="e">
        <v>#REF!</v>
      </c>
      <c r="J14" s="50"/>
    </row>
    <row r="15" outlineLevel="1" spans="1:10">
      <c r="A15" s="50">
        <v>7</v>
      </c>
      <c r="B15" s="51" t="str">
        <v>砖胎膜</v>
      </c>
      <c r="C15" s="51" t="e">
        <v>#REF!</v>
      </c>
      <c r="D15" s="51" t="str">
        <v/>
      </c>
      <c r="E15" s="51" t="str">
        <v/>
      </c>
      <c r="F15" s="52" t="e">
        <v>#REF!</v>
      </c>
      <c r="G15" s="48" t="e">
        <v>#REF!</v>
      </c>
      <c r="H15" s="49">
        <v>2.8</v>
      </c>
      <c r="I15" s="49" t="e">
        <v>#REF!</v>
      </c>
      <c r="J15" s="50"/>
    </row>
    <row r="16" outlineLevel="1" spans="1:10">
      <c r="A16" s="50">
        <v>8</v>
      </c>
      <c r="B16" s="51" t="str">
        <v>砖胎膜抹灰</v>
      </c>
      <c r="C16" s="51" t="e">
        <v>#REF!</v>
      </c>
      <c r="D16" s="51" t="str">
        <v/>
      </c>
      <c r="E16" s="51" t="str">
        <v/>
      </c>
      <c r="F16" s="52" t="e">
        <v>#REF!</v>
      </c>
      <c r="G16" s="48" t="e">
        <v>#REF!</v>
      </c>
      <c r="H16" s="49">
        <v>14.09</v>
      </c>
      <c r="I16" s="49" t="e">
        <v>#REF!</v>
      </c>
      <c r="J16" s="50"/>
    </row>
    <row r="17" outlineLevel="1" spans="1:10">
      <c r="A17" s="50">
        <v>9</v>
      </c>
      <c r="B17" s="51" t="str">
        <v>实心砖墙</v>
      </c>
      <c r="C17" s="51" t="e">
        <v>#REF!</v>
      </c>
      <c r="D17" s="51" t="str">
        <v/>
      </c>
      <c r="E17" s="51" t="str">
        <v/>
      </c>
      <c r="F17" s="52" t="e">
        <v>#REF!</v>
      </c>
      <c r="G17" s="48" t="e">
        <v>#REF!</v>
      </c>
      <c r="H17" s="49">
        <v>11</v>
      </c>
      <c r="I17" s="49" t="e">
        <v>#REF!</v>
      </c>
      <c r="J17" s="50"/>
    </row>
    <row r="18" outlineLevel="1" spans="1:10">
      <c r="A18" s="50">
        <v>10</v>
      </c>
      <c r="B18" s="51" t="str">
        <v>褥垫层</v>
      </c>
      <c r="C18" s="51" t="e">
        <v>#REF!</v>
      </c>
      <c r="D18" s="51" t="str">
        <v/>
      </c>
      <c r="E18" s="51" t="str">
        <v/>
      </c>
      <c r="F18" s="52" t="e">
        <v>#REF!</v>
      </c>
      <c r="G18" s="48" t="e">
        <v>#REF!</v>
      </c>
      <c r="H18" s="49">
        <v>0</v>
      </c>
      <c r="I18" s="49" t="e">
        <v>#REF!</v>
      </c>
      <c r="J18" s="50"/>
    </row>
    <row r="19" outlineLevel="1" spans="1:10">
      <c r="A19" s="50">
        <v>11</v>
      </c>
      <c r="B19" s="51" t="str">
        <v>非级配砂石回填</v>
      </c>
      <c r="C19" s="51" t="e">
        <v>#REF!</v>
      </c>
      <c r="D19" s="51" t="str">
        <v/>
      </c>
      <c r="E19" s="51" t="str">
        <v/>
      </c>
      <c r="F19" s="52" t="e">
        <v>#REF!</v>
      </c>
      <c r="G19" s="48" t="e">
        <v>#REF!</v>
      </c>
      <c r="H19" s="49">
        <v>0</v>
      </c>
      <c r="I19" s="49" t="e">
        <v>#REF!</v>
      </c>
      <c r="J19" s="50"/>
    </row>
    <row r="20" outlineLevel="1" spans="1:10">
      <c r="A20" s="50">
        <v>12</v>
      </c>
      <c r="B20" s="51" t="str">
        <v>级配砂石回填</v>
      </c>
      <c r="C20" s="51" t="e">
        <v>#REF!</v>
      </c>
      <c r="D20" s="51" t="str">
        <v/>
      </c>
      <c r="E20" s="51" t="str">
        <v/>
      </c>
      <c r="F20" s="52" t="e">
        <v>#REF!</v>
      </c>
      <c r="G20" s="48" t="e">
        <v>#REF!</v>
      </c>
      <c r="H20" s="49">
        <v>107.3</v>
      </c>
      <c r="I20" s="49" t="e">
        <v>#REF!</v>
      </c>
      <c r="J20" s="50"/>
    </row>
    <row r="21" outlineLevel="1" spans="1:10">
      <c r="A21" s="50">
        <v>13</v>
      </c>
      <c r="B21" s="51" t="str">
        <v>地基钎探</v>
      </c>
      <c r="C21" s="51" t="e">
        <v>#REF!</v>
      </c>
      <c r="D21" s="51" t="str">
        <v/>
      </c>
      <c r="E21" s="51" t="str">
        <v/>
      </c>
      <c r="F21" s="52" t="e">
        <v>#REF!</v>
      </c>
      <c r="G21" s="48" t="e">
        <v>#REF!</v>
      </c>
      <c r="H21" s="49">
        <v>0</v>
      </c>
      <c r="I21" s="49" t="e">
        <v>#REF!</v>
      </c>
      <c r="J21" s="50"/>
    </row>
    <row r="22" outlineLevel="1" spans="1:10">
      <c r="A22" s="50" t="str">
        <v/>
      </c>
      <c r="B22" s="51" t="str">
        <v>A.02主体结构工程</v>
      </c>
      <c r="C22" s="51" t="str">
        <v/>
      </c>
      <c r="D22" s="51" t="str">
        <v/>
      </c>
      <c r="E22" s="51" t="str">
        <v/>
      </c>
      <c r="F22" s="52" t="str">
        <v/>
      </c>
      <c r="G22" s="48" t="str">
        <v/>
      </c>
      <c r="H22" s="49">
        <v>0</v>
      </c>
      <c r="I22" s="49" t="e">
        <v>#REF!</v>
      </c>
      <c r="J22" s="50"/>
    </row>
    <row r="23" outlineLevel="1" spans="1:10">
      <c r="A23" s="50" t="str">
        <v/>
      </c>
      <c r="B23" s="51" t="str">
        <v>A.02.01混凝土工程</v>
      </c>
      <c r="C23" s="51" t="str">
        <v/>
      </c>
      <c r="D23" s="51" t="str">
        <v/>
      </c>
      <c r="E23" s="51" t="str">
        <v/>
      </c>
      <c r="F23" s="52" t="str">
        <v/>
      </c>
      <c r="G23" s="48" t="str">
        <v/>
      </c>
      <c r="H23" s="49">
        <v>0</v>
      </c>
      <c r="I23" s="49" t="e">
        <v>#REF!</v>
      </c>
      <c r="J23" s="50"/>
    </row>
    <row r="24" outlineLevel="1" spans="1:10">
      <c r="A24" s="50">
        <v>14</v>
      </c>
      <c r="B24" s="51" t="str">
        <v>垫层C15</v>
      </c>
      <c r="C24" s="51" t="e">
        <v>#REF!</v>
      </c>
      <c r="D24" s="51" t="str">
        <v/>
      </c>
      <c r="E24" s="51" t="str">
        <v/>
      </c>
      <c r="F24" s="52" t="e">
        <v>#REF!</v>
      </c>
      <c r="G24" s="48" t="e">
        <v>#REF!</v>
      </c>
      <c r="H24" s="49">
        <v>0</v>
      </c>
      <c r="I24" s="49" t="e">
        <v>#REF!</v>
      </c>
      <c r="J24" s="50"/>
    </row>
    <row r="25" outlineLevel="1" spans="1:10">
      <c r="A25" s="50">
        <v>15</v>
      </c>
      <c r="B25" s="51" t="str">
        <v>垫层C20</v>
      </c>
      <c r="C25" s="51" t="e">
        <v>#REF!</v>
      </c>
      <c r="D25" s="51" t="str">
        <v/>
      </c>
      <c r="E25" s="51" t="str">
        <v/>
      </c>
      <c r="F25" s="52" t="e">
        <v>#REF!</v>
      </c>
      <c r="G25" s="48" t="e">
        <v>#REF!</v>
      </c>
      <c r="H25" s="49">
        <v>58.9</v>
      </c>
      <c r="I25" s="49" t="e">
        <v>#REF!</v>
      </c>
      <c r="J25" s="50"/>
    </row>
    <row r="26" outlineLevel="1" spans="1:10">
      <c r="A26" s="50">
        <v>16</v>
      </c>
      <c r="B26" s="51" t="str">
        <v>砼保护层-50厚C20细石砼</v>
      </c>
      <c r="C26" s="51" t="e">
        <v>#REF!</v>
      </c>
      <c r="D26" s="51" t="str">
        <v/>
      </c>
      <c r="E26" s="51" t="str">
        <v/>
      </c>
      <c r="F26" s="52" t="e">
        <v>#REF!</v>
      </c>
      <c r="G26" s="48" t="e">
        <v>#REF!</v>
      </c>
      <c r="H26" s="49">
        <v>0</v>
      </c>
      <c r="I26" s="49" t="e">
        <v>#REF!</v>
      </c>
      <c r="J26" s="50"/>
    </row>
    <row r="27" outlineLevel="1" spans="1:10">
      <c r="A27" s="50">
        <v>17</v>
      </c>
      <c r="B27" s="51" t="str">
        <v>基础梁C35</v>
      </c>
      <c r="C27" s="51" t="e">
        <v>#REF!</v>
      </c>
      <c r="D27" s="51" t="str">
        <v/>
      </c>
      <c r="E27" s="51" t="str">
        <v/>
      </c>
      <c r="F27" s="52" t="e">
        <v>#REF!</v>
      </c>
      <c r="G27" s="48" t="e">
        <v>#REF!</v>
      </c>
      <c r="H27" s="49">
        <v>0</v>
      </c>
      <c r="I27" s="49" t="e">
        <v>#REF!</v>
      </c>
      <c r="J27" s="50"/>
    </row>
    <row r="28" outlineLevel="1" spans="1:10">
      <c r="A28" s="50">
        <v>18</v>
      </c>
      <c r="B28" s="51" t="str">
        <v>独立基础C35</v>
      </c>
      <c r="C28" s="51" t="e">
        <v>#REF!</v>
      </c>
      <c r="D28" s="51" t="str">
        <v/>
      </c>
      <c r="E28" s="51" t="str">
        <v/>
      </c>
      <c r="F28" s="52" t="e">
        <v>#REF!</v>
      </c>
      <c r="G28" s="48" t="e">
        <v>#REF!</v>
      </c>
      <c r="H28" s="49">
        <v>0</v>
      </c>
      <c r="I28" s="49" t="e">
        <v>#REF!</v>
      </c>
      <c r="J28" s="50"/>
    </row>
    <row r="29" outlineLevel="1" spans="1:10">
      <c r="A29" s="50">
        <v>19</v>
      </c>
      <c r="B29" s="51" t="str">
        <v>满堂基础C30抗渗P6/P8</v>
      </c>
      <c r="C29" s="51" t="e">
        <v>#REF!</v>
      </c>
      <c r="D29" s="51" t="str">
        <v/>
      </c>
      <c r="E29" s="51" t="str">
        <v/>
      </c>
      <c r="F29" s="52" t="e">
        <v>#REF!</v>
      </c>
      <c r="G29" s="48" t="e">
        <v>#REF!</v>
      </c>
      <c r="H29" s="49">
        <v>321.1</v>
      </c>
      <c r="I29" s="49" t="e">
        <v>#REF!</v>
      </c>
      <c r="J29" s="50"/>
    </row>
    <row r="30" outlineLevel="1" spans="1:10">
      <c r="A30" s="50">
        <v>20</v>
      </c>
      <c r="B30" s="51" t="str">
        <v>满堂基础C30</v>
      </c>
      <c r="C30" s="51" t="e">
        <v>#REF!</v>
      </c>
      <c r="D30" s="51" t="str">
        <v/>
      </c>
      <c r="E30" s="51" t="str">
        <v/>
      </c>
      <c r="F30" s="52" t="e">
        <v>#REF!</v>
      </c>
      <c r="G30" s="48" t="e">
        <v>#REF!</v>
      </c>
      <c r="H30" s="49">
        <v>0</v>
      </c>
      <c r="I30" s="49" t="e">
        <v>#REF!</v>
      </c>
      <c r="J30" s="50"/>
    </row>
    <row r="31" outlineLevel="1" spans="1:10">
      <c r="A31" s="50">
        <v>21</v>
      </c>
      <c r="B31" s="51" t="str">
        <v>矩形柱C30</v>
      </c>
      <c r="C31" s="51" t="e">
        <v>#REF!</v>
      </c>
      <c r="D31" s="51" t="str">
        <v/>
      </c>
      <c r="E31" s="51" t="str">
        <v/>
      </c>
      <c r="F31" s="52" t="e">
        <v>#REF!</v>
      </c>
      <c r="G31" s="48" t="e">
        <v>#REF!</v>
      </c>
      <c r="H31" s="49">
        <v>18.6</v>
      </c>
      <c r="I31" s="49" t="e">
        <v>#REF!</v>
      </c>
      <c r="J31" s="50"/>
    </row>
    <row r="32" outlineLevel="1" spans="1:10">
      <c r="A32" s="50">
        <v>22</v>
      </c>
      <c r="B32" s="51" t="str">
        <v>矩形柱C35</v>
      </c>
      <c r="C32" s="51" t="e">
        <v>#REF!</v>
      </c>
      <c r="D32" s="51" t="str">
        <v/>
      </c>
      <c r="E32" s="51" t="str">
        <v/>
      </c>
      <c r="F32" s="52" t="e">
        <v>#REF!</v>
      </c>
      <c r="G32" s="48" t="e">
        <v>#REF!</v>
      </c>
      <c r="H32" s="49">
        <v>0</v>
      </c>
      <c r="I32" s="49" t="e">
        <v>#REF!</v>
      </c>
      <c r="J32" s="50"/>
    </row>
    <row r="33" outlineLevel="1" spans="1:10">
      <c r="A33" s="50">
        <v>23</v>
      </c>
      <c r="B33" s="51" t="str">
        <v>矩形柱C40</v>
      </c>
      <c r="C33" s="51" t="e">
        <v>#REF!</v>
      </c>
      <c r="D33" s="51" t="str">
        <v/>
      </c>
      <c r="E33" s="51" t="str">
        <v/>
      </c>
      <c r="F33" s="52" t="e">
        <v>#REF!</v>
      </c>
      <c r="G33" s="48" t="e">
        <v>#REF!</v>
      </c>
      <c r="H33" s="49">
        <v>0</v>
      </c>
      <c r="I33" s="49" t="e">
        <v>#REF!</v>
      </c>
      <c r="J33" s="50"/>
    </row>
    <row r="34" outlineLevel="1" spans="1:10">
      <c r="A34" s="50">
        <v>24</v>
      </c>
      <c r="B34" s="51" t="str">
        <v>矩形柱C30P6/P8</v>
      </c>
      <c r="C34" s="51" t="e">
        <v>#REF!</v>
      </c>
      <c r="D34" s="51" t="str">
        <v/>
      </c>
      <c r="E34" s="51" t="str">
        <v/>
      </c>
      <c r="F34" s="52" t="e">
        <v>#REF!</v>
      </c>
      <c r="G34" s="48" t="e">
        <v>#REF!</v>
      </c>
      <c r="H34" s="49">
        <v>3.8</v>
      </c>
      <c r="I34" s="49" t="e">
        <v>#REF!</v>
      </c>
      <c r="J34" s="50"/>
    </row>
    <row r="35" outlineLevel="1" spans="1:10">
      <c r="A35" s="50">
        <v>25</v>
      </c>
      <c r="B35" s="51" t="str">
        <v>矩形柱C40P6/P8</v>
      </c>
      <c r="C35" s="51" t="e">
        <v>#REF!</v>
      </c>
      <c r="D35" s="51" t="str">
        <v/>
      </c>
      <c r="E35" s="51" t="str">
        <v/>
      </c>
      <c r="F35" s="52" t="e">
        <v>#REF!</v>
      </c>
      <c r="G35" s="48" t="e">
        <v>#REF!</v>
      </c>
      <c r="H35" s="49">
        <v>0</v>
      </c>
      <c r="I35" s="49" t="e">
        <v>#REF!</v>
      </c>
      <c r="J35" s="50"/>
    </row>
    <row r="36" outlineLevel="1" spans="1:10">
      <c r="A36" s="50">
        <v>26</v>
      </c>
      <c r="B36" s="51" t="str">
        <v>矩形梁C30</v>
      </c>
      <c r="C36" s="51" t="e">
        <v>#REF!</v>
      </c>
      <c r="D36" s="51" t="str">
        <v/>
      </c>
      <c r="E36" s="51" t="str">
        <v/>
      </c>
      <c r="F36" s="52" t="e">
        <v>#REF!</v>
      </c>
      <c r="G36" s="48" t="e">
        <v>#REF!</v>
      </c>
      <c r="H36" s="49">
        <v>25.23</v>
      </c>
      <c r="I36" s="49" t="e">
        <v>#REF!</v>
      </c>
      <c r="J36" s="50"/>
    </row>
    <row r="37" outlineLevel="1" spans="1:10">
      <c r="A37" s="50">
        <v>27</v>
      </c>
      <c r="B37" s="51" t="str">
        <v>矩形梁C35</v>
      </c>
      <c r="C37" s="51" t="e">
        <v>#REF!</v>
      </c>
      <c r="D37" s="51" t="str">
        <v/>
      </c>
      <c r="E37" s="51" t="str">
        <v/>
      </c>
      <c r="F37" s="52" t="e">
        <v>#REF!</v>
      </c>
      <c r="G37" s="48" t="e">
        <v>#REF!</v>
      </c>
      <c r="H37" s="49">
        <v>0</v>
      </c>
      <c r="I37" s="49" t="e">
        <v>#REF!</v>
      </c>
      <c r="J37" s="50"/>
    </row>
    <row r="38" outlineLevel="1" spans="1:10">
      <c r="A38" s="50">
        <v>28</v>
      </c>
      <c r="B38" s="51" t="str">
        <v>矩形梁C30P6/P8</v>
      </c>
      <c r="C38" s="51" t="e">
        <v>#REF!</v>
      </c>
      <c r="D38" s="51" t="str">
        <v/>
      </c>
      <c r="E38" s="51" t="str">
        <v/>
      </c>
      <c r="F38" s="52" t="e">
        <v>#REF!</v>
      </c>
      <c r="G38" s="48" t="e">
        <v>#REF!</v>
      </c>
      <c r="H38" s="49">
        <v>0</v>
      </c>
      <c r="I38" s="49" t="e">
        <v>#REF!</v>
      </c>
      <c r="J38" s="50"/>
    </row>
    <row r="39" outlineLevel="1" spans="1:10">
      <c r="A39" s="50">
        <v>29</v>
      </c>
      <c r="B39" s="51" t="str">
        <v>矩形梁C40P6/P8</v>
      </c>
      <c r="C39" s="51" t="e">
        <v>#REF!</v>
      </c>
      <c r="D39" s="51" t="str">
        <v/>
      </c>
      <c r="E39" s="51" t="str">
        <v/>
      </c>
      <c r="F39" s="52" t="e">
        <v>#REF!</v>
      </c>
      <c r="G39" s="48" t="e">
        <v>#REF!</v>
      </c>
      <c r="H39" s="49">
        <v>0</v>
      </c>
      <c r="I39" s="49" t="e">
        <v>#REF!</v>
      </c>
      <c r="J39" s="50"/>
    </row>
    <row r="40" outlineLevel="1" spans="1:10">
      <c r="A40" s="50">
        <v>30</v>
      </c>
      <c r="B40" s="51" t="str">
        <v>直形墙C30抗渗P6/P8</v>
      </c>
      <c r="C40" s="51" t="e">
        <v>#REF!</v>
      </c>
      <c r="D40" s="51" t="str">
        <v/>
      </c>
      <c r="E40" s="51" t="str">
        <v/>
      </c>
      <c r="F40" s="52" t="e">
        <v>#REF!</v>
      </c>
      <c r="G40" s="48" t="e">
        <v>#REF!</v>
      </c>
      <c r="H40" s="49">
        <v>11.8</v>
      </c>
      <c r="I40" s="49" t="e">
        <v>#REF!</v>
      </c>
      <c r="J40" s="50"/>
    </row>
    <row r="41" outlineLevel="1" spans="1:10">
      <c r="A41" s="50">
        <v>31</v>
      </c>
      <c r="B41" s="51" t="str">
        <v>直形墙C30</v>
      </c>
      <c r="C41" s="51" t="e">
        <v>#REF!</v>
      </c>
      <c r="D41" s="51" t="str">
        <v/>
      </c>
      <c r="E41" s="51" t="str">
        <v/>
      </c>
      <c r="F41" s="52" t="e">
        <v>#REF!</v>
      </c>
      <c r="G41" s="48" t="e">
        <v>#REF!</v>
      </c>
      <c r="H41" s="49">
        <v>153.9</v>
      </c>
      <c r="I41" s="49" t="e">
        <v>#REF!</v>
      </c>
      <c r="J41" s="50"/>
    </row>
    <row r="42" outlineLevel="1" spans="1:10">
      <c r="A42" s="50">
        <v>32</v>
      </c>
      <c r="B42" s="51" t="str">
        <v>电梯井壁C30</v>
      </c>
      <c r="C42" s="51" t="e">
        <v>#REF!</v>
      </c>
      <c r="D42" s="51" t="str">
        <v/>
      </c>
      <c r="E42" s="51" t="str">
        <v/>
      </c>
      <c r="F42" s="52" t="e">
        <v>#REF!</v>
      </c>
      <c r="G42" s="48" t="e">
        <v>#REF!</v>
      </c>
      <c r="H42" s="49">
        <v>6.76</v>
      </c>
      <c r="I42" s="49" t="e">
        <v>#REF!</v>
      </c>
      <c r="J42" s="50"/>
    </row>
    <row r="43" outlineLevel="1" spans="1:10">
      <c r="A43" s="50">
        <v>33</v>
      </c>
      <c r="B43" s="51" t="str">
        <v>人防预制梁C40抗渗P6/P8</v>
      </c>
      <c r="C43" s="51" t="e">
        <v>#REF!</v>
      </c>
      <c r="D43" s="51" t="str">
        <v/>
      </c>
      <c r="E43" s="51" t="str">
        <v/>
      </c>
      <c r="F43" s="52" t="e">
        <v>#REF!</v>
      </c>
      <c r="G43" s="48" t="e">
        <v>#REF!</v>
      </c>
      <c r="H43" s="49">
        <v>0</v>
      </c>
      <c r="I43" s="49" t="e">
        <v>#REF!</v>
      </c>
      <c r="J43" s="50"/>
    </row>
    <row r="44" outlineLevel="1" spans="1:10">
      <c r="A44" s="50">
        <v>34</v>
      </c>
      <c r="B44" s="51" t="str">
        <v>斜梁C40抗渗P6/P8</v>
      </c>
      <c r="C44" s="51" t="e">
        <v>#REF!</v>
      </c>
      <c r="D44" s="51" t="str">
        <v/>
      </c>
      <c r="E44" s="51" t="str">
        <v/>
      </c>
      <c r="F44" s="52" t="e">
        <v>#REF!</v>
      </c>
      <c r="G44" s="48" t="e">
        <v>#REF!</v>
      </c>
      <c r="H44" s="49">
        <v>0</v>
      </c>
      <c r="I44" s="49" t="e">
        <v>#REF!</v>
      </c>
      <c r="J44" s="50"/>
    </row>
    <row r="45" outlineLevel="1" spans="1:10">
      <c r="A45" s="50">
        <v>35</v>
      </c>
      <c r="B45" s="51" t="str">
        <v>电梯井壁C30P6/P8</v>
      </c>
      <c r="C45" s="51" t="e">
        <v>#REF!</v>
      </c>
      <c r="D45" s="51" t="str">
        <v/>
      </c>
      <c r="E45" s="51" t="str">
        <v/>
      </c>
      <c r="F45" s="52" t="e">
        <v>#REF!</v>
      </c>
      <c r="G45" s="48" t="e">
        <v>#REF!</v>
      </c>
      <c r="H45" s="49">
        <v>0</v>
      </c>
      <c r="I45" s="49" t="e">
        <v>#REF!</v>
      </c>
      <c r="J45" s="50"/>
    </row>
    <row r="46" outlineLevel="1" spans="1:10">
      <c r="A46" s="50">
        <v>36</v>
      </c>
      <c r="B46" s="51" t="str">
        <v>平板C30</v>
      </c>
      <c r="C46" s="51" t="e">
        <v>#REF!</v>
      </c>
      <c r="D46" s="51" t="str">
        <v/>
      </c>
      <c r="E46" s="51" t="str">
        <v/>
      </c>
      <c r="F46" s="52" t="e">
        <v>#REF!</v>
      </c>
      <c r="G46" s="48" t="e">
        <v>#REF!</v>
      </c>
      <c r="H46" s="49">
        <v>66.4</v>
      </c>
      <c r="I46" s="49" t="e">
        <v>#REF!</v>
      </c>
      <c r="J46" s="50"/>
    </row>
    <row r="47" outlineLevel="1" spans="1:10">
      <c r="A47" s="50">
        <v>37</v>
      </c>
      <c r="B47" s="51" t="str">
        <v>天沟(檐沟）挑檐板C30</v>
      </c>
      <c r="C47" s="51" t="e">
        <v>#REF!</v>
      </c>
      <c r="D47" s="51" t="str">
        <v/>
      </c>
      <c r="E47" s="51" t="str">
        <v/>
      </c>
      <c r="F47" s="52" t="e">
        <v>#REF!</v>
      </c>
      <c r="G47" s="48" t="e">
        <v>#REF!</v>
      </c>
      <c r="H47" s="49">
        <v>0</v>
      </c>
      <c r="I47" s="49" t="e">
        <v>#REF!</v>
      </c>
      <c r="J47" s="50"/>
    </row>
    <row r="48" outlineLevel="1" spans="1:10">
      <c r="A48" s="50">
        <v>38</v>
      </c>
      <c r="B48" s="51" t="str">
        <v>直形墙C40</v>
      </c>
      <c r="C48" s="51" t="e">
        <v>#REF!</v>
      </c>
      <c r="D48" s="51" t="str">
        <v/>
      </c>
      <c r="E48" s="51" t="str">
        <v/>
      </c>
      <c r="F48" s="52" t="e">
        <v>#REF!</v>
      </c>
      <c r="G48" s="48" t="e">
        <v>#REF!</v>
      </c>
      <c r="H48" s="49">
        <v>0</v>
      </c>
      <c r="I48" s="49" t="e">
        <v>#REF!</v>
      </c>
      <c r="J48" s="50"/>
    </row>
    <row r="49" outlineLevel="1" spans="1:10">
      <c r="A49" s="50">
        <v>39</v>
      </c>
      <c r="B49" s="51" t="str">
        <v>直形墙C40抗渗P6/P8</v>
      </c>
      <c r="C49" s="51" t="e">
        <v>#REF!</v>
      </c>
      <c r="D49" s="51" t="str">
        <v/>
      </c>
      <c r="E49" s="51" t="str">
        <v/>
      </c>
      <c r="F49" s="52" t="e">
        <v>#REF!</v>
      </c>
      <c r="G49" s="48" t="e">
        <v>#REF!</v>
      </c>
      <c r="H49" s="49">
        <v>0</v>
      </c>
      <c r="I49" s="49" t="e">
        <v>#REF!</v>
      </c>
      <c r="J49" s="50"/>
    </row>
    <row r="50" outlineLevel="1" spans="1:10">
      <c r="A50" s="50">
        <v>40</v>
      </c>
      <c r="B50" s="51" t="str">
        <v>弧形墙C40抗渗P6/P8</v>
      </c>
      <c r="C50" s="51" t="e">
        <v>#REF!</v>
      </c>
      <c r="D50" s="51" t="str">
        <v/>
      </c>
      <c r="E50" s="51" t="str">
        <v/>
      </c>
      <c r="F50" s="52" t="e">
        <v>#REF!</v>
      </c>
      <c r="G50" s="48" t="e">
        <v>#REF!</v>
      </c>
      <c r="H50" s="49">
        <v>0</v>
      </c>
      <c r="I50" s="49" t="e">
        <v>#REF!</v>
      </c>
      <c r="J50" s="50"/>
    </row>
    <row r="51" outlineLevel="1" spans="1:10">
      <c r="A51" s="50">
        <v>41</v>
      </c>
      <c r="B51" s="51" t="str">
        <v>直形楼梯C30</v>
      </c>
      <c r="C51" s="51" t="e">
        <v>#REF!</v>
      </c>
      <c r="D51" s="51" t="str">
        <v/>
      </c>
      <c r="E51" s="51" t="str">
        <v/>
      </c>
      <c r="F51" s="52" t="e">
        <v>#REF!</v>
      </c>
      <c r="G51" s="48" t="e">
        <v>#REF!</v>
      </c>
      <c r="H51" s="49">
        <v>2.77</v>
      </c>
      <c r="I51" s="49" t="e">
        <v>#REF!</v>
      </c>
      <c r="J51" s="50"/>
    </row>
    <row r="52" outlineLevel="1" spans="1:10">
      <c r="A52" s="50">
        <v>42</v>
      </c>
      <c r="B52" s="51" t="str">
        <v>梁后浇带C35</v>
      </c>
      <c r="C52" s="51" t="e">
        <v>#REF!</v>
      </c>
      <c r="D52" s="51" t="str">
        <v/>
      </c>
      <c r="E52" s="51" t="str">
        <v/>
      </c>
      <c r="F52" s="52" t="e">
        <v>#REF!</v>
      </c>
      <c r="G52" s="48" t="e">
        <v>#REF!</v>
      </c>
      <c r="H52" s="49">
        <v>0</v>
      </c>
      <c r="I52" s="49" t="e">
        <v>#REF!</v>
      </c>
      <c r="J52" s="50"/>
    </row>
    <row r="53" outlineLevel="1" spans="1:10">
      <c r="A53" s="50">
        <v>43</v>
      </c>
      <c r="B53" s="51" t="str">
        <v>板后浇带C35</v>
      </c>
      <c r="C53" s="51" t="e">
        <v>#REF!</v>
      </c>
      <c r="D53" s="51" t="str">
        <v/>
      </c>
      <c r="E53" s="51" t="str">
        <v/>
      </c>
      <c r="F53" s="52" t="e">
        <v>#REF!</v>
      </c>
      <c r="G53" s="48" t="e">
        <v>#REF!</v>
      </c>
      <c r="H53" s="49">
        <v>0</v>
      </c>
      <c r="I53" s="49" t="e">
        <v>#REF!</v>
      </c>
      <c r="J53" s="50"/>
    </row>
    <row r="54" outlineLevel="1" spans="1:10">
      <c r="A54" s="50">
        <v>44</v>
      </c>
      <c r="B54" s="51" t="str">
        <v>墙后浇带C40抗渗P6/P8</v>
      </c>
      <c r="C54" s="51" t="e">
        <v>#REF!</v>
      </c>
      <c r="D54" s="51" t="str">
        <v/>
      </c>
      <c r="E54" s="51" t="str">
        <v/>
      </c>
      <c r="F54" s="52" t="e">
        <v>#REF!</v>
      </c>
      <c r="G54" s="48" t="e">
        <v>#REF!</v>
      </c>
      <c r="H54" s="49">
        <v>0</v>
      </c>
      <c r="I54" s="49" t="e">
        <v>#REF!</v>
      </c>
      <c r="J54" s="50"/>
    </row>
    <row r="55" ht="28.8" outlineLevel="1" spans="1:10">
      <c r="A55" s="50">
        <v>45</v>
      </c>
      <c r="B55" s="51" t="str">
        <v>满堂基础后浇带C35抗渗P6/P8</v>
      </c>
      <c r="C55" s="51" t="e">
        <v>#REF!</v>
      </c>
      <c r="D55" s="51" t="str">
        <v/>
      </c>
      <c r="E55" s="51" t="str">
        <v/>
      </c>
      <c r="F55" s="52" t="e">
        <v>#REF!</v>
      </c>
      <c r="G55" s="48" t="e">
        <v>#REF!</v>
      </c>
      <c r="H55" s="49">
        <v>0</v>
      </c>
      <c r="I55" s="49" t="e">
        <v>#REF!</v>
      </c>
      <c r="J55" s="50"/>
    </row>
    <row r="56" outlineLevel="1" spans="1:10">
      <c r="A56" s="50">
        <v>46</v>
      </c>
      <c r="B56" s="51" t="str">
        <v>预制板C30</v>
      </c>
      <c r="C56" s="51" t="e">
        <v>#REF!</v>
      </c>
      <c r="D56" s="51" t="str">
        <v/>
      </c>
      <c r="E56" s="51" t="str">
        <v/>
      </c>
      <c r="F56" s="52" t="e">
        <v>#REF!</v>
      </c>
      <c r="G56" s="48" t="e">
        <v>#REF!</v>
      </c>
      <c r="H56" s="49">
        <v>0.05</v>
      </c>
      <c r="I56" s="49" t="e">
        <v>#REF!</v>
      </c>
      <c r="J56" s="50"/>
    </row>
    <row r="57" outlineLevel="1" spans="1:10">
      <c r="A57" s="50">
        <v>47</v>
      </c>
      <c r="B57" s="51" t="str">
        <v>无梁板C40抗渗P6/P8</v>
      </c>
      <c r="C57" s="51" t="e">
        <v>#REF!</v>
      </c>
      <c r="D57" s="51" t="str">
        <v/>
      </c>
      <c r="E57" s="51" t="str">
        <v/>
      </c>
      <c r="F57" s="52" t="e">
        <v>#REF!</v>
      </c>
      <c r="G57" s="48" t="e">
        <v>#REF!</v>
      </c>
      <c r="H57" s="49">
        <v>0</v>
      </c>
      <c r="I57" s="49" t="e">
        <v>#REF!</v>
      </c>
      <c r="J57" s="50"/>
    </row>
    <row r="58" outlineLevel="1" spans="1:10">
      <c r="A58" s="50">
        <v>48</v>
      </c>
      <c r="B58" s="51" t="str">
        <v>斜板C40抗渗P6/P8</v>
      </c>
      <c r="C58" s="51" t="e">
        <v>#REF!</v>
      </c>
      <c r="D58" s="51" t="str">
        <v/>
      </c>
      <c r="E58" s="51" t="str">
        <v/>
      </c>
      <c r="F58" s="52" t="e">
        <v>#REF!</v>
      </c>
      <c r="G58" s="48" t="e">
        <v>#REF!</v>
      </c>
      <c r="H58" s="49">
        <v>0</v>
      </c>
      <c r="I58" s="49" t="e">
        <v>#REF!</v>
      </c>
      <c r="J58" s="50"/>
    </row>
    <row r="59" outlineLevel="1" spans="1:10">
      <c r="A59" s="50">
        <v>49</v>
      </c>
      <c r="B59" s="51" t="str">
        <v>天沟(檐沟）挑檐板C30</v>
      </c>
      <c r="C59" s="51" t="e">
        <v>#REF!</v>
      </c>
      <c r="D59" s="51" t="str">
        <v/>
      </c>
      <c r="E59" s="51" t="str">
        <v/>
      </c>
      <c r="F59" s="52" t="e">
        <v>#REF!</v>
      </c>
      <c r="G59" s="48" t="e">
        <v>#REF!</v>
      </c>
      <c r="H59" s="49">
        <v>0</v>
      </c>
      <c r="I59" s="49" t="e">
        <v>#REF!</v>
      </c>
      <c r="J59" s="50"/>
    </row>
    <row r="60" outlineLevel="1" spans="1:10">
      <c r="A60" s="50">
        <v>50</v>
      </c>
      <c r="B60" s="51" t="str">
        <v>栏板C35</v>
      </c>
      <c r="C60" s="51" t="e">
        <v>#REF!</v>
      </c>
      <c r="D60" s="51" t="str">
        <v/>
      </c>
      <c r="E60" s="51" t="str">
        <v/>
      </c>
      <c r="F60" s="52" t="e">
        <v>#REF!</v>
      </c>
      <c r="G60" s="48" t="e">
        <v>#REF!</v>
      </c>
      <c r="H60" s="49">
        <v>0</v>
      </c>
      <c r="I60" s="49" t="e">
        <v>#REF!</v>
      </c>
      <c r="J60" s="50"/>
    </row>
    <row r="61" outlineLevel="1" spans="1:10">
      <c r="A61" s="50">
        <v>51</v>
      </c>
      <c r="B61" s="51" t="str">
        <v>平板C35</v>
      </c>
      <c r="C61" s="51" t="e">
        <v>#REF!</v>
      </c>
      <c r="D61" s="51" t="str">
        <v/>
      </c>
      <c r="E61" s="51" t="str">
        <v/>
      </c>
      <c r="F61" s="52" t="e">
        <v>#REF!</v>
      </c>
      <c r="G61" s="48" t="e">
        <v>#REF!</v>
      </c>
      <c r="H61" s="49">
        <v>0</v>
      </c>
      <c r="I61" s="49" t="e">
        <v>#REF!</v>
      </c>
      <c r="J61" s="50"/>
    </row>
    <row r="62" outlineLevel="1" spans="1:10">
      <c r="A62" s="50">
        <v>52</v>
      </c>
      <c r="B62" s="51" t="str">
        <v>平板C40抗渗P6/P8</v>
      </c>
      <c r="C62" s="51" t="e">
        <v>#REF!</v>
      </c>
      <c r="D62" s="51" t="str">
        <v/>
      </c>
      <c r="E62" s="51" t="str">
        <v/>
      </c>
      <c r="F62" s="52" t="e">
        <v>#REF!</v>
      </c>
      <c r="G62" s="48" t="e">
        <v>#REF!</v>
      </c>
      <c r="H62" s="49">
        <v>0</v>
      </c>
      <c r="I62" s="49" t="e">
        <v>#REF!</v>
      </c>
      <c r="J62" s="50"/>
    </row>
    <row r="63" outlineLevel="1" spans="1:10">
      <c r="A63" s="50">
        <v>53</v>
      </c>
      <c r="B63" s="51" t="str">
        <v>直形楼梯C30</v>
      </c>
      <c r="C63" s="51" t="e">
        <v>#REF!</v>
      </c>
      <c r="D63" s="51" t="str">
        <v/>
      </c>
      <c r="E63" s="51" t="str">
        <v/>
      </c>
      <c r="F63" s="52" t="e">
        <v>#REF!</v>
      </c>
      <c r="G63" s="48" t="e">
        <v>#REF!</v>
      </c>
      <c r="H63" s="49">
        <v>0</v>
      </c>
      <c r="I63" s="49" t="e">
        <v>#REF!</v>
      </c>
      <c r="J63" s="50"/>
    </row>
    <row r="64" outlineLevel="1" spans="1:10">
      <c r="A64" s="50">
        <v>54</v>
      </c>
      <c r="B64" s="51" t="str">
        <v>沟盖板C30抗渗P6/P8</v>
      </c>
      <c r="C64" s="51" t="e">
        <v>#REF!</v>
      </c>
      <c r="D64" s="51" t="str">
        <v/>
      </c>
      <c r="E64" s="51" t="str">
        <v/>
      </c>
      <c r="F64" s="52" t="e">
        <v>#REF!</v>
      </c>
      <c r="G64" s="48" t="e">
        <v>#REF!</v>
      </c>
      <c r="H64" s="49">
        <v>0</v>
      </c>
      <c r="I64" s="49" t="e">
        <v>#REF!</v>
      </c>
      <c r="J64" s="50"/>
    </row>
    <row r="65" outlineLevel="1" spans="1:10">
      <c r="A65" s="50">
        <v>55</v>
      </c>
      <c r="B65" s="51" t="str">
        <v>梁后浇带C45抗渗P6/P8</v>
      </c>
      <c r="C65" s="51" t="e">
        <v>#REF!</v>
      </c>
      <c r="D65" s="51" t="str">
        <v/>
      </c>
      <c r="E65" s="51" t="str">
        <v/>
      </c>
      <c r="F65" s="52" t="e">
        <v>#REF!</v>
      </c>
      <c r="G65" s="48" t="e">
        <v>#REF!</v>
      </c>
      <c r="H65" s="49">
        <v>0</v>
      </c>
      <c r="I65" s="49" t="e">
        <v>#REF!</v>
      </c>
      <c r="J65" s="50"/>
    </row>
    <row r="66" outlineLevel="1" spans="1:10">
      <c r="A66" s="50">
        <v>56</v>
      </c>
      <c r="B66" s="51" t="str">
        <v>板后浇带C45抗渗P6/P8</v>
      </c>
      <c r="C66" s="51" t="e">
        <v>#REF!</v>
      </c>
      <c r="D66" s="51" t="str">
        <v/>
      </c>
      <c r="E66" s="51" t="str">
        <v/>
      </c>
      <c r="F66" s="52" t="e">
        <v>#REF!</v>
      </c>
      <c r="G66" s="48" t="e">
        <v>#REF!</v>
      </c>
      <c r="H66" s="49">
        <v>0</v>
      </c>
      <c r="I66" s="49" t="e">
        <v>#REF!</v>
      </c>
      <c r="J66" s="50"/>
    </row>
    <row r="67" outlineLevel="1" spans="1:10">
      <c r="A67" s="50">
        <v>57</v>
      </c>
      <c r="B67" s="51" t="str">
        <v>墙后浇带C45抗渗P6/P8</v>
      </c>
      <c r="C67" s="51" t="e">
        <v>#REF!</v>
      </c>
      <c r="D67" s="51" t="str">
        <v/>
      </c>
      <c r="E67" s="51" t="str">
        <v/>
      </c>
      <c r="F67" s="52" t="e">
        <v>#REF!</v>
      </c>
      <c r="G67" s="48" t="e">
        <v>#REF!</v>
      </c>
      <c r="H67" s="49">
        <v>0</v>
      </c>
      <c r="I67" s="49" t="e">
        <v>#REF!</v>
      </c>
      <c r="J67" s="50"/>
    </row>
    <row r="68" ht="28.8" outlineLevel="1" spans="1:10">
      <c r="A68" s="50">
        <v>58</v>
      </c>
      <c r="B68" s="51" t="str">
        <v>满堂基础后浇带C35抗渗P6/P8</v>
      </c>
      <c r="C68" s="51" t="e">
        <v>#REF!</v>
      </c>
      <c r="D68" s="51" t="str">
        <v/>
      </c>
      <c r="E68" s="51" t="str">
        <v/>
      </c>
      <c r="F68" s="52" t="e">
        <v>#REF!</v>
      </c>
      <c r="G68" s="48" t="e">
        <v>#REF!</v>
      </c>
      <c r="H68" s="49">
        <v>0</v>
      </c>
      <c r="I68" s="49" t="e">
        <v>#REF!</v>
      </c>
      <c r="J68" s="50"/>
    </row>
    <row r="69" ht="28.8" outlineLevel="1" spans="1:10">
      <c r="A69" s="50">
        <v>59</v>
      </c>
      <c r="B69" s="51" t="str">
        <v>消防水池池底C30抗渗P6/P8</v>
      </c>
      <c r="C69" s="51" t="e">
        <v>#REF!</v>
      </c>
      <c r="D69" s="51" t="str">
        <v/>
      </c>
      <c r="E69" s="51" t="str">
        <v/>
      </c>
      <c r="F69" s="52" t="e">
        <v>#REF!</v>
      </c>
      <c r="G69" s="48" t="e">
        <v>#REF!</v>
      </c>
      <c r="H69" s="49">
        <v>0</v>
      </c>
      <c r="I69" s="49" t="e">
        <v>#REF!</v>
      </c>
      <c r="J69" s="50"/>
    </row>
    <row r="70" ht="28.8" outlineLevel="1" spans="1:10">
      <c r="A70" s="50">
        <v>60</v>
      </c>
      <c r="B70" s="51" t="str">
        <v>消防水池池壁C30抗渗P6/P8</v>
      </c>
      <c r="C70" s="51" t="e">
        <v>#REF!</v>
      </c>
      <c r="D70" s="51" t="str">
        <v/>
      </c>
      <c r="E70" s="51" t="str">
        <v/>
      </c>
      <c r="F70" s="52" t="e">
        <v>#REF!</v>
      </c>
      <c r="G70" s="48" t="e">
        <v>#REF!</v>
      </c>
      <c r="H70" s="49">
        <v>0</v>
      </c>
      <c r="I70" s="49" t="e">
        <v>#REF!</v>
      </c>
      <c r="J70" s="50"/>
    </row>
    <row r="71" outlineLevel="1" spans="1:10">
      <c r="A71" s="50">
        <v>61</v>
      </c>
      <c r="B71" s="51" t="str">
        <v>设备基础C25</v>
      </c>
      <c r="C71" s="51" t="e">
        <v>#REF!</v>
      </c>
      <c r="D71" s="51" t="str">
        <v/>
      </c>
      <c r="E71" s="51" t="str">
        <v/>
      </c>
      <c r="F71" s="52" t="e">
        <v>#REF!</v>
      </c>
      <c r="G71" s="48" t="e">
        <v>#REF!</v>
      </c>
      <c r="H71" s="49">
        <v>0</v>
      </c>
      <c r="I71" s="49" t="e">
        <v>#REF!</v>
      </c>
      <c r="J71" s="50"/>
    </row>
    <row r="72" outlineLevel="1" spans="1:10">
      <c r="A72" s="50" t="str">
        <v/>
      </c>
      <c r="B72" s="51" t="str">
        <v>A.02.02钢筋工程</v>
      </c>
      <c r="C72" s="51" t="str">
        <v/>
      </c>
      <c r="D72" s="51" t="str">
        <v/>
      </c>
      <c r="E72" s="51" t="str">
        <v/>
      </c>
      <c r="F72" s="52" t="str">
        <v/>
      </c>
      <c r="G72" s="48" t="str">
        <v/>
      </c>
      <c r="H72" s="49">
        <v>0</v>
      </c>
      <c r="I72" s="49" t="e">
        <v>#REF!</v>
      </c>
      <c r="J72" s="50"/>
    </row>
    <row r="73" ht="43.2" outlineLevel="1" spans="1:10">
      <c r="A73" s="50">
        <v>62</v>
      </c>
      <c r="B73" s="51" t="str">
        <v>地下现浇构件钢筋-φ10以内</v>
      </c>
      <c r="C73" s="51" t="e">
        <v>#REF!</v>
      </c>
      <c r="D73" s="51" t="str">
        <v>地下主体结构钢筋</v>
      </c>
      <c r="E73" s="51" t="str">
        <v>地下主体结构钢筋</v>
      </c>
      <c r="F73" s="52" t="e">
        <v>#REF!</v>
      </c>
      <c r="G73" s="48" t="e">
        <v>#REF!</v>
      </c>
      <c r="H73" s="49">
        <v>0.186</v>
      </c>
      <c r="I73" s="49" t="e">
        <v>#REF!</v>
      </c>
      <c r="J73" s="50"/>
    </row>
    <row r="74" ht="43.2" outlineLevel="1" spans="1:10">
      <c r="A74" s="50">
        <v>63</v>
      </c>
      <c r="B74" s="51" t="str">
        <v>地下现浇构件钢筋-三级钢筋 Φ6</v>
      </c>
      <c r="C74" s="51" t="e">
        <v>#REF!</v>
      </c>
      <c r="D74" s="51" t="str">
        <v>地下主体结构钢筋</v>
      </c>
      <c r="E74" s="51" t="str">
        <v>地下主体结构钢筋</v>
      </c>
      <c r="F74" s="52" t="e">
        <v>#REF!</v>
      </c>
      <c r="G74" s="48" t="e">
        <v>#REF!</v>
      </c>
      <c r="H74" s="49">
        <v>0.135</v>
      </c>
      <c r="I74" s="49" t="e">
        <v>#REF!</v>
      </c>
      <c r="J74" s="50"/>
    </row>
    <row r="75" ht="43.2" outlineLevel="1" spans="1:10">
      <c r="A75" s="50">
        <v>64</v>
      </c>
      <c r="B75" s="51" t="str">
        <v>地下现浇构件钢筋-三级钢筋 Φ8</v>
      </c>
      <c r="C75" s="51" t="e">
        <v>#REF!</v>
      </c>
      <c r="D75" s="51" t="str">
        <v>地下主体结构钢筋</v>
      </c>
      <c r="E75" s="51" t="str">
        <v>地下主体结构钢筋</v>
      </c>
      <c r="F75" s="52" t="e">
        <v>#REF!</v>
      </c>
      <c r="G75" s="48" t="e">
        <v>#REF!</v>
      </c>
      <c r="H75" s="49">
        <v>7.717</v>
      </c>
      <c r="I75" s="49" t="e">
        <v>#REF!</v>
      </c>
      <c r="J75" s="50"/>
    </row>
    <row r="76" ht="43.2" outlineLevel="1" spans="1:10">
      <c r="A76" s="50">
        <v>65</v>
      </c>
      <c r="B76" s="51" t="str">
        <v>地下现浇构件钢筋-三级钢筋 Φ10</v>
      </c>
      <c r="C76" s="51" t="e">
        <v>#REF!</v>
      </c>
      <c r="D76" s="51" t="str">
        <v>地下主体结构钢筋</v>
      </c>
      <c r="E76" s="51" t="str">
        <v>地下主体结构钢筋</v>
      </c>
      <c r="F76" s="52" t="e">
        <v>#REF!</v>
      </c>
      <c r="G76" s="48" t="e">
        <v>#REF!</v>
      </c>
      <c r="H76" s="49">
        <v>2.383</v>
      </c>
      <c r="I76" s="49" t="e">
        <v>#REF!</v>
      </c>
      <c r="J76" s="50"/>
    </row>
    <row r="77" ht="43.2" outlineLevel="1" spans="1:10">
      <c r="A77" s="50">
        <v>66</v>
      </c>
      <c r="B77" s="51" t="str">
        <v>地下现浇构件钢筋-三级钢筋 Φ12</v>
      </c>
      <c r="C77" s="51" t="e">
        <v>#REF!</v>
      </c>
      <c r="D77" s="51" t="str">
        <v>地下主体结构钢筋</v>
      </c>
      <c r="E77" s="51" t="str">
        <v>地下主体结构钢筋</v>
      </c>
      <c r="F77" s="52" t="e">
        <v>#REF!</v>
      </c>
      <c r="G77" s="48" t="e">
        <v>#REF!</v>
      </c>
      <c r="H77" s="49">
        <v>20.753</v>
      </c>
      <c r="I77" s="49" t="e">
        <v>#REF!</v>
      </c>
      <c r="J77" s="50"/>
    </row>
    <row r="78" ht="43.2" outlineLevel="1" spans="1:10">
      <c r="A78" s="50">
        <v>67</v>
      </c>
      <c r="B78" s="51" t="str">
        <v>地下现浇构件钢筋-三级钢筋 Φ14</v>
      </c>
      <c r="C78" s="51" t="e">
        <v>#REF!</v>
      </c>
      <c r="D78" s="51" t="str">
        <v>地下主体结构钢筋</v>
      </c>
      <c r="E78" s="51" t="str">
        <v>地下主体结构钢筋</v>
      </c>
      <c r="F78" s="52" t="e">
        <v>#REF!</v>
      </c>
      <c r="G78" s="48" t="e">
        <v>#REF!</v>
      </c>
      <c r="H78" s="49">
        <v>21.988</v>
      </c>
      <c r="I78" s="49" t="e">
        <v>#REF!</v>
      </c>
      <c r="J78" s="50"/>
    </row>
    <row r="79" ht="43.2" outlineLevel="1" spans="1:10">
      <c r="A79" s="50">
        <v>68</v>
      </c>
      <c r="B79" s="51" t="str">
        <v>地下现浇构件钢筋-三级钢筋 Φ16</v>
      </c>
      <c r="C79" s="51" t="e">
        <v>#REF!</v>
      </c>
      <c r="D79" s="51" t="str">
        <v>地下主体结构钢筋</v>
      </c>
      <c r="E79" s="51" t="str">
        <v>地下主体结构钢筋</v>
      </c>
      <c r="F79" s="52" t="e">
        <v>#REF!</v>
      </c>
      <c r="G79" s="48" t="e">
        <v>#REF!</v>
      </c>
      <c r="H79" s="49">
        <v>5.339</v>
      </c>
      <c r="I79" s="49" t="e">
        <v>#REF!</v>
      </c>
      <c r="J79" s="50"/>
    </row>
    <row r="80" ht="43.2" outlineLevel="1" spans="1:10">
      <c r="A80" s="50">
        <v>69</v>
      </c>
      <c r="B80" s="51" t="str">
        <v>地下现浇构件钢筋-三级钢筋 Φ18</v>
      </c>
      <c r="C80" s="51" t="e">
        <v>#REF!</v>
      </c>
      <c r="D80" s="51" t="str">
        <v>地下主体结构钢筋</v>
      </c>
      <c r="E80" s="51" t="str">
        <v>地下主体结构钢筋</v>
      </c>
      <c r="F80" s="52" t="e">
        <v>#REF!</v>
      </c>
      <c r="G80" s="48" t="e">
        <v>#REF!</v>
      </c>
      <c r="H80" s="49">
        <v>4.962</v>
      </c>
      <c r="I80" s="49" t="e">
        <v>#REF!</v>
      </c>
      <c r="J80" s="50"/>
    </row>
    <row r="81" ht="43.2" outlineLevel="1" spans="1:10">
      <c r="A81" s="50">
        <v>70</v>
      </c>
      <c r="B81" s="51" t="str">
        <v>地下现浇构件钢筋-三级钢筋 Φ20</v>
      </c>
      <c r="C81" s="51" t="e">
        <v>#REF!</v>
      </c>
      <c r="D81" s="51" t="str">
        <v>地下主体结构钢筋</v>
      </c>
      <c r="E81" s="51" t="str">
        <v>地下主体结构钢筋</v>
      </c>
      <c r="F81" s="52" t="e">
        <v>#REF!</v>
      </c>
      <c r="G81" s="48" t="e">
        <v>#REF!</v>
      </c>
      <c r="H81" s="49">
        <v>3.954</v>
      </c>
      <c r="I81" s="49" t="e">
        <v>#REF!</v>
      </c>
      <c r="J81" s="50"/>
    </row>
    <row r="82" ht="43.2" outlineLevel="1" spans="1:10">
      <c r="A82" s="50">
        <v>71</v>
      </c>
      <c r="B82" s="51" t="str">
        <v>地下现浇构件钢筋-三级钢筋 Φ22</v>
      </c>
      <c r="C82" s="51" t="e">
        <v>#REF!</v>
      </c>
      <c r="D82" s="51" t="str">
        <v>地下主体结构钢筋</v>
      </c>
      <c r="E82" s="51" t="str">
        <v>地下主体结构钢筋</v>
      </c>
      <c r="F82" s="52" t="e">
        <v>#REF!</v>
      </c>
      <c r="G82" s="48" t="e">
        <v>#REF!</v>
      </c>
      <c r="H82" s="49">
        <v>1.405</v>
      </c>
      <c r="I82" s="49" t="e">
        <v>#REF!</v>
      </c>
      <c r="J82" s="50"/>
    </row>
    <row r="83" ht="43.2" outlineLevel="1" spans="1:10">
      <c r="A83" s="50">
        <v>72</v>
      </c>
      <c r="B83" s="51" t="str">
        <v>地下现浇构件钢筋-三级钢筋 Φ25</v>
      </c>
      <c r="C83" s="51" t="e">
        <v>#REF!</v>
      </c>
      <c r="D83" s="51" t="str">
        <v>地下主体结构钢筋</v>
      </c>
      <c r="E83" s="51" t="str">
        <v>地下主体结构钢筋</v>
      </c>
      <c r="F83" s="52" t="e">
        <v>#REF!</v>
      </c>
      <c r="G83" s="48" t="e">
        <v>#REF!</v>
      </c>
      <c r="H83" s="49">
        <v>2.437</v>
      </c>
      <c r="I83" s="49" t="e">
        <v>#REF!</v>
      </c>
      <c r="J83" s="50"/>
    </row>
    <row r="84" ht="43.2" outlineLevel="1" spans="1:10">
      <c r="A84" s="50">
        <v>73</v>
      </c>
      <c r="B84" s="51" t="str">
        <v>地下现浇构件措施钢筋-三级钢筋 Φ10</v>
      </c>
      <c r="C84" s="51" t="e">
        <v>#REF!</v>
      </c>
      <c r="D84" s="51" t="str">
        <v>地下主体结构钢筋</v>
      </c>
      <c r="E84" s="51" t="str">
        <v>地下主体结构钢筋</v>
      </c>
      <c r="F84" s="52" t="e">
        <v>#REF!</v>
      </c>
      <c r="G84" s="48" t="e">
        <v>#REF!</v>
      </c>
      <c r="H84" s="49">
        <v>0.076</v>
      </c>
      <c r="I84" s="49" t="e">
        <v>#REF!</v>
      </c>
      <c r="J84" s="50"/>
    </row>
    <row r="85" ht="43.2" outlineLevel="1" spans="1:10">
      <c r="A85" s="50">
        <v>74</v>
      </c>
      <c r="B85" s="51" t="str">
        <v>地下现浇构件措施钢筋-三级钢筋 Φ16</v>
      </c>
      <c r="C85" s="51" t="e">
        <v>#REF!</v>
      </c>
      <c r="D85" s="51" t="str">
        <v>地下主体结构钢筋</v>
      </c>
      <c r="E85" s="51" t="str">
        <v>地下主体结构钢筋</v>
      </c>
      <c r="F85" s="52" t="e">
        <v>#REF!</v>
      </c>
      <c r="G85" s="48" t="e">
        <v>#REF!</v>
      </c>
      <c r="H85" s="49">
        <v>0</v>
      </c>
      <c r="I85" s="49" t="e">
        <v>#REF!</v>
      </c>
      <c r="J85" s="50"/>
    </row>
    <row r="86" ht="43.2" outlineLevel="1" spans="1:10">
      <c r="A86" s="50">
        <v>75</v>
      </c>
      <c r="B86" s="51" t="str">
        <v>钢筋接头-直螺纹连接-φ20以内</v>
      </c>
      <c r="C86" s="51" t="e">
        <v>#REF!</v>
      </c>
      <c r="D86" s="51" t="str">
        <v/>
      </c>
      <c r="E86" s="51" t="str">
        <v>地下主体结构钢筋</v>
      </c>
      <c r="F86" s="52" t="e">
        <v>#REF!</v>
      </c>
      <c r="G86" s="48" t="e">
        <v>#REF!</v>
      </c>
      <c r="H86" s="49">
        <v>642</v>
      </c>
      <c r="I86" s="49" t="e">
        <v>#REF!</v>
      </c>
      <c r="J86" s="50"/>
    </row>
    <row r="87" ht="43.2" outlineLevel="1" spans="1:10">
      <c r="A87" s="50">
        <v>76</v>
      </c>
      <c r="B87" s="51" t="str">
        <v>钢筋接头-直螺纹连接-Φ30以内</v>
      </c>
      <c r="C87" s="51" t="e">
        <v>#REF!</v>
      </c>
      <c r="D87" s="51" t="str">
        <v/>
      </c>
      <c r="E87" s="51" t="str">
        <v>地下主体结构钢筋</v>
      </c>
      <c r="F87" s="52" t="e">
        <v>#REF!</v>
      </c>
      <c r="G87" s="48" t="e">
        <v>#REF!</v>
      </c>
      <c r="H87" s="49">
        <v>18</v>
      </c>
      <c r="I87" s="49" t="e">
        <v>#REF!</v>
      </c>
      <c r="J87" s="50"/>
    </row>
    <row r="88" ht="43.2" outlineLevel="1" spans="1:10">
      <c r="A88" s="50">
        <v>77</v>
      </c>
      <c r="B88" s="51" t="str">
        <v>钢筋接头-电渣压力焊</v>
      </c>
      <c r="C88" s="51" t="e">
        <v>#REF!</v>
      </c>
      <c r="D88" s="51" t="str">
        <v/>
      </c>
      <c r="E88" s="51" t="str">
        <v>地下主体结构钢筋</v>
      </c>
      <c r="F88" s="52" t="e">
        <v>#REF!</v>
      </c>
      <c r="G88" s="48" t="e">
        <v>#REF!</v>
      </c>
      <c r="H88" s="49">
        <v>1359</v>
      </c>
      <c r="I88" s="49" t="e">
        <v>#REF!</v>
      </c>
      <c r="J88" s="50"/>
    </row>
    <row r="89" outlineLevel="1" spans="1:10">
      <c r="A89" s="50" t="str">
        <v/>
      </c>
      <c r="B89" s="51" t="str">
        <v>A.03二次结构工程</v>
      </c>
      <c r="C89" s="51" t="str">
        <v/>
      </c>
      <c r="D89" s="51" t="str">
        <v/>
      </c>
      <c r="E89" s="51" t="str">
        <v/>
      </c>
      <c r="F89" s="52" t="str">
        <v/>
      </c>
      <c r="G89" s="48" t="str">
        <v/>
      </c>
      <c r="H89" s="49">
        <v>0</v>
      </c>
      <c r="I89" s="49" t="e">
        <v>#REF!</v>
      </c>
      <c r="J89" s="50"/>
    </row>
    <row r="90" outlineLevel="1" spans="1:10">
      <c r="A90" s="50" t="str">
        <v/>
      </c>
      <c r="B90" s="51" t="str">
        <v>A.03.01砌筑工程</v>
      </c>
      <c r="C90" s="51" t="str">
        <v/>
      </c>
      <c r="D90" s="51" t="str">
        <v/>
      </c>
      <c r="E90" s="51" t="str">
        <v/>
      </c>
      <c r="F90" s="52" t="str">
        <v/>
      </c>
      <c r="G90" s="48" t="str">
        <v/>
      </c>
      <c r="H90" s="49">
        <v>0</v>
      </c>
      <c r="I90" s="49" t="e">
        <v>#REF!</v>
      </c>
      <c r="J90" s="50"/>
    </row>
    <row r="91" outlineLevel="1" spans="1:10">
      <c r="A91" s="50">
        <v>78</v>
      </c>
      <c r="B91" s="51" t="str">
        <v>小型砼空心砌块</v>
      </c>
      <c r="C91" s="51" t="e">
        <v>#REF!</v>
      </c>
      <c r="D91" s="51" t="str">
        <v/>
      </c>
      <c r="E91" s="51" t="str">
        <v/>
      </c>
      <c r="F91" s="52" t="e">
        <v>#REF!</v>
      </c>
      <c r="G91" s="48" t="e">
        <v>#REF!</v>
      </c>
      <c r="H91" s="49">
        <v>74.7</v>
      </c>
      <c r="I91" s="49" t="e">
        <v>#REF!</v>
      </c>
      <c r="J91" s="50"/>
    </row>
    <row r="92" outlineLevel="1" spans="1:10">
      <c r="A92" s="50">
        <v>79</v>
      </c>
      <c r="B92" s="51" t="str">
        <v>砖台阶</v>
      </c>
      <c r="C92" s="51" t="e">
        <v>#REF!</v>
      </c>
      <c r="D92" s="51" t="str">
        <v/>
      </c>
      <c r="E92" s="51" t="str">
        <v/>
      </c>
      <c r="F92" s="52" t="e">
        <v>#REF!</v>
      </c>
      <c r="G92" s="48" t="e">
        <v>#REF!</v>
      </c>
      <c r="H92" s="49">
        <v>0</v>
      </c>
      <c r="I92" s="49" t="e">
        <v>#REF!</v>
      </c>
      <c r="J92" s="50"/>
    </row>
    <row r="93" outlineLevel="1" spans="1:10">
      <c r="A93" s="50" t="str">
        <v/>
      </c>
      <c r="B93" s="51" t="str">
        <v>A.03.02混凝土工程</v>
      </c>
      <c r="C93" s="51" t="str">
        <v/>
      </c>
      <c r="D93" s="51" t="str">
        <v/>
      </c>
      <c r="E93" s="51" t="str">
        <v/>
      </c>
      <c r="F93" s="52" t="str">
        <v/>
      </c>
      <c r="G93" s="48" t="str">
        <v/>
      </c>
      <c r="H93" s="49">
        <v>0</v>
      </c>
      <c r="I93" s="49" t="e">
        <v>#REF!</v>
      </c>
      <c r="J93" s="50"/>
    </row>
    <row r="94" outlineLevel="1" spans="1:10">
      <c r="A94" s="50">
        <v>80</v>
      </c>
      <c r="B94" s="51" t="str">
        <v>圈梁C25</v>
      </c>
      <c r="C94" s="51" t="e">
        <v>#REF!</v>
      </c>
      <c r="D94" s="51" t="str">
        <v/>
      </c>
      <c r="E94" s="51" t="str">
        <v/>
      </c>
      <c r="F94" s="52" t="e">
        <v>#REF!</v>
      </c>
      <c r="G94" s="48" t="e">
        <v>#REF!</v>
      </c>
      <c r="H94" s="49">
        <v>1.7722</v>
      </c>
      <c r="I94" s="49" t="e">
        <v>#REF!</v>
      </c>
      <c r="J94" s="50"/>
    </row>
    <row r="95" outlineLevel="1" spans="1:10">
      <c r="A95" s="50">
        <v>81</v>
      </c>
      <c r="B95" s="51" t="str">
        <v>构造柱C25</v>
      </c>
      <c r="C95" s="51" t="e">
        <v>#REF!</v>
      </c>
      <c r="D95" s="51" t="str">
        <v/>
      </c>
      <c r="E95" s="51" t="str">
        <v/>
      </c>
      <c r="F95" s="52" t="e">
        <v>#REF!</v>
      </c>
      <c r="G95" s="48" t="e">
        <v>#REF!</v>
      </c>
      <c r="H95" s="49">
        <v>1.311</v>
      </c>
      <c r="I95" s="49" t="e">
        <v>#REF!</v>
      </c>
      <c r="J95" s="50"/>
    </row>
    <row r="96" outlineLevel="1" spans="1:10">
      <c r="A96" s="50">
        <v>82</v>
      </c>
      <c r="B96" s="51" t="str">
        <v>过梁C25</v>
      </c>
      <c r="C96" s="51" t="e">
        <v>#REF!</v>
      </c>
      <c r="D96" s="51" t="str">
        <v/>
      </c>
      <c r="E96" s="51" t="str">
        <v/>
      </c>
      <c r="F96" s="52" t="e">
        <v>#REF!</v>
      </c>
      <c r="G96" s="48" t="e">
        <v>#REF!</v>
      </c>
      <c r="H96" s="49">
        <v>0.4283</v>
      </c>
      <c r="I96" s="49" t="e">
        <v>#REF!</v>
      </c>
      <c r="J96" s="50"/>
    </row>
    <row r="97" outlineLevel="1" spans="1:10">
      <c r="A97" s="50">
        <v>83</v>
      </c>
      <c r="B97" s="51" t="str">
        <v>门槛C20细石</v>
      </c>
      <c r="C97" s="51" t="e">
        <v>#REF!</v>
      </c>
      <c r="D97" s="51" t="str">
        <v/>
      </c>
      <c r="E97" s="51" t="str">
        <v/>
      </c>
      <c r="F97" s="52" t="e">
        <v>#REF!</v>
      </c>
      <c r="G97" s="48" t="e">
        <v>#REF!</v>
      </c>
      <c r="H97" s="49">
        <v>0</v>
      </c>
      <c r="I97" s="49" t="e">
        <v>#REF!</v>
      </c>
      <c r="J97" s="50"/>
    </row>
    <row r="98" outlineLevel="1" spans="1:10">
      <c r="A98" s="50">
        <v>84</v>
      </c>
      <c r="B98" s="51" t="str">
        <v>压顶C25</v>
      </c>
      <c r="C98" s="51" t="e">
        <v>#REF!</v>
      </c>
      <c r="D98" s="51" t="str">
        <v/>
      </c>
      <c r="E98" s="51" t="str">
        <v/>
      </c>
      <c r="F98" s="52" t="e">
        <v>#REF!</v>
      </c>
      <c r="G98" s="48" t="e">
        <v>#REF!</v>
      </c>
      <c r="H98" s="49">
        <v>0</v>
      </c>
      <c r="I98" s="49" t="e">
        <v>#REF!</v>
      </c>
      <c r="J98" s="50"/>
    </row>
    <row r="99" outlineLevel="1" spans="1:10">
      <c r="A99" s="50" t="str">
        <v/>
      </c>
      <c r="B99" s="51" t="str">
        <v>散水</v>
      </c>
      <c r="C99" s="51" t="str">
        <v/>
      </c>
      <c r="D99" s="51" t="str">
        <v/>
      </c>
      <c r="E99" s="51" t="str">
        <v/>
      </c>
      <c r="F99" s="52" t="str">
        <v/>
      </c>
      <c r="G99" s="48" t="str">
        <v/>
      </c>
      <c r="H99" s="49">
        <v>0</v>
      </c>
      <c r="I99" s="49">
        <v>0</v>
      </c>
      <c r="J99" s="50"/>
    </row>
    <row r="100" outlineLevel="1" spans="1:10">
      <c r="A100" s="50">
        <v>85</v>
      </c>
      <c r="B100" s="51" t="str">
        <v>散水-40厚C20细石</v>
      </c>
      <c r="C100" s="51" t="e">
        <v>#REF!</v>
      </c>
      <c r="D100" s="51" t="str">
        <v/>
      </c>
      <c r="E100" s="51" t="str">
        <v/>
      </c>
      <c r="F100" s="52" t="e">
        <v>#REF!</v>
      </c>
      <c r="G100" s="48" t="e">
        <v>#REF!</v>
      </c>
      <c r="H100" s="49">
        <v>0</v>
      </c>
      <c r="I100" s="49" t="e">
        <v>#REF!</v>
      </c>
      <c r="J100" s="50"/>
    </row>
    <row r="101" outlineLevel="1" spans="1:10">
      <c r="A101" s="50">
        <v>86</v>
      </c>
      <c r="B101" s="51" t="str">
        <v>150厚3:7灰土</v>
      </c>
      <c r="C101" s="51" t="e">
        <v>#REF!</v>
      </c>
      <c r="D101" s="51" t="str">
        <v/>
      </c>
      <c r="E101" s="51" t="str">
        <v/>
      </c>
      <c r="F101" s="52" t="e">
        <v>#REF!</v>
      </c>
      <c r="G101" s="48" t="e">
        <v>#REF!</v>
      </c>
      <c r="H101" s="49">
        <v>0</v>
      </c>
      <c r="I101" s="49" t="e">
        <v>#REF!</v>
      </c>
      <c r="J101" s="50"/>
    </row>
    <row r="102" outlineLevel="1" spans="1:10">
      <c r="A102" s="50">
        <v>87</v>
      </c>
      <c r="B102" s="51" t="str">
        <v>散水-素土夯实</v>
      </c>
      <c r="C102" s="51" t="e">
        <v>#REF!</v>
      </c>
      <c r="D102" s="51" t="str">
        <v/>
      </c>
      <c r="E102" s="51" t="str">
        <v/>
      </c>
      <c r="F102" s="52" t="e">
        <v>#REF!</v>
      </c>
      <c r="G102" s="48" t="e">
        <v>#REF!</v>
      </c>
      <c r="H102" s="49">
        <v>0</v>
      </c>
      <c r="I102" s="49" t="e">
        <v>#REF!</v>
      </c>
      <c r="J102" s="50"/>
    </row>
    <row r="103" outlineLevel="1" spans="1:10">
      <c r="A103" s="50" t="str">
        <v/>
      </c>
      <c r="B103" s="51" t="str">
        <v>坡道</v>
      </c>
      <c r="C103" s="51" t="str">
        <v/>
      </c>
      <c r="D103" s="51" t="str">
        <v/>
      </c>
      <c r="E103" s="51" t="str">
        <v/>
      </c>
      <c r="F103" s="52" t="str">
        <v/>
      </c>
      <c r="G103" s="48" t="str">
        <v/>
      </c>
      <c r="H103" s="49">
        <v>0</v>
      </c>
      <c r="I103" s="49">
        <v>0</v>
      </c>
      <c r="J103" s="50"/>
    </row>
    <row r="104" outlineLevel="1" spans="1:10">
      <c r="A104" s="50">
        <v>88</v>
      </c>
      <c r="B104" s="51" t="str">
        <v>坡道-100厚C15</v>
      </c>
      <c r="C104" s="51" t="e">
        <v>#REF!</v>
      </c>
      <c r="D104" s="51" t="str">
        <v/>
      </c>
      <c r="E104" s="51" t="str">
        <v/>
      </c>
      <c r="F104" s="52" t="e">
        <v>#REF!</v>
      </c>
      <c r="G104" s="48" t="e">
        <v>#REF!</v>
      </c>
      <c r="H104" s="49">
        <v>0</v>
      </c>
      <c r="I104" s="49" t="e">
        <v>#REF!</v>
      </c>
      <c r="J104" s="50"/>
    </row>
    <row r="105" outlineLevel="1" spans="1:10">
      <c r="A105" s="50">
        <v>89</v>
      </c>
      <c r="B105" s="51" t="str">
        <v>300厚3:7灰土</v>
      </c>
      <c r="C105" s="51" t="e">
        <v>#REF!</v>
      </c>
      <c r="D105" s="51" t="str">
        <v/>
      </c>
      <c r="E105" s="51" t="str">
        <v/>
      </c>
      <c r="F105" s="52" t="e">
        <v>#REF!</v>
      </c>
      <c r="G105" s="48" t="e">
        <v>#REF!</v>
      </c>
      <c r="H105" s="49">
        <v>0</v>
      </c>
      <c r="I105" s="49" t="e">
        <v>#REF!</v>
      </c>
      <c r="J105" s="50"/>
    </row>
    <row r="106" outlineLevel="1" spans="1:10">
      <c r="A106" s="50">
        <v>90</v>
      </c>
      <c r="B106" s="51" t="str">
        <v>坡道-素土夯实</v>
      </c>
      <c r="C106" s="51" t="e">
        <v>#REF!</v>
      </c>
      <c r="D106" s="51" t="str">
        <v/>
      </c>
      <c r="E106" s="51" t="str">
        <v/>
      </c>
      <c r="F106" s="52" t="e">
        <v>#REF!</v>
      </c>
      <c r="G106" s="48" t="e">
        <v>#REF!</v>
      </c>
      <c r="H106" s="49">
        <v>0</v>
      </c>
      <c r="I106" s="49" t="e">
        <v>#REF!</v>
      </c>
      <c r="J106" s="50"/>
    </row>
    <row r="107" outlineLevel="1" spans="1:10">
      <c r="A107" s="50" t="str">
        <v/>
      </c>
      <c r="B107" s="51" t="str">
        <v>A.03.03钢筋工程</v>
      </c>
      <c r="C107" s="51" t="str">
        <v/>
      </c>
      <c r="D107" s="51" t="str">
        <v/>
      </c>
      <c r="E107" s="51" t="str">
        <v/>
      </c>
      <c r="F107" s="52" t="str">
        <v/>
      </c>
      <c r="G107" s="48" t="str">
        <v/>
      </c>
      <c r="H107" s="49">
        <v>0</v>
      </c>
      <c r="I107" s="49" t="e">
        <v>#REF!</v>
      </c>
      <c r="J107" s="50"/>
    </row>
    <row r="108" ht="28.8" outlineLevel="1" spans="1:10">
      <c r="A108" s="50">
        <v>91</v>
      </c>
      <c r="B108" s="51" t="str">
        <v>地下现浇构件钢筋-φ10以内</v>
      </c>
      <c r="C108" s="51" t="e">
        <v>#REF!</v>
      </c>
      <c r="D108" s="51" t="str">
        <v/>
      </c>
      <c r="E108" s="51" t="str">
        <v/>
      </c>
      <c r="F108" s="52" t="e">
        <v>#REF!</v>
      </c>
      <c r="G108" s="48" t="e">
        <v>#REF!</v>
      </c>
      <c r="H108" s="49">
        <v>0.0225</v>
      </c>
      <c r="I108" s="49" t="e">
        <v>#REF!</v>
      </c>
      <c r="J108" s="50"/>
    </row>
    <row r="109" ht="28.8" outlineLevel="1" spans="1:10">
      <c r="A109" s="50">
        <v>92</v>
      </c>
      <c r="B109" s="51" t="str">
        <v>地下现浇构件钢筋-三级钢筋 Φ6</v>
      </c>
      <c r="C109" s="51" t="e">
        <v>#REF!</v>
      </c>
      <c r="D109" s="51" t="str">
        <v/>
      </c>
      <c r="E109" s="51" t="str">
        <v/>
      </c>
      <c r="F109" s="52" t="e">
        <v>#REF!</v>
      </c>
      <c r="G109" s="48" t="e">
        <v>#REF!</v>
      </c>
      <c r="H109" s="49">
        <v>0.049</v>
      </c>
      <c r="I109" s="49" t="e">
        <v>#REF!</v>
      </c>
      <c r="J109" s="50"/>
    </row>
    <row r="110" ht="28.8" outlineLevel="1" spans="1:10">
      <c r="A110" s="50">
        <v>93</v>
      </c>
      <c r="B110" s="51" t="str">
        <v>地下现浇构件钢筋-三级钢筋 Φ8</v>
      </c>
      <c r="C110" s="51" t="e">
        <v>#REF!</v>
      </c>
      <c r="D110" s="51" t="str">
        <v/>
      </c>
      <c r="E110" s="51" t="str">
        <v/>
      </c>
      <c r="F110" s="52" t="e">
        <v>#REF!</v>
      </c>
      <c r="G110" s="48" t="e">
        <v>#REF!</v>
      </c>
      <c r="H110" s="49">
        <v>0.275</v>
      </c>
      <c r="I110" s="49" t="e">
        <v>#REF!</v>
      </c>
      <c r="J110" s="50"/>
    </row>
    <row r="111" ht="28.8" outlineLevel="1" spans="1:10">
      <c r="A111" s="50">
        <v>94</v>
      </c>
      <c r="B111" s="51" t="str">
        <v>地下现浇构件钢筋-三级钢筋 Φ10</v>
      </c>
      <c r="C111" s="51" t="e">
        <v>#REF!</v>
      </c>
      <c r="D111" s="51" t="str">
        <v/>
      </c>
      <c r="E111" s="51" t="str">
        <v/>
      </c>
      <c r="F111" s="52" t="e">
        <v>#REF!</v>
      </c>
      <c r="G111" s="48" t="e">
        <v>#REF!</v>
      </c>
      <c r="H111" s="49">
        <v>0.131</v>
      </c>
      <c r="I111" s="49" t="e">
        <v>#REF!</v>
      </c>
      <c r="J111" s="50"/>
    </row>
    <row r="112" ht="28.8" outlineLevel="1" spans="1:10">
      <c r="A112" s="50">
        <v>95</v>
      </c>
      <c r="B112" s="51" t="str">
        <v>地下现浇构件钢筋-三级钢筋 Φ12</v>
      </c>
      <c r="C112" s="51" t="e">
        <v>#REF!</v>
      </c>
      <c r="D112" s="51" t="str">
        <v/>
      </c>
      <c r="E112" s="51" t="str">
        <v/>
      </c>
      <c r="F112" s="52" t="e">
        <v>#REF!</v>
      </c>
      <c r="G112" s="48" t="e">
        <v>#REF!</v>
      </c>
      <c r="H112" s="49">
        <v>0</v>
      </c>
      <c r="I112" s="49" t="e">
        <v>#REF!</v>
      </c>
      <c r="J112" s="50"/>
    </row>
    <row r="113" ht="28.8" outlineLevel="1" spans="1:10">
      <c r="A113" s="50">
        <v>96</v>
      </c>
      <c r="B113" s="51" t="str">
        <v>地下现浇构件钢筋-三级钢筋 Φ14</v>
      </c>
      <c r="C113" s="51" t="e">
        <v>#REF!</v>
      </c>
      <c r="D113" s="51" t="str">
        <v/>
      </c>
      <c r="E113" s="51" t="str">
        <v/>
      </c>
      <c r="F113" s="52" t="e">
        <v>#REF!</v>
      </c>
      <c r="G113" s="48" t="e">
        <v>#REF!</v>
      </c>
      <c r="H113" s="49">
        <v>0</v>
      </c>
      <c r="I113" s="49" t="e">
        <v>#REF!</v>
      </c>
      <c r="J113" s="50"/>
    </row>
    <row r="114" ht="28.8" outlineLevel="1" spans="1:10">
      <c r="A114" s="50">
        <v>97</v>
      </c>
      <c r="B114" s="51" t="str">
        <v>地下现浇构件钢筋-三级钢筋 Φ16</v>
      </c>
      <c r="C114" s="51" t="e">
        <v>#REF!</v>
      </c>
      <c r="D114" s="51" t="str">
        <v/>
      </c>
      <c r="E114" s="51" t="str">
        <v/>
      </c>
      <c r="F114" s="52" t="e">
        <v>#REF!</v>
      </c>
      <c r="G114" s="48" t="e">
        <v>#REF!</v>
      </c>
      <c r="H114" s="49">
        <v>0</v>
      </c>
      <c r="I114" s="49" t="e">
        <v>#REF!</v>
      </c>
      <c r="J114" s="50"/>
    </row>
    <row r="115" ht="28.8" outlineLevel="1" spans="1:10">
      <c r="A115" s="50">
        <v>98</v>
      </c>
      <c r="B115" s="51" t="str">
        <v>地下砌体加筋-三级钢筋 Φ6</v>
      </c>
      <c r="C115" s="51" t="e">
        <v>#REF!</v>
      </c>
      <c r="D115" s="51" t="str">
        <v/>
      </c>
      <c r="E115" s="51" t="str">
        <v/>
      </c>
      <c r="F115" s="52" t="e">
        <v>#REF!</v>
      </c>
      <c r="G115" s="48" t="e">
        <v>#REF!</v>
      </c>
      <c r="H115" s="49">
        <v>0</v>
      </c>
      <c r="I115" s="49" t="e">
        <v>#REF!</v>
      </c>
      <c r="J115" s="50"/>
    </row>
    <row r="116" outlineLevel="1" spans="1:10">
      <c r="A116" s="50" t="str">
        <v/>
      </c>
      <c r="B116" s="51" t="str">
        <v>A.03.04金属工程</v>
      </c>
      <c r="C116" s="51" t="str">
        <v/>
      </c>
      <c r="D116" s="51" t="str">
        <v/>
      </c>
      <c r="E116" s="51" t="str">
        <v/>
      </c>
      <c r="F116" s="52" t="str">
        <v/>
      </c>
      <c r="G116" s="48" t="str">
        <v/>
      </c>
      <c r="H116" s="49">
        <v>0</v>
      </c>
      <c r="I116" s="49" t="e">
        <v>#REF!</v>
      </c>
      <c r="J116" s="50"/>
    </row>
    <row r="117" ht="28.8" outlineLevel="1" spans="1:10">
      <c r="A117" s="50">
        <v>99</v>
      </c>
      <c r="B117" s="51" t="str">
        <v>不同材质墙体交接处挂钢丝网</v>
      </c>
      <c r="C117" s="51" t="e">
        <v>#REF!</v>
      </c>
      <c r="D117" s="51" t="str">
        <v/>
      </c>
      <c r="E117" s="51" t="str">
        <v/>
      </c>
      <c r="F117" s="52" t="e">
        <v>#REF!</v>
      </c>
      <c r="G117" s="48" t="e">
        <v>#REF!</v>
      </c>
      <c r="H117" s="49">
        <v>46.2</v>
      </c>
      <c r="I117" s="49" t="e">
        <v>#REF!</v>
      </c>
      <c r="J117" s="50"/>
    </row>
    <row r="118" outlineLevel="1" spans="1:10">
      <c r="A118" s="50">
        <v>100</v>
      </c>
      <c r="B118" s="51" t="str">
        <v>砌块墙钢丝网满挂</v>
      </c>
      <c r="C118" s="51" t="e">
        <v>#REF!</v>
      </c>
      <c r="D118" s="51" t="str">
        <v/>
      </c>
      <c r="E118" s="51" t="str">
        <v/>
      </c>
      <c r="F118" s="52" t="e">
        <v>#REF!</v>
      </c>
      <c r="G118" s="48" t="e">
        <v>#REF!</v>
      </c>
      <c r="H118" s="49">
        <v>190.1952</v>
      </c>
      <c r="I118" s="49" t="e">
        <v>#REF!</v>
      </c>
      <c r="J118" s="50"/>
    </row>
    <row r="119" outlineLevel="1" spans="1:10">
      <c r="A119" s="50">
        <v>101</v>
      </c>
      <c r="B119" s="51" t="str">
        <v>钢爬梯-屋面检修</v>
      </c>
      <c r="C119" s="51" t="e">
        <v>#REF!</v>
      </c>
      <c r="D119" s="51" t="str">
        <v/>
      </c>
      <c r="E119" s="51" t="str">
        <v/>
      </c>
      <c r="F119" s="52" t="e">
        <v>#REF!</v>
      </c>
      <c r="G119" s="48" t="e">
        <v>#REF!</v>
      </c>
      <c r="H119" s="49">
        <v>0</v>
      </c>
      <c r="I119" s="49" t="e">
        <v>#REF!</v>
      </c>
      <c r="J119" s="50"/>
    </row>
    <row r="120" outlineLevel="1" spans="1:10">
      <c r="A120" s="50">
        <v>102</v>
      </c>
      <c r="B120" s="51" t="str">
        <v>地面排水沟</v>
      </c>
      <c r="C120" s="51" t="e">
        <v>#REF!</v>
      </c>
      <c r="D120" s="51" t="str">
        <v/>
      </c>
      <c r="E120" s="51" t="str">
        <v/>
      </c>
      <c r="F120" s="52" t="e">
        <v>#REF!</v>
      </c>
      <c r="G120" s="48" t="e">
        <v>#REF!</v>
      </c>
      <c r="H120" s="49">
        <v>0</v>
      </c>
      <c r="I120" s="49" t="e">
        <v>#REF!</v>
      </c>
      <c r="J120" s="50"/>
    </row>
    <row r="121" outlineLevel="1" spans="1:10">
      <c r="A121" s="50">
        <v>103</v>
      </c>
      <c r="B121" s="51" t="str">
        <v>筏板排水沟</v>
      </c>
      <c r="C121" s="51" t="e">
        <v>#REF!</v>
      </c>
      <c r="D121" s="51" t="str">
        <v/>
      </c>
      <c r="E121" s="51" t="str">
        <v/>
      </c>
      <c r="F121" s="52" t="e">
        <v>#REF!</v>
      </c>
      <c r="G121" s="48" t="e">
        <v>#REF!</v>
      </c>
      <c r="H121" s="49">
        <v>0</v>
      </c>
      <c r="I121" s="49" t="e">
        <v>#REF!</v>
      </c>
      <c r="J121" s="50"/>
    </row>
    <row r="122" outlineLevel="1" spans="1:10">
      <c r="A122" s="50">
        <v>104</v>
      </c>
      <c r="B122" s="51" t="str">
        <v>铸铁篦子</v>
      </c>
      <c r="C122" s="51" t="e">
        <v>#REF!</v>
      </c>
      <c r="D122" s="51" t="str">
        <v/>
      </c>
      <c r="E122" s="51" t="str">
        <v/>
      </c>
      <c r="F122" s="52" t="e">
        <v>#REF!</v>
      </c>
      <c r="G122" s="48" t="e">
        <v>#REF!</v>
      </c>
      <c r="H122" s="49">
        <v>20.3</v>
      </c>
      <c r="I122" s="49" t="e">
        <v>#REF!</v>
      </c>
      <c r="J122" s="50"/>
    </row>
    <row r="123" outlineLevel="1" spans="1:10">
      <c r="A123" s="50">
        <v>105</v>
      </c>
      <c r="B123" s="51" t="str">
        <v>排水井</v>
      </c>
      <c r="C123" s="51" t="e">
        <v>#REF!</v>
      </c>
      <c r="D123" s="51" t="str">
        <v/>
      </c>
      <c r="E123" s="51" t="str">
        <v/>
      </c>
      <c r="F123" s="52" t="e">
        <v>#REF!</v>
      </c>
      <c r="G123" s="48" t="e">
        <v>#REF!</v>
      </c>
      <c r="H123" s="49">
        <v>0</v>
      </c>
      <c r="I123" s="49" t="e">
        <v>#REF!</v>
      </c>
      <c r="J123" s="50"/>
    </row>
    <row r="124" ht="28.8" outlineLevel="1" spans="1:10">
      <c r="A124" s="50">
        <v>106</v>
      </c>
      <c r="B124" s="51" t="str">
        <v>成品镀锌雨水篦子（车库坡道入口）</v>
      </c>
      <c r="C124" s="51" t="e">
        <v>#REF!</v>
      </c>
      <c r="D124" s="51" t="str">
        <v/>
      </c>
      <c r="E124" s="51" t="str">
        <v/>
      </c>
      <c r="F124" s="52" t="e">
        <v>#REF!</v>
      </c>
      <c r="G124" s="48" t="e">
        <v>#REF!</v>
      </c>
      <c r="H124" s="49">
        <v>0</v>
      </c>
      <c r="I124" s="49" t="e">
        <v>#REF!</v>
      </c>
      <c r="J124" s="50"/>
    </row>
    <row r="125" ht="28.8" outlineLevel="1" spans="1:10">
      <c r="A125" s="50">
        <v>107</v>
      </c>
      <c r="B125" s="51" t="str">
        <v>成品镀锌雨水篦子（车库排水沟）</v>
      </c>
      <c r="C125" s="51" t="e">
        <v>#REF!</v>
      </c>
      <c r="D125" s="51" t="str">
        <v/>
      </c>
      <c r="E125" s="51" t="str">
        <v/>
      </c>
      <c r="F125" s="52" t="e">
        <v>#REF!</v>
      </c>
      <c r="G125" s="48" t="e">
        <v>#REF!</v>
      </c>
      <c r="H125" s="49">
        <v>0</v>
      </c>
      <c r="I125" s="49" t="e">
        <v>#REF!</v>
      </c>
      <c r="J125" s="50"/>
    </row>
    <row r="126" outlineLevel="1" spans="1:10">
      <c r="A126" s="50">
        <v>108</v>
      </c>
      <c r="B126" s="51" t="str">
        <v>排水井篦子</v>
      </c>
      <c r="C126" s="51" t="e">
        <v>#REF!</v>
      </c>
      <c r="D126" s="51" t="str">
        <v/>
      </c>
      <c r="E126" s="51" t="str">
        <v/>
      </c>
      <c r="F126" s="52" t="e">
        <v>#REF!</v>
      </c>
      <c r="G126" s="48" t="e">
        <v>#REF!</v>
      </c>
      <c r="H126" s="49">
        <v>0</v>
      </c>
      <c r="I126" s="49" t="e">
        <v>#REF!</v>
      </c>
      <c r="J126" s="50"/>
    </row>
    <row r="127" outlineLevel="1" spans="1:10">
      <c r="A127" s="50" t="str">
        <v/>
      </c>
      <c r="B127" s="51" t="str">
        <v>A.04隔热防水工程</v>
      </c>
      <c r="C127" s="51" t="str">
        <v/>
      </c>
      <c r="D127" s="51" t="str">
        <v/>
      </c>
      <c r="E127" s="51" t="str">
        <v/>
      </c>
      <c r="F127" s="52" t="str">
        <v/>
      </c>
      <c r="G127" s="48" t="str">
        <v/>
      </c>
      <c r="H127" s="49">
        <v>0</v>
      </c>
      <c r="I127" s="49" t="e">
        <v>#REF!</v>
      </c>
      <c r="J127" s="50"/>
    </row>
    <row r="128" outlineLevel="1" spans="1:10">
      <c r="A128" s="50" t="str">
        <v/>
      </c>
      <c r="B128" s="51" t="str">
        <v>A.04.01保温隔热工程</v>
      </c>
      <c r="C128" s="51" t="str">
        <v/>
      </c>
      <c r="D128" s="51" t="str">
        <v/>
      </c>
      <c r="E128" s="51" t="str">
        <v/>
      </c>
      <c r="F128" s="52" t="str">
        <v/>
      </c>
      <c r="G128" s="48" t="str">
        <v/>
      </c>
      <c r="H128" s="49">
        <v>0</v>
      </c>
      <c r="I128" s="49" t="e">
        <v>#REF!</v>
      </c>
      <c r="J128" s="50"/>
    </row>
    <row r="129" outlineLevel="1" spans="1:10">
      <c r="A129" s="50" t="str">
        <v/>
      </c>
      <c r="B129" s="51" t="str">
        <v>保温隔热天棚</v>
      </c>
      <c r="C129" s="51" t="str">
        <v/>
      </c>
      <c r="D129" s="51" t="str">
        <v/>
      </c>
      <c r="E129" s="51" t="str">
        <v/>
      </c>
      <c r="F129" s="52" t="str">
        <v/>
      </c>
      <c r="G129" s="48" t="str">
        <v/>
      </c>
      <c r="H129" s="49">
        <v>0</v>
      </c>
      <c r="I129" s="49">
        <v>0</v>
      </c>
      <c r="J129" s="50"/>
    </row>
    <row r="130" outlineLevel="1" spans="1:10">
      <c r="A130" s="50">
        <v>109</v>
      </c>
      <c r="B130" s="51" t="str">
        <v>天棚-55厚岩棉板</v>
      </c>
      <c r="C130" s="51" t="e">
        <v>#REF!</v>
      </c>
      <c r="D130" s="51" t="str">
        <v/>
      </c>
      <c r="E130" s="51" t="str">
        <v/>
      </c>
      <c r="F130" s="52" t="e">
        <v>#REF!</v>
      </c>
      <c r="G130" s="48" t="e">
        <v>#REF!</v>
      </c>
      <c r="H130" s="49">
        <v>371.4</v>
      </c>
      <c r="I130" s="49" t="e">
        <v>#REF!</v>
      </c>
      <c r="J130" s="50"/>
    </row>
    <row r="131" outlineLevel="1" spans="1:10">
      <c r="A131" s="50">
        <v>110</v>
      </c>
      <c r="B131" s="51" t="str">
        <v>天棚-50厚岩棉板</v>
      </c>
      <c r="C131" s="51" t="e">
        <v>#REF!</v>
      </c>
      <c r="D131" s="51" t="str">
        <v/>
      </c>
      <c r="E131" s="51" t="str">
        <v/>
      </c>
      <c r="F131" s="52" t="e">
        <v>#REF!</v>
      </c>
      <c r="G131" s="48" t="e">
        <v>#REF!</v>
      </c>
      <c r="H131" s="49">
        <v>0</v>
      </c>
      <c r="I131" s="49" t="e">
        <v>#REF!</v>
      </c>
      <c r="J131" s="50"/>
    </row>
    <row r="132" outlineLevel="1" spans="1:10">
      <c r="A132" s="50">
        <v>111</v>
      </c>
      <c r="B132" s="51" t="str">
        <v>天棚-镀锌钢丝网</v>
      </c>
      <c r="C132" s="51" t="e">
        <v>#REF!</v>
      </c>
      <c r="D132" s="51" t="str">
        <v/>
      </c>
      <c r="E132" s="51" t="str">
        <v/>
      </c>
      <c r="F132" s="52" t="e">
        <v>#REF!</v>
      </c>
      <c r="G132" s="48" t="e">
        <v>#REF!</v>
      </c>
      <c r="H132" s="49">
        <v>371.4</v>
      </c>
      <c r="I132" s="49" t="e">
        <v>#REF!</v>
      </c>
      <c r="J132" s="50"/>
    </row>
    <row r="133" outlineLevel="1" spans="1:10">
      <c r="A133" s="50">
        <v>112</v>
      </c>
      <c r="B133" s="51" t="str">
        <v>天棚-3厚抗裂砂浆</v>
      </c>
      <c r="C133" s="51" t="e">
        <v>#REF!</v>
      </c>
      <c r="D133" s="51" t="str">
        <v/>
      </c>
      <c r="E133" s="51" t="str">
        <v/>
      </c>
      <c r="F133" s="52" t="e">
        <v>#REF!</v>
      </c>
      <c r="G133" s="48" t="e">
        <v>#REF!</v>
      </c>
      <c r="H133" s="49">
        <v>371.4</v>
      </c>
      <c r="I133" s="49" t="e">
        <v>#REF!</v>
      </c>
      <c r="J133" s="50"/>
    </row>
    <row r="134" outlineLevel="1" spans="1:10">
      <c r="A134" s="50">
        <v>113</v>
      </c>
      <c r="B134" s="51" t="str">
        <v>天棚-网格布</v>
      </c>
      <c r="C134" s="51" t="e">
        <v>#REF!</v>
      </c>
      <c r="D134" s="51" t="str">
        <v/>
      </c>
      <c r="E134" s="51" t="str">
        <v/>
      </c>
      <c r="F134" s="52" t="e">
        <v>#REF!</v>
      </c>
      <c r="G134" s="48" t="e">
        <v>#REF!</v>
      </c>
      <c r="H134" s="49">
        <v>371.4</v>
      </c>
      <c r="I134" s="49" t="e">
        <v>#REF!</v>
      </c>
      <c r="J134" s="50"/>
    </row>
    <row r="135" outlineLevel="1" spans="1:10">
      <c r="A135" s="50" t="str">
        <v/>
      </c>
      <c r="B135" s="51" t="str">
        <v>地下室外墙保温</v>
      </c>
      <c r="C135" s="51" t="str">
        <v/>
      </c>
      <c r="D135" s="51" t="str">
        <v/>
      </c>
      <c r="E135" s="51" t="str">
        <v/>
      </c>
      <c r="F135" s="52" t="str">
        <v/>
      </c>
      <c r="G135" s="48" t="str">
        <v/>
      </c>
      <c r="H135" s="49">
        <v>0</v>
      </c>
      <c r="I135" s="49">
        <v>0</v>
      </c>
      <c r="J135" s="50"/>
    </row>
    <row r="136" outlineLevel="1" spans="1:10">
      <c r="A136" s="50">
        <v>114</v>
      </c>
      <c r="B136" s="51" t="str">
        <v>外墙-220厚XPS</v>
      </c>
      <c r="C136" s="51" t="e">
        <v>#REF!</v>
      </c>
      <c r="D136" s="51" t="str">
        <v/>
      </c>
      <c r="E136" s="51" t="str">
        <v/>
      </c>
      <c r="F136" s="52" t="e">
        <v>#REF!</v>
      </c>
      <c r="G136" s="48" t="e">
        <v>#REF!</v>
      </c>
      <c r="H136" s="49">
        <v>1</v>
      </c>
      <c r="I136" s="49" t="e">
        <v>#REF!</v>
      </c>
      <c r="J136" s="50"/>
    </row>
    <row r="137" outlineLevel="1" spans="1:10">
      <c r="A137" s="50">
        <v>115</v>
      </c>
      <c r="B137" s="51" t="str">
        <v>外墙面-3厚抗裂砂浆</v>
      </c>
      <c r="C137" s="51" t="e">
        <v>#REF!</v>
      </c>
      <c r="D137" s="51" t="str">
        <v/>
      </c>
      <c r="E137" s="51" t="str">
        <v/>
      </c>
      <c r="F137" s="52" t="e">
        <v>#REF!</v>
      </c>
      <c r="G137" s="48" t="e">
        <v>#REF!</v>
      </c>
      <c r="H137" s="49">
        <v>1</v>
      </c>
      <c r="I137" s="49" t="e">
        <v>#REF!</v>
      </c>
      <c r="J137" s="50"/>
    </row>
    <row r="138" outlineLevel="1" spans="1:10">
      <c r="A138" s="50">
        <v>116</v>
      </c>
      <c r="B138" s="51" t="str">
        <v>外墙面-网格布</v>
      </c>
      <c r="C138" s="51" t="e">
        <v>#REF!</v>
      </c>
      <c r="D138" s="51" t="str">
        <v/>
      </c>
      <c r="E138" s="51" t="str">
        <v/>
      </c>
      <c r="F138" s="52" t="e">
        <v>#REF!</v>
      </c>
      <c r="G138" s="48" t="e">
        <v>#REF!</v>
      </c>
      <c r="H138" s="49">
        <v>1</v>
      </c>
      <c r="I138" s="49" t="e">
        <v>#REF!</v>
      </c>
      <c r="J138" s="50"/>
    </row>
    <row r="139" ht="28.8" outlineLevel="1" spans="1:10">
      <c r="A139" s="50" t="str">
        <v/>
      </c>
      <c r="B139" s="51" t="str">
        <v>地下室外墙保温（合用前室与车库外侧）</v>
      </c>
      <c r="C139" s="51" t="str">
        <v/>
      </c>
      <c r="D139" s="51" t="str">
        <v/>
      </c>
      <c r="E139" s="51" t="str">
        <v/>
      </c>
      <c r="F139" s="52" t="str">
        <v/>
      </c>
      <c r="G139" s="48" t="str">
        <v/>
      </c>
      <c r="H139" s="49">
        <v>0</v>
      </c>
      <c r="I139" s="49">
        <v>0</v>
      </c>
      <c r="J139" s="50"/>
    </row>
    <row r="140" outlineLevel="1" spans="1:10">
      <c r="A140" s="50">
        <v>117</v>
      </c>
      <c r="B140" s="51" t="str">
        <v>外墙-160厚岩棉板</v>
      </c>
      <c r="C140" s="51" t="e">
        <v>#REF!</v>
      </c>
      <c r="D140" s="51" t="str">
        <v/>
      </c>
      <c r="E140" s="51" t="str">
        <v/>
      </c>
      <c r="F140" s="52" t="e">
        <v>#REF!</v>
      </c>
      <c r="G140" s="48" t="e">
        <v>#REF!</v>
      </c>
      <c r="H140" s="49">
        <v>0</v>
      </c>
      <c r="I140" s="49" t="e">
        <v>#REF!</v>
      </c>
      <c r="J140" s="50"/>
    </row>
    <row r="141" outlineLevel="1" spans="1:10">
      <c r="A141" s="50">
        <v>118</v>
      </c>
      <c r="B141" s="51" t="str">
        <v>外墙面-3厚抗裂砂浆</v>
      </c>
      <c r="C141" s="51" t="e">
        <v>#REF!</v>
      </c>
      <c r="D141" s="51" t="str">
        <v/>
      </c>
      <c r="E141" s="51" t="str">
        <v/>
      </c>
      <c r="F141" s="52" t="e">
        <v>#REF!</v>
      </c>
      <c r="G141" s="48" t="e">
        <v>#REF!</v>
      </c>
      <c r="H141" s="49">
        <v>0</v>
      </c>
      <c r="I141" s="49" t="e">
        <v>#REF!</v>
      </c>
      <c r="J141" s="50"/>
    </row>
    <row r="142" outlineLevel="1" spans="1:10">
      <c r="A142" s="50">
        <v>119</v>
      </c>
      <c r="B142" s="51" t="str">
        <v>外墙面-网格布</v>
      </c>
      <c r="C142" s="51" t="e">
        <v>#REF!</v>
      </c>
      <c r="D142" s="51" t="str">
        <v/>
      </c>
      <c r="E142" s="51" t="str">
        <v/>
      </c>
      <c r="F142" s="52" t="e">
        <v>#REF!</v>
      </c>
      <c r="G142" s="48" t="e">
        <v>#REF!</v>
      </c>
      <c r="H142" s="49">
        <v>0</v>
      </c>
      <c r="I142" s="49" t="e">
        <v>#REF!</v>
      </c>
      <c r="J142" s="50"/>
    </row>
    <row r="143" outlineLevel="1" spans="1:10">
      <c r="A143" s="50">
        <v>120</v>
      </c>
      <c r="B143" s="51" t="str">
        <v>内墙面-聚合物水泥</v>
      </c>
      <c r="C143" s="51" t="e">
        <v>#REF!</v>
      </c>
      <c r="D143" s="51" t="str">
        <v/>
      </c>
      <c r="E143" s="51" t="str">
        <v/>
      </c>
      <c r="F143" s="52" t="e">
        <v>#REF!</v>
      </c>
      <c r="G143" s="48" t="e">
        <v>#REF!</v>
      </c>
      <c r="H143" s="49">
        <v>0</v>
      </c>
      <c r="I143" s="49" t="e">
        <v>#REF!</v>
      </c>
      <c r="J143" s="50"/>
    </row>
    <row r="144" ht="28.8" outlineLevel="1" spans="1:10">
      <c r="A144" s="50" t="str">
        <v/>
      </c>
      <c r="B144" s="51" t="str">
        <v>被动区与非被动区保温隔热</v>
      </c>
      <c r="C144" s="51" t="str">
        <v/>
      </c>
      <c r="D144" s="51" t="str">
        <v/>
      </c>
      <c r="E144" s="51" t="str">
        <v/>
      </c>
      <c r="F144" s="52" t="str">
        <v/>
      </c>
      <c r="G144" s="48" t="str">
        <v/>
      </c>
      <c r="H144" s="49">
        <v>0</v>
      </c>
      <c r="I144" s="49">
        <v>0</v>
      </c>
      <c r="J144" s="50"/>
    </row>
    <row r="145" outlineLevel="1" spans="1:10">
      <c r="A145" s="50">
        <v>121</v>
      </c>
      <c r="B145" s="51" t="str">
        <v>内墙面-界面剂</v>
      </c>
      <c r="C145" s="51" t="e">
        <v>#REF!</v>
      </c>
      <c r="D145" s="51" t="str">
        <v/>
      </c>
      <c r="E145" s="51" t="str">
        <v/>
      </c>
      <c r="F145" s="52" t="e">
        <v>#REF!</v>
      </c>
      <c r="G145" s="48" t="e">
        <v>#REF!</v>
      </c>
      <c r="H145" s="49">
        <v>0</v>
      </c>
      <c r="I145" s="49" t="e">
        <v>#REF!</v>
      </c>
      <c r="J145" s="50"/>
    </row>
    <row r="146" outlineLevel="1" spans="1:10">
      <c r="A146" s="50">
        <v>122</v>
      </c>
      <c r="B146" s="51" t="str">
        <v>内墙保温-100厚岩棉板</v>
      </c>
      <c r="C146" s="51" t="e">
        <v>#REF!</v>
      </c>
      <c r="D146" s="51" t="str">
        <v/>
      </c>
      <c r="E146" s="51" t="str">
        <v/>
      </c>
      <c r="F146" s="52" t="e">
        <v>#REF!</v>
      </c>
      <c r="G146" s="48" t="e">
        <v>#REF!</v>
      </c>
      <c r="H146" s="49">
        <v>0</v>
      </c>
      <c r="I146" s="49" t="e">
        <v>#REF!</v>
      </c>
      <c r="J146" s="50"/>
    </row>
    <row r="147" outlineLevel="1" spans="1:10">
      <c r="A147" s="50">
        <v>123</v>
      </c>
      <c r="B147" s="51" t="str">
        <v>内墙面-5厚抗裂砂浆</v>
      </c>
      <c r="C147" s="51" t="e">
        <v>#REF!</v>
      </c>
      <c r="D147" s="51" t="str">
        <v/>
      </c>
      <c r="E147" s="51" t="str">
        <v/>
      </c>
      <c r="F147" s="52" t="e">
        <v>#REF!</v>
      </c>
      <c r="G147" s="48" t="e">
        <v>#REF!</v>
      </c>
      <c r="H147" s="49">
        <v>0</v>
      </c>
      <c r="I147" s="49" t="e">
        <v>#REF!</v>
      </c>
      <c r="J147" s="50"/>
    </row>
    <row r="148" outlineLevel="1" spans="1:10">
      <c r="A148" s="50">
        <v>124</v>
      </c>
      <c r="B148" s="51" t="str">
        <v>内墙面-网格布</v>
      </c>
      <c r="C148" s="51" t="e">
        <v>#REF!</v>
      </c>
      <c r="D148" s="51" t="str">
        <v/>
      </c>
      <c r="E148" s="51" t="str">
        <v/>
      </c>
      <c r="F148" s="52" t="e">
        <v>#REF!</v>
      </c>
      <c r="G148" s="48" t="e">
        <v>#REF!</v>
      </c>
      <c r="H148" s="49">
        <v>0</v>
      </c>
      <c r="I148" s="49" t="e">
        <v>#REF!</v>
      </c>
      <c r="J148" s="50"/>
    </row>
    <row r="149" outlineLevel="1" spans="1:10">
      <c r="A149" s="50" t="str">
        <v/>
      </c>
      <c r="B149" s="51" t="str">
        <v>A.04.02屋面与防水工程</v>
      </c>
      <c r="C149" s="51" t="str">
        <v/>
      </c>
      <c r="D149" s="51" t="str">
        <v/>
      </c>
      <c r="E149" s="51" t="str">
        <v/>
      </c>
      <c r="F149" s="52" t="str">
        <v/>
      </c>
      <c r="G149" s="48" t="str">
        <v/>
      </c>
      <c r="H149" s="49">
        <v>0</v>
      </c>
      <c r="I149" s="49" t="e">
        <v>#REF!</v>
      </c>
      <c r="J149" s="50"/>
    </row>
    <row r="150" outlineLevel="1" spans="1:10">
      <c r="A150" s="50" t="str">
        <v/>
      </c>
      <c r="B150" s="51" t="str">
        <v>地下室外墙1</v>
      </c>
      <c r="C150" s="51" t="str">
        <v/>
      </c>
      <c r="D150" s="51" t="str">
        <v/>
      </c>
      <c r="E150" s="51" t="str">
        <v/>
      </c>
      <c r="F150" s="52" t="str">
        <v/>
      </c>
      <c r="G150" s="48" t="str">
        <v/>
      </c>
      <c r="H150" s="49">
        <v>0</v>
      </c>
      <c r="I150" s="49">
        <v>0</v>
      </c>
      <c r="J150" s="50"/>
    </row>
    <row r="151" outlineLevel="1" spans="1:10">
      <c r="A151" s="50">
        <v>125</v>
      </c>
      <c r="B151" s="51" t="str">
        <v>外墙-50厚EPS</v>
      </c>
      <c r="C151" s="51" t="e">
        <v>#REF!</v>
      </c>
      <c r="D151" s="51" t="str">
        <v/>
      </c>
      <c r="E151" s="51" t="str">
        <v/>
      </c>
      <c r="F151" s="52" t="e">
        <v>#REF!</v>
      </c>
      <c r="G151" s="48" t="e">
        <v>#REF!</v>
      </c>
      <c r="H151" s="49">
        <v>141</v>
      </c>
      <c r="I151" s="49" t="e">
        <v>#REF!</v>
      </c>
      <c r="J151" s="50"/>
    </row>
    <row r="152" outlineLevel="1" spans="1:10">
      <c r="A152" s="50">
        <v>126</v>
      </c>
      <c r="B152" s="51" t="str">
        <v>外墙防水-1.5厚双面粘</v>
      </c>
      <c r="C152" s="51" t="e">
        <v>#REF!</v>
      </c>
      <c r="D152" s="51" t="str">
        <v/>
      </c>
      <c r="E152" s="51" t="str">
        <v/>
      </c>
      <c r="F152" s="52" t="e">
        <v>#REF!</v>
      </c>
      <c r="G152" s="48" t="e">
        <v>#REF!</v>
      </c>
      <c r="H152" s="49">
        <v>141</v>
      </c>
      <c r="I152" s="49" t="e">
        <v>#REF!</v>
      </c>
      <c r="J152" s="50"/>
    </row>
    <row r="153" outlineLevel="1" spans="1:10">
      <c r="A153" s="50">
        <v>127</v>
      </c>
      <c r="B153" s="51" t="str">
        <v>外墙-1.5厚水泥凝胶</v>
      </c>
      <c r="C153" s="51" t="e">
        <v>#REF!</v>
      </c>
      <c r="D153" s="51" t="str">
        <v/>
      </c>
      <c r="E153" s="51" t="str">
        <v/>
      </c>
      <c r="F153" s="52" t="e">
        <v>#REF!</v>
      </c>
      <c r="G153" s="48" t="e">
        <v>#REF!</v>
      </c>
      <c r="H153" s="49">
        <v>141</v>
      </c>
      <c r="I153" s="49" t="e">
        <v>#REF!</v>
      </c>
      <c r="J153" s="50"/>
    </row>
    <row r="154" outlineLevel="1" spans="1:10">
      <c r="A154" s="50" t="str">
        <v/>
      </c>
      <c r="B154" s="51" t="str">
        <v>地下室外墙2</v>
      </c>
      <c r="C154" s="51" t="str">
        <v/>
      </c>
      <c r="D154" s="51" t="str">
        <v/>
      </c>
      <c r="E154" s="51" t="str">
        <v/>
      </c>
      <c r="F154" s="52" t="str">
        <v/>
      </c>
      <c r="G154" s="48" t="str">
        <v/>
      </c>
      <c r="H154" s="49">
        <v>0</v>
      </c>
      <c r="I154" s="49">
        <v>0</v>
      </c>
      <c r="J154" s="50"/>
    </row>
    <row r="155" outlineLevel="1" spans="1:10">
      <c r="A155" s="50">
        <v>128</v>
      </c>
      <c r="B155" s="51" t="str">
        <v>外墙-50厚EPS</v>
      </c>
      <c r="C155" s="51" t="e">
        <v>#REF!</v>
      </c>
      <c r="D155" s="51" t="str">
        <v/>
      </c>
      <c r="E155" s="51" t="str">
        <v/>
      </c>
      <c r="F155" s="52" t="e">
        <v>#REF!</v>
      </c>
      <c r="G155" s="48" t="e">
        <v>#REF!</v>
      </c>
      <c r="H155" s="49">
        <v>0</v>
      </c>
      <c r="I155" s="49" t="e">
        <v>#REF!</v>
      </c>
      <c r="J155" s="50"/>
    </row>
    <row r="156" outlineLevel="1" spans="1:10">
      <c r="A156" s="50">
        <v>129</v>
      </c>
      <c r="B156" s="51" t="str">
        <v>外墙防水-1.5厚双面粘</v>
      </c>
      <c r="C156" s="51" t="e">
        <v>#REF!</v>
      </c>
      <c r="D156" s="51" t="str">
        <v/>
      </c>
      <c r="E156" s="51" t="str">
        <v/>
      </c>
      <c r="F156" s="52" t="e">
        <v>#REF!</v>
      </c>
      <c r="G156" s="48" t="e">
        <v>#REF!</v>
      </c>
      <c r="H156" s="49">
        <v>0</v>
      </c>
      <c r="I156" s="49" t="e">
        <v>#REF!</v>
      </c>
      <c r="J156" s="50"/>
    </row>
    <row r="157" outlineLevel="1" spans="1:10">
      <c r="A157" s="50">
        <v>130</v>
      </c>
      <c r="B157" s="51" t="str">
        <v>外墙防水-1.5厚单面粘</v>
      </c>
      <c r="C157" s="51" t="e">
        <v>#REF!</v>
      </c>
      <c r="D157" s="51" t="str">
        <v/>
      </c>
      <c r="E157" s="51" t="str">
        <v/>
      </c>
      <c r="F157" s="52" t="e">
        <v>#REF!</v>
      </c>
      <c r="G157" s="48" t="e">
        <v>#REF!</v>
      </c>
      <c r="H157" s="49">
        <v>0</v>
      </c>
      <c r="I157" s="49" t="e">
        <v>#REF!</v>
      </c>
      <c r="J157" s="50"/>
    </row>
    <row r="158" outlineLevel="1" spans="1:10">
      <c r="A158" s="50">
        <v>131</v>
      </c>
      <c r="B158" s="51" t="str">
        <v>外墙-1.5厚水泥凝胶</v>
      </c>
      <c r="C158" s="51" t="e">
        <v>#REF!</v>
      </c>
      <c r="D158" s="51" t="str">
        <v/>
      </c>
      <c r="E158" s="51" t="str">
        <v/>
      </c>
      <c r="F158" s="52" t="e">
        <v>#REF!</v>
      </c>
      <c r="G158" s="48" t="e">
        <v>#REF!</v>
      </c>
      <c r="H158" s="49">
        <v>0</v>
      </c>
      <c r="I158" s="49" t="e">
        <v>#REF!</v>
      </c>
      <c r="J158" s="50"/>
    </row>
    <row r="159" outlineLevel="1" spans="1:10">
      <c r="A159" s="50" t="str">
        <v/>
      </c>
      <c r="B159" s="51" t="str">
        <v>地下室外墙3</v>
      </c>
      <c r="C159" s="51" t="str">
        <v/>
      </c>
      <c r="D159" s="51" t="str">
        <v/>
      </c>
      <c r="E159" s="51" t="str">
        <v/>
      </c>
      <c r="F159" s="52" t="str">
        <v/>
      </c>
      <c r="G159" s="48" t="str">
        <v/>
      </c>
      <c r="H159" s="49">
        <v>0</v>
      </c>
      <c r="I159" s="49">
        <v>0</v>
      </c>
      <c r="J159" s="50"/>
    </row>
    <row r="160" outlineLevel="1" spans="1:10">
      <c r="A160" s="50">
        <v>132</v>
      </c>
      <c r="B160" s="51" t="str">
        <v>外墙-30厚EPS</v>
      </c>
      <c r="C160" s="51" t="e">
        <v>#REF!</v>
      </c>
      <c r="D160" s="51" t="str">
        <v/>
      </c>
      <c r="E160" s="51" t="str">
        <v/>
      </c>
      <c r="F160" s="52" t="e">
        <v>#REF!</v>
      </c>
      <c r="G160" s="48" t="e">
        <v>#REF!</v>
      </c>
      <c r="H160" s="49">
        <v>0</v>
      </c>
      <c r="I160" s="49" t="e">
        <v>#REF!</v>
      </c>
      <c r="J160" s="50"/>
    </row>
    <row r="161" outlineLevel="1" spans="1:10">
      <c r="A161" s="50">
        <v>133</v>
      </c>
      <c r="B161" s="51" t="str">
        <v>外墙防水-1.5厚双面粘</v>
      </c>
      <c r="C161" s="51" t="e">
        <v>#REF!</v>
      </c>
      <c r="D161" s="51" t="str">
        <v/>
      </c>
      <c r="E161" s="51" t="str">
        <v/>
      </c>
      <c r="F161" s="52" t="e">
        <v>#REF!</v>
      </c>
      <c r="G161" s="48" t="e">
        <v>#REF!</v>
      </c>
      <c r="H161" s="49">
        <v>0</v>
      </c>
      <c r="I161" s="49" t="e">
        <v>#REF!</v>
      </c>
      <c r="J161" s="50"/>
    </row>
    <row r="162" outlineLevel="1" spans="1:10">
      <c r="A162" s="50">
        <v>134</v>
      </c>
      <c r="B162" s="51" t="str">
        <v>外墙-1.5厚水泥凝胶</v>
      </c>
      <c r="C162" s="51" t="e">
        <v>#REF!</v>
      </c>
      <c r="D162" s="51" t="str">
        <v/>
      </c>
      <c r="E162" s="51" t="str">
        <v/>
      </c>
      <c r="F162" s="52" t="e">
        <v>#REF!</v>
      </c>
      <c r="G162" s="48" t="e">
        <v>#REF!</v>
      </c>
      <c r="H162" s="49">
        <v>0</v>
      </c>
      <c r="I162" s="49" t="e">
        <v>#REF!</v>
      </c>
      <c r="J162" s="50"/>
    </row>
    <row r="163" outlineLevel="1" spans="1:10">
      <c r="A163" s="50" t="str">
        <v/>
      </c>
      <c r="B163" s="51" t="str">
        <v>地下室外墙4</v>
      </c>
      <c r="C163" s="51" t="str">
        <v/>
      </c>
      <c r="D163" s="51" t="str">
        <v/>
      </c>
      <c r="E163" s="51" t="str">
        <v/>
      </c>
      <c r="F163" s="52" t="str">
        <v/>
      </c>
      <c r="G163" s="48" t="str">
        <v/>
      </c>
      <c r="H163" s="49">
        <v>0</v>
      </c>
      <c r="I163" s="49">
        <v>0</v>
      </c>
      <c r="J163" s="50"/>
    </row>
    <row r="164" outlineLevel="1" spans="1:10">
      <c r="A164" s="50">
        <v>135</v>
      </c>
      <c r="B164" s="51" t="str">
        <v>外墙-30厚EPS</v>
      </c>
      <c r="C164" s="51" t="e">
        <v>#REF!</v>
      </c>
      <c r="D164" s="51" t="str">
        <v/>
      </c>
      <c r="E164" s="51" t="str">
        <v/>
      </c>
      <c r="F164" s="52" t="e">
        <v>#REF!</v>
      </c>
      <c r="G164" s="48" t="e">
        <v>#REF!</v>
      </c>
      <c r="H164" s="49">
        <v>0</v>
      </c>
      <c r="I164" s="49" t="e">
        <v>#REF!</v>
      </c>
      <c r="J164" s="50"/>
    </row>
    <row r="165" outlineLevel="1" spans="1:10">
      <c r="A165" s="50">
        <v>136</v>
      </c>
      <c r="B165" s="51" t="str">
        <v>外墙防水-1.5厚双面粘</v>
      </c>
      <c r="C165" s="51" t="e">
        <v>#REF!</v>
      </c>
      <c r="D165" s="51" t="str">
        <v/>
      </c>
      <c r="E165" s="51" t="str">
        <v/>
      </c>
      <c r="F165" s="52" t="e">
        <v>#REF!</v>
      </c>
      <c r="G165" s="48" t="e">
        <v>#REF!</v>
      </c>
      <c r="H165" s="49">
        <v>0</v>
      </c>
      <c r="I165" s="49" t="e">
        <v>#REF!</v>
      </c>
      <c r="J165" s="50"/>
    </row>
    <row r="166" outlineLevel="1" spans="1:10">
      <c r="A166" s="50">
        <v>137</v>
      </c>
      <c r="B166" s="51" t="str">
        <v>外墙防水-1.5厚单面粘</v>
      </c>
      <c r="C166" s="51" t="e">
        <v>#REF!</v>
      </c>
      <c r="D166" s="51" t="str">
        <v/>
      </c>
      <c r="E166" s="51" t="str">
        <v/>
      </c>
      <c r="F166" s="52" t="e">
        <v>#REF!</v>
      </c>
      <c r="G166" s="48" t="e">
        <v>#REF!</v>
      </c>
      <c r="H166" s="49">
        <v>0</v>
      </c>
      <c r="I166" s="49" t="e">
        <v>#REF!</v>
      </c>
      <c r="J166" s="50"/>
    </row>
    <row r="167" outlineLevel="1" spans="1:10">
      <c r="A167" s="50">
        <v>138</v>
      </c>
      <c r="B167" s="51" t="str">
        <v>外墙-1.5厚水泥凝胶</v>
      </c>
      <c r="C167" s="51" t="e">
        <v>#REF!</v>
      </c>
      <c r="D167" s="51" t="str">
        <v/>
      </c>
      <c r="E167" s="51" t="str">
        <v/>
      </c>
      <c r="F167" s="52" t="e">
        <v>#REF!</v>
      </c>
      <c r="G167" s="48" t="e">
        <v>#REF!</v>
      </c>
      <c r="H167" s="49">
        <v>0</v>
      </c>
      <c r="I167" s="49" t="e">
        <v>#REF!</v>
      </c>
      <c r="J167" s="50"/>
    </row>
    <row r="168" ht="28.8" outlineLevel="1" spans="1:10">
      <c r="A168" s="50" t="str">
        <v/>
      </c>
      <c r="B168" s="51" t="str">
        <v>独立楼梯间、坡道、进排风井外墙面于混凝土墙</v>
      </c>
      <c r="C168" s="51" t="str">
        <v/>
      </c>
      <c r="D168" s="51" t="str">
        <v/>
      </c>
      <c r="E168" s="51" t="str">
        <v/>
      </c>
      <c r="F168" s="52" t="str">
        <v/>
      </c>
      <c r="G168" s="48" t="str">
        <v/>
      </c>
      <c r="H168" s="49">
        <v>0</v>
      </c>
      <c r="I168" s="49">
        <v>0</v>
      </c>
      <c r="J168" s="50"/>
    </row>
    <row r="169" outlineLevel="1" spans="1:10">
      <c r="A169" s="50">
        <v>139</v>
      </c>
      <c r="B169" s="51" t="str">
        <v>外墙面-界面剂</v>
      </c>
      <c r="C169" s="51" t="e">
        <v>#REF!</v>
      </c>
      <c r="D169" s="51" t="str">
        <v/>
      </c>
      <c r="E169" s="51" t="str">
        <v/>
      </c>
      <c r="F169" s="52" t="e">
        <v>#REF!</v>
      </c>
      <c r="G169" s="48" t="e">
        <v>#REF!</v>
      </c>
      <c r="H169" s="49">
        <v>0</v>
      </c>
      <c r="I169" s="49" t="e">
        <v>#REF!</v>
      </c>
      <c r="J169" s="50"/>
    </row>
    <row r="170" outlineLevel="1" spans="1:10">
      <c r="A170" s="50">
        <v>140</v>
      </c>
      <c r="B170" s="51" t="str">
        <v>外墙面-15厚M7.5</v>
      </c>
      <c r="C170" s="51" t="e">
        <v>#REF!</v>
      </c>
      <c r="D170" s="51" t="str">
        <v/>
      </c>
      <c r="E170" s="51" t="str">
        <v/>
      </c>
      <c r="F170" s="52" t="e">
        <v>#REF!</v>
      </c>
      <c r="G170" s="48" t="e">
        <v>#REF!</v>
      </c>
      <c r="H170" s="49">
        <v>0</v>
      </c>
      <c r="I170" s="49" t="e">
        <v>#REF!</v>
      </c>
      <c r="J170" s="50"/>
    </row>
    <row r="171" outlineLevel="1" spans="1:10">
      <c r="A171" s="50">
        <v>141</v>
      </c>
      <c r="B171" s="51" t="str">
        <v>外墙面-网格布</v>
      </c>
      <c r="C171" s="51" t="e">
        <v>#REF!</v>
      </c>
      <c r="D171" s="51" t="str">
        <v/>
      </c>
      <c r="E171" s="51" t="str">
        <v/>
      </c>
      <c r="F171" s="52" t="e">
        <v>#REF!</v>
      </c>
      <c r="G171" s="48" t="e">
        <v>#REF!</v>
      </c>
      <c r="H171" s="49">
        <v>0</v>
      </c>
      <c r="I171" s="49" t="e">
        <v>#REF!</v>
      </c>
      <c r="J171" s="50"/>
    </row>
    <row r="172" ht="28.8" outlineLevel="1" spans="1:10">
      <c r="A172" s="50" t="str">
        <v/>
      </c>
      <c r="B172" s="51" t="str">
        <v>独立楼梯间、坡道、进排风井外墙面于砌筑墙</v>
      </c>
      <c r="C172" s="51" t="str">
        <v/>
      </c>
      <c r="D172" s="51" t="str">
        <v/>
      </c>
      <c r="E172" s="51" t="str">
        <v/>
      </c>
      <c r="F172" s="52" t="str">
        <v/>
      </c>
      <c r="G172" s="48" t="str">
        <v/>
      </c>
      <c r="H172" s="49">
        <v>0</v>
      </c>
      <c r="I172" s="49">
        <v>0</v>
      </c>
      <c r="J172" s="50"/>
    </row>
    <row r="173" outlineLevel="1" spans="1:10">
      <c r="A173" s="50">
        <v>142</v>
      </c>
      <c r="B173" s="51" t="str">
        <v>外墙面-界面剂</v>
      </c>
      <c r="C173" s="51" t="e">
        <v>#REF!</v>
      </c>
      <c r="D173" s="51" t="str">
        <v/>
      </c>
      <c r="E173" s="51" t="str">
        <v/>
      </c>
      <c r="F173" s="52" t="e">
        <v>#REF!</v>
      </c>
      <c r="G173" s="48" t="e">
        <v>#REF!</v>
      </c>
      <c r="H173" s="49">
        <v>0</v>
      </c>
      <c r="I173" s="49" t="e">
        <v>#REF!</v>
      </c>
      <c r="J173" s="50"/>
    </row>
    <row r="174" outlineLevel="1" spans="1:10">
      <c r="A174" s="50">
        <v>143</v>
      </c>
      <c r="B174" s="51" t="str">
        <v>外墙面-15厚M7.5</v>
      </c>
      <c r="C174" s="51" t="e">
        <v>#REF!</v>
      </c>
      <c r="D174" s="51" t="str">
        <v/>
      </c>
      <c r="E174" s="51" t="str">
        <v/>
      </c>
      <c r="F174" s="52" t="e">
        <v>#REF!</v>
      </c>
      <c r="G174" s="48" t="e">
        <v>#REF!</v>
      </c>
      <c r="H174" s="49">
        <v>0</v>
      </c>
      <c r="I174" s="49" t="e">
        <v>#REF!</v>
      </c>
      <c r="J174" s="50"/>
    </row>
    <row r="175" outlineLevel="1" spans="1:10">
      <c r="A175" s="50">
        <v>144</v>
      </c>
      <c r="B175" s="51" t="str">
        <v>外墙面-网格布</v>
      </c>
      <c r="C175" s="51" t="e">
        <v>#REF!</v>
      </c>
      <c r="D175" s="51" t="str">
        <v/>
      </c>
      <c r="E175" s="51" t="str">
        <v/>
      </c>
      <c r="F175" s="52" t="e">
        <v>#REF!</v>
      </c>
      <c r="G175" s="48" t="e">
        <v>#REF!</v>
      </c>
      <c r="H175" s="49">
        <v>0</v>
      </c>
      <c r="I175" s="49" t="e">
        <v>#REF!</v>
      </c>
      <c r="J175" s="50"/>
    </row>
    <row r="176" outlineLevel="1" spans="1:10">
      <c r="A176" s="50" t="str">
        <v/>
      </c>
      <c r="B176" s="51" t="str">
        <v>地下室顶板1</v>
      </c>
      <c r="C176" s="51" t="str">
        <v/>
      </c>
      <c r="D176" s="51" t="str">
        <v/>
      </c>
      <c r="E176" s="51" t="str">
        <v/>
      </c>
      <c r="F176" s="52" t="str">
        <v/>
      </c>
      <c r="G176" s="48" t="str">
        <v/>
      </c>
      <c r="H176" s="49">
        <v>0</v>
      </c>
      <c r="I176" s="49">
        <v>0</v>
      </c>
      <c r="J176" s="50"/>
    </row>
    <row r="177" ht="28.8" outlineLevel="1" spans="1:10">
      <c r="A177" s="50">
        <v>145</v>
      </c>
      <c r="B177" s="51" t="str">
        <v>顶板防水-1.5厚单面粘（阻根型）</v>
      </c>
      <c r="C177" s="51" t="e">
        <v>#REF!</v>
      </c>
      <c r="D177" s="51" t="str">
        <v/>
      </c>
      <c r="E177" s="51" t="str">
        <v/>
      </c>
      <c r="F177" s="52" t="e">
        <v>#REF!</v>
      </c>
      <c r="G177" s="48" t="e">
        <v>#REF!</v>
      </c>
      <c r="H177" s="49">
        <v>0</v>
      </c>
      <c r="I177" s="49" t="e">
        <v>#REF!</v>
      </c>
      <c r="J177" s="50"/>
    </row>
    <row r="178" outlineLevel="1" spans="1:10">
      <c r="A178" s="50">
        <v>146</v>
      </c>
      <c r="B178" s="51" t="str">
        <v>顶板防水-1.5厚双面粘</v>
      </c>
      <c r="C178" s="51" t="e">
        <v>#REF!</v>
      </c>
      <c r="D178" s="51" t="str">
        <v/>
      </c>
      <c r="E178" s="51" t="str">
        <v/>
      </c>
      <c r="F178" s="52" t="e">
        <v>#REF!</v>
      </c>
      <c r="G178" s="48" t="e">
        <v>#REF!</v>
      </c>
      <c r="H178" s="49">
        <v>0</v>
      </c>
      <c r="I178" s="49" t="e">
        <v>#REF!</v>
      </c>
      <c r="J178" s="50"/>
    </row>
    <row r="179" outlineLevel="1" spans="1:10">
      <c r="A179" s="50" t="str">
        <v/>
      </c>
      <c r="B179" s="51" t="str">
        <v>地下室顶板2</v>
      </c>
      <c r="C179" s="51" t="str">
        <v/>
      </c>
      <c r="D179" s="51" t="str">
        <v/>
      </c>
      <c r="E179" s="51" t="str">
        <v/>
      </c>
      <c r="F179" s="52" t="str">
        <v/>
      </c>
      <c r="G179" s="48" t="str">
        <v/>
      </c>
      <c r="H179" s="49">
        <v>0</v>
      </c>
      <c r="I179" s="49">
        <v>0</v>
      </c>
      <c r="J179" s="50"/>
    </row>
    <row r="180" ht="28.8" outlineLevel="1" spans="1:10">
      <c r="A180" s="50">
        <v>147</v>
      </c>
      <c r="B180" s="51" t="str">
        <v>顶板防水-1.5厚单面粘（阻根型）</v>
      </c>
      <c r="C180" s="51" t="e">
        <v>#REF!</v>
      </c>
      <c r="D180" s="51" t="str">
        <v/>
      </c>
      <c r="E180" s="51" t="str">
        <v/>
      </c>
      <c r="F180" s="52" t="e">
        <v>#REF!</v>
      </c>
      <c r="G180" s="48" t="e">
        <v>#REF!</v>
      </c>
      <c r="H180" s="49">
        <v>0</v>
      </c>
      <c r="I180" s="49" t="e">
        <v>#REF!</v>
      </c>
      <c r="J180" s="50"/>
    </row>
    <row r="181" outlineLevel="1" spans="1:10">
      <c r="A181" s="50">
        <v>148</v>
      </c>
      <c r="B181" s="51" t="str">
        <v>顶板防水-1.5厚沥青涂料</v>
      </c>
      <c r="C181" s="51" t="e">
        <v>#REF!</v>
      </c>
      <c r="D181" s="51" t="str">
        <v/>
      </c>
      <c r="E181" s="51" t="str">
        <v/>
      </c>
      <c r="F181" s="52" t="e">
        <v>#REF!</v>
      </c>
      <c r="G181" s="48" t="e">
        <v>#REF!</v>
      </c>
      <c r="H181" s="49">
        <v>0</v>
      </c>
      <c r="I181" s="49" t="e">
        <v>#REF!</v>
      </c>
      <c r="J181" s="50"/>
    </row>
    <row r="182" outlineLevel="1" spans="1:10">
      <c r="A182" s="50">
        <v>149</v>
      </c>
      <c r="B182" s="51" t="str">
        <v>顶板-100厚XPS</v>
      </c>
      <c r="C182" s="51" t="e">
        <v>#REF!</v>
      </c>
      <c r="D182" s="51" t="str">
        <v/>
      </c>
      <c r="E182" s="51" t="str">
        <v/>
      </c>
      <c r="F182" s="52" t="e">
        <v>#REF!</v>
      </c>
      <c r="G182" s="48" t="e">
        <v>#REF!</v>
      </c>
      <c r="H182" s="49">
        <v>0</v>
      </c>
      <c r="I182" s="49" t="e">
        <v>#REF!</v>
      </c>
      <c r="J182" s="50"/>
    </row>
    <row r="183" outlineLevel="1" spans="1:10">
      <c r="A183" s="50">
        <v>150</v>
      </c>
      <c r="B183" s="51" t="str">
        <v>顶板-C20细石砼找坡</v>
      </c>
      <c r="C183" s="51" t="e">
        <v>#REF!</v>
      </c>
      <c r="D183" s="51" t="str">
        <v/>
      </c>
      <c r="E183" s="51" t="str">
        <v/>
      </c>
      <c r="F183" s="52" t="e">
        <v>#REF!</v>
      </c>
      <c r="G183" s="48" t="e">
        <v>#REF!</v>
      </c>
      <c r="H183" s="49">
        <v>0</v>
      </c>
      <c r="I183" s="49" t="e">
        <v>#REF!</v>
      </c>
      <c r="J183" s="50"/>
    </row>
    <row r="184" outlineLevel="1" spans="1:10">
      <c r="A184" s="50" t="str">
        <v/>
      </c>
      <c r="B184" s="51" t="str">
        <v>地下室底板</v>
      </c>
      <c r="C184" s="51" t="str">
        <v/>
      </c>
      <c r="D184" s="51" t="str">
        <v/>
      </c>
      <c r="E184" s="51" t="str">
        <v/>
      </c>
      <c r="F184" s="52" t="str">
        <v/>
      </c>
      <c r="G184" s="48" t="str">
        <v/>
      </c>
      <c r="H184" s="49">
        <v>0</v>
      </c>
      <c r="I184" s="49">
        <v>0</v>
      </c>
      <c r="J184" s="50"/>
    </row>
    <row r="185" ht="28.8" outlineLevel="1" spans="1:10">
      <c r="A185" s="50">
        <v>151</v>
      </c>
      <c r="B185" s="51" t="str">
        <v>底板防水-1.2厚预铺反粘（单面粘）</v>
      </c>
      <c r="C185" s="51" t="e">
        <v>#REF!</v>
      </c>
      <c r="D185" s="51" t="str">
        <v/>
      </c>
      <c r="E185" s="51" t="str">
        <v/>
      </c>
      <c r="F185" s="52" t="e">
        <v>#REF!</v>
      </c>
      <c r="G185" s="48" t="e">
        <v>#REF!</v>
      </c>
      <c r="H185" s="49">
        <v>596</v>
      </c>
      <c r="I185" s="49" t="e">
        <v>#REF!</v>
      </c>
      <c r="J185" s="50"/>
    </row>
    <row r="186" ht="28.8" outlineLevel="1" spans="1:10">
      <c r="A186" s="50">
        <v>152</v>
      </c>
      <c r="B186" s="51" t="str">
        <v>底板防水-1.5厚反粘（双面粘）</v>
      </c>
      <c r="C186" s="51" t="e">
        <v>#REF!</v>
      </c>
      <c r="D186" s="51" t="str">
        <v/>
      </c>
      <c r="E186" s="51" t="str">
        <v/>
      </c>
      <c r="F186" s="52" t="e">
        <v>#REF!</v>
      </c>
      <c r="G186" s="48" t="e">
        <v>#REF!</v>
      </c>
      <c r="H186" s="49">
        <v>0</v>
      </c>
      <c r="I186" s="49" t="e">
        <v>#REF!</v>
      </c>
      <c r="J186" s="50"/>
    </row>
    <row r="187" ht="28.8" outlineLevel="1" spans="1:10">
      <c r="A187" s="50">
        <v>153</v>
      </c>
      <c r="B187" s="51" t="str">
        <v>沟坑内壁-20厚聚合物防水砂浆</v>
      </c>
      <c r="C187" s="51" t="e">
        <v>#REF!</v>
      </c>
      <c r="D187" s="51" t="str">
        <v/>
      </c>
      <c r="E187" s="51" t="str">
        <v/>
      </c>
      <c r="F187" s="52" t="e">
        <v>#REF!</v>
      </c>
      <c r="G187" s="48" t="e">
        <v>#REF!</v>
      </c>
      <c r="H187" s="49">
        <v>34</v>
      </c>
      <c r="I187" s="49" t="e">
        <v>#REF!</v>
      </c>
      <c r="J187" s="50"/>
    </row>
    <row r="188" outlineLevel="1" spans="1:10">
      <c r="A188" s="50" t="str">
        <v/>
      </c>
      <c r="B188" s="51" t="str">
        <v>电梯基坑1</v>
      </c>
      <c r="C188" s="51" t="str">
        <v/>
      </c>
      <c r="D188" s="51" t="str">
        <v/>
      </c>
      <c r="E188" s="51" t="str">
        <v/>
      </c>
      <c r="F188" s="52" t="str">
        <v/>
      </c>
      <c r="G188" s="48" t="str">
        <v/>
      </c>
      <c r="H188" s="49">
        <v>0</v>
      </c>
      <c r="I188" s="49">
        <v>0</v>
      </c>
      <c r="J188" s="50"/>
    </row>
    <row r="189" outlineLevel="1" spans="1:10">
      <c r="A189" s="50">
        <v>154</v>
      </c>
      <c r="B189" s="51" t="str">
        <v>基坑-M20水泥砂浆</v>
      </c>
      <c r="C189" s="51" t="e">
        <v>#REF!</v>
      </c>
      <c r="D189" s="51" t="str">
        <v/>
      </c>
      <c r="E189" s="51" t="str">
        <v/>
      </c>
      <c r="F189" s="52" t="e">
        <v>#REF!</v>
      </c>
      <c r="G189" s="48" t="e">
        <v>#REF!</v>
      </c>
      <c r="H189" s="49">
        <v>0</v>
      </c>
      <c r="I189" s="49" t="e">
        <v>#REF!</v>
      </c>
      <c r="J189" s="50"/>
    </row>
    <row r="190" ht="28.8" outlineLevel="1" spans="1:10">
      <c r="A190" s="50">
        <v>155</v>
      </c>
      <c r="B190" s="51" t="str">
        <v>沟坑内壁-20厚聚合物防水砂浆</v>
      </c>
      <c r="C190" s="51" t="e">
        <v>#REF!</v>
      </c>
      <c r="D190" s="51" t="str">
        <v/>
      </c>
      <c r="E190" s="51" t="str">
        <v/>
      </c>
      <c r="F190" s="52" t="e">
        <v>#REF!</v>
      </c>
      <c r="G190" s="48" t="e">
        <v>#REF!</v>
      </c>
      <c r="H190" s="49">
        <v>0</v>
      </c>
      <c r="I190" s="49" t="e">
        <v>#REF!</v>
      </c>
      <c r="J190" s="50"/>
    </row>
    <row r="191" outlineLevel="1" spans="1:10">
      <c r="A191" s="50">
        <v>156</v>
      </c>
      <c r="B191" s="51" t="str">
        <v>基坑-1.5厚聚氨酯涂料</v>
      </c>
      <c r="C191" s="51" t="e">
        <v>#REF!</v>
      </c>
      <c r="D191" s="51" t="str">
        <v/>
      </c>
      <c r="E191" s="51" t="str">
        <v/>
      </c>
      <c r="F191" s="52" t="e">
        <v>#REF!</v>
      </c>
      <c r="G191" s="48" t="e">
        <v>#REF!</v>
      </c>
      <c r="H191" s="49">
        <v>0</v>
      </c>
      <c r="I191" s="49" t="e">
        <v>#REF!</v>
      </c>
      <c r="J191" s="50"/>
    </row>
    <row r="192" outlineLevel="1" spans="1:10">
      <c r="A192" s="50">
        <v>157</v>
      </c>
      <c r="B192" s="51" t="str">
        <v>基坑-40厚C20细石砼</v>
      </c>
      <c r="C192" s="51" t="e">
        <v>#REF!</v>
      </c>
      <c r="D192" s="51" t="str">
        <v/>
      </c>
      <c r="E192" s="51" t="str">
        <v/>
      </c>
      <c r="F192" s="52" t="e">
        <v>#REF!</v>
      </c>
      <c r="G192" s="48" t="e">
        <v>#REF!</v>
      </c>
      <c r="H192" s="49">
        <v>0</v>
      </c>
      <c r="I192" s="49" t="e">
        <v>#REF!</v>
      </c>
      <c r="J192" s="50"/>
    </row>
    <row r="193" outlineLevel="1" spans="1:10">
      <c r="A193" s="50">
        <v>158</v>
      </c>
      <c r="B193" s="51" t="str">
        <v>基坑-φ4@100钢筋网片</v>
      </c>
      <c r="C193" s="51" t="e">
        <v>#REF!</v>
      </c>
      <c r="D193" s="51" t="str">
        <v/>
      </c>
      <c r="E193" s="51" t="str">
        <v/>
      </c>
      <c r="F193" s="52" t="e">
        <v>#REF!</v>
      </c>
      <c r="G193" s="48" t="e">
        <v>#REF!</v>
      </c>
      <c r="H193" s="49">
        <v>0</v>
      </c>
      <c r="I193" s="49" t="e">
        <v>#REF!</v>
      </c>
      <c r="J193" s="50"/>
    </row>
    <row r="194" outlineLevel="1" spans="1:10">
      <c r="A194" s="50">
        <v>159</v>
      </c>
      <c r="B194" s="51" t="str">
        <v>基坑-塑料膜</v>
      </c>
      <c r="C194" s="51" t="e">
        <v>#REF!</v>
      </c>
      <c r="D194" s="51" t="str">
        <v/>
      </c>
      <c r="E194" s="51" t="str">
        <v/>
      </c>
      <c r="F194" s="52" t="e">
        <v>#REF!</v>
      </c>
      <c r="G194" s="48" t="e">
        <v>#REF!</v>
      </c>
      <c r="H194" s="49">
        <v>0</v>
      </c>
      <c r="I194" s="49" t="e">
        <v>#REF!</v>
      </c>
      <c r="J194" s="50"/>
    </row>
    <row r="195" outlineLevel="1" spans="1:10">
      <c r="A195" s="50">
        <v>160</v>
      </c>
      <c r="B195" s="51" t="str">
        <v>基坑-120厚XPS</v>
      </c>
      <c r="C195" s="51" t="e">
        <v>#REF!</v>
      </c>
      <c r="D195" s="51" t="str">
        <v/>
      </c>
      <c r="E195" s="51" t="str">
        <v/>
      </c>
      <c r="F195" s="52" t="e">
        <v>#REF!</v>
      </c>
      <c r="G195" s="48" t="e">
        <v>#REF!</v>
      </c>
      <c r="H195" s="49">
        <v>0</v>
      </c>
      <c r="I195" s="49" t="e">
        <v>#REF!</v>
      </c>
      <c r="J195" s="50"/>
    </row>
    <row r="196" outlineLevel="1" spans="1:10">
      <c r="A196" s="50">
        <v>161</v>
      </c>
      <c r="B196" s="51" t="str">
        <v>基坑-1.5厚聚氨酯涂料</v>
      </c>
      <c r="C196" s="51" t="e">
        <v>#REF!</v>
      </c>
      <c r="D196" s="51" t="str">
        <v/>
      </c>
      <c r="E196" s="51" t="str">
        <v/>
      </c>
      <c r="F196" s="52" t="e">
        <v>#REF!</v>
      </c>
      <c r="G196" s="48" t="e">
        <v>#REF!</v>
      </c>
      <c r="H196" s="49">
        <v>0</v>
      </c>
      <c r="I196" s="49" t="e">
        <v>#REF!</v>
      </c>
      <c r="J196" s="50"/>
    </row>
    <row r="197" outlineLevel="1" spans="1:10">
      <c r="A197" s="50">
        <v>162</v>
      </c>
      <c r="B197" s="51" t="str">
        <v>基坑-素水泥浆</v>
      </c>
      <c r="C197" s="51" t="e">
        <v>#REF!</v>
      </c>
      <c r="D197" s="51" t="str">
        <v/>
      </c>
      <c r="E197" s="51" t="str">
        <v/>
      </c>
      <c r="F197" s="52" t="e">
        <v>#REF!</v>
      </c>
      <c r="G197" s="48" t="e">
        <v>#REF!</v>
      </c>
      <c r="H197" s="49">
        <v>0</v>
      </c>
      <c r="I197" s="49" t="e">
        <v>#REF!</v>
      </c>
      <c r="J197" s="50"/>
    </row>
    <row r="198" outlineLevel="1" spans="1:10">
      <c r="A198" s="50">
        <v>163</v>
      </c>
      <c r="B198" s="51" t="str">
        <v>基坑-20厚真空绝热板</v>
      </c>
      <c r="C198" s="51" t="e">
        <v>#REF!</v>
      </c>
      <c r="D198" s="51" t="str">
        <v/>
      </c>
      <c r="E198" s="51" t="str">
        <v/>
      </c>
      <c r="F198" s="52" t="e">
        <v>#REF!</v>
      </c>
      <c r="G198" s="48" t="e">
        <v>#REF!</v>
      </c>
      <c r="H198" s="49">
        <v>0</v>
      </c>
      <c r="I198" s="49" t="e">
        <v>#REF!</v>
      </c>
      <c r="J198" s="50"/>
    </row>
    <row r="199" outlineLevel="1" spans="1:10">
      <c r="A199" s="50">
        <v>164</v>
      </c>
      <c r="B199" s="51" t="str">
        <v>基坑-1.2厚聚氨酯涂料</v>
      </c>
      <c r="C199" s="51" t="e">
        <v>#REF!</v>
      </c>
      <c r="D199" s="51" t="str">
        <v/>
      </c>
      <c r="E199" s="51" t="str">
        <v/>
      </c>
      <c r="F199" s="52" t="e">
        <v>#REF!</v>
      </c>
      <c r="G199" s="48" t="e">
        <v>#REF!</v>
      </c>
      <c r="H199" s="49">
        <v>0</v>
      </c>
      <c r="I199" s="49" t="e">
        <v>#REF!</v>
      </c>
      <c r="J199" s="50"/>
    </row>
    <row r="200" outlineLevel="1" spans="1:10">
      <c r="A200" s="50">
        <v>165</v>
      </c>
      <c r="B200" s="51" t="str">
        <v>遇水膨胀止水条</v>
      </c>
      <c r="C200" s="51" t="e">
        <v>#REF!</v>
      </c>
      <c r="D200" s="51" t="str">
        <v/>
      </c>
      <c r="E200" s="51" t="str">
        <v/>
      </c>
      <c r="F200" s="52" t="e">
        <v>#REF!</v>
      </c>
      <c r="G200" s="48" t="e">
        <v>#REF!</v>
      </c>
      <c r="H200" s="49">
        <v>19</v>
      </c>
      <c r="I200" s="49" t="e">
        <v>#REF!</v>
      </c>
      <c r="J200" s="50"/>
    </row>
    <row r="201" outlineLevel="1" spans="1:10">
      <c r="A201" s="50">
        <v>166</v>
      </c>
      <c r="B201" s="51" t="str">
        <v>钢板止水条</v>
      </c>
      <c r="C201" s="51" t="e">
        <v>#REF!</v>
      </c>
      <c r="D201" s="51" t="str">
        <v/>
      </c>
      <c r="E201" s="51" t="str">
        <v/>
      </c>
      <c r="F201" s="52" t="e">
        <v>#REF!</v>
      </c>
      <c r="G201" s="48" t="e">
        <v>#REF!</v>
      </c>
      <c r="H201" s="49">
        <v>71</v>
      </c>
      <c r="I201" s="49" t="e">
        <v>#REF!</v>
      </c>
      <c r="J201" s="50"/>
    </row>
    <row r="202" outlineLevel="1" spans="1:10">
      <c r="A202" s="50">
        <v>167</v>
      </c>
      <c r="B202" s="51" t="str">
        <v>橡胶止水带</v>
      </c>
      <c r="C202" s="51" t="e">
        <v>#REF!</v>
      </c>
      <c r="D202" s="51" t="str">
        <v/>
      </c>
      <c r="E202" s="51" t="str">
        <v/>
      </c>
      <c r="F202" s="52" t="e">
        <v>#REF!</v>
      </c>
      <c r="G202" s="48" t="e">
        <v>#REF!</v>
      </c>
      <c r="H202" s="49">
        <v>0</v>
      </c>
      <c r="I202" s="49" t="e">
        <v>#REF!</v>
      </c>
      <c r="J202" s="50"/>
    </row>
    <row r="203" ht="28.8" outlineLevel="1" spans="1:10">
      <c r="A203" s="50" t="str">
        <v/>
      </c>
      <c r="B203" s="51" t="str">
        <v>非上人屋面（楼梯间.门厅.水箱间等）</v>
      </c>
      <c r="C203" s="51" t="str">
        <v/>
      </c>
      <c r="D203" s="51" t="str">
        <v/>
      </c>
      <c r="E203" s="51" t="str">
        <v/>
      </c>
      <c r="F203" s="52" t="str">
        <v/>
      </c>
      <c r="G203" s="48" t="str">
        <v/>
      </c>
      <c r="H203" s="49">
        <v>0</v>
      </c>
      <c r="I203" s="49">
        <v>0</v>
      </c>
      <c r="J203" s="50"/>
    </row>
    <row r="204" ht="28.8" outlineLevel="1" spans="1:10">
      <c r="A204" s="50">
        <v>168</v>
      </c>
      <c r="B204" s="51" t="str">
        <v>屋面-20厚M15水泥砂浆保护层</v>
      </c>
      <c r="C204" s="51" t="e">
        <v>#REF!</v>
      </c>
      <c r="D204" s="51" t="str">
        <v/>
      </c>
      <c r="E204" s="51" t="str">
        <v/>
      </c>
      <c r="F204" s="52" t="e">
        <v>#REF!</v>
      </c>
      <c r="G204" s="48" t="e">
        <v>#REF!</v>
      </c>
      <c r="H204" s="49">
        <v>0</v>
      </c>
      <c r="I204" s="49" t="e">
        <v>#REF!</v>
      </c>
      <c r="J204" s="50"/>
    </row>
    <row r="205" outlineLevel="1" spans="1:10">
      <c r="A205" s="50">
        <v>169</v>
      </c>
      <c r="B205" s="51" t="str">
        <v>屋面-土工布</v>
      </c>
      <c r="C205" s="51" t="e">
        <v>#REF!</v>
      </c>
      <c r="D205" s="51" t="str">
        <v/>
      </c>
      <c r="E205" s="51" t="str">
        <v/>
      </c>
      <c r="F205" s="52" t="e">
        <v>#REF!</v>
      </c>
      <c r="G205" s="48" t="e">
        <v>#REF!</v>
      </c>
      <c r="H205" s="49">
        <v>0</v>
      </c>
      <c r="I205" s="49" t="e">
        <v>#REF!</v>
      </c>
      <c r="J205" s="50"/>
    </row>
    <row r="206" outlineLevel="1" spans="1:10">
      <c r="A206" s="50">
        <v>170</v>
      </c>
      <c r="B206" s="51" t="str">
        <v>屋面-3+3SBS</v>
      </c>
      <c r="C206" s="51" t="e">
        <v>#REF!</v>
      </c>
      <c r="D206" s="51" t="str">
        <v/>
      </c>
      <c r="E206" s="51" t="str">
        <v/>
      </c>
      <c r="F206" s="52" t="e">
        <v>#REF!</v>
      </c>
      <c r="G206" s="48" t="e">
        <v>#REF!</v>
      </c>
      <c r="H206" s="49">
        <v>0</v>
      </c>
      <c r="I206" s="49" t="e">
        <v>#REF!</v>
      </c>
      <c r="J206" s="50"/>
    </row>
    <row r="207" outlineLevel="1" spans="1:10">
      <c r="A207" s="50">
        <v>171</v>
      </c>
      <c r="B207" s="51" t="str">
        <v>屋面-30厚C20细石砼</v>
      </c>
      <c r="C207" s="51" t="e">
        <v>#REF!</v>
      </c>
      <c r="D207" s="51" t="str">
        <v/>
      </c>
      <c r="E207" s="51" t="str">
        <v/>
      </c>
      <c r="F207" s="52" t="e">
        <v>#REF!</v>
      </c>
      <c r="G207" s="48" t="e">
        <v>#REF!</v>
      </c>
      <c r="H207" s="49">
        <v>0</v>
      </c>
      <c r="I207" s="49" t="e">
        <v>#REF!</v>
      </c>
      <c r="J207" s="50"/>
    </row>
    <row r="208" ht="28.8" outlineLevel="1" spans="1:10">
      <c r="A208" s="50">
        <v>172</v>
      </c>
      <c r="B208" s="51" t="str">
        <v>屋面-最薄处30厚焦渣找坡</v>
      </c>
      <c r="C208" s="51" t="e">
        <v>#REF!</v>
      </c>
      <c r="D208" s="51" t="str">
        <v/>
      </c>
      <c r="E208" s="51" t="str">
        <v/>
      </c>
      <c r="F208" s="52" t="e">
        <v>#REF!</v>
      </c>
      <c r="G208" s="48" t="e">
        <v>#REF!</v>
      </c>
      <c r="H208" s="49">
        <v>0</v>
      </c>
      <c r="I208" s="49" t="e">
        <v>#REF!</v>
      </c>
      <c r="J208" s="50"/>
    </row>
    <row r="209" outlineLevel="1" spans="1:10">
      <c r="A209" s="50">
        <v>173</v>
      </c>
      <c r="B209" s="51" t="str">
        <v>屋面-190厚EPS</v>
      </c>
      <c r="C209" s="51" t="e">
        <v>#REF!</v>
      </c>
      <c r="D209" s="51" t="str">
        <v/>
      </c>
      <c r="E209" s="51" t="str">
        <v/>
      </c>
      <c r="F209" s="52" t="e">
        <v>#REF!</v>
      </c>
      <c r="G209" s="48" t="e">
        <v>#REF!</v>
      </c>
      <c r="H209" s="49">
        <v>0</v>
      </c>
      <c r="I209" s="49" t="e">
        <v>#REF!</v>
      </c>
      <c r="J209" s="50"/>
    </row>
    <row r="210" ht="43.2" outlineLevel="1" spans="1:10">
      <c r="A210" s="50" t="str">
        <v/>
      </c>
      <c r="B210" s="51" t="str">
        <v>非上人屋面（楼梯间.门厅.水箱间等）与主楼相连</v>
      </c>
      <c r="C210" s="51" t="str">
        <v/>
      </c>
      <c r="D210" s="51" t="str">
        <v/>
      </c>
      <c r="E210" s="51" t="str">
        <v/>
      </c>
      <c r="F210" s="52" t="str">
        <v/>
      </c>
      <c r="G210" s="48" t="str">
        <v/>
      </c>
      <c r="H210" s="49">
        <v>0</v>
      </c>
      <c r="I210" s="49">
        <v>0</v>
      </c>
      <c r="J210" s="50"/>
    </row>
    <row r="211" ht="28.8" outlineLevel="1" spans="1:10">
      <c r="A211" s="50">
        <v>174</v>
      </c>
      <c r="B211" s="51" t="str">
        <v>屋面-20厚M15水泥砂浆保护层</v>
      </c>
      <c r="C211" s="51" t="e">
        <v>#REF!</v>
      </c>
      <c r="D211" s="51" t="str">
        <v/>
      </c>
      <c r="E211" s="51" t="str">
        <v/>
      </c>
      <c r="F211" s="52" t="e">
        <v>#REF!</v>
      </c>
      <c r="G211" s="48" t="e">
        <v>#REF!</v>
      </c>
      <c r="H211" s="49">
        <v>0</v>
      </c>
      <c r="I211" s="49" t="e">
        <v>#REF!</v>
      </c>
      <c r="J211" s="50"/>
    </row>
    <row r="212" outlineLevel="1" spans="1:10">
      <c r="A212" s="50">
        <v>175</v>
      </c>
      <c r="B212" s="51" t="str">
        <v>屋面-土工布</v>
      </c>
      <c r="C212" s="51" t="e">
        <v>#REF!</v>
      </c>
      <c r="D212" s="51" t="str">
        <v/>
      </c>
      <c r="E212" s="51" t="str">
        <v/>
      </c>
      <c r="F212" s="52" t="e">
        <v>#REF!</v>
      </c>
      <c r="G212" s="48" t="e">
        <v>#REF!</v>
      </c>
      <c r="H212" s="49">
        <v>0</v>
      </c>
      <c r="I212" s="49" t="e">
        <v>#REF!</v>
      </c>
      <c r="J212" s="50"/>
    </row>
    <row r="213" outlineLevel="1" spans="1:10">
      <c r="A213" s="50">
        <v>176</v>
      </c>
      <c r="B213" s="51" t="str">
        <v>屋面-4厚SBS</v>
      </c>
      <c r="C213" s="51" t="e">
        <v>#REF!</v>
      </c>
      <c r="D213" s="51" t="str">
        <v/>
      </c>
      <c r="E213" s="51" t="str">
        <v/>
      </c>
      <c r="F213" s="52" t="e">
        <v>#REF!</v>
      </c>
      <c r="G213" s="48" t="e">
        <v>#REF!</v>
      </c>
      <c r="H213" s="49">
        <v>0</v>
      </c>
      <c r="I213" s="49" t="e">
        <v>#REF!</v>
      </c>
      <c r="J213" s="50"/>
    </row>
    <row r="214" outlineLevel="1" spans="1:10">
      <c r="A214" s="50">
        <v>177</v>
      </c>
      <c r="B214" s="51" t="str">
        <v>屋面-30厚C20细石砼</v>
      </c>
      <c r="C214" s="51" t="e">
        <v>#REF!</v>
      </c>
      <c r="D214" s="51" t="str">
        <v/>
      </c>
      <c r="E214" s="51" t="str">
        <v/>
      </c>
      <c r="F214" s="52" t="e">
        <v>#REF!</v>
      </c>
      <c r="G214" s="48" t="e">
        <v>#REF!</v>
      </c>
      <c r="H214" s="49">
        <v>0</v>
      </c>
      <c r="I214" s="49" t="e">
        <v>#REF!</v>
      </c>
      <c r="J214" s="50"/>
    </row>
    <row r="215" ht="28.8" outlineLevel="1" spans="1:10">
      <c r="A215" s="50">
        <v>178</v>
      </c>
      <c r="B215" s="51" t="str">
        <v>屋面-最薄处30厚焦渣找坡</v>
      </c>
      <c r="C215" s="51" t="e">
        <v>#REF!</v>
      </c>
      <c r="D215" s="51" t="str">
        <v/>
      </c>
      <c r="E215" s="51" t="str">
        <v/>
      </c>
      <c r="F215" s="52" t="e">
        <v>#REF!</v>
      </c>
      <c r="G215" s="48" t="e">
        <v>#REF!</v>
      </c>
      <c r="H215" s="49">
        <v>0</v>
      </c>
      <c r="I215" s="49" t="e">
        <v>#REF!</v>
      </c>
      <c r="J215" s="50"/>
    </row>
    <row r="216" outlineLevel="1" spans="1:10">
      <c r="A216" s="50">
        <v>179</v>
      </c>
      <c r="B216" s="51" t="str">
        <v>屋面-200厚EPS</v>
      </c>
      <c r="C216" s="51" t="e">
        <v>#REF!</v>
      </c>
      <c r="D216" s="51" t="str">
        <v/>
      </c>
      <c r="E216" s="51" t="str">
        <v/>
      </c>
      <c r="F216" s="52" t="e">
        <v>#REF!</v>
      </c>
      <c r="G216" s="48" t="e">
        <v>#REF!</v>
      </c>
      <c r="H216" s="49">
        <v>0</v>
      </c>
      <c r="I216" s="49" t="e">
        <v>#REF!</v>
      </c>
      <c r="J216" s="50"/>
    </row>
    <row r="217" ht="43.2" outlineLevel="1" spans="1:10">
      <c r="A217" s="50" t="str">
        <v/>
      </c>
      <c r="B217" s="51" t="str">
        <v>非上人屋面（楼梯间.门厅.水箱间等）不与主楼相连</v>
      </c>
      <c r="C217" s="51" t="str">
        <v/>
      </c>
      <c r="D217" s="51" t="str">
        <v/>
      </c>
      <c r="E217" s="51" t="str">
        <v/>
      </c>
      <c r="F217" s="52" t="str">
        <v/>
      </c>
      <c r="G217" s="48" t="str">
        <v/>
      </c>
      <c r="H217" s="49">
        <v>0</v>
      </c>
      <c r="I217" s="49">
        <v>0</v>
      </c>
      <c r="J217" s="50"/>
    </row>
    <row r="218" ht="28.8" outlineLevel="1" spans="1:10">
      <c r="A218" s="50">
        <v>180</v>
      </c>
      <c r="B218" s="51" t="str">
        <v>屋面-20厚M15水泥砂浆保护层</v>
      </c>
      <c r="C218" s="51" t="e">
        <v>#REF!</v>
      </c>
      <c r="D218" s="51" t="str">
        <v/>
      </c>
      <c r="E218" s="51" t="str">
        <v/>
      </c>
      <c r="F218" s="52" t="e">
        <v>#REF!</v>
      </c>
      <c r="G218" s="48" t="e">
        <v>#REF!</v>
      </c>
      <c r="H218" s="49">
        <v>0</v>
      </c>
      <c r="I218" s="49" t="e">
        <v>#REF!</v>
      </c>
      <c r="J218" s="50"/>
    </row>
    <row r="219" outlineLevel="1" spans="1:10">
      <c r="A219" s="50">
        <v>181</v>
      </c>
      <c r="B219" s="51" t="str">
        <v>屋面-土工布</v>
      </c>
      <c r="C219" s="51" t="e">
        <v>#REF!</v>
      </c>
      <c r="D219" s="51" t="str">
        <v/>
      </c>
      <c r="E219" s="51" t="str">
        <v/>
      </c>
      <c r="F219" s="52" t="e">
        <v>#REF!</v>
      </c>
      <c r="G219" s="48" t="e">
        <v>#REF!</v>
      </c>
      <c r="H219" s="49">
        <v>0</v>
      </c>
      <c r="I219" s="49" t="e">
        <v>#REF!</v>
      </c>
      <c r="J219" s="50"/>
    </row>
    <row r="220" outlineLevel="1" spans="1:10">
      <c r="A220" s="50">
        <v>182</v>
      </c>
      <c r="B220" s="51" t="str">
        <v>屋面-4厚SBS</v>
      </c>
      <c r="C220" s="51" t="e">
        <v>#REF!</v>
      </c>
      <c r="D220" s="51" t="str">
        <v/>
      </c>
      <c r="E220" s="51" t="str">
        <v/>
      </c>
      <c r="F220" s="52" t="e">
        <v>#REF!</v>
      </c>
      <c r="G220" s="48" t="e">
        <v>#REF!</v>
      </c>
      <c r="H220" s="49">
        <v>0</v>
      </c>
      <c r="I220" s="49" t="e">
        <v>#REF!</v>
      </c>
      <c r="J220" s="50"/>
    </row>
    <row r="221" outlineLevel="1" spans="1:10">
      <c r="A221" s="50">
        <v>183</v>
      </c>
      <c r="B221" s="51" t="str">
        <v>屋面-30厚C20细石砼</v>
      </c>
      <c r="C221" s="51" t="e">
        <v>#REF!</v>
      </c>
      <c r="D221" s="51" t="str">
        <v/>
      </c>
      <c r="E221" s="51" t="str">
        <v/>
      </c>
      <c r="F221" s="52" t="e">
        <v>#REF!</v>
      </c>
      <c r="G221" s="48" t="e">
        <v>#REF!</v>
      </c>
      <c r="H221" s="49">
        <v>0</v>
      </c>
      <c r="I221" s="49" t="e">
        <v>#REF!</v>
      </c>
      <c r="J221" s="50"/>
    </row>
    <row r="222" ht="28.8" outlineLevel="1" spans="1:10">
      <c r="A222" s="50">
        <v>184</v>
      </c>
      <c r="B222" s="51" t="str">
        <v>屋面-最薄处30厚焦渣找坡</v>
      </c>
      <c r="C222" s="51" t="e">
        <v>#REF!</v>
      </c>
      <c r="D222" s="51" t="str">
        <v/>
      </c>
      <c r="E222" s="51" t="str">
        <v/>
      </c>
      <c r="F222" s="52" t="e">
        <v>#REF!</v>
      </c>
      <c r="G222" s="48" t="e">
        <v>#REF!</v>
      </c>
      <c r="H222" s="49">
        <v>0</v>
      </c>
      <c r="I222" s="49" t="e">
        <v>#REF!</v>
      </c>
      <c r="J222" s="50"/>
    </row>
    <row r="223" outlineLevel="1" spans="1:10">
      <c r="A223" s="50">
        <v>185</v>
      </c>
      <c r="B223" s="51" t="str">
        <v>屋面-风井窗井</v>
      </c>
      <c r="C223" s="51" t="e">
        <v>#REF!</v>
      </c>
      <c r="D223" s="51" t="str">
        <v/>
      </c>
      <c r="E223" s="51" t="str">
        <v/>
      </c>
      <c r="F223" s="52" t="e">
        <v>#REF!</v>
      </c>
      <c r="G223" s="48" t="e">
        <v>#REF!</v>
      </c>
      <c r="H223" s="49">
        <v>0</v>
      </c>
      <c r="I223" s="49" t="e">
        <v>#REF!</v>
      </c>
      <c r="J223" s="50"/>
    </row>
    <row r="224" outlineLevel="1" spans="1:10">
      <c r="A224" s="50">
        <v>186</v>
      </c>
      <c r="B224" s="51" t="str">
        <v>屋面-顶板后浇带找平层</v>
      </c>
      <c r="C224" s="51" t="e">
        <v>#REF!</v>
      </c>
      <c r="D224" s="51" t="str">
        <v/>
      </c>
      <c r="E224" s="51" t="str">
        <v/>
      </c>
      <c r="F224" s="52" t="e">
        <v>#REF!</v>
      </c>
      <c r="G224" s="48" t="e">
        <v>#REF!</v>
      </c>
      <c r="H224" s="49">
        <v>0</v>
      </c>
      <c r="I224" s="49" t="e">
        <v>#REF!</v>
      </c>
      <c r="J224" s="50"/>
    </row>
    <row r="225" outlineLevel="1" spans="1:10">
      <c r="A225" s="50">
        <v>187</v>
      </c>
      <c r="B225" s="51" t="str">
        <v>水簸箕-C20细石砼</v>
      </c>
      <c r="C225" s="51" t="e">
        <v>#REF!</v>
      </c>
      <c r="D225" s="51" t="str">
        <v/>
      </c>
      <c r="E225" s="51" t="str">
        <v/>
      </c>
      <c r="F225" s="52" t="e">
        <v>#REF!</v>
      </c>
      <c r="G225" s="48" t="e">
        <v>#REF!</v>
      </c>
      <c r="H225" s="49">
        <v>0</v>
      </c>
      <c r="I225" s="49" t="e">
        <v>#REF!</v>
      </c>
      <c r="J225" s="50"/>
    </row>
    <row r="226" outlineLevel="1" spans="1:10">
      <c r="A226" s="50">
        <v>188</v>
      </c>
      <c r="B226" s="51" t="str">
        <v>屋面-Φ110UPVC雨水管</v>
      </c>
      <c r="C226" s="51" t="e">
        <v>#REF!</v>
      </c>
      <c r="D226" s="51" t="str">
        <v/>
      </c>
      <c r="E226" s="51" t="str">
        <v/>
      </c>
      <c r="F226" s="52" t="e">
        <v>#REF!</v>
      </c>
      <c r="G226" s="48" t="e">
        <v>#REF!</v>
      </c>
      <c r="H226" s="49">
        <v>0</v>
      </c>
      <c r="I226" s="49" t="e">
        <v>#REF!</v>
      </c>
      <c r="J226" s="50"/>
    </row>
    <row r="227" outlineLevel="1" spans="1:10">
      <c r="A227" s="50" t="str">
        <v/>
      </c>
      <c r="B227" s="51" t="str">
        <v>A.05简易装修工程</v>
      </c>
      <c r="C227" s="51" t="str">
        <v/>
      </c>
      <c r="D227" s="51" t="str">
        <v/>
      </c>
      <c r="E227" s="51" t="str">
        <v/>
      </c>
      <c r="F227" s="52" t="str">
        <v/>
      </c>
      <c r="G227" s="48" t="str">
        <v/>
      </c>
      <c r="H227" s="49">
        <v>0</v>
      </c>
      <c r="I227" s="49" t="e">
        <v>#REF!</v>
      </c>
      <c r="J227" s="50"/>
    </row>
    <row r="228" outlineLevel="1" spans="1:10">
      <c r="A228" s="50" t="str">
        <v/>
      </c>
      <c r="B228" s="51" t="str">
        <v>A.05.01地面装饰工程</v>
      </c>
      <c r="C228" s="51" t="str">
        <v/>
      </c>
      <c r="D228" s="51" t="str">
        <v/>
      </c>
      <c r="E228" s="51" t="str">
        <v/>
      </c>
      <c r="F228" s="52" t="str">
        <v/>
      </c>
      <c r="G228" s="48" t="str">
        <v/>
      </c>
      <c r="H228" s="49">
        <v>0</v>
      </c>
      <c r="I228" s="49" t="e">
        <v>#REF!</v>
      </c>
      <c r="J228" s="50"/>
    </row>
    <row r="229" outlineLevel="1" spans="1:10">
      <c r="A229" s="50">
        <v>189</v>
      </c>
      <c r="B229" s="51" t="str">
        <v>楼地面-热计量间</v>
      </c>
      <c r="C229" s="51" t="e">
        <v>#REF!</v>
      </c>
      <c r="D229" s="51" t="str">
        <v/>
      </c>
      <c r="E229" s="51" t="str">
        <v/>
      </c>
      <c r="F229" s="52" t="e">
        <v>#REF!</v>
      </c>
      <c r="G229" s="48" t="e">
        <v>#REF!</v>
      </c>
      <c r="H229" s="49">
        <v>9.74</v>
      </c>
      <c r="I229" s="49" t="e">
        <v>#REF!</v>
      </c>
      <c r="J229" s="50"/>
    </row>
    <row r="230" ht="28.8" outlineLevel="1" spans="1:10">
      <c r="A230" s="50">
        <v>190</v>
      </c>
      <c r="B230" s="51" t="str">
        <v>楼地面-地下走道进线间机房</v>
      </c>
      <c r="C230" s="51" t="e">
        <v>#REF!</v>
      </c>
      <c r="D230" s="51" t="str">
        <v/>
      </c>
      <c r="E230" s="51" t="str">
        <v/>
      </c>
      <c r="F230" s="52" t="e">
        <v>#REF!</v>
      </c>
      <c r="G230" s="48" t="e">
        <v>#REF!</v>
      </c>
      <c r="H230" s="49">
        <v>76</v>
      </c>
      <c r="I230" s="49" t="e">
        <v>#REF!</v>
      </c>
      <c r="J230" s="50"/>
    </row>
    <row r="231" outlineLevel="1" spans="1:10">
      <c r="A231" s="50">
        <v>191</v>
      </c>
      <c r="B231" s="51" t="str">
        <v>楼地面-电信间</v>
      </c>
      <c r="C231" s="51" t="e">
        <v>#REF!</v>
      </c>
      <c r="D231" s="51" t="str">
        <v/>
      </c>
      <c r="E231" s="51" t="str">
        <v/>
      </c>
      <c r="F231" s="52" t="e">
        <v>#REF!</v>
      </c>
      <c r="G231" s="48" t="e">
        <v>#REF!</v>
      </c>
      <c r="H231" s="49">
        <v>0</v>
      </c>
      <c r="I231" s="49" t="e">
        <v>#REF!</v>
      </c>
      <c r="J231" s="50"/>
    </row>
    <row r="232" outlineLevel="1" spans="1:10">
      <c r="A232" s="50">
        <v>192</v>
      </c>
      <c r="B232" s="51" t="str">
        <v>楼地面-40厚C20细石砼</v>
      </c>
      <c r="C232" s="51" t="e">
        <v>#REF!</v>
      </c>
      <c r="D232" s="51" t="str">
        <v/>
      </c>
      <c r="E232" s="51" t="str">
        <v/>
      </c>
      <c r="F232" s="52" t="e">
        <v>#REF!</v>
      </c>
      <c r="G232" s="48" t="e">
        <v>#REF!</v>
      </c>
      <c r="H232" s="49">
        <v>0</v>
      </c>
      <c r="I232" s="49" t="e">
        <v>#REF!</v>
      </c>
      <c r="J232" s="50"/>
    </row>
    <row r="233" outlineLevel="1" spans="1:10">
      <c r="A233" s="50">
        <v>193</v>
      </c>
      <c r="B233" s="51" t="str">
        <v>楼地面-风井</v>
      </c>
      <c r="C233" s="51" t="e">
        <v>#REF!</v>
      </c>
      <c r="D233" s="51" t="str">
        <v/>
      </c>
      <c r="E233" s="51" t="str">
        <v/>
      </c>
      <c r="F233" s="52" t="e">
        <v>#REF!</v>
      </c>
      <c r="G233" s="48" t="e">
        <v>#REF!</v>
      </c>
      <c r="H233" s="49">
        <v>0</v>
      </c>
      <c r="I233" s="49" t="e">
        <v>#REF!</v>
      </c>
      <c r="J233" s="50"/>
    </row>
    <row r="234" outlineLevel="1" spans="1:10">
      <c r="A234" s="50">
        <v>194</v>
      </c>
      <c r="B234" s="51" t="str">
        <v>楼地面-水暖电井</v>
      </c>
      <c r="C234" s="51" t="e">
        <v>#REF!</v>
      </c>
      <c r="D234" s="51" t="str">
        <v/>
      </c>
      <c r="E234" s="51" t="str">
        <v/>
      </c>
      <c r="F234" s="52" t="e">
        <v>#REF!</v>
      </c>
      <c r="G234" s="48" t="e">
        <v>#REF!</v>
      </c>
      <c r="H234" s="49">
        <v>0</v>
      </c>
      <c r="I234" s="49" t="e">
        <v>#REF!</v>
      </c>
      <c r="J234" s="50"/>
    </row>
    <row r="235" outlineLevel="1" spans="1:10">
      <c r="A235" s="50">
        <v>195</v>
      </c>
      <c r="B235" s="51" t="str">
        <v>楼地面-独立车库</v>
      </c>
      <c r="C235" s="51" t="e">
        <v>#REF!</v>
      </c>
      <c r="D235" s="51" t="str">
        <v/>
      </c>
      <c r="E235" s="51" t="str">
        <v/>
      </c>
      <c r="F235" s="52" t="e">
        <v>#REF!</v>
      </c>
      <c r="G235" s="48" t="e">
        <v>#REF!</v>
      </c>
      <c r="H235" s="49">
        <v>0</v>
      </c>
      <c r="I235" s="49" t="e">
        <v>#REF!</v>
      </c>
      <c r="J235" s="50"/>
    </row>
    <row r="236" outlineLevel="1" spans="1:10">
      <c r="A236" s="50">
        <v>196</v>
      </c>
      <c r="B236" s="51" t="str">
        <v>踢脚线-100mm灰色涂料</v>
      </c>
      <c r="C236" s="51" t="e">
        <v>#REF!</v>
      </c>
      <c r="D236" s="51" t="str">
        <v/>
      </c>
      <c r="E236" s="51" t="str">
        <v/>
      </c>
      <c r="F236" s="52" t="e">
        <v>#REF!</v>
      </c>
      <c r="G236" s="48" t="e">
        <v>#REF!</v>
      </c>
      <c r="H236" s="49">
        <v>67</v>
      </c>
      <c r="I236" s="49" t="e">
        <v>#REF!</v>
      </c>
      <c r="J236" s="50"/>
    </row>
    <row r="237" outlineLevel="1" spans="1:10">
      <c r="A237" s="50">
        <v>197</v>
      </c>
      <c r="B237" s="51" t="str">
        <v>踢脚线-50mm灰色涂料</v>
      </c>
      <c r="C237" s="51" t="e">
        <v>#REF!</v>
      </c>
      <c r="D237" s="51" t="str">
        <v/>
      </c>
      <c r="E237" s="51" t="str">
        <v/>
      </c>
      <c r="F237" s="52" t="e">
        <v>#REF!</v>
      </c>
      <c r="G237" s="48" t="e">
        <v>#REF!</v>
      </c>
      <c r="H237" s="49">
        <v>0</v>
      </c>
      <c r="I237" s="49" t="e">
        <v>#REF!</v>
      </c>
      <c r="J237" s="50"/>
    </row>
    <row r="238" outlineLevel="1" spans="1:10">
      <c r="A238" s="50">
        <v>198</v>
      </c>
      <c r="B238" s="51" t="str">
        <v>踢脚线-150mm灰色涂料</v>
      </c>
      <c r="C238" s="51" t="e">
        <v>#REF!</v>
      </c>
      <c r="D238" s="51" t="str">
        <v/>
      </c>
      <c r="E238" s="51" t="str">
        <v/>
      </c>
      <c r="F238" s="52" t="e">
        <v>#REF!</v>
      </c>
      <c r="G238" s="48" t="e">
        <v>#REF!</v>
      </c>
      <c r="H238" s="49">
        <v>0</v>
      </c>
      <c r="I238" s="49" t="e">
        <v>#REF!</v>
      </c>
      <c r="J238" s="50"/>
    </row>
    <row r="239" outlineLevel="1" spans="1:10">
      <c r="A239" s="50">
        <v>199</v>
      </c>
      <c r="B239" s="51" t="str">
        <v>楼地面-楼梯间（30厚）</v>
      </c>
      <c r="C239" s="51" t="e">
        <v>#REF!</v>
      </c>
      <c r="D239" s="51" t="str">
        <v/>
      </c>
      <c r="E239" s="51" t="str">
        <v/>
      </c>
      <c r="F239" s="52" t="e">
        <v>#REF!</v>
      </c>
      <c r="G239" s="48" t="e">
        <v>#REF!</v>
      </c>
      <c r="H239" s="49">
        <v>46</v>
      </c>
      <c r="I239" s="49" t="e">
        <v>#REF!</v>
      </c>
      <c r="J239" s="50"/>
    </row>
    <row r="240" outlineLevel="1" spans="1:10">
      <c r="A240" s="50">
        <v>200</v>
      </c>
      <c r="B240" s="51" t="str">
        <v>楼地面-筏板（坡道）</v>
      </c>
      <c r="C240" s="51" t="e">
        <v>#REF!</v>
      </c>
      <c r="D240" s="51" t="str">
        <v/>
      </c>
      <c r="E240" s="51" t="str">
        <v/>
      </c>
      <c r="F240" s="52" t="e">
        <v>#REF!</v>
      </c>
      <c r="G240" s="48" t="e">
        <v>#REF!</v>
      </c>
      <c r="H240" s="49">
        <v>0</v>
      </c>
      <c r="I240" s="49" t="e">
        <v>#REF!</v>
      </c>
      <c r="J240" s="50"/>
    </row>
    <row r="241" ht="28.8" outlineLevel="1" spans="1:10">
      <c r="A241" s="50" t="str">
        <v/>
      </c>
      <c r="B241" s="51" t="str">
        <v>地下室底板（含坡道）防水板</v>
      </c>
      <c r="C241" s="51" t="str">
        <v/>
      </c>
      <c r="D241" s="51" t="str">
        <v/>
      </c>
      <c r="E241" s="51" t="str">
        <v/>
      </c>
      <c r="F241" s="52" t="str">
        <v/>
      </c>
      <c r="G241" s="48" t="str">
        <v/>
      </c>
      <c r="H241" s="49">
        <v>0</v>
      </c>
      <c r="I241" s="49">
        <v>0</v>
      </c>
      <c r="J241" s="50"/>
    </row>
    <row r="242" outlineLevel="1" spans="1:10">
      <c r="A242" s="50">
        <v>201</v>
      </c>
      <c r="B242" s="51" t="str">
        <v>楼地面-150厚C25细石砼</v>
      </c>
      <c r="C242" s="51" t="e">
        <v>#REF!</v>
      </c>
      <c r="D242" s="51" t="str">
        <v/>
      </c>
      <c r="E242" s="51" t="str">
        <v/>
      </c>
      <c r="F242" s="52" t="e">
        <v>#REF!</v>
      </c>
      <c r="G242" s="48" t="e">
        <v>#REF!</v>
      </c>
      <c r="H242" s="49">
        <v>0</v>
      </c>
      <c r="I242" s="49" t="e">
        <v>#REF!</v>
      </c>
      <c r="J242" s="50"/>
    </row>
    <row r="243" outlineLevel="1" spans="1:10">
      <c r="A243" s="50">
        <v>202</v>
      </c>
      <c r="B243" s="51" t="str">
        <v>楼地面-塑料膜</v>
      </c>
      <c r="C243" s="51" t="e">
        <v>#REF!</v>
      </c>
      <c r="D243" s="51" t="str">
        <v/>
      </c>
      <c r="E243" s="51" t="str">
        <v/>
      </c>
      <c r="F243" s="52" t="e">
        <v>#REF!</v>
      </c>
      <c r="G243" s="48" t="e">
        <v>#REF!</v>
      </c>
      <c r="H243" s="49">
        <v>0</v>
      </c>
      <c r="I243" s="49" t="e">
        <v>#REF!</v>
      </c>
      <c r="J243" s="50"/>
    </row>
    <row r="244" outlineLevel="1" spans="1:10">
      <c r="A244" s="50">
        <v>203</v>
      </c>
      <c r="B244" s="51" t="str">
        <v>楼地面-素土夯实</v>
      </c>
      <c r="C244" s="51" t="e">
        <v>#REF!</v>
      </c>
      <c r="D244" s="51" t="str">
        <v/>
      </c>
      <c r="E244" s="51" t="str">
        <v/>
      </c>
      <c r="F244" s="52" t="e">
        <v>#REF!</v>
      </c>
      <c r="G244" s="48" t="e">
        <v>#REF!</v>
      </c>
      <c r="H244" s="49">
        <v>0</v>
      </c>
      <c r="I244" s="49" t="e">
        <v>#REF!</v>
      </c>
      <c r="J244" s="50"/>
    </row>
    <row r="245" outlineLevel="1" spans="1:10">
      <c r="A245" s="50">
        <v>204</v>
      </c>
      <c r="B245" s="51" t="str">
        <v>楼地面-φ4@200钢筋网片</v>
      </c>
      <c r="C245" s="51" t="e">
        <v>#REF!</v>
      </c>
      <c r="D245" s="51" t="str">
        <v/>
      </c>
      <c r="E245" s="51" t="str">
        <v/>
      </c>
      <c r="F245" s="52" t="e">
        <v>#REF!</v>
      </c>
      <c r="G245" s="48" t="e">
        <v>#REF!</v>
      </c>
      <c r="H245" s="49">
        <v>0</v>
      </c>
      <c r="I245" s="49" t="e">
        <v>#REF!</v>
      </c>
      <c r="J245" s="50"/>
    </row>
    <row r="246" outlineLevel="1" spans="1:10">
      <c r="A246" s="50">
        <v>205</v>
      </c>
      <c r="B246" s="51" t="str">
        <v>楼地面-自行车坡道</v>
      </c>
      <c r="C246" s="51" t="e">
        <v>#REF!</v>
      </c>
      <c r="D246" s="51" t="str">
        <v/>
      </c>
      <c r="E246" s="51" t="str">
        <v/>
      </c>
      <c r="F246" s="52" t="e">
        <v>#REF!</v>
      </c>
      <c r="G246" s="48" t="e">
        <v>#REF!</v>
      </c>
      <c r="H246" s="49">
        <v>0</v>
      </c>
      <c r="I246" s="49" t="e">
        <v>#REF!</v>
      </c>
      <c r="J246" s="50"/>
    </row>
    <row r="247" ht="28.8" outlineLevel="1" spans="1:10">
      <c r="A247" s="50" t="str">
        <v/>
      </c>
      <c r="B247" s="51" t="str">
        <v>水泵房地面（有/无覆土）</v>
      </c>
      <c r="C247" s="51" t="str">
        <v/>
      </c>
      <c r="D247" s="51" t="str">
        <v/>
      </c>
      <c r="E247" s="51" t="str">
        <v/>
      </c>
      <c r="F247" s="52" t="str">
        <v/>
      </c>
      <c r="G247" s="48" t="str">
        <v/>
      </c>
      <c r="H247" s="49">
        <v>0</v>
      </c>
      <c r="I247" s="49">
        <v>0</v>
      </c>
      <c r="J247" s="50"/>
    </row>
    <row r="248" ht="28.8" outlineLevel="1" spans="1:10">
      <c r="A248" s="50">
        <v>206</v>
      </c>
      <c r="B248" s="51" t="str">
        <v>楼地面-60厚C15细石砼找坡</v>
      </c>
      <c r="C248" s="51" t="e">
        <v>#REF!</v>
      </c>
      <c r="D248" s="51" t="str">
        <v/>
      </c>
      <c r="E248" s="51" t="str">
        <v/>
      </c>
      <c r="F248" s="52" t="e">
        <v>#REF!</v>
      </c>
      <c r="G248" s="48" t="e">
        <v>#REF!</v>
      </c>
      <c r="H248" s="49">
        <v>0</v>
      </c>
      <c r="I248" s="49" t="e">
        <v>#REF!</v>
      </c>
      <c r="J248" s="50"/>
    </row>
    <row r="249" ht="28.8" outlineLevel="1" spans="1:10">
      <c r="A249" s="50">
        <v>207</v>
      </c>
      <c r="B249" s="51" t="str">
        <v>楼地面-20厚C20细石砼找坡</v>
      </c>
      <c r="C249" s="51" t="e">
        <v>#REF!</v>
      </c>
      <c r="D249" s="51" t="str">
        <v/>
      </c>
      <c r="E249" s="51" t="str">
        <v/>
      </c>
      <c r="F249" s="52" t="e">
        <v>#REF!</v>
      </c>
      <c r="G249" s="48" t="e">
        <v>#REF!</v>
      </c>
      <c r="H249" s="49">
        <v>0</v>
      </c>
      <c r="I249" s="49" t="e">
        <v>#REF!</v>
      </c>
      <c r="J249" s="50"/>
    </row>
    <row r="250" ht="28.8" outlineLevel="1" spans="1:10">
      <c r="A250" s="50">
        <v>208</v>
      </c>
      <c r="B250" s="51" t="str">
        <v>楼地面-20厚M20水泥砂浆找坡</v>
      </c>
      <c r="C250" s="51" t="e">
        <v>#REF!</v>
      </c>
      <c r="D250" s="51" t="str">
        <v/>
      </c>
      <c r="E250" s="51" t="str">
        <v/>
      </c>
      <c r="F250" s="52" t="e">
        <v>#REF!</v>
      </c>
      <c r="G250" s="48" t="e">
        <v>#REF!</v>
      </c>
      <c r="H250" s="49">
        <v>0</v>
      </c>
      <c r="I250" s="49" t="e">
        <v>#REF!</v>
      </c>
      <c r="J250" s="50"/>
    </row>
    <row r="251" outlineLevel="1" spans="1:10">
      <c r="A251" s="50">
        <v>209</v>
      </c>
      <c r="B251" s="51" t="str">
        <v>楼地面-柴油电站</v>
      </c>
      <c r="C251" s="51" t="e">
        <v>#REF!</v>
      </c>
      <c r="D251" s="51" t="str">
        <v/>
      </c>
      <c r="E251" s="51" t="str">
        <v/>
      </c>
      <c r="F251" s="52" t="e">
        <v>#REF!</v>
      </c>
      <c r="G251" s="48" t="e">
        <v>#REF!</v>
      </c>
      <c r="H251" s="49">
        <v>0</v>
      </c>
      <c r="I251" s="49" t="e">
        <v>#REF!</v>
      </c>
      <c r="J251" s="50"/>
    </row>
    <row r="252" outlineLevel="1" spans="1:10">
      <c r="A252" s="50" t="str">
        <v/>
      </c>
      <c r="B252" s="51" t="str">
        <v>变配电室地面</v>
      </c>
      <c r="C252" s="51" t="str">
        <v/>
      </c>
      <c r="D252" s="51" t="str">
        <v/>
      </c>
      <c r="E252" s="51" t="str">
        <v/>
      </c>
      <c r="F252" s="52" t="str">
        <v/>
      </c>
      <c r="G252" s="48" t="str">
        <v/>
      </c>
      <c r="H252" s="49">
        <v>0</v>
      </c>
      <c r="I252" s="49">
        <v>0</v>
      </c>
      <c r="J252" s="50"/>
    </row>
    <row r="253" outlineLevel="1" spans="1:10">
      <c r="A253" s="50">
        <v>210</v>
      </c>
      <c r="B253" s="51" t="str">
        <v>楼地面-60厚C20细石砼</v>
      </c>
      <c r="C253" s="51" t="e">
        <v>#REF!</v>
      </c>
      <c r="D253" s="51" t="str">
        <v/>
      </c>
      <c r="E253" s="51" t="str">
        <v/>
      </c>
      <c r="F253" s="52" t="e">
        <v>#REF!</v>
      </c>
      <c r="G253" s="48" t="e">
        <v>#REF!</v>
      </c>
      <c r="H253" s="49">
        <v>0</v>
      </c>
      <c r="I253" s="49" t="e">
        <v>#REF!</v>
      </c>
      <c r="J253" s="50"/>
    </row>
    <row r="254" outlineLevel="1" spans="1:10">
      <c r="A254" s="50">
        <v>211</v>
      </c>
      <c r="B254" s="51" t="str">
        <v>楼地面-素土夯实</v>
      </c>
      <c r="C254" s="51" t="e">
        <v>#REF!</v>
      </c>
      <c r="D254" s="51" t="str">
        <v/>
      </c>
      <c r="E254" s="51" t="str">
        <v/>
      </c>
      <c r="F254" s="52" t="e">
        <v>#REF!</v>
      </c>
      <c r="G254" s="48" t="e">
        <v>#REF!</v>
      </c>
      <c r="H254" s="49">
        <v>0</v>
      </c>
      <c r="I254" s="49" t="e">
        <v>#REF!</v>
      </c>
      <c r="J254" s="50"/>
    </row>
    <row r="255" outlineLevel="1" spans="1:10">
      <c r="A255" s="50">
        <v>212</v>
      </c>
      <c r="B255" s="51" t="str">
        <v>楼地面-竖井</v>
      </c>
      <c r="C255" s="51" t="e">
        <v>#REF!</v>
      </c>
      <c r="D255" s="51" t="str">
        <v/>
      </c>
      <c r="E255" s="51" t="str">
        <v/>
      </c>
      <c r="F255" s="52" t="e">
        <v>#REF!</v>
      </c>
      <c r="G255" s="48" t="e">
        <v>#REF!</v>
      </c>
      <c r="H255" s="49">
        <v>0</v>
      </c>
      <c r="I255" s="49" t="e">
        <v>#REF!</v>
      </c>
      <c r="J255" s="50"/>
    </row>
    <row r="256" outlineLevel="1" spans="1:10">
      <c r="A256" s="50">
        <v>213</v>
      </c>
      <c r="B256" s="51" t="str">
        <v>楼地面-楼梯间（30厚）</v>
      </c>
      <c r="C256" s="51" t="e">
        <v>#REF!</v>
      </c>
      <c r="D256" s="51" t="str">
        <v/>
      </c>
      <c r="E256" s="51" t="str">
        <v/>
      </c>
      <c r="F256" s="52" t="e">
        <v>#REF!</v>
      </c>
      <c r="G256" s="48" t="e">
        <v>#REF!</v>
      </c>
      <c r="H256" s="49">
        <v>0</v>
      </c>
      <c r="I256" s="49" t="e">
        <v>#REF!</v>
      </c>
      <c r="J256" s="50"/>
    </row>
    <row r="257" outlineLevel="1" spans="1:10">
      <c r="A257" s="50">
        <v>214</v>
      </c>
      <c r="B257" s="51" t="str">
        <v>楼地面-自行车斜道</v>
      </c>
      <c r="C257" s="51" t="e">
        <v>#REF!</v>
      </c>
      <c r="D257" s="51" t="str">
        <v/>
      </c>
      <c r="E257" s="51" t="str">
        <v/>
      </c>
      <c r="F257" s="52" t="e">
        <v>#REF!</v>
      </c>
      <c r="G257" s="48" t="e">
        <v>#REF!</v>
      </c>
      <c r="H257" s="49">
        <v>0</v>
      </c>
      <c r="I257" s="49" t="e">
        <v>#REF!</v>
      </c>
      <c r="J257" s="50"/>
    </row>
    <row r="258" outlineLevel="1" spans="1:10">
      <c r="A258" s="50">
        <v>215</v>
      </c>
      <c r="B258" s="51" t="str">
        <v>楼地面-聚氨酯防水涂料</v>
      </c>
      <c r="C258" s="51" t="e">
        <v>#REF!</v>
      </c>
      <c r="D258" s="51" t="str">
        <v/>
      </c>
      <c r="E258" s="51" t="str">
        <v/>
      </c>
      <c r="F258" s="52" t="e">
        <v>#REF!</v>
      </c>
      <c r="G258" s="48" t="e">
        <v>#REF!</v>
      </c>
      <c r="H258" s="49">
        <v>0</v>
      </c>
      <c r="I258" s="49" t="e">
        <v>#REF!</v>
      </c>
      <c r="J258" s="50"/>
    </row>
    <row r="259" outlineLevel="1" spans="1:10">
      <c r="A259" s="50">
        <v>216</v>
      </c>
      <c r="B259" s="51" t="str">
        <v>踢脚线-100mm灰色涂料</v>
      </c>
      <c r="C259" s="51" t="e">
        <v>#REF!</v>
      </c>
      <c r="D259" s="51" t="str">
        <v/>
      </c>
      <c r="E259" s="51" t="str">
        <v/>
      </c>
      <c r="F259" s="52" t="e">
        <v>#REF!</v>
      </c>
      <c r="G259" s="48" t="e">
        <v>#REF!</v>
      </c>
      <c r="H259" s="49">
        <v>0</v>
      </c>
      <c r="I259" s="49" t="e">
        <v>#REF!</v>
      </c>
      <c r="J259" s="50"/>
    </row>
    <row r="260" outlineLevel="1" spans="1:10">
      <c r="A260" s="50" t="str">
        <v/>
      </c>
      <c r="B260" s="51" t="str">
        <v>A.05.02墙柱装饰工程</v>
      </c>
      <c r="C260" s="51" t="str">
        <v/>
      </c>
      <c r="D260" s="51" t="str">
        <v/>
      </c>
      <c r="E260" s="51" t="str">
        <v/>
      </c>
      <c r="F260" s="52" t="str">
        <v/>
      </c>
      <c r="G260" s="48" t="str">
        <v/>
      </c>
      <c r="H260" s="49">
        <v>0</v>
      </c>
      <c r="I260" s="49" t="e">
        <v>#REF!</v>
      </c>
      <c r="J260" s="50"/>
    </row>
    <row r="261" ht="28.8" outlineLevel="1" spans="1:10">
      <c r="A261" s="50" t="str">
        <v/>
      </c>
      <c r="B261" s="51" t="str">
        <v>地下室内墙（二次结构墙体）</v>
      </c>
      <c r="C261" s="51" t="str">
        <v/>
      </c>
      <c r="D261" s="51" t="str">
        <v/>
      </c>
      <c r="E261" s="51" t="str">
        <v/>
      </c>
      <c r="F261" s="52" t="str">
        <v/>
      </c>
      <c r="G261" s="48" t="str">
        <v/>
      </c>
      <c r="H261" s="49">
        <v>0</v>
      </c>
      <c r="I261" s="49">
        <v>0</v>
      </c>
      <c r="J261" s="50"/>
    </row>
    <row r="262" outlineLevel="1" spans="1:10">
      <c r="A262" s="50">
        <v>217</v>
      </c>
      <c r="B262" s="51" t="str">
        <v>内墙面-界面剂</v>
      </c>
      <c r="C262" s="51" t="e">
        <v>#REF!</v>
      </c>
      <c r="D262" s="51" t="str">
        <v/>
      </c>
      <c r="E262" s="51" t="str">
        <v/>
      </c>
      <c r="F262" s="52" t="e">
        <v>#REF!</v>
      </c>
      <c r="G262" s="48" t="e">
        <v>#REF!</v>
      </c>
      <c r="H262" s="49">
        <v>0</v>
      </c>
      <c r="I262" s="49" t="e">
        <v>#REF!</v>
      </c>
      <c r="J262" s="50"/>
    </row>
    <row r="263" outlineLevel="1" spans="1:10">
      <c r="A263" s="50">
        <v>218</v>
      </c>
      <c r="B263" s="51" t="str">
        <v>内墙面-7厚M5石灰砂浆</v>
      </c>
      <c r="C263" s="51" t="e">
        <v>#REF!</v>
      </c>
      <c r="D263" s="51" t="str">
        <v/>
      </c>
      <c r="E263" s="51" t="str">
        <v/>
      </c>
      <c r="F263" s="52" t="e">
        <v>#REF!</v>
      </c>
      <c r="G263" s="48" t="e">
        <v>#REF!</v>
      </c>
      <c r="H263" s="49">
        <v>0</v>
      </c>
      <c r="I263" s="49" t="e">
        <v>#REF!</v>
      </c>
      <c r="J263" s="50"/>
    </row>
    <row r="264" outlineLevel="1" spans="1:10">
      <c r="A264" s="50">
        <v>219</v>
      </c>
      <c r="B264" s="51" t="str">
        <v>内墙面-6厚M7.5水泥砂浆</v>
      </c>
      <c r="C264" s="51" t="e">
        <v>#REF!</v>
      </c>
      <c r="D264" s="51" t="str">
        <v/>
      </c>
      <c r="E264" s="51" t="str">
        <v/>
      </c>
      <c r="F264" s="52" t="e">
        <v>#REF!</v>
      </c>
      <c r="G264" s="48" t="e">
        <v>#REF!</v>
      </c>
      <c r="H264" s="49">
        <v>0</v>
      </c>
      <c r="I264" s="49" t="e">
        <v>#REF!</v>
      </c>
      <c r="J264" s="50"/>
    </row>
    <row r="265" ht="28.8" outlineLevel="1" spans="1:10">
      <c r="A265" s="50" t="str">
        <v/>
      </c>
      <c r="B265" s="51" t="str">
        <v>地下室内墙（二次结构墙体）1</v>
      </c>
      <c r="C265" s="51" t="str">
        <v/>
      </c>
      <c r="D265" s="51" t="str">
        <v/>
      </c>
      <c r="E265" s="51" t="str">
        <v/>
      </c>
      <c r="F265" s="52" t="str">
        <v/>
      </c>
      <c r="G265" s="48" t="str">
        <v/>
      </c>
      <c r="H265" s="49">
        <v>0</v>
      </c>
      <c r="I265" s="49">
        <v>0</v>
      </c>
      <c r="J265" s="50"/>
    </row>
    <row r="266" outlineLevel="1" spans="1:10">
      <c r="A266" s="50">
        <v>220</v>
      </c>
      <c r="B266" s="51" t="str">
        <v>内墙面-界面剂</v>
      </c>
      <c r="C266" s="51" t="e">
        <v>#REF!</v>
      </c>
      <c r="D266" s="51" t="str">
        <v/>
      </c>
      <c r="E266" s="51" t="str">
        <v/>
      </c>
      <c r="F266" s="52" t="e">
        <v>#REF!</v>
      </c>
      <c r="G266" s="48" t="e">
        <v>#REF!</v>
      </c>
      <c r="H266" s="49">
        <v>0</v>
      </c>
      <c r="I266" s="49" t="e">
        <v>#REF!</v>
      </c>
      <c r="J266" s="50"/>
    </row>
    <row r="267" outlineLevel="1" spans="1:10">
      <c r="A267" s="50">
        <v>221</v>
      </c>
      <c r="B267" s="51" t="str">
        <v>内墙面-15厚M5水泥砂浆</v>
      </c>
      <c r="C267" s="51" t="e">
        <v>#REF!</v>
      </c>
      <c r="D267" s="51" t="str">
        <v/>
      </c>
      <c r="E267" s="51" t="str">
        <v/>
      </c>
      <c r="F267" s="52" t="e">
        <v>#REF!</v>
      </c>
      <c r="G267" s="48" t="e">
        <v>#REF!</v>
      </c>
      <c r="H267" s="49">
        <v>0</v>
      </c>
      <c r="I267" s="49" t="e">
        <v>#REF!</v>
      </c>
      <c r="J267" s="50"/>
    </row>
    <row r="268" ht="28.8" outlineLevel="1" spans="1:10">
      <c r="A268" s="50" t="str">
        <v/>
      </c>
      <c r="B268" s="51" t="str">
        <v>独立车库（带卷帘门）内墙（二次结构墙体）</v>
      </c>
      <c r="C268" s="51" t="str">
        <v/>
      </c>
      <c r="D268" s="51" t="str">
        <v/>
      </c>
      <c r="E268" s="51" t="str">
        <v/>
      </c>
      <c r="F268" s="52" t="str">
        <v/>
      </c>
      <c r="G268" s="48" t="str">
        <v/>
      </c>
      <c r="H268" s="49">
        <v>0</v>
      </c>
      <c r="I268" s="49">
        <v>0</v>
      </c>
      <c r="J268" s="50"/>
    </row>
    <row r="269" outlineLevel="1" spans="1:10">
      <c r="A269" s="50">
        <v>222</v>
      </c>
      <c r="B269" s="51" t="str">
        <v>内墙面-界面剂</v>
      </c>
      <c r="C269" s="51" t="e">
        <v>#REF!</v>
      </c>
      <c r="D269" s="51" t="str">
        <v/>
      </c>
      <c r="E269" s="51" t="str">
        <v/>
      </c>
      <c r="F269" s="52" t="e">
        <v>#REF!</v>
      </c>
      <c r="G269" s="48" t="e">
        <v>#REF!</v>
      </c>
      <c r="H269" s="49">
        <v>0</v>
      </c>
      <c r="I269" s="49" t="e">
        <v>#REF!</v>
      </c>
      <c r="J269" s="50"/>
    </row>
    <row r="270" outlineLevel="1" spans="1:10">
      <c r="A270" s="50">
        <v>223</v>
      </c>
      <c r="B270" s="51" t="str">
        <v>内墙面-7厚M5石灰砂浆</v>
      </c>
      <c r="C270" s="51" t="e">
        <v>#REF!</v>
      </c>
      <c r="D270" s="51" t="str">
        <v/>
      </c>
      <c r="E270" s="51" t="str">
        <v/>
      </c>
      <c r="F270" s="52" t="e">
        <v>#REF!</v>
      </c>
      <c r="G270" s="48" t="e">
        <v>#REF!</v>
      </c>
      <c r="H270" s="49">
        <v>0</v>
      </c>
      <c r="I270" s="49" t="e">
        <v>#REF!</v>
      </c>
      <c r="J270" s="50"/>
    </row>
    <row r="271" outlineLevel="1" spans="1:10">
      <c r="A271" s="50">
        <v>224</v>
      </c>
      <c r="B271" s="51" t="str">
        <v>内墙面-6厚M7.5水泥砂浆</v>
      </c>
      <c r="C271" s="51" t="e">
        <v>#REF!</v>
      </c>
      <c r="D271" s="51" t="str">
        <v/>
      </c>
      <c r="E271" s="51" t="str">
        <v/>
      </c>
      <c r="F271" s="52" t="e">
        <v>#REF!</v>
      </c>
      <c r="G271" s="48" t="e">
        <v>#REF!</v>
      </c>
      <c r="H271" s="49">
        <v>0</v>
      </c>
      <c r="I271" s="49" t="e">
        <v>#REF!</v>
      </c>
      <c r="J271" s="50"/>
    </row>
    <row r="272" outlineLevel="1" spans="1:10">
      <c r="A272" s="50" t="str">
        <v/>
      </c>
      <c r="B272" s="51" t="str">
        <v>楼梯间内墙</v>
      </c>
      <c r="C272" s="51" t="str">
        <v/>
      </c>
      <c r="D272" s="51" t="str">
        <v/>
      </c>
      <c r="E272" s="51" t="str">
        <v/>
      </c>
      <c r="F272" s="52" t="str">
        <v/>
      </c>
      <c r="G272" s="48" t="str">
        <v/>
      </c>
      <c r="H272" s="49">
        <v>0</v>
      </c>
      <c r="I272" s="49">
        <v>0</v>
      </c>
      <c r="J272" s="50"/>
    </row>
    <row r="273" outlineLevel="1" spans="1:10">
      <c r="A273" s="50">
        <v>225</v>
      </c>
      <c r="B273" s="51" t="str">
        <v>内墙面-界面剂</v>
      </c>
      <c r="C273" s="51" t="e">
        <v>#REF!</v>
      </c>
      <c r="D273" s="51" t="str">
        <v/>
      </c>
      <c r="E273" s="51" t="str">
        <v/>
      </c>
      <c r="F273" s="52" t="e">
        <v>#REF!</v>
      </c>
      <c r="G273" s="48" t="e">
        <v>#REF!</v>
      </c>
      <c r="H273" s="49">
        <v>0</v>
      </c>
      <c r="I273" s="49" t="e">
        <v>#REF!</v>
      </c>
      <c r="J273" s="50"/>
    </row>
    <row r="274" outlineLevel="1" spans="1:10">
      <c r="A274" s="50">
        <v>226</v>
      </c>
      <c r="B274" s="51" t="str">
        <v>内墙面-7厚M5石灰砂浆</v>
      </c>
      <c r="C274" s="51" t="e">
        <v>#REF!</v>
      </c>
      <c r="D274" s="51" t="str">
        <v/>
      </c>
      <c r="E274" s="51" t="str">
        <v/>
      </c>
      <c r="F274" s="52" t="e">
        <v>#REF!</v>
      </c>
      <c r="G274" s="48" t="e">
        <v>#REF!</v>
      </c>
      <c r="H274" s="49">
        <v>0</v>
      </c>
      <c r="I274" s="49" t="e">
        <v>#REF!</v>
      </c>
      <c r="J274" s="50"/>
    </row>
    <row r="275" outlineLevel="1" spans="1:10">
      <c r="A275" s="50">
        <v>227</v>
      </c>
      <c r="B275" s="51" t="str">
        <v>内墙面-6厚M7.5水泥砂浆</v>
      </c>
      <c r="C275" s="51" t="e">
        <v>#REF!</v>
      </c>
      <c r="D275" s="51" t="str">
        <v/>
      </c>
      <c r="E275" s="51" t="str">
        <v/>
      </c>
      <c r="F275" s="52" t="e">
        <v>#REF!</v>
      </c>
      <c r="G275" s="48" t="e">
        <v>#REF!</v>
      </c>
      <c r="H275" s="49">
        <v>0</v>
      </c>
      <c r="I275" s="49" t="e">
        <v>#REF!</v>
      </c>
      <c r="J275" s="50"/>
    </row>
    <row r="276" outlineLevel="1" spans="1:10">
      <c r="A276" s="50">
        <v>228</v>
      </c>
      <c r="B276" s="51" t="str">
        <v>砌块墙钢丝网满挂</v>
      </c>
      <c r="C276" s="51" t="e">
        <v>#REF!</v>
      </c>
      <c r="D276" s="51" t="str">
        <v/>
      </c>
      <c r="E276" s="51" t="str">
        <v/>
      </c>
      <c r="F276" s="52" t="e">
        <v>#REF!</v>
      </c>
      <c r="G276" s="48" t="e">
        <v>#REF!</v>
      </c>
      <c r="H276" s="49">
        <v>0</v>
      </c>
      <c r="I276" s="49" t="e">
        <v>#REF!</v>
      </c>
      <c r="J276" s="50"/>
    </row>
    <row r="277" ht="28.8" outlineLevel="1" spans="1:10">
      <c r="A277" s="50" t="str">
        <v/>
      </c>
      <c r="B277" s="51" t="str">
        <v>水暖电井内墙（二次结构墙体）</v>
      </c>
      <c r="C277" s="51" t="str">
        <v/>
      </c>
      <c r="D277" s="51" t="str">
        <v/>
      </c>
      <c r="E277" s="51" t="str">
        <v/>
      </c>
      <c r="F277" s="52" t="str">
        <v/>
      </c>
      <c r="G277" s="48" t="str">
        <v/>
      </c>
      <c r="H277" s="49">
        <v>0</v>
      </c>
      <c r="I277" s="49">
        <v>0</v>
      </c>
      <c r="J277" s="50"/>
    </row>
    <row r="278" outlineLevel="1" spans="1:10">
      <c r="A278" s="50">
        <v>229</v>
      </c>
      <c r="B278" s="51" t="str">
        <v>内墙面-界面剂</v>
      </c>
      <c r="C278" s="51" t="e">
        <v>#REF!</v>
      </c>
      <c r="D278" s="51" t="str">
        <v/>
      </c>
      <c r="E278" s="51" t="str">
        <v/>
      </c>
      <c r="F278" s="52" t="e">
        <v>#REF!</v>
      </c>
      <c r="G278" s="48" t="e">
        <v>#REF!</v>
      </c>
      <c r="H278" s="49">
        <v>0</v>
      </c>
      <c r="I278" s="49" t="e">
        <v>#REF!</v>
      </c>
      <c r="J278" s="50"/>
    </row>
    <row r="279" outlineLevel="1" spans="1:10">
      <c r="A279" s="50">
        <v>230</v>
      </c>
      <c r="B279" s="51" t="str">
        <v>内墙面-7厚M5石灰砂浆</v>
      </c>
      <c r="C279" s="51" t="e">
        <v>#REF!</v>
      </c>
      <c r="D279" s="51" t="str">
        <v/>
      </c>
      <c r="E279" s="51" t="str">
        <v/>
      </c>
      <c r="F279" s="52" t="e">
        <v>#REF!</v>
      </c>
      <c r="G279" s="48" t="e">
        <v>#REF!</v>
      </c>
      <c r="H279" s="49">
        <v>0</v>
      </c>
      <c r="I279" s="49" t="e">
        <v>#REF!</v>
      </c>
      <c r="J279" s="50"/>
    </row>
    <row r="280" outlineLevel="1" spans="1:10">
      <c r="A280" s="50">
        <v>231</v>
      </c>
      <c r="B280" s="51" t="str">
        <v>内墙面-6厚M7.5水泥砂浆</v>
      </c>
      <c r="C280" s="51" t="e">
        <v>#REF!</v>
      </c>
      <c r="D280" s="51" t="str">
        <v/>
      </c>
      <c r="E280" s="51" t="str">
        <v/>
      </c>
      <c r="F280" s="52" t="e">
        <v>#REF!</v>
      </c>
      <c r="G280" s="48" t="e">
        <v>#REF!</v>
      </c>
      <c r="H280" s="49">
        <v>0</v>
      </c>
      <c r="I280" s="49" t="e">
        <v>#REF!</v>
      </c>
      <c r="J280" s="50"/>
    </row>
    <row r="281" ht="28.8" outlineLevel="1" spans="1:10">
      <c r="A281" s="50" t="str">
        <v/>
      </c>
      <c r="B281" s="51" t="str">
        <v>窗井.风井、竖井内墙（二次结构墙体）</v>
      </c>
      <c r="C281" s="51" t="str">
        <v/>
      </c>
      <c r="D281" s="51" t="str">
        <v/>
      </c>
      <c r="E281" s="51" t="str">
        <v/>
      </c>
      <c r="F281" s="52" t="str">
        <v/>
      </c>
      <c r="G281" s="48" t="str">
        <v/>
      </c>
      <c r="H281" s="49">
        <v>0</v>
      </c>
      <c r="I281" s="49">
        <v>0</v>
      </c>
      <c r="J281" s="50"/>
    </row>
    <row r="282" outlineLevel="1" spans="1:10">
      <c r="A282" s="50">
        <v>232</v>
      </c>
      <c r="B282" s="51" t="str">
        <v>内墙面-15厚M20水泥砂浆</v>
      </c>
      <c r="C282" s="51" t="e">
        <v>#REF!</v>
      </c>
      <c r="D282" s="51" t="str">
        <v/>
      </c>
      <c r="E282" s="51" t="str">
        <v/>
      </c>
      <c r="F282" s="52" t="e">
        <v>#REF!</v>
      </c>
      <c r="G282" s="48" t="e">
        <v>#REF!</v>
      </c>
      <c r="H282" s="49">
        <v>140</v>
      </c>
      <c r="I282" s="49" t="e">
        <v>#REF!</v>
      </c>
      <c r="J282" s="50"/>
    </row>
    <row r="283" outlineLevel="1" spans="1:10">
      <c r="A283" s="50">
        <v>233</v>
      </c>
      <c r="B283" s="51" t="str">
        <v>内墙面-地下室柱面</v>
      </c>
      <c r="C283" s="51" t="e">
        <v>#REF!</v>
      </c>
      <c r="D283" s="51" t="str">
        <v/>
      </c>
      <c r="E283" s="51" t="str">
        <v/>
      </c>
      <c r="F283" s="52" t="e">
        <v>#REF!</v>
      </c>
      <c r="G283" s="48" t="e">
        <v>#REF!</v>
      </c>
      <c r="H283" s="49">
        <v>0</v>
      </c>
      <c r="I283" s="49" t="e">
        <v>#REF!</v>
      </c>
      <c r="J283" s="50"/>
    </row>
    <row r="284" outlineLevel="1" spans="1:10">
      <c r="A284" s="50" t="str">
        <v/>
      </c>
      <c r="B284" s="51" t="str">
        <v>消防水池内壁</v>
      </c>
      <c r="C284" s="51" t="str">
        <v/>
      </c>
      <c r="D284" s="51" t="str">
        <v/>
      </c>
      <c r="E284" s="51" t="str">
        <v/>
      </c>
      <c r="F284" s="52" t="str">
        <v/>
      </c>
      <c r="G284" s="48" t="str">
        <v/>
      </c>
      <c r="H284" s="49">
        <v>0</v>
      </c>
      <c r="I284" s="49">
        <v>0</v>
      </c>
      <c r="J284" s="50"/>
    </row>
    <row r="285" outlineLevel="1" spans="1:10">
      <c r="A285" s="50">
        <v>234</v>
      </c>
      <c r="B285" s="51" t="str">
        <v>内墙面-1.5厚RG涂料</v>
      </c>
      <c r="C285" s="51" t="e">
        <v>#REF!</v>
      </c>
      <c r="D285" s="51" t="str">
        <v/>
      </c>
      <c r="E285" s="51" t="str">
        <v/>
      </c>
      <c r="F285" s="52" t="e">
        <v>#REF!</v>
      </c>
      <c r="G285" s="48" t="e">
        <v>#REF!</v>
      </c>
      <c r="H285" s="49">
        <v>0</v>
      </c>
      <c r="I285" s="49" t="e">
        <v>#REF!</v>
      </c>
      <c r="J285" s="50"/>
    </row>
    <row r="286" outlineLevel="1" spans="1:10">
      <c r="A286" s="50">
        <v>235</v>
      </c>
      <c r="B286" s="51" t="str">
        <v>内墙面-10厚M15水泥砂浆</v>
      </c>
      <c r="C286" s="51" t="e">
        <v>#REF!</v>
      </c>
      <c r="D286" s="51" t="str">
        <v/>
      </c>
      <c r="E286" s="51" t="str">
        <v/>
      </c>
      <c r="F286" s="52" t="e">
        <v>#REF!</v>
      </c>
      <c r="G286" s="48" t="e">
        <v>#REF!</v>
      </c>
      <c r="H286" s="49">
        <v>0</v>
      </c>
      <c r="I286" s="49" t="e">
        <v>#REF!</v>
      </c>
      <c r="J286" s="50"/>
    </row>
    <row r="287" outlineLevel="1" spans="1:10">
      <c r="A287" s="50" t="str">
        <v/>
      </c>
      <c r="B287" s="51" t="str">
        <v>A.05.04白水泥工程</v>
      </c>
      <c r="C287" s="51" t="str">
        <v/>
      </c>
      <c r="D287" s="51" t="str">
        <v/>
      </c>
      <c r="E287" s="51" t="str">
        <v/>
      </c>
      <c r="F287" s="52" t="str">
        <v/>
      </c>
      <c r="G287" s="48" t="str">
        <v/>
      </c>
      <c r="H287" s="49">
        <v>0</v>
      </c>
      <c r="I287" s="49" t="e">
        <v>#REF!</v>
      </c>
      <c r="J287" s="50"/>
    </row>
    <row r="288" outlineLevel="1" spans="1:10">
      <c r="A288" s="50">
        <v>236</v>
      </c>
      <c r="B288" s="51" t="str">
        <v>内墙面-地下白水泥</v>
      </c>
      <c r="C288" s="51" t="e">
        <v>#REF!</v>
      </c>
      <c r="D288" s="51" t="str">
        <v/>
      </c>
      <c r="E288" s="51" t="str">
        <v/>
      </c>
      <c r="F288" s="52" t="e">
        <v>#REF!</v>
      </c>
      <c r="G288" s="48" t="e">
        <v>#REF!</v>
      </c>
      <c r="H288" s="49">
        <v>892.9531</v>
      </c>
      <c r="I288" s="49" t="e">
        <v>#REF!</v>
      </c>
      <c r="J288" s="50"/>
    </row>
    <row r="289" outlineLevel="1" spans="1:10">
      <c r="A289" s="50">
        <v>237</v>
      </c>
      <c r="B289" s="51" t="str">
        <v>内墙面-独立车库白水泥</v>
      </c>
      <c r="C289" s="51" t="e">
        <v>#REF!</v>
      </c>
      <c r="D289" s="51" t="str">
        <v/>
      </c>
      <c r="E289" s="51" t="str">
        <v/>
      </c>
      <c r="F289" s="52" t="e">
        <v>#REF!</v>
      </c>
      <c r="G289" s="48" t="e">
        <v>#REF!</v>
      </c>
      <c r="H289" s="49">
        <v>711.6964</v>
      </c>
      <c r="I289" s="49" t="e">
        <v>#REF!</v>
      </c>
      <c r="J289" s="50"/>
    </row>
    <row r="290" outlineLevel="1" spans="1:10">
      <c r="A290" s="50">
        <v>238</v>
      </c>
      <c r="B290" s="51" t="str">
        <v>内墙面-楼梯间白水泥</v>
      </c>
      <c r="C290" s="51" t="e">
        <v>#REF!</v>
      </c>
      <c r="D290" s="51" t="str">
        <v/>
      </c>
      <c r="E290" s="51" t="str">
        <v/>
      </c>
      <c r="F290" s="52" t="e">
        <v>#REF!</v>
      </c>
      <c r="G290" s="48" t="e">
        <v>#REF!</v>
      </c>
      <c r="H290" s="49">
        <v>147.5713</v>
      </c>
      <c r="I290" s="49" t="e">
        <v>#REF!</v>
      </c>
      <c r="J290" s="50"/>
    </row>
    <row r="291" outlineLevel="1" spans="1:10">
      <c r="A291" s="50">
        <v>239</v>
      </c>
      <c r="B291" s="51" t="str">
        <v>天棚-地下室白水泥</v>
      </c>
      <c r="C291" s="51" t="e">
        <v>#REF!</v>
      </c>
      <c r="D291" s="51" t="str">
        <v/>
      </c>
      <c r="E291" s="51" t="str">
        <v/>
      </c>
      <c r="F291" s="52" t="e">
        <v>#REF!</v>
      </c>
      <c r="G291" s="48" t="e">
        <v>#REF!</v>
      </c>
      <c r="H291" s="49">
        <v>520.5985</v>
      </c>
      <c r="I291" s="49" t="e">
        <v>#REF!</v>
      </c>
      <c r="J291" s="50"/>
    </row>
    <row r="292" outlineLevel="1" spans="1:10">
      <c r="A292" s="50">
        <v>240</v>
      </c>
      <c r="B292" s="51" t="str">
        <v>天棚-楼梯间白水泥</v>
      </c>
      <c r="C292" s="51" t="e">
        <v>#REF!</v>
      </c>
      <c r="D292" s="51" t="str">
        <v/>
      </c>
      <c r="E292" s="51" t="str">
        <v/>
      </c>
      <c r="F292" s="52" t="e">
        <v>#REF!</v>
      </c>
      <c r="G292" s="48" t="e">
        <v>#REF!</v>
      </c>
      <c r="H292" s="49">
        <v>52.6192</v>
      </c>
      <c r="I292" s="49" t="e">
        <v>#REF!</v>
      </c>
      <c r="J292" s="50"/>
    </row>
    <row r="293" ht="28.8" outlineLevel="1" spans="1:10">
      <c r="A293" s="50">
        <v>241</v>
      </c>
      <c r="B293" s="51" t="str">
        <v>内墙面-人防扩散室集气室滤尘室白水泥</v>
      </c>
      <c r="C293" s="51" t="e">
        <v>#REF!</v>
      </c>
      <c r="D293" s="51" t="str">
        <v/>
      </c>
      <c r="E293" s="51" t="str">
        <v/>
      </c>
      <c r="F293" s="52" t="e">
        <v>#REF!</v>
      </c>
      <c r="G293" s="48" t="e">
        <v>#REF!</v>
      </c>
      <c r="H293" s="49">
        <v>0</v>
      </c>
      <c r="I293" s="49" t="e">
        <v>#REF!</v>
      </c>
      <c r="J293" s="50"/>
    </row>
    <row r="294" ht="28.8" outlineLevel="1" spans="1:10">
      <c r="A294" s="50">
        <v>242</v>
      </c>
      <c r="B294" s="51" t="str">
        <v>天棚-人防扩散室集气室滤尘室白水泥</v>
      </c>
      <c r="C294" s="51" t="e">
        <v>#REF!</v>
      </c>
      <c r="D294" s="51" t="str">
        <v/>
      </c>
      <c r="E294" s="51" t="str">
        <v/>
      </c>
      <c r="F294" s="52" t="e">
        <v>#REF!</v>
      </c>
      <c r="G294" s="48" t="e">
        <v>#REF!</v>
      </c>
      <c r="H294" s="49">
        <v>0</v>
      </c>
      <c r="I294" s="49" t="e">
        <v>#REF!</v>
      </c>
      <c r="J294" s="50"/>
    </row>
    <row r="295" outlineLevel="1" spans="1:10">
      <c r="A295" s="50">
        <v>243</v>
      </c>
      <c r="B295" s="51" t="str">
        <v>天棚-地下车道白水泥</v>
      </c>
      <c r="C295" s="51" t="e">
        <v>#REF!</v>
      </c>
      <c r="D295" s="51" t="str">
        <v/>
      </c>
      <c r="E295" s="51" t="str">
        <v/>
      </c>
      <c r="F295" s="52" t="e">
        <v>#REF!</v>
      </c>
      <c r="G295" s="48" t="e">
        <v>#REF!</v>
      </c>
      <c r="H295" s="49">
        <v>0</v>
      </c>
      <c r="I295" s="49" t="e">
        <v>#REF!</v>
      </c>
      <c r="J295" s="50"/>
    </row>
    <row r="296" outlineLevel="1" spans="1:10">
      <c r="A296" s="50">
        <v>244</v>
      </c>
      <c r="B296" s="51" t="str">
        <v>天棚-地下白水泥</v>
      </c>
      <c r="C296" s="51" t="e">
        <v>#REF!</v>
      </c>
      <c r="D296" s="51" t="str">
        <v/>
      </c>
      <c r="E296" s="51" t="str">
        <v/>
      </c>
      <c r="F296" s="52" t="e">
        <v>#REF!</v>
      </c>
      <c r="G296" s="48" t="e">
        <v>#REF!</v>
      </c>
      <c r="H296" s="49">
        <v>0</v>
      </c>
      <c r="I296" s="49" t="e">
        <v>#REF!</v>
      </c>
      <c r="J296" s="50"/>
    </row>
    <row r="297" outlineLevel="1" spans="1:10">
      <c r="A297" s="50">
        <v>245</v>
      </c>
      <c r="B297" s="51" t="str">
        <v>天棚-水泵房白水泥</v>
      </c>
      <c r="C297" s="51" t="e">
        <v>#REF!</v>
      </c>
      <c r="D297" s="51" t="str">
        <v/>
      </c>
      <c r="E297" s="51" t="str">
        <v/>
      </c>
      <c r="F297" s="52" t="e">
        <v>#REF!</v>
      </c>
      <c r="G297" s="48" t="e">
        <v>#REF!</v>
      </c>
      <c r="H297" s="49">
        <v>0</v>
      </c>
      <c r="I297" s="49" t="e">
        <v>#REF!</v>
      </c>
      <c r="J297" s="50"/>
    </row>
    <row r="298" outlineLevel="1" spans="1:10">
      <c r="A298" s="50" t="str">
        <v/>
      </c>
      <c r="B298" s="51" t="str">
        <v>地上工程</v>
      </c>
      <c r="C298" s="51" t="str">
        <v/>
      </c>
      <c r="D298" s="51" t="str">
        <v/>
      </c>
      <c r="E298" s="51" t="str">
        <v/>
      </c>
      <c r="F298" s="52" t="str">
        <v/>
      </c>
      <c r="G298" s="48" t="str">
        <v/>
      </c>
      <c r="H298" s="49">
        <v>0</v>
      </c>
      <c r="I298" s="49" t="e">
        <v>#REF!</v>
      </c>
      <c r="J298" s="50"/>
    </row>
    <row r="299" outlineLevel="1" spans="1:10">
      <c r="A299" s="50" t="str">
        <v/>
      </c>
      <c r="B299" s="51" t="str">
        <v>A.02主体结构工程</v>
      </c>
      <c r="C299" s="51" t="str">
        <v/>
      </c>
      <c r="D299" s="51" t="str">
        <v/>
      </c>
      <c r="E299" s="51" t="str">
        <v/>
      </c>
      <c r="F299" s="52" t="str">
        <v/>
      </c>
      <c r="G299" s="48" t="str">
        <v/>
      </c>
      <c r="H299" s="49">
        <v>0</v>
      </c>
      <c r="I299" s="49" t="e">
        <v>#REF!</v>
      </c>
      <c r="J299" s="50"/>
    </row>
    <row r="300" outlineLevel="1" spans="1:10">
      <c r="A300" s="50" t="str">
        <v/>
      </c>
      <c r="B300" s="51" t="str">
        <v>A.02.01混凝土工程</v>
      </c>
      <c r="C300" s="51" t="str">
        <v/>
      </c>
      <c r="D300" s="51" t="str">
        <v/>
      </c>
      <c r="E300" s="51" t="str">
        <v/>
      </c>
      <c r="F300" s="52" t="str">
        <v/>
      </c>
      <c r="G300" s="48" t="str">
        <v/>
      </c>
      <c r="H300" s="49">
        <v>0</v>
      </c>
      <c r="I300" s="49" t="e">
        <v>#REF!</v>
      </c>
      <c r="J300" s="50"/>
    </row>
    <row r="301" outlineLevel="1" spans="1:10">
      <c r="A301" s="50">
        <v>246</v>
      </c>
      <c r="B301" s="51" t="str">
        <v>柱C30</v>
      </c>
      <c r="C301" s="51" t="e">
        <v>#REF!</v>
      </c>
      <c r="D301" s="51" t="str">
        <v/>
      </c>
      <c r="E301" s="51" t="str">
        <v/>
      </c>
      <c r="F301" s="52" t="e">
        <v>#REF!</v>
      </c>
      <c r="G301" s="48" t="e">
        <v>#REF!</v>
      </c>
      <c r="H301" s="49">
        <v>7.2878</v>
      </c>
      <c r="I301" s="49" t="e">
        <v>#REF!</v>
      </c>
      <c r="J301" s="50"/>
    </row>
    <row r="302" outlineLevel="1" spans="1:10">
      <c r="A302" s="50">
        <v>247</v>
      </c>
      <c r="B302" s="51" t="str">
        <v>梁C30</v>
      </c>
      <c r="C302" s="51" t="e">
        <v>#REF!</v>
      </c>
      <c r="D302" s="51" t="str">
        <v/>
      </c>
      <c r="E302" s="51" t="str">
        <v/>
      </c>
      <c r="F302" s="52" t="e">
        <v>#REF!</v>
      </c>
      <c r="G302" s="48" t="e">
        <v>#REF!</v>
      </c>
      <c r="H302" s="49">
        <v>133.7403</v>
      </c>
      <c r="I302" s="49" t="e">
        <v>#REF!</v>
      </c>
      <c r="J302" s="50"/>
    </row>
    <row r="303" outlineLevel="1" spans="1:10">
      <c r="A303" s="50">
        <v>248</v>
      </c>
      <c r="B303" s="51" t="str">
        <v>拱形梁C30</v>
      </c>
      <c r="C303" s="51" t="e">
        <v>#REF!</v>
      </c>
      <c r="D303" s="51" t="str">
        <v/>
      </c>
      <c r="E303" s="51" t="str">
        <v/>
      </c>
      <c r="F303" s="52" t="e">
        <v>#REF!</v>
      </c>
      <c r="G303" s="48" t="e">
        <v>#REF!</v>
      </c>
      <c r="H303" s="49">
        <v>0</v>
      </c>
      <c r="I303" s="49" t="e">
        <v>#REF!</v>
      </c>
      <c r="J303" s="50"/>
    </row>
    <row r="304" outlineLevel="1" spans="1:10">
      <c r="A304" s="50">
        <v>249</v>
      </c>
      <c r="B304" s="51" t="str">
        <v>墙C30</v>
      </c>
      <c r="C304" s="51" t="e">
        <v>#REF!</v>
      </c>
      <c r="D304" s="51" t="str">
        <v/>
      </c>
      <c r="E304" s="51" t="str">
        <v/>
      </c>
      <c r="F304" s="52" t="e">
        <v>#REF!</v>
      </c>
      <c r="G304" s="48" t="e">
        <v>#REF!</v>
      </c>
      <c r="H304" s="49">
        <v>644.3097</v>
      </c>
      <c r="I304" s="49" t="e">
        <v>#REF!</v>
      </c>
      <c r="J304" s="50"/>
    </row>
    <row r="305" outlineLevel="1" spans="1:10">
      <c r="A305" s="50">
        <v>250</v>
      </c>
      <c r="B305" s="51" t="str">
        <v>墙C35</v>
      </c>
      <c r="C305" s="51" t="e">
        <v>#REF!</v>
      </c>
      <c r="D305" s="51" t="str">
        <v/>
      </c>
      <c r="E305" s="51" t="str">
        <v/>
      </c>
      <c r="F305" s="52" t="e">
        <v>#REF!</v>
      </c>
      <c r="G305" s="48" t="e">
        <v>#REF!</v>
      </c>
      <c r="H305" s="49">
        <v>0</v>
      </c>
      <c r="I305" s="49" t="e">
        <v>#REF!</v>
      </c>
      <c r="J305" s="50"/>
    </row>
    <row r="306" outlineLevel="1" spans="1:10">
      <c r="A306" s="50">
        <v>251</v>
      </c>
      <c r="B306" s="51" t="str">
        <v>电梯井壁墙C30</v>
      </c>
      <c r="C306" s="51" t="e">
        <v>#REF!</v>
      </c>
      <c r="D306" s="51" t="str">
        <v/>
      </c>
      <c r="E306" s="51" t="str">
        <v/>
      </c>
      <c r="F306" s="52" t="e">
        <v>#REF!</v>
      </c>
      <c r="G306" s="48" t="e">
        <v>#REF!</v>
      </c>
      <c r="H306" s="49">
        <v>40.3422</v>
      </c>
      <c r="I306" s="49" t="e">
        <v>#REF!</v>
      </c>
      <c r="J306" s="50"/>
    </row>
    <row r="307" outlineLevel="1" spans="1:10">
      <c r="A307" s="50">
        <v>252</v>
      </c>
      <c r="B307" s="51" t="str">
        <v>电梯井壁墙C35</v>
      </c>
      <c r="C307" s="51" t="e">
        <v>#REF!</v>
      </c>
      <c r="D307" s="51" t="str">
        <v/>
      </c>
      <c r="E307" s="51" t="str">
        <v/>
      </c>
      <c r="F307" s="52" t="e">
        <v>#REF!</v>
      </c>
      <c r="G307" s="48" t="e">
        <v>#REF!</v>
      </c>
      <c r="H307" s="49">
        <v>0</v>
      </c>
      <c r="I307" s="49" t="e">
        <v>#REF!</v>
      </c>
      <c r="J307" s="50"/>
    </row>
    <row r="308" outlineLevel="1" spans="1:10">
      <c r="A308" s="50">
        <v>253</v>
      </c>
      <c r="B308" s="51" t="str">
        <v>平板C30</v>
      </c>
      <c r="C308" s="51" t="e">
        <v>#REF!</v>
      </c>
      <c r="D308" s="51" t="str">
        <v/>
      </c>
      <c r="E308" s="51" t="str">
        <v/>
      </c>
      <c r="F308" s="52" t="e">
        <v>#REF!</v>
      </c>
      <c r="G308" s="48" t="e">
        <v>#REF!</v>
      </c>
      <c r="H308" s="49">
        <v>47.4378</v>
      </c>
      <c r="I308" s="49" t="e">
        <v>#REF!</v>
      </c>
      <c r="J308" s="50"/>
    </row>
    <row r="309" outlineLevel="1" spans="1:10">
      <c r="A309" s="50">
        <v>254</v>
      </c>
      <c r="B309" s="51" t="str">
        <v>斜板C30</v>
      </c>
      <c r="C309" s="51" t="e">
        <v>#REF!</v>
      </c>
      <c r="D309" s="51" t="str">
        <v/>
      </c>
      <c r="E309" s="51" t="str">
        <v/>
      </c>
      <c r="F309" s="52" t="e">
        <v>#REF!</v>
      </c>
      <c r="G309" s="48" t="e">
        <v>#REF!</v>
      </c>
      <c r="H309" s="49">
        <v>0</v>
      </c>
      <c r="I309" s="49" t="e">
        <v>#REF!</v>
      </c>
      <c r="J309" s="50"/>
    </row>
    <row r="310" outlineLevel="1" spans="1:10">
      <c r="A310" s="50">
        <v>255</v>
      </c>
      <c r="B310" s="51" t="str">
        <v>拱板C30</v>
      </c>
      <c r="C310" s="51" t="e">
        <v>#REF!</v>
      </c>
      <c r="D310" s="51" t="str">
        <v/>
      </c>
      <c r="E310" s="51" t="str">
        <v/>
      </c>
      <c r="F310" s="52" t="e">
        <v>#REF!</v>
      </c>
      <c r="G310" s="48" t="e">
        <v>#REF!</v>
      </c>
      <c r="H310" s="49">
        <v>0</v>
      </c>
      <c r="I310" s="49" t="e">
        <v>#REF!</v>
      </c>
      <c r="J310" s="50"/>
    </row>
    <row r="311" outlineLevel="1" spans="1:10">
      <c r="A311" s="50">
        <v>256</v>
      </c>
      <c r="B311" s="51" t="str">
        <v>叠合板现浇部位C30</v>
      </c>
      <c r="C311" s="51" t="e">
        <v>#REF!</v>
      </c>
      <c r="D311" s="51" t="str">
        <v/>
      </c>
      <c r="E311" s="51" t="str">
        <v/>
      </c>
      <c r="F311" s="52" t="e">
        <v>#REF!</v>
      </c>
      <c r="G311" s="48" t="e">
        <v>#REF!</v>
      </c>
      <c r="H311" s="49">
        <v>283.3482</v>
      </c>
      <c r="I311" s="49" t="e">
        <v>#REF!</v>
      </c>
      <c r="J311" s="50"/>
    </row>
    <row r="312" outlineLevel="1" spans="1:10">
      <c r="A312" s="50">
        <v>257</v>
      </c>
      <c r="B312" s="51" t="str">
        <v>PC板补板缝C30</v>
      </c>
      <c r="C312" s="51" t="e">
        <v>#REF!</v>
      </c>
      <c r="D312" s="51" t="str">
        <v/>
      </c>
      <c r="E312" s="51" t="str">
        <v/>
      </c>
      <c r="F312" s="52" t="e">
        <v>#REF!</v>
      </c>
      <c r="G312" s="48" t="e">
        <v>#REF!</v>
      </c>
      <c r="H312" s="49">
        <v>29.17</v>
      </c>
      <c r="I312" s="49" t="e">
        <v>#REF!</v>
      </c>
      <c r="J312" s="50"/>
    </row>
    <row r="313" outlineLevel="1" spans="1:10">
      <c r="A313" s="50">
        <v>258</v>
      </c>
      <c r="B313" s="51" t="str">
        <v>雨篷C30</v>
      </c>
      <c r="C313" s="51" t="e">
        <v>#REF!</v>
      </c>
      <c r="D313" s="51" t="str">
        <v/>
      </c>
      <c r="E313" s="51" t="str">
        <v/>
      </c>
      <c r="F313" s="52" t="e">
        <v>#REF!</v>
      </c>
      <c r="G313" s="48" t="e">
        <v>#REF!</v>
      </c>
      <c r="H313" s="49">
        <v>1.3332</v>
      </c>
      <c r="I313" s="49" t="e">
        <v>#REF!</v>
      </c>
      <c r="J313" s="50"/>
    </row>
    <row r="314" outlineLevel="1" spans="1:10">
      <c r="A314" s="50">
        <v>259</v>
      </c>
      <c r="B314" s="51" t="str">
        <v>天沟(檐沟）挑檐板C30</v>
      </c>
      <c r="C314" s="51" t="e">
        <v>#REF!</v>
      </c>
      <c r="D314" s="51" t="str">
        <v/>
      </c>
      <c r="E314" s="51" t="str">
        <v/>
      </c>
      <c r="F314" s="52" t="e">
        <v>#REF!</v>
      </c>
      <c r="G314" s="48" t="e">
        <v>#REF!</v>
      </c>
      <c r="H314" s="49">
        <v>73.7595</v>
      </c>
      <c r="I314" s="49" t="e">
        <v>#REF!</v>
      </c>
      <c r="J314" s="50"/>
    </row>
    <row r="315" outlineLevel="1" spans="1:10">
      <c r="A315" s="50">
        <v>260</v>
      </c>
      <c r="B315" s="51" t="str">
        <v>栏板C30</v>
      </c>
      <c r="C315" s="51" t="e">
        <v>#REF!</v>
      </c>
      <c r="D315" s="51" t="str">
        <v/>
      </c>
      <c r="E315" s="51" t="str">
        <v/>
      </c>
      <c r="F315" s="52" t="e">
        <v>#REF!</v>
      </c>
      <c r="G315" s="48" t="e">
        <v>#REF!</v>
      </c>
      <c r="H315" s="49">
        <v>5.1594</v>
      </c>
      <c r="I315" s="49" t="e">
        <v>#REF!</v>
      </c>
      <c r="J315" s="50"/>
    </row>
    <row r="316" outlineLevel="1" spans="1:10">
      <c r="A316" s="50">
        <v>261</v>
      </c>
      <c r="B316" s="51" t="str">
        <v>直形楼梯C30</v>
      </c>
      <c r="C316" s="51" t="e">
        <v>#REF!</v>
      </c>
      <c r="D316" s="51" t="str">
        <v/>
      </c>
      <c r="E316" s="51" t="str">
        <v/>
      </c>
      <c r="F316" s="52" t="e">
        <v>#REF!</v>
      </c>
      <c r="G316" s="48" t="e">
        <v>#REF!</v>
      </c>
      <c r="H316" s="49">
        <v>12.1431</v>
      </c>
      <c r="I316" s="49" t="e">
        <v>#REF!</v>
      </c>
      <c r="J316" s="50"/>
    </row>
    <row r="317" outlineLevel="1" spans="1:10">
      <c r="A317" s="50">
        <v>262</v>
      </c>
      <c r="B317" s="51" t="str">
        <v>设备基础C25</v>
      </c>
      <c r="C317" s="51" t="e">
        <v>#REF!</v>
      </c>
      <c r="D317" s="51" t="str">
        <v/>
      </c>
      <c r="E317" s="51" t="str">
        <v/>
      </c>
      <c r="F317" s="52" t="e">
        <v>#REF!</v>
      </c>
      <c r="G317" s="48" t="e">
        <v>#REF!</v>
      </c>
      <c r="H317" s="49">
        <v>0</v>
      </c>
      <c r="I317" s="49" t="e">
        <v>#REF!</v>
      </c>
      <c r="J317" s="50"/>
    </row>
    <row r="318" outlineLevel="1" spans="1:10">
      <c r="A318" s="50">
        <v>263</v>
      </c>
      <c r="B318" s="51" t="str">
        <v>自密实混凝土-50厚C30</v>
      </c>
      <c r="C318" s="51" t="e">
        <v>#REF!</v>
      </c>
      <c r="D318" s="51" t="str">
        <v/>
      </c>
      <c r="E318" s="51" t="str">
        <v/>
      </c>
      <c r="F318" s="52" t="e">
        <v>#REF!</v>
      </c>
      <c r="G318" s="48" t="e">
        <v>#REF!</v>
      </c>
      <c r="H318" s="49">
        <v>0</v>
      </c>
      <c r="I318" s="49" t="e">
        <v>#REF!</v>
      </c>
      <c r="J318" s="50"/>
    </row>
    <row r="319" outlineLevel="1" spans="1:10">
      <c r="A319" s="50">
        <v>264</v>
      </c>
      <c r="B319" s="51" t="str">
        <v>预制钢筋混凝土叠合楼板</v>
      </c>
      <c r="C319" s="51" t="e">
        <v>#REF!</v>
      </c>
      <c r="D319" s="51" t="str">
        <v/>
      </c>
      <c r="E319" s="51" t="str">
        <v/>
      </c>
      <c r="F319" s="52" t="e">
        <v>#REF!</v>
      </c>
      <c r="G319" s="48" t="e">
        <v>#REF!</v>
      </c>
      <c r="H319" s="49">
        <v>216.6428</v>
      </c>
      <c r="I319" s="49" t="e">
        <v>#REF!</v>
      </c>
      <c r="J319" s="50"/>
    </row>
    <row r="320" outlineLevel="1" spans="1:10">
      <c r="A320" s="50">
        <v>265</v>
      </c>
      <c r="B320" s="51" t="str">
        <v>预制钢筋混凝土空调板</v>
      </c>
      <c r="C320" s="51" t="e">
        <v>#REF!</v>
      </c>
      <c r="D320" s="51" t="str">
        <v/>
      </c>
      <c r="E320" s="51" t="str">
        <v/>
      </c>
      <c r="F320" s="52" t="e">
        <v>#REF!</v>
      </c>
      <c r="G320" s="48" t="e">
        <v>#REF!</v>
      </c>
      <c r="H320" s="49">
        <v>0</v>
      </c>
      <c r="I320" s="49" t="e">
        <v>#REF!</v>
      </c>
      <c r="J320" s="50"/>
    </row>
    <row r="321" outlineLevel="1" spans="1:10">
      <c r="A321" s="50">
        <v>266</v>
      </c>
      <c r="B321" s="51" t="str">
        <v>预制钢筋混凝土楼梯</v>
      </c>
      <c r="C321" s="51" t="e">
        <v>#REF!</v>
      </c>
      <c r="D321" s="51" t="str">
        <v/>
      </c>
      <c r="E321" s="51" t="str">
        <v/>
      </c>
      <c r="F321" s="52" t="e">
        <v>#REF!</v>
      </c>
      <c r="G321" s="48" t="e">
        <v>#REF!</v>
      </c>
      <c r="H321" s="49">
        <v>10.913</v>
      </c>
      <c r="I321" s="49" t="e">
        <v>#REF!</v>
      </c>
      <c r="J321" s="50"/>
    </row>
    <row r="322" outlineLevel="1" spans="1:10">
      <c r="A322" s="50" t="str">
        <v/>
      </c>
      <c r="B322" s="51" t="str">
        <v>A.02.02钢筋工程</v>
      </c>
      <c r="C322" s="51" t="str">
        <v/>
      </c>
      <c r="D322" s="51" t="str">
        <v/>
      </c>
      <c r="E322" s="51" t="str">
        <v/>
      </c>
      <c r="F322" s="52" t="str">
        <v/>
      </c>
      <c r="G322" s="48" t="str">
        <v/>
      </c>
      <c r="H322" s="49">
        <v>0</v>
      </c>
      <c r="I322" s="49" t="e">
        <v>#REF!</v>
      </c>
      <c r="J322" s="50"/>
    </row>
    <row r="323" ht="28.8" outlineLevel="1" spans="1:10">
      <c r="A323" s="50">
        <v>267</v>
      </c>
      <c r="B323" s="51" t="str">
        <v>地上现浇构件钢筋-φ10以内</v>
      </c>
      <c r="C323" s="51" t="e">
        <v>#REF!</v>
      </c>
      <c r="D323" s="51" t="str">
        <v/>
      </c>
      <c r="E323" s="51" t="str">
        <v/>
      </c>
      <c r="F323" s="52" t="e">
        <v>#REF!</v>
      </c>
      <c r="G323" s="48" t="e">
        <v>#REF!</v>
      </c>
      <c r="H323" s="49">
        <v>0.3769</v>
      </c>
      <c r="I323" s="49" t="e">
        <v>#REF!</v>
      </c>
      <c r="J323" s="50"/>
    </row>
    <row r="324" ht="28.8" outlineLevel="1" spans="1:10">
      <c r="A324" s="50">
        <v>268</v>
      </c>
      <c r="B324" s="51" t="str">
        <v>地上现浇构件钢筋-三级钢筋 Φ6</v>
      </c>
      <c r="C324" s="51" t="e">
        <v>#REF!</v>
      </c>
      <c r="D324" s="51" t="str">
        <v/>
      </c>
      <c r="E324" s="51" t="str">
        <v/>
      </c>
      <c r="F324" s="52" t="e">
        <v>#REF!</v>
      </c>
      <c r="G324" s="48" t="e">
        <v>#REF!</v>
      </c>
      <c r="H324" s="49">
        <v>4.513</v>
      </c>
      <c r="I324" s="49" t="e">
        <v>#REF!</v>
      </c>
      <c r="J324" s="50"/>
    </row>
    <row r="325" ht="28.8" outlineLevel="1" spans="1:10">
      <c r="A325" s="50">
        <v>269</v>
      </c>
      <c r="B325" s="51" t="str">
        <v>地上现浇构件钢筋-三级钢筋 Φ8</v>
      </c>
      <c r="C325" s="51" t="e">
        <v>#REF!</v>
      </c>
      <c r="D325" s="51" t="str">
        <v/>
      </c>
      <c r="E325" s="51" t="str">
        <v/>
      </c>
      <c r="F325" s="52" t="e">
        <v>#REF!</v>
      </c>
      <c r="G325" s="48" t="e">
        <v>#REF!</v>
      </c>
      <c r="H325" s="49">
        <v>54.265</v>
      </c>
      <c r="I325" s="49" t="e">
        <v>#REF!</v>
      </c>
      <c r="J325" s="50"/>
    </row>
    <row r="326" ht="28.8" outlineLevel="1" spans="1:10">
      <c r="A326" s="50">
        <v>270</v>
      </c>
      <c r="B326" s="51" t="str">
        <v>地上现浇构件钢筋-三级钢筋 Φ10</v>
      </c>
      <c r="C326" s="51" t="e">
        <v>#REF!</v>
      </c>
      <c r="D326" s="51" t="str">
        <v/>
      </c>
      <c r="E326" s="51" t="str">
        <v/>
      </c>
      <c r="F326" s="52" t="e">
        <v>#REF!</v>
      </c>
      <c r="G326" s="48" t="e">
        <v>#REF!</v>
      </c>
      <c r="H326" s="49">
        <v>14.469</v>
      </c>
      <c r="I326" s="49" t="e">
        <v>#REF!</v>
      </c>
      <c r="J326" s="50"/>
    </row>
    <row r="327" ht="28.8" outlineLevel="1" spans="1:10">
      <c r="A327" s="50">
        <v>271</v>
      </c>
      <c r="B327" s="51" t="str">
        <v>地上现浇构件钢筋-三级钢筋 Φ12</v>
      </c>
      <c r="C327" s="51" t="e">
        <v>#REF!</v>
      </c>
      <c r="D327" s="51" t="str">
        <v/>
      </c>
      <c r="E327" s="51" t="str">
        <v/>
      </c>
      <c r="F327" s="52" t="e">
        <v>#REF!</v>
      </c>
      <c r="G327" s="48" t="e">
        <v>#REF!</v>
      </c>
      <c r="H327" s="49">
        <v>33.224</v>
      </c>
      <c r="I327" s="49" t="e">
        <v>#REF!</v>
      </c>
      <c r="J327" s="50"/>
    </row>
    <row r="328" ht="28.8" outlineLevel="1" spans="1:10">
      <c r="A328" s="50">
        <v>272</v>
      </c>
      <c r="B328" s="51" t="str">
        <v>地上现浇构件钢筋-三级钢筋 Φ14</v>
      </c>
      <c r="C328" s="51" t="e">
        <v>#REF!</v>
      </c>
      <c r="D328" s="51" t="str">
        <v/>
      </c>
      <c r="E328" s="51" t="str">
        <v/>
      </c>
      <c r="F328" s="52" t="e">
        <v>#REF!</v>
      </c>
      <c r="G328" s="48" t="e">
        <v>#REF!</v>
      </c>
      <c r="H328" s="49">
        <v>9.507</v>
      </c>
      <c r="I328" s="49" t="e">
        <v>#REF!</v>
      </c>
      <c r="J328" s="50"/>
    </row>
    <row r="329" ht="28.8" outlineLevel="1" spans="1:10">
      <c r="A329" s="50">
        <v>273</v>
      </c>
      <c r="B329" s="51" t="str">
        <v>地上现浇构件钢筋-三级钢筋 Φ16</v>
      </c>
      <c r="C329" s="51" t="e">
        <v>#REF!</v>
      </c>
      <c r="D329" s="51" t="str">
        <v/>
      </c>
      <c r="E329" s="51" t="str">
        <v/>
      </c>
      <c r="F329" s="52" t="e">
        <v>#REF!</v>
      </c>
      <c r="G329" s="48" t="e">
        <v>#REF!</v>
      </c>
      <c r="H329" s="49">
        <v>13.675</v>
      </c>
      <c r="I329" s="49" t="e">
        <v>#REF!</v>
      </c>
      <c r="J329" s="50"/>
    </row>
    <row r="330" ht="28.8" outlineLevel="1" spans="1:10">
      <c r="A330" s="50">
        <v>274</v>
      </c>
      <c r="B330" s="51" t="str">
        <v>地上现浇构件钢筋-三级钢筋 Φ18</v>
      </c>
      <c r="C330" s="51" t="e">
        <v>#REF!</v>
      </c>
      <c r="D330" s="51" t="str">
        <v/>
      </c>
      <c r="E330" s="51" t="str">
        <v/>
      </c>
      <c r="F330" s="52" t="e">
        <v>#REF!</v>
      </c>
      <c r="G330" s="48" t="e">
        <v>#REF!</v>
      </c>
      <c r="H330" s="49">
        <v>9.998</v>
      </c>
      <c r="I330" s="49" t="e">
        <v>#REF!</v>
      </c>
      <c r="J330" s="50"/>
    </row>
    <row r="331" ht="28.8" outlineLevel="1" spans="1:10">
      <c r="A331" s="50">
        <v>275</v>
      </c>
      <c r="B331" s="51" t="str">
        <v>地上现浇构件钢筋-三级钢筋 Φ20</v>
      </c>
      <c r="C331" s="51" t="e">
        <v>#REF!</v>
      </c>
      <c r="D331" s="51" t="str">
        <v/>
      </c>
      <c r="E331" s="51" t="str">
        <v/>
      </c>
      <c r="F331" s="52" t="e">
        <v>#REF!</v>
      </c>
      <c r="G331" s="48" t="e">
        <v>#REF!</v>
      </c>
      <c r="H331" s="49">
        <v>11.189</v>
      </c>
      <c r="I331" s="49" t="e">
        <v>#REF!</v>
      </c>
      <c r="J331" s="50"/>
    </row>
    <row r="332" ht="28.8" outlineLevel="1" spans="1:10">
      <c r="A332" s="50">
        <v>276</v>
      </c>
      <c r="B332" s="51" t="str">
        <v>地上现浇构件钢筋-三级钢筋 Φ22</v>
      </c>
      <c r="C332" s="51" t="e">
        <v>#REF!</v>
      </c>
      <c r="D332" s="51" t="str">
        <v/>
      </c>
      <c r="E332" s="51" t="str">
        <v/>
      </c>
      <c r="F332" s="52" t="e">
        <v>#REF!</v>
      </c>
      <c r="G332" s="48" t="e">
        <v>#REF!</v>
      </c>
      <c r="H332" s="49">
        <v>5.202</v>
      </c>
      <c r="I332" s="49" t="e">
        <v>#REF!</v>
      </c>
      <c r="J332" s="50"/>
    </row>
    <row r="333" ht="28.8" outlineLevel="1" spans="1:10">
      <c r="A333" s="50">
        <v>277</v>
      </c>
      <c r="B333" s="51" t="str">
        <v>地上现浇构件钢筋-三级钢筋 Φ25</v>
      </c>
      <c r="C333" s="51" t="e">
        <v>#REF!</v>
      </c>
      <c r="D333" s="51" t="str">
        <v/>
      </c>
      <c r="E333" s="51" t="str">
        <v/>
      </c>
      <c r="F333" s="52" t="e">
        <v>#REF!</v>
      </c>
      <c r="G333" s="48" t="e">
        <v>#REF!</v>
      </c>
      <c r="H333" s="49">
        <v>0.736</v>
      </c>
      <c r="I333" s="49" t="e">
        <v>#REF!</v>
      </c>
      <c r="J333" s="50"/>
    </row>
    <row r="334" ht="28.8" outlineLevel="1" spans="1:10">
      <c r="A334" s="50">
        <v>278</v>
      </c>
      <c r="B334" s="51" t="str">
        <v>地上现浇构件措施钢筋-三级钢筋 Φ10</v>
      </c>
      <c r="C334" s="51" t="e">
        <v>#REF!</v>
      </c>
      <c r="D334" s="51" t="str">
        <v/>
      </c>
      <c r="E334" s="51" t="str">
        <v/>
      </c>
      <c r="F334" s="52" t="e">
        <v>#REF!</v>
      </c>
      <c r="G334" s="48" t="e">
        <v>#REF!</v>
      </c>
      <c r="H334" s="49">
        <v>0.064</v>
      </c>
      <c r="I334" s="49" t="e">
        <v>#REF!</v>
      </c>
      <c r="J334" s="50"/>
    </row>
    <row r="335" ht="28.8" outlineLevel="1" spans="1:10">
      <c r="A335" s="50">
        <v>279</v>
      </c>
      <c r="B335" s="51" t="str">
        <v>钢筋接头-直螺纹连接-φ20以内</v>
      </c>
      <c r="C335" s="51" t="e">
        <v>#REF!</v>
      </c>
      <c r="D335" s="51" t="str">
        <v/>
      </c>
      <c r="E335" s="51" t="str">
        <v/>
      </c>
      <c r="F335" s="52" t="e">
        <v>#REF!</v>
      </c>
      <c r="G335" s="48" t="e">
        <v>#REF!</v>
      </c>
      <c r="H335" s="49">
        <v>8</v>
      </c>
      <c r="I335" s="49" t="e">
        <v>#REF!</v>
      </c>
      <c r="J335" s="50"/>
    </row>
    <row r="336" ht="28.8" outlineLevel="1" spans="1:10">
      <c r="A336" s="50">
        <v>280</v>
      </c>
      <c r="B336" s="51" t="str">
        <v>钢筋接头-直螺纹连接-Φ30以内</v>
      </c>
      <c r="C336" s="51" t="e">
        <v>#REF!</v>
      </c>
      <c r="D336" s="51" t="str">
        <v/>
      </c>
      <c r="E336" s="51" t="str">
        <v/>
      </c>
      <c r="F336" s="52" t="e">
        <v>#REF!</v>
      </c>
      <c r="G336" s="48" t="e">
        <v>#REF!</v>
      </c>
      <c r="H336" s="49">
        <v>0</v>
      </c>
      <c r="I336" s="49" t="e">
        <v>#REF!</v>
      </c>
      <c r="J336" s="50"/>
    </row>
    <row r="337" outlineLevel="1" spans="1:10">
      <c r="A337" s="50">
        <v>281</v>
      </c>
      <c r="B337" s="51" t="str">
        <v>钢筋接头-电渣压力焊</v>
      </c>
      <c r="C337" s="51" t="e">
        <v>#REF!</v>
      </c>
      <c r="D337" s="51" t="str">
        <v/>
      </c>
      <c r="E337" s="51" t="str">
        <v/>
      </c>
      <c r="F337" s="52" t="e">
        <v>#REF!</v>
      </c>
      <c r="G337" s="48" t="e">
        <v>#REF!</v>
      </c>
      <c r="H337" s="49">
        <v>7590</v>
      </c>
      <c r="I337" s="49" t="e">
        <v>#REF!</v>
      </c>
      <c r="J337" s="50"/>
    </row>
    <row r="338" outlineLevel="1" spans="1:10">
      <c r="A338" s="50" t="str">
        <v/>
      </c>
      <c r="B338" s="51" t="str">
        <v>A.03二次结构工程</v>
      </c>
      <c r="C338" s="51" t="str">
        <v/>
      </c>
      <c r="D338" s="51" t="str">
        <v/>
      </c>
      <c r="E338" s="51" t="str">
        <v/>
      </c>
      <c r="F338" s="52" t="str">
        <v/>
      </c>
      <c r="G338" s="48" t="str">
        <v/>
      </c>
      <c r="H338" s="49">
        <v>0</v>
      </c>
      <c r="I338" s="49" t="e">
        <v>#REF!</v>
      </c>
      <c r="J338" s="50"/>
    </row>
    <row r="339" outlineLevel="1" spans="1:10">
      <c r="A339" s="50" t="str">
        <v/>
      </c>
      <c r="B339" s="51" t="str">
        <v>A.03.01砌筑工程</v>
      </c>
      <c r="C339" s="51" t="str">
        <v/>
      </c>
      <c r="D339" s="51" t="str">
        <v/>
      </c>
      <c r="E339" s="51" t="str">
        <v/>
      </c>
      <c r="F339" s="52" t="str">
        <v/>
      </c>
      <c r="G339" s="48" t="str">
        <v/>
      </c>
      <c r="H339" s="49">
        <v>0</v>
      </c>
      <c r="I339" s="49" t="e">
        <v>#REF!</v>
      </c>
      <c r="J339" s="50"/>
    </row>
    <row r="340" outlineLevel="1" spans="1:10">
      <c r="A340" s="50">
        <v>282</v>
      </c>
      <c r="B340" s="51" t="str">
        <v>出屋面砖台阶</v>
      </c>
      <c r="C340" s="51" t="e">
        <v>#REF!</v>
      </c>
      <c r="D340" s="51" t="str">
        <v/>
      </c>
      <c r="E340" s="51" t="str">
        <v/>
      </c>
      <c r="F340" s="52" t="e">
        <v>#REF!</v>
      </c>
      <c r="G340" s="48" t="e">
        <v>#REF!</v>
      </c>
      <c r="H340" s="49">
        <v>0.865</v>
      </c>
      <c r="I340" s="49" t="e">
        <v>#REF!</v>
      </c>
      <c r="J340" s="50"/>
    </row>
    <row r="341" outlineLevel="1" spans="1:10">
      <c r="A341" s="50">
        <v>283</v>
      </c>
      <c r="B341" s="51" t="str">
        <v>加气混凝土砌块</v>
      </c>
      <c r="C341" s="51" t="e">
        <v>#REF!</v>
      </c>
      <c r="D341" s="51" t="str">
        <v/>
      </c>
      <c r="E341" s="51" t="str">
        <v/>
      </c>
      <c r="F341" s="52" t="e">
        <v>#REF!</v>
      </c>
      <c r="G341" s="48" t="e">
        <v>#REF!</v>
      </c>
      <c r="H341" s="49">
        <v>52.4087</v>
      </c>
      <c r="I341" s="49" t="e">
        <v>#REF!</v>
      </c>
      <c r="J341" s="50"/>
    </row>
    <row r="342" outlineLevel="1" spans="1:10">
      <c r="A342" s="50">
        <v>284</v>
      </c>
      <c r="B342" s="51" t="str">
        <v>管道包封砌筑</v>
      </c>
      <c r="C342" s="51" t="e">
        <v>#REF!</v>
      </c>
      <c r="D342" s="51" t="str">
        <v/>
      </c>
      <c r="E342" s="51" t="str">
        <v/>
      </c>
      <c r="F342" s="52" t="e">
        <v>#REF!</v>
      </c>
      <c r="G342" s="48" t="e">
        <v>#REF!</v>
      </c>
      <c r="H342" s="49">
        <v>0</v>
      </c>
      <c r="I342" s="49" t="e">
        <v>#REF!</v>
      </c>
      <c r="J342" s="50"/>
    </row>
    <row r="343" ht="28.8" outlineLevel="1" spans="1:10">
      <c r="A343" s="50">
        <v>285</v>
      </c>
      <c r="B343" s="51" t="str">
        <v>轻集料混凝土条板-100mm以内</v>
      </c>
      <c r="C343" s="51" t="e">
        <v>#REF!</v>
      </c>
      <c r="D343" s="51" t="str">
        <v/>
      </c>
      <c r="E343" s="51" t="str">
        <v/>
      </c>
      <c r="F343" s="52" t="e">
        <v>#REF!</v>
      </c>
      <c r="G343" s="48" t="e">
        <v>#REF!</v>
      </c>
      <c r="H343" s="49">
        <v>1111.124</v>
      </c>
      <c r="I343" s="49" t="e">
        <v>#REF!</v>
      </c>
      <c r="J343" s="50"/>
    </row>
    <row r="344" ht="28.8" outlineLevel="1" spans="1:10">
      <c r="A344" s="50">
        <v>286</v>
      </c>
      <c r="B344" s="51" t="str">
        <v>轻集料混凝土条板-200mm以内</v>
      </c>
      <c r="C344" s="51" t="e">
        <v>#REF!</v>
      </c>
      <c r="D344" s="51" t="str">
        <v/>
      </c>
      <c r="E344" s="51" t="str">
        <v/>
      </c>
      <c r="F344" s="52" t="e">
        <v>#REF!</v>
      </c>
      <c r="G344" s="48" t="e">
        <v>#REF!</v>
      </c>
      <c r="H344" s="49">
        <v>1043.3913</v>
      </c>
      <c r="I344" s="49" t="e">
        <v>#REF!</v>
      </c>
      <c r="J344" s="50"/>
    </row>
    <row r="345" outlineLevel="1" spans="1:10">
      <c r="A345" s="50">
        <v>287</v>
      </c>
      <c r="B345" s="51" t="str">
        <v>AAC内墙板-180mm以内</v>
      </c>
      <c r="C345" s="51" t="e">
        <v>#REF!</v>
      </c>
      <c r="D345" s="51" t="str">
        <v/>
      </c>
      <c r="E345" s="51" t="str">
        <v/>
      </c>
      <c r="F345" s="52" t="e">
        <v>#REF!</v>
      </c>
      <c r="G345" s="48" t="e">
        <v>#REF!</v>
      </c>
      <c r="H345" s="49">
        <v>466.79222222</v>
      </c>
      <c r="I345" s="49" t="e">
        <v>#REF!</v>
      </c>
      <c r="J345" s="50"/>
    </row>
    <row r="346" outlineLevel="1" spans="1:10">
      <c r="A346" s="50">
        <v>288</v>
      </c>
      <c r="B346" s="51" t="str">
        <v>AAC外墙板-100mm以内</v>
      </c>
      <c r="C346" s="51" t="e">
        <v>#REF!</v>
      </c>
      <c r="D346" s="51" t="str">
        <v/>
      </c>
      <c r="E346" s="51" t="str">
        <v/>
      </c>
      <c r="F346" s="52" t="e">
        <v>#REF!</v>
      </c>
      <c r="G346" s="48" t="e">
        <v>#REF!</v>
      </c>
      <c r="H346" s="49">
        <v>0</v>
      </c>
      <c r="I346" s="49" t="e">
        <v>#REF!</v>
      </c>
      <c r="J346" s="50"/>
    </row>
    <row r="347" outlineLevel="1" spans="1:10">
      <c r="A347" s="50">
        <v>289</v>
      </c>
      <c r="B347" s="51" t="str">
        <v>AAC外墙板-180mm以内</v>
      </c>
      <c r="C347" s="51" t="e">
        <v>#REF!</v>
      </c>
      <c r="D347" s="51" t="str">
        <v/>
      </c>
      <c r="E347" s="51" t="str">
        <v/>
      </c>
      <c r="F347" s="52" t="e">
        <v>#REF!</v>
      </c>
      <c r="G347" s="48" t="e">
        <v>#REF!</v>
      </c>
      <c r="H347" s="49">
        <v>11.37666667</v>
      </c>
      <c r="I347" s="49" t="e">
        <v>#REF!</v>
      </c>
      <c r="J347" s="50"/>
    </row>
    <row r="348" outlineLevel="1" spans="1:10">
      <c r="A348" s="50">
        <v>290</v>
      </c>
      <c r="B348" s="51" t="str">
        <v>AAC外墙板-280mm以内</v>
      </c>
      <c r="C348" s="51" t="e">
        <v>#REF!</v>
      </c>
      <c r="D348" s="51" t="str">
        <v/>
      </c>
      <c r="E348" s="51" t="str">
        <v/>
      </c>
      <c r="F348" s="52" t="e">
        <v>#REF!</v>
      </c>
      <c r="G348" s="48" t="e">
        <v>#REF!</v>
      </c>
      <c r="H348" s="49">
        <v>511.244</v>
      </c>
      <c r="I348" s="49" t="e">
        <v>#REF!</v>
      </c>
      <c r="J348" s="50"/>
    </row>
    <row r="349" outlineLevel="1" spans="1:10">
      <c r="A349" s="50">
        <v>291</v>
      </c>
      <c r="B349" s="51" t="str">
        <v>AAC自保温砌块</v>
      </c>
      <c r="C349" s="51" t="e">
        <v>#REF!</v>
      </c>
      <c r="D349" s="51" t="str">
        <v/>
      </c>
      <c r="E349" s="51" t="str">
        <v/>
      </c>
      <c r="F349" s="52" t="e">
        <v>#REF!</v>
      </c>
      <c r="G349" s="48" t="e">
        <v>#REF!</v>
      </c>
      <c r="H349" s="49">
        <v>0</v>
      </c>
      <c r="I349" s="49" t="e">
        <v>#REF!</v>
      </c>
      <c r="J349" s="50"/>
    </row>
    <row r="350" outlineLevel="1" spans="1:10">
      <c r="A350" s="50" t="str">
        <v/>
      </c>
      <c r="B350" s="51" t="str">
        <v>A.03.02混凝土工程</v>
      </c>
      <c r="C350" s="51" t="str">
        <v/>
      </c>
      <c r="D350" s="51" t="str">
        <v/>
      </c>
      <c r="E350" s="51" t="str">
        <v/>
      </c>
      <c r="F350" s="52" t="str">
        <v/>
      </c>
      <c r="G350" s="48" t="str">
        <v/>
      </c>
      <c r="H350" s="49">
        <v>0</v>
      </c>
      <c r="I350" s="49" t="e">
        <v>#REF!</v>
      </c>
      <c r="J350" s="50"/>
    </row>
    <row r="351" outlineLevel="1" spans="1:10">
      <c r="A351" s="50">
        <v>292</v>
      </c>
      <c r="B351" s="51" t="str">
        <v>构造柱C25</v>
      </c>
      <c r="C351" s="51" t="e">
        <v>#REF!</v>
      </c>
      <c r="D351" s="51" t="str">
        <v/>
      </c>
      <c r="E351" s="51" t="str">
        <v/>
      </c>
      <c r="F351" s="52" t="e">
        <v>#REF!</v>
      </c>
      <c r="G351" s="48" t="e">
        <v>#REF!</v>
      </c>
      <c r="H351" s="49">
        <v>10.4004</v>
      </c>
      <c r="I351" s="49" t="e">
        <v>#REF!</v>
      </c>
      <c r="J351" s="50"/>
    </row>
    <row r="352" outlineLevel="1" spans="1:10">
      <c r="A352" s="50">
        <v>293</v>
      </c>
      <c r="B352" s="51" t="str">
        <v>圈梁C25</v>
      </c>
      <c r="C352" s="51" t="e">
        <v>#REF!</v>
      </c>
      <c r="D352" s="51" t="str">
        <v/>
      </c>
      <c r="E352" s="51" t="str">
        <v/>
      </c>
      <c r="F352" s="52" t="e">
        <v>#REF!</v>
      </c>
      <c r="G352" s="48" t="e">
        <v>#REF!</v>
      </c>
      <c r="H352" s="49">
        <v>1.3457</v>
      </c>
      <c r="I352" s="49" t="e">
        <v>#REF!</v>
      </c>
      <c r="J352" s="50"/>
    </row>
    <row r="353" outlineLevel="1" spans="1:10">
      <c r="A353" s="50">
        <v>294</v>
      </c>
      <c r="B353" s="51" t="str">
        <v>门槛C20细石</v>
      </c>
      <c r="C353" s="51" t="e">
        <v>#REF!</v>
      </c>
      <c r="D353" s="51" t="str">
        <v/>
      </c>
      <c r="E353" s="51" t="str">
        <v/>
      </c>
      <c r="F353" s="52" t="e">
        <v>#REF!</v>
      </c>
      <c r="G353" s="48" t="e">
        <v>#REF!</v>
      </c>
      <c r="H353" s="49">
        <v>0.8196</v>
      </c>
      <c r="I353" s="49" t="e">
        <v>#REF!</v>
      </c>
      <c r="J353" s="50"/>
    </row>
    <row r="354" outlineLevel="1" spans="1:10">
      <c r="A354" s="50">
        <v>295</v>
      </c>
      <c r="B354" s="51" t="str">
        <v>反坎C20</v>
      </c>
      <c r="C354" s="51" t="e">
        <v>#REF!</v>
      </c>
      <c r="D354" s="51" t="str">
        <v/>
      </c>
      <c r="E354" s="51" t="str">
        <v/>
      </c>
      <c r="F354" s="52" t="e">
        <v>#REF!</v>
      </c>
      <c r="G354" s="48" t="e">
        <v>#REF!</v>
      </c>
      <c r="H354" s="49">
        <v>10.3414</v>
      </c>
      <c r="I354" s="49" t="e">
        <v>#REF!</v>
      </c>
      <c r="J354" s="50"/>
    </row>
    <row r="355" outlineLevel="1" spans="1:10">
      <c r="A355" s="50">
        <v>296</v>
      </c>
      <c r="B355" s="51" t="str">
        <v>过梁C25</v>
      </c>
      <c r="C355" s="51" t="e">
        <v>#REF!</v>
      </c>
      <c r="D355" s="51" t="str">
        <v/>
      </c>
      <c r="E355" s="51" t="str">
        <v/>
      </c>
      <c r="F355" s="52" t="e">
        <v>#REF!</v>
      </c>
      <c r="G355" s="48" t="e">
        <v>#REF!</v>
      </c>
      <c r="H355" s="49">
        <v>3.9722</v>
      </c>
      <c r="I355" s="49" t="e">
        <v>#REF!</v>
      </c>
      <c r="J355" s="50"/>
    </row>
    <row r="356" outlineLevel="1" spans="1:10">
      <c r="A356" s="50">
        <v>297</v>
      </c>
      <c r="B356" s="51" t="str">
        <v>压顶C25</v>
      </c>
      <c r="C356" s="51" t="e">
        <v>#REF!</v>
      </c>
      <c r="D356" s="51" t="str">
        <v/>
      </c>
      <c r="E356" s="51" t="str">
        <v/>
      </c>
      <c r="F356" s="52" t="e">
        <v>#REF!</v>
      </c>
      <c r="G356" s="48" t="e">
        <v>#REF!</v>
      </c>
      <c r="H356" s="49">
        <v>8.7011</v>
      </c>
      <c r="I356" s="49" t="e">
        <v>#REF!</v>
      </c>
      <c r="J356" s="50"/>
    </row>
    <row r="357" outlineLevel="1" spans="1:10">
      <c r="A357" s="50" t="str">
        <v/>
      </c>
      <c r="B357" s="51" t="str">
        <v>散水</v>
      </c>
      <c r="C357" s="51" t="str">
        <v/>
      </c>
      <c r="D357" s="51" t="str">
        <v/>
      </c>
      <c r="E357" s="51" t="str">
        <v/>
      </c>
      <c r="F357" s="52" t="str">
        <v/>
      </c>
      <c r="G357" s="48" t="str">
        <v/>
      </c>
      <c r="H357" s="49">
        <v>0</v>
      </c>
      <c r="I357" s="49">
        <v>0</v>
      </c>
      <c r="J357" s="50"/>
    </row>
    <row r="358" outlineLevel="1" spans="1:10">
      <c r="A358" s="50">
        <v>298</v>
      </c>
      <c r="B358" s="51" t="str">
        <v>散水-40厚C20细石</v>
      </c>
      <c r="C358" s="51" t="e">
        <v>#REF!</v>
      </c>
      <c r="D358" s="51" t="str">
        <v/>
      </c>
      <c r="E358" s="51" t="str">
        <v/>
      </c>
      <c r="F358" s="52" t="e">
        <v>#REF!</v>
      </c>
      <c r="G358" s="48" t="e">
        <v>#REF!</v>
      </c>
      <c r="H358" s="49">
        <v>27.12</v>
      </c>
      <c r="I358" s="49" t="e">
        <v>#REF!</v>
      </c>
      <c r="J358" s="50"/>
    </row>
    <row r="359" outlineLevel="1" spans="1:10">
      <c r="A359" s="50">
        <v>299</v>
      </c>
      <c r="B359" s="51" t="str">
        <v>散水-150厚3:7灰土</v>
      </c>
      <c r="C359" s="51" t="e">
        <v>#REF!</v>
      </c>
      <c r="D359" s="51" t="str">
        <v/>
      </c>
      <c r="E359" s="51" t="str">
        <v/>
      </c>
      <c r="F359" s="52" t="e">
        <v>#REF!</v>
      </c>
      <c r="G359" s="48" t="e">
        <v>#REF!</v>
      </c>
      <c r="H359" s="49">
        <v>27.12</v>
      </c>
      <c r="I359" s="49" t="e">
        <v>#REF!</v>
      </c>
      <c r="J359" s="50"/>
    </row>
    <row r="360" outlineLevel="1" spans="1:10">
      <c r="A360" s="50">
        <v>300</v>
      </c>
      <c r="B360" s="51" t="str">
        <v>散水-素土夯实</v>
      </c>
      <c r="C360" s="51" t="e">
        <v>#REF!</v>
      </c>
      <c r="D360" s="51" t="str">
        <v/>
      </c>
      <c r="E360" s="51" t="str">
        <v/>
      </c>
      <c r="F360" s="52" t="e">
        <v>#REF!</v>
      </c>
      <c r="G360" s="48" t="e">
        <v>#REF!</v>
      </c>
      <c r="H360" s="49">
        <v>27.12</v>
      </c>
      <c r="I360" s="49" t="e">
        <v>#REF!</v>
      </c>
      <c r="J360" s="50"/>
    </row>
    <row r="361" outlineLevel="1" spans="1:10">
      <c r="A361" s="50" t="str">
        <v/>
      </c>
      <c r="B361" s="51" t="str">
        <v/>
      </c>
      <c r="C361" s="51" t="str">
        <v>成品明沟</v>
      </c>
      <c r="D361" s="51" t="str">
        <v/>
      </c>
      <c r="E361" s="51" t="str">
        <v/>
      </c>
      <c r="F361" s="52" t="str">
        <v/>
      </c>
      <c r="G361" s="48" t="str">
        <v/>
      </c>
      <c r="H361" s="49">
        <v>0</v>
      </c>
      <c r="I361" s="49">
        <v>0</v>
      </c>
      <c r="J361" s="50"/>
    </row>
    <row r="362" ht="28.8" outlineLevel="1" spans="1:10">
      <c r="A362" s="50">
        <v>298</v>
      </c>
      <c r="B362" s="51" t="str">
        <v>成品排水沟（含结构篦子）</v>
      </c>
      <c r="C362" s="51" t="e">
        <v>#REF!</v>
      </c>
      <c r="D362" s="51" t="str">
        <v/>
      </c>
      <c r="E362" s="51" t="str">
        <v/>
      </c>
      <c r="F362" s="52" t="e">
        <v>#REF!</v>
      </c>
      <c r="G362" s="48" t="e">
        <v>#REF!</v>
      </c>
      <c r="H362" s="49">
        <v>50.85</v>
      </c>
      <c r="I362" s="49" t="e">
        <v>#REF!</v>
      </c>
      <c r="J362" s="50"/>
    </row>
    <row r="363" outlineLevel="1" spans="1:10">
      <c r="A363" s="50" t="str">
        <v/>
      </c>
      <c r="B363" s="51" t="str">
        <v>明沟</v>
      </c>
      <c r="C363" s="51" t="str">
        <v/>
      </c>
      <c r="D363" s="51" t="str">
        <v/>
      </c>
      <c r="E363" s="51" t="str">
        <v/>
      </c>
      <c r="F363" s="52" t="str">
        <v/>
      </c>
      <c r="G363" s="48" t="str">
        <v/>
      </c>
      <c r="H363" s="49">
        <v>0</v>
      </c>
      <c r="I363" s="49">
        <v>0</v>
      </c>
      <c r="J363" s="50"/>
    </row>
    <row r="364" outlineLevel="1" spans="1:10">
      <c r="A364" s="50">
        <v>301</v>
      </c>
      <c r="B364" s="51" t="str">
        <v>明沟-雨水篦子</v>
      </c>
      <c r="C364" s="51" t="e">
        <v>#REF!</v>
      </c>
      <c r="D364" s="51" t="str">
        <v/>
      </c>
      <c r="E364" s="51" t="str">
        <v/>
      </c>
      <c r="F364" s="52" t="e">
        <v>#REF!</v>
      </c>
      <c r="G364" s="48" t="e">
        <v>#REF!</v>
      </c>
      <c r="H364" s="49">
        <v>0</v>
      </c>
      <c r="I364" s="49" t="e">
        <v>#REF!</v>
      </c>
      <c r="J364" s="50"/>
    </row>
    <row r="365" outlineLevel="1" spans="1:10">
      <c r="A365" s="50">
        <v>302</v>
      </c>
      <c r="B365" s="51" t="str">
        <v>明沟-20厚M20水泥砂浆</v>
      </c>
      <c r="C365" s="51" t="e">
        <v>#REF!</v>
      </c>
      <c r="D365" s="51" t="str">
        <v/>
      </c>
      <c r="E365" s="51" t="str">
        <v/>
      </c>
      <c r="F365" s="52" t="e">
        <v>#REF!</v>
      </c>
      <c r="G365" s="48" t="e">
        <v>#REF!</v>
      </c>
      <c r="H365" s="49">
        <v>0</v>
      </c>
      <c r="I365" s="49" t="e">
        <v>#REF!</v>
      </c>
      <c r="J365" s="50"/>
    </row>
    <row r="366" outlineLevel="1" spans="1:10">
      <c r="A366" s="50">
        <v>303</v>
      </c>
      <c r="B366" s="51" t="str">
        <v>明沟-20厚C20细石砼找坡</v>
      </c>
      <c r="C366" s="51" t="e">
        <v>#REF!</v>
      </c>
      <c r="D366" s="51" t="str">
        <v/>
      </c>
      <c r="E366" s="51" t="str">
        <v/>
      </c>
      <c r="F366" s="52" t="e">
        <v>#REF!</v>
      </c>
      <c r="G366" s="48" t="e">
        <v>#REF!</v>
      </c>
      <c r="H366" s="49">
        <v>0</v>
      </c>
      <c r="I366" s="49" t="e">
        <v>#REF!</v>
      </c>
      <c r="J366" s="50"/>
    </row>
    <row r="367" outlineLevel="1" spans="1:10">
      <c r="A367" s="50">
        <v>304</v>
      </c>
      <c r="B367" s="51" t="str">
        <v>明沟-80厚C20砼</v>
      </c>
      <c r="C367" s="51" t="e">
        <v>#REF!</v>
      </c>
      <c r="D367" s="51" t="str">
        <v/>
      </c>
      <c r="E367" s="51" t="str">
        <v/>
      </c>
      <c r="F367" s="52" t="e">
        <v>#REF!</v>
      </c>
      <c r="G367" s="48" t="e">
        <v>#REF!</v>
      </c>
      <c r="H367" s="49">
        <v>0</v>
      </c>
      <c r="I367" s="49" t="e">
        <v>#REF!</v>
      </c>
      <c r="J367" s="50"/>
    </row>
    <row r="368" outlineLevel="1" spans="1:10">
      <c r="A368" s="50">
        <v>305</v>
      </c>
      <c r="B368" s="51" t="str">
        <v>明沟-100厚3:7灰土</v>
      </c>
      <c r="C368" s="51" t="e">
        <v>#REF!</v>
      </c>
      <c r="D368" s="51" t="str">
        <v/>
      </c>
      <c r="E368" s="51" t="str">
        <v/>
      </c>
      <c r="F368" s="52" t="e">
        <v>#REF!</v>
      </c>
      <c r="G368" s="48" t="e">
        <v>#REF!</v>
      </c>
      <c r="H368" s="49">
        <v>0</v>
      </c>
      <c r="I368" s="49" t="e">
        <v>#REF!</v>
      </c>
      <c r="J368" s="50"/>
    </row>
    <row r="369" ht="28.8" outlineLevel="1" spans="1:10">
      <c r="A369" s="50" t="str">
        <v/>
      </c>
      <c r="B369" s="51" t="str">
        <v>台阶（参12J1-155-台6，结构面交付）</v>
      </c>
      <c r="C369" s="51" t="str">
        <v/>
      </c>
      <c r="D369" s="51" t="str">
        <v/>
      </c>
      <c r="E369" s="51" t="str">
        <v/>
      </c>
      <c r="F369" s="52" t="str">
        <v/>
      </c>
      <c r="G369" s="48" t="str">
        <v/>
      </c>
      <c r="H369" s="49">
        <v>0</v>
      </c>
      <c r="I369" s="49">
        <v>0</v>
      </c>
      <c r="J369" s="50"/>
    </row>
    <row r="370" outlineLevel="1" spans="1:10">
      <c r="A370" s="50">
        <v>306</v>
      </c>
      <c r="B370" s="51" t="str">
        <v>台阶-60厚C15砼</v>
      </c>
      <c r="C370" s="51" t="e">
        <v>#REF!</v>
      </c>
      <c r="D370" s="51" t="str">
        <v/>
      </c>
      <c r="E370" s="51" t="str">
        <v/>
      </c>
      <c r="F370" s="52" t="e">
        <v>#REF!</v>
      </c>
      <c r="G370" s="48" t="e">
        <v>#REF!</v>
      </c>
      <c r="H370" s="49">
        <v>0</v>
      </c>
      <c r="I370" s="49" t="e">
        <v>#REF!</v>
      </c>
      <c r="J370" s="50"/>
    </row>
    <row r="371" outlineLevel="1" spans="1:10">
      <c r="A371" s="50">
        <v>307</v>
      </c>
      <c r="B371" s="51" t="str">
        <v>台阶-300厚3:7灰土</v>
      </c>
      <c r="C371" s="51" t="e">
        <v>#REF!</v>
      </c>
      <c r="D371" s="51" t="str">
        <v/>
      </c>
      <c r="E371" s="51" t="str">
        <v/>
      </c>
      <c r="F371" s="52" t="e">
        <v>#REF!</v>
      </c>
      <c r="G371" s="48" t="e">
        <v>#REF!</v>
      </c>
      <c r="H371" s="49">
        <v>0</v>
      </c>
      <c r="I371" s="49" t="e">
        <v>#REF!</v>
      </c>
      <c r="J371" s="50"/>
    </row>
    <row r="372" outlineLevel="1" spans="1:10">
      <c r="A372" s="50">
        <v>308</v>
      </c>
      <c r="B372" s="51" t="str">
        <v>台阶-素土夯实</v>
      </c>
      <c r="C372" s="51" t="e">
        <v>#REF!</v>
      </c>
      <c r="D372" s="51" t="str">
        <v/>
      </c>
      <c r="E372" s="51" t="str">
        <v/>
      </c>
      <c r="F372" s="52" t="e">
        <v>#REF!</v>
      </c>
      <c r="G372" s="48" t="e">
        <v>#REF!</v>
      </c>
      <c r="H372" s="49">
        <v>0</v>
      </c>
      <c r="I372" s="49" t="e">
        <v>#REF!</v>
      </c>
      <c r="J372" s="50"/>
    </row>
    <row r="373" ht="28.8" outlineLevel="1" spans="1:10">
      <c r="A373" s="50" t="str">
        <v/>
      </c>
      <c r="B373" s="51" t="str">
        <v>坡道（参12J12-25-3，结构面交付）</v>
      </c>
      <c r="C373" s="51" t="str">
        <v/>
      </c>
      <c r="D373" s="51" t="str">
        <v/>
      </c>
      <c r="E373" s="51" t="str">
        <v/>
      </c>
      <c r="F373" s="52" t="str">
        <v/>
      </c>
      <c r="G373" s="48" t="str">
        <v/>
      </c>
      <c r="H373" s="49">
        <v>0</v>
      </c>
      <c r="I373" s="49">
        <v>0</v>
      </c>
      <c r="J373" s="50"/>
    </row>
    <row r="374" outlineLevel="1" spans="1:10">
      <c r="A374" s="50">
        <v>309</v>
      </c>
      <c r="B374" s="51" t="str">
        <v>坡道-100厚C15</v>
      </c>
      <c r="C374" s="51" t="e">
        <v>#REF!</v>
      </c>
      <c r="D374" s="51" t="str">
        <v/>
      </c>
      <c r="E374" s="51" t="str">
        <v/>
      </c>
      <c r="F374" s="52" t="e">
        <v>#REF!</v>
      </c>
      <c r="G374" s="48" t="e">
        <v>#REF!</v>
      </c>
      <c r="H374" s="49">
        <v>17.23</v>
      </c>
      <c r="I374" s="49" t="e">
        <v>#REF!</v>
      </c>
      <c r="J374" s="50"/>
    </row>
    <row r="375" outlineLevel="1" spans="1:10">
      <c r="A375" s="50">
        <v>310</v>
      </c>
      <c r="B375" s="51" t="str">
        <v>坡道-300厚3:7灰土</v>
      </c>
      <c r="C375" s="51" t="e">
        <v>#REF!</v>
      </c>
      <c r="D375" s="51" t="str">
        <v/>
      </c>
      <c r="E375" s="51" t="str">
        <v/>
      </c>
      <c r="F375" s="52" t="e">
        <v>#REF!</v>
      </c>
      <c r="G375" s="48" t="e">
        <v>#REF!</v>
      </c>
      <c r="H375" s="49">
        <v>17.23</v>
      </c>
      <c r="I375" s="49" t="e">
        <v>#REF!</v>
      </c>
      <c r="J375" s="50"/>
    </row>
    <row r="376" outlineLevel="1" spans="1:10">
      <c r="A376" s="50">
        <v>311</v>
      </c>
      <c r="B376" s="51" t="str">
        <v>坡道-素土夯实</v>
      </c>
      <c r="C376" s="51" t="e">
        <v>#REF!</v>
      </c>
      <c r="D376" s="51" t="str">
        <v/>
      </c>
      <c r="E376" s="51" t="str">
        <v/>
      </c>
      <c r="F376" s="52" t="e">
        <v>#REF!</v>
      </c>
      <c r="G376" s="48" t="e">
        <v>#REF!</v>
      </c>
      <c r="H376" s="49">
        <v>17.23</v>
      </c>
      <c r="I376" s="49" t="e">
        <v>#REF!</v>
      </c>
      <c r="J376" s="50"/>
    </row>
    <row r="377" outlineLevel="1" spans="1:10">
      <c r="A377" s="50">
        <v>312</v>
      </c>
      <c r="B377" s="51" t="str">
        <v>水簸箕-C20细石砼</v>
      </c>
      <c r="C377" s="51" t="e">
        <v>#REF!</v>
      </c>
      <c r="D377" s="51" t="str">
        <v/>
      </c>
      <c r="E377" s="51" t="str">
        <v/>
      </c>
      <c r="F377" s="52" t="e">
        <v>#REF!</v>
      </c>
      <c r="G377" s="48" t="e">
        <v>#REF!</v>
      </c>
      <c r="H377" s="49">
        <v>0</v>
      </c>
      <c r="I377" s="49" t="e">
        <v>#REF!</v>
      </c>
      <c r="J377" s="50"/>
    </row>
    <row r="378" outlineLevel="1" spans="1:10">
      <c r="A378" s="50">
        <v>313</v>
      </c>
      <c r="B378" s="51" t="str">
        <v>卫生间排气道</v>
      </c>
      <c r="C378" s="51" t="e">
        <v>#REF!</v>
      </c>
      <c r="D378" s="51" t="str">
        <v/>
      </c>
      <c r="E378" s="51" t="str">
        <v/>
      </c>
      <c r="F378" s="52" t="e">
        <v>#REF!</v>
      </c>
      <c r="G378" s="48" t="e">
        <v>#REF!</v>
      </c>
      <c r="H378" s="49">
        <v>190.2</v>
      </c>
      <c r="I378" s="49" t="e">
        <v>#REF!</v>
      </c>
      <c r="J378" s="50"/>
    </row>
    <row r="379" outlineLevel="1" spans="1:10">
      <c r="A379" s="50">
        <v>314</v>
      </c>
      <c r="B379" s="51" t="str">
        <v>厨房排气道</v>
      </c>
      <c r="C379" s="51" t="e">
        <v>#REF!</v>
      </c>
      <c r="D379" s="51" t="str">
        <v/>
      </c>
      <c r="E379" s="51" t="str">
        <v/>
      </c>
      <c r="F379" s="52" t="e">
        <v>#REF!</v>
      </c>
      <c r="G379" s="48" t="e">
        <v>#REF!</v>
      </c>
      <c r="H379" s="49">
        <v>63.4</v>
      </c>
      <c r="I379" s="49" t="e">
        <v>#REF!</v>
      </c>
      <c r="J379" s="50"/>
    </row>
    <row r="380" outlineLevel="1" spans="1:10">
      <c r="A380" s="50" t="str">
        <v/>
      </c>
      <c r="B380" s="51" t="str">
        <v>A.03.03钢筋工程</v>
      </c>
      <c r="C380" s="51" t="str">
        <v/>
      </c>
      <c r="D380" s="51" t="str">
        <v/>
      </c>
      <c r="E380" s="51" t="str">
        <v/>
      </c>
      <c r="F380" s="52" t="str">
        <v/>
      </c>
      <c r="G380" s="48" t="str">
        <v/>
      </c>
      <c r="H380" s="49">
        <v>0</v>
      </c>
      <c r="I380" s="49" t="e">
        <v>#REF!</v>
      </c>
      <c r="J380" s="50"/>
    </row>
    <row r="381" ht="28.8" outlineLevel="1" spans="1:10">
      <c r="A381" s="50">
        <v>315</v>
      </c>
      <c r="B381" s="51" t="str">
        <v>地上现浇构件钢筋-φ10以内</v>
      </c>
      <c r="C381" s="51" t="e">
        <v>#REF!</v>
      </c>
      <c r="D381" s="51" t="str">
        <v/>
      </c>
      <c r="E381" s="51" t="str">
        <v/>
      </c>
      <c r="F381" s="52" t="e">
        <v>#REF!</v>
      </c>
      <c r="G381" s="48" t="e">
        <v>#REF!</v>
      </c>
      <c r="H381" s="49">
        <v>0.1083</v>
      </c>
      <c r="I381" s="49" t="e">
        <v>#REF!</v>
      </c>
      <c r="J381" s="50"/>
    </row>
    <row r="382" ht="28.8" outlineLevel="1" spans="1:10">
      <c r="A382" s="50">
        <v>316</v>
      </c>
      <c r="B382" s="51" t="str">
        <v>地上现浇构件钢筋-三级钢筋 Φ6</v>
      </c>
      <c r="C382" s="51" t="e">
        <v>#REF!</v>
      </c>
      <c r="D382" s="51" t="str">
        <v/>
      </c>
      <c r="E382" s="51" t="str">
        <v/>
      </c>
      <c r="F382" s="52" t="e">
        <v>#REF!</v>
      </c>
      <c r="G382" s="48" t="e">
        <v>#REF!</v>
      </c>
      <c r="H382" s="49">
        <v>0.837</v>
      </c>
      <c r="I382" s="49" t="e">
        <v>#REF!</v>
      </c>
      <c r="J382" s="50"/>
    </row>
    <row r="383" ht="28.8" outlineLevel="1" spans="1:10">
      <c r="A383" s="50">
        <v>317</v>
      </c>
      <c r="B383" s="51" t="str">
        <v>地上现浇构件钢筋-三级钢筋 Φ8</v>
      </c>
      <c r="C383" s="51" t="e">
        <v>#REF!</v>
      </c>
      <c r="D383" s="51" t="str">
        <v/>
      </c>
      <c r="E383" s="51" t="str">
        <v/>
      </c>
      <c r="F383" s="52" t="e">
        <v>#REF!</v>
      </c>
      <c r="G383" s="48" t="e">
        <v>#REF!</v>
      </c>
      <c r="H383" s="49">
        <v>0.315</v>
      </c>
      <c r="I383" s="49" t="e">
        <v>#REF!</v>
      </c>
      <c r="J383" s="50"/>
    </row>
    <row r="384" ht="28.8" outlineLevel="1" spans="1:10">
      <c r="A384" s="50">
        <v>318</v>
      </c>
      <c r="B384" s="51" t="str">
        <v>地上现浇构件钢筋-三级钢筋 Φ10</v>
      </c>
      <c r="C384" s="51" t="e">
        <v>#REF!</v>
      </c>
      <c r="D384" s="51" t="str">
        <v/>
      </c>
      <c r="E384" s="51" t="str">
        <v/>
      </c>
      <c r="F384" s="52" t="e">
        <v>#REF!</v>
      </c>
      <c r="G384" s="48" t="e">
        <v>#REF!</v>
      </c>
      <c r="H384" s="49">
        <v>0.631</v>
      </c>
      <c r="I384" s="49" t="e">
        <v>#REF!</v>
      </c>
      <c r="J384" s="50"/>
    </row>
    <row r="385" ht="28.8" outlineLevel="1" spans="1:10">
      <c r="A385" s="50">
        <v>319</v>
      </c>
      <c r="B385" s="51" t="str">
        <v>地上现浇构件钢筋-三级钢筋 Φ12</v>
      </c>
      <c r="C385" s="51" t="e">
        <v>#REF!</v>
      </c>
      <c r="D385" s="51" t="str">
        <v/>
      </c>
      <c r="E385" s="51" t="str">
        <v/>
      </c>
      <c r="F385" s="52" t="e">
        <v>#REF!</v>
      </c>
      <c r="G385" s="48" t="e">
        <v>#REF!</v>
      </c>
      <c r="H385" s="49">
        <v>0.844</v>
      </c>
      <c r="I385" s="49" t="e">
        <v>#REF!</v>
      </c>
      <c r="J385" s="50"/>
    </row>
    <row r="386" ht="28.8" outlineLevel="1" spans="1:10">
      <c r="A386" s="50">
        <v>320</v>
      </c>
      <c r="B386" s="51" t="str">
        <v>地上砌体加筋-三级钢筋 Φ6</v>
      </c>
      <c r="C386" s="51" t="e">
        <v>#REF!</v>
      </c>
      <c r="D386" s="51" t="str">
        <v/>
      </c>
      <c r="E386" s="51" t="str">
        <v/>
      </c>
      <c r="F386" s="52" t="e">
        <v>#REF!</v>
      </c>
      <c r="G386" s="48" t="e">
        <v>#REF!</v>
      </c>
      <c r="H386" s="49">
        <v>0.032</v>
      </c>
      <c r="I386" s="49" t="e">
        <v>#REF!</v>
      </c>
      <c r="J386" s="50"/>
    </row>
    <row r="387" ht="28.8" outlineLevel="1" spans="1:10">
      <c r="A387" s="50">
        <v>321</v>
      </c>
      <c r="B387" s="51" t="str">
        <v>地上现浇构件钢筋-三级钢筋 Φ20</v>
      </c>
      <c r="C387" s="51" t="e">
        <v>#REF!</v>
      </c>
      <c r="D387" s="51" t="str">
        <v/>
      </c>
      <c r="E387" s="51" t="str">
        <v/>
      </c>
      <c r="F387" s="52" t="e">
        <v>#REF!</v>
      </c>
      <c r="G387" s="48" t="e">
        <v>#REF!</v>
      </c>
      <c r="H387" s="49">
        <v>0</v>
      </c>
      <c r="I387" s="49" t="e">
        <v>#REF!</v>
      </c>
      <c r="J387" s="50"/>
    </row>
    <row r="388" outlineLevel="1" spans="1:10">
      <c r="A388" s="50" t="str">
        <v/>
      </c>
      <c r="B388" s="51" t="str">
        <v>A.03.04金属工程</v>
      </c>
      <c r="C388" s="51" t="str">
        <v/>
      </c>
      <c r="D388" s="51" t="str">
        <v/>
      </c>
      <c r="E388" s="51" t="str">
        <v/>
      </c>
      <c r="F388" s="52" t="str">
        <v/>
      </c>
      <c r="G388" s="48" t="str">
        <v/>
      </c>
      <c r="H388" s="49">
        <v>0</v>
      </c>
      <c r="I388" s="49" t="e">
        <v>#REF!</v>
      </c>
      <c r="J388" s="50"/>
    </row>
    <row r="389" outlineLevel="1" spans="1:10">
      <c r="A389" s="50">
        <v>322</v>
      </c>
      <c r="B389" s="51" t="str">
        <v>钢爬梯-屋面检修</v>
      </c>
      <c r="C389" s="51" t="e">
        <v>#REF!</v>
      </c>
      <c r="D389" s="51" t="str">
        <v/>
      </c>
      <c r="E389" s="51" t="str">
        <v/>
      </c>
      <c r="F389" s="52" t="e">
        <v>#REF!</v>
      </c>
      <c r="G389" s="48" t="e">
        <v>#REF!</v>
      </c>
      <c r="H389" s="49">
        <v>0.04</v>
      </c>
      <c r="I389" s="49" t="e">
        <v>#REF!</v>
      </c>
      <c r="J389" s="50"/>
    </row>
    <row r="390" outlineLevel="1" spans="1:10">
      <c r="A390" s="50">
        <v>323</v>
      </c>
      <c r="B390" s="51" t="str">
        <v>机房钢梯</v>
      </c>
      <c r="C390" s="51" t="e">
        <v>#REF!</v>
      </c>
      <c r="D390" s="51" t="str">
        <v/>
      </c>
      <c r="E390" s="51" t="str">
        <v/>
      </c>
      <c r="F390" s="52" t="e">
        <v>#REF!</v>
      </c>
      <c r="G390" s="48" t="e">
        <v>#REF!</v>
      </c>
      <c r="H390" s="49">
        <v>0</v>
      </c>
      <c r="I390" s="49" t="e">
        <v>#REF!</v>
      </c>
      <c r="J390" s="50"/>
    </row>
    <row r="391" ht="28.8" outlineLevel="1" spans="1:10">
      <c r="A391" s="50">
        <v>324</v>
      </c>
      <c r="B391" s="51" t="str">
        <v>不同材质墙体交接处挂钢丝网</v>
      </c>
      <c r="C391" s="51" t="e">
        <v>#REF!</v>
      </c>
      <c r="D391" s="51" t="str">
        <v/>
      </c>
      <c r="E391" s="51" t="str">
        <v/>
      </c>
      <c r="F391" s="52" t="e">
        <v>#REF!</v>
      </c>
      <c r="G391" s="48" t="e">
        <v>#REF!</v>
      </c>
      <c r="H391" s="49">
        <v>1877</v>
      </c>
      <c r="I391" s="49" t="e">
        <v>#REF!</v>
      </c>
      <c r="J391" s="50"/>
    </row>
    <row r="392" outlineLevel="1" spans="1:10">
      <c r="A392" s="50">
        <v>325</v>
      </c>
      <c r="B392" s="51" t="str">
        <v>砌块墙钢丝网满挂</v>
      </c>
      <c r="C392" s="51" t="e">
        <v>#REF!</v>
      </c>
      <c r="D392" s="51" t="str">
        <v/>
      </c>
      <c r="E392" s="51" t="str">
        <v/>
      </c>
      <c r="F392" s="52" t="e">
        <v>#REF!</v>
      </c>
      <c r="G392" s="48" t="e">
        <v>#REF!</v>
      </c>
      <c r="H392" s="49">
        <v>8000</v>
      </c>
      <c r="I392" s="49" t="e">
        <v>#REF!</v>
      </c>
      <c r="J392" s="50"/>
    </row>
    <row r="393" outlineLevel="1" spans="1:10">
      <c r="A393" s="50">
        <v>326</v>
      </c>
      <c r="B393" s="51" t="str">
        <v>预埋铁件</v>
      </c>
      <c r="C393" s="51" t="e">
        <v>#REF!</v>
      </c>
      <c r="D393" s="51" t="str">
        <v/>
      </c>
      <c r="E393" s="51" t="str">
        <v/>
      </c>
      <c r="F393" s="52" t="e">
        <v>#REF!</v>
      </c>
      <c r="G393" s="48" t="e">
        <v>#REF!</v>
      </c>
      <c r="H393" s="49">
        <v>0</v>
      </c>
      <c r="I393" s="49" t="e">
        <v>#REF!</v>
      </c>
      <c r="J393" s="50"/>
    </row>
    <row r="394" outlineLevel="1" spans="1:10">
      <c r="A394" s="50" t="str">
        <v/>
      </c>
      <c r="B394" s="51" t="str">
        <v>A.04隔热防水工程</v>
      </c>
      <c r="C394" s="51" t="str">
        <v/>
      </c>
      <c r="D394" s="51" t="str">
        <v/>
      </c>
      <c r="E394" s="51" t="str">
        <v/>
      </c>
      <c r="F394" s="52" t="str">
        <v/>
      </c>
      <c r="G394" s="48" t="str">
        <v/>
      </c>
      <c r="H394" s="49">
        <v>0</v>
      </c>
      <c r="I394" s="49" t="e">
        <v>#REF!</v>
      </c>
      <c r="J394" s="50"/>
    </row>
    <row r="395" outlineLevel="1" spans="1:10">
      <c r="A395" s="50" t="str">
        <v/>
      </c>
      <c r="B395" s="51" t="str">
        <v>A.04.02屋面与防水工程</v>
      </c>
      <c r="C395" s="51" t="str">
        <v/>
      </c>
      <c r="D395" s="51" t="str">
        <v/>
      </c>
      <c r="E395" s="51" t="str">
        <v/>
      </c>
      <c r="F395" s="52" t="str">
        <v/>
      </c>
      <c r="G395" s="48" t="str">
        <v/>
      </c>
      <c r="H395" s="49">
        <v>0</v>
      </c>
      <c r="I395" s="49" t="e">
        <v>#REF!</v>
      </c>
      <c r="J395" s="50"/>
    </row>
    <row r="396" outlineLevel="1" spans="1:10">
      <c r="A396" s="50" t="str">
        <v/>
      </c>
      <c r="B396" s="51" t="str">
        <v>住宅上人屋面</v>
      </c>
      <c r="C396" s="51" t="str">
        <v/>
      </c>
      <c r="D396" s="51" t="str">
        <v/>
      </c>
      <c r="E396" s="51" t="str">
        <v/>
      </c>
      <c r="F396" s="52" t="str">
        <v/>
      </c>
      <c r="G396" s="48" t="str">
        <v/>
      </c>
      <c r="H396" s="49">
        <v>0</v>
      </c>
      <c r="I396" s="49">
        <v>0</v>
      </c>
      <c r="J396" s="50"/>
    </row>
    <row r="397" outlineLevel="1" spans="1:10">
      <c r="A397" s="50">
        <v>327</v>
      </c>
      <c r="B397" s="51" t="str">
        <v>屋面-40厚C20细石砼</v>
      </c>
      <c r="C397" s="51" t="e">
        <v>#REF!</v>
      </c>
      <c r="D397" s="51" t="str">
        <v/>
      </c>
      <c r="E397" s="51" t="str">
        <v/>
      </c>
      <c r="F397" s="52" t="e">
        <v>#REF!</v>
      </c>
      <c r="G397" s="48" t="e">
        <v>#REF!</v>
      </c>
      <c r="H397" s="49">
        <v>0</v>
      </c>
      <c r="I397" s="49" t="e">
        <v>#REF!</v>
      </c>
      <c r="J397" s="50"/>
    </row>
    <row r="398" outlineLevel="1" spans="1:10">
      <c r="A398" s="50">
        <v>328</v>
      </c>
      <c r="B398" s="51" t="str">
        <v>屋面-φ4@200钢筋网</v>
      </c>
      <c r="C398" s="51" t="e">
        <v>#REF!</v>
      </c>
      <c r="D398" s="51" t="str">
        <v/>
      </c>
      <c r="E398" s="51" t="str">
        <v/>
      </c>
      <c r="F398" s="52" t="e">
        <v>#REF!</v>
      </c>
      <c r="G398" s="48" t="e">
        <v>#REF!</v>
      </c>
      <c r="H398" s="49">
        <v>0</v>
      </c>
      <c r="I398" s="49" t="e">
        <v>#REF!</v>
      </c>
      <c r="J398" s="50"/>
    </row>
    <row r="399" outlineLevel="1" spans="1:10">
      <c r="A399" s="50">
        <v>329</v>
      </c>
      <c r="B399" s="51" t="str">
        <v>屋面-土工布</v>
      </c>
      <c r="C399" s="51" t="e">
        <v>#REF!</v>
      </c>
      <c r="D399" s="51" t="str">
        <v/>
      </c>
      <c r="E399" s="51" t="str">
        <v/>
      </c>
      <c r="F399" s="52" t="e">
        <v>#REF!</v>
      </c>
      <c r="G399" s="48" t="e">
        <v>#REF!</v>
      </c>
      <c r="H399" s="49">
        <v>0</v>
      </c>
      <c r="I399" s="49" t="e">
        <v>#REF!</v>
      </c>
      <c r="J399" s="50"/>
    </row>
    <row r="400" outlineLevel="1" spans="1:10">
      <c r="A400" s="50">
        <v>330</v>
      </c>
      <c r="B400" s="51" t="str">
        <v>屋面-3+3SBS</v>
      </c>
      <c r="C400" s="51" t="e">
        <v>#REF!</v>
      </c>
      <c r="D400" s="51" t="str">
        <v/>
      </c>
      <c r="E400" s="51" t="str">
        <v/>
      </c>
      <c r="F400" s="52" t="e">
        <v>#REF!</v>
      </c>
      <c r="G400" s="48" t="e">
        <v>#REF!</v>
      </c>
      <c r="H400" s="49">
        <v>0</v>
      </c>
      <c r="I400" s="49" t="e">
        <v>#REF!</v>
      </c>
      <c r="J400" s="50"/>
    </row>
    <row r="401" outlineLevel="1" spans="1:10">
      <c r="A401" s="50">
        <v>331</v>
      </c>
      <c r="B401" s="51" t="str">
        <v>屋面-30厚C20细石砼</v>
      </c>
      <c r="C401" s="51" t="e">
        <v>#REF!</v>
      </c>
      <c r="D401" s="51" t="str">
        <v>屋面</v>
      </c>
      <c r="E401" s="51" t="str">
        <v>屋面</v>
      </c>
      <c r="F401" s="52" t="e">
        <v>#REF!</v>
      </c>
      <c r="G401" s="48" t="e">
        <v>#REF!</v>
      </c>
      <c r="H401" s="49">
        <v>0</v>
      </c>
      <c r="I401" s="49" t="e">
        <v>#REF!</v>
      </c>
      <c r="J401" s="50"/>
    </row>
    <row r="402" ht="28.8" outlineLevel="1" spans="1:10">
      <c r="A402" s="50">
        <v>332</v>
      </c>
      <c r="B402" s="51" t="str">
        <v>屋面-最薄处30厚焦渣找坡</v>
      </c>
      <c r="C402" s="51" t="e">
        <v>#REF!</v>
      </c>
      <c r="D402" s="51" t="str">
        <v/>
      </c>
      <c r="E402" s="51" t="str">
        <v/>
      </c>
      <c r="F402" s="52" t="e">
        <v>#REF!</v>
      </c>
      <c r="G402" s="48" t="e">
        <v>#REF!</v>
      </c>
      <c r="H402" s="49">
        <v>0</v>
      </c>
      <c r="I402" s="49" t="e">
        <v>#REF!</v>
      </c>
      <c r="J402" s="50"/>
    </row>
    <row r="403" outlineLevel="1" spans="1:10">
      <c r="A403" s="50">
        <v>333</v>
      </c>
      <c r="B403" s="51" t="str">
        <v>屋面-110厚XPS</v>
      </c>
      <c r="C403" s="51" t="e">
        <v>#REF!</v>
      </c>
      <c r="D403" s="51" t="str">
        <v/>
      </c>
      <c r="E403" s="51" t="str">
        <v/>
      </c>
      <c r="F403" s="52" t="e">
        <v>#REF!</v>
      </c>
      <c r="G403" s="48" t="e">
        <v>#REF!</v>
      </c>
      <c r="H403" s="49">
        <v>0</v>
      </c>
      <c r="I403" s="49" t="e">
        <v>#REF!</v>
      </c>
      <c r="J403" s="50"/>
    </row>
    <row r="404" outlineLevel="1" spans="1:10">
      <c r="A404" s="50">
        <v>334</v>
      </c>
      <c r="B404" s="51" t="str">
        <v>屋面-190厚EPS</v>
      </c>
      <c r="C404" s="51" t="e">
        <v>#REF!</v>
      </c>
      <c r="D404" s="51" t="str">
        <v/>
      </c>
      <c r="E404" s="51" t="str">
        <v/>
      </c>
      <c r="F404" s="52" t="e">
        <v>#REF!</v>
      </c>
      <c r="G404" s="48" t="e">
        <v>#REF!</v>
      </c>
      <c r="H404" s="49">
        <v>0</v>
      </c>
      <c r="I404" s="49" t="e">
        <v>#REF!</v>
      </c>
      <c r="J404" s="50"/>
    </row>
    <row r="405" outlineLevel="1" spans="1:10">
      <c r="A405" s="50" t="str">
        <v/>
      </c>
      <c r="B405" s="51" t="str">
        <v>被动式住宅屋面</v>
      </c>
      <c r="C405" s="51" t="str">
        <v/>
      </c>
      <c r="D405" s="51" t="str">
        <v/>
      </c>
      <c r="E405" s="51" t="str">
        <v/>
      </c>
      <c r="F405" s="52" t="str">
        <v/>
      </c>
      <c r="G405" s="48" t="str">
        <v/>
      </c>
      <c r="H405" s="49">
        <v>0</v>
      </c>
      <c r="I405" s="49">
        <v>0</v>
      </c>
      <c r="J405" s="50"/>
    </row>
    <row r="406" outlineLevel="1" spans="1:10">
      <c r="A406" s="50">
        <v>335</v>
      </c>
      <c r="B406" s="51" t="str">
        <v>屋面-40厚C20细石砼</v>
      </c>
      <c r="C406" s="51" t="e">
        <v>#REF!</v>
      </c>
      <c r="D406" s="51" t="str">
        <v/>
      </c>
      <c r="E406" s="51" t="str">
        <v/>
      </c>
      <c r="F406" s="52" t="e">
        <v>#REF!</v>
      </c>
      <c r="G406" s="48" t="e">
        <v>#REF!</v>
      </c>
      <c r="H406" s="49">
        <v>316</v>
      </c>
      <c r="I406" s="49" t="e">
        <v>#REF!</v>
      </c>
      <c r="J406" s="50"/>
    </row>
    <row r="407" outlineLevel="1" spans="1:10">
      <c r="A407" s="50">
        <v>336</v>
      </c>
      <c r="B407" s="51" t="str">
        <v>屋面-φ4@200钢筋网</v>
      </c>
      <c r="C407" s="51" t="e">
        <v>#REF!</v>
      </c>
      <c r="D407" s="51" t="str">
        <v/>
      </c>
      <c r="E407" s="51" t="str">
        <v/>
      </c>
      <c r="F407" s="52" t="e">
        <v>#REF!</v>
      </c>
      <c r="G407" s="48" t="e">
        <v>#REF!</v>
      </c>
      <c r="H407" s="49">
        <v>316</v>
      </c>
      <c r="I407" s="49" t="e">
        <v>#REF!</v>
      </c>
      <c r="J407" s="50"/>
    </row>
    <row r="408" outlineLevel="1" spans="1:10">
      <c r="A408" s="50">
        <v>337</v>
      </c>
      <c r="B408" s="51" t="str">
        <v>屋面-M7.5水泥砂浆</v>
      </c>
      <c r="C408" s="51" t="e">
        <v>#REF!</v>
      </c>
      <c r="D408" s="51" t="str">
        <v/>
      </c>
      <c r="E408" s="51" t="str">
        <v/>
      </c>
      <c r="F408" s="52" t="e">
        <v>#REF!</v>
      </c>
      <c r="G408" s="48" t="e">
        <v>#REF!</v>
      </c>
      <c r="H408" s="49">
        <v>316</v>
      </c>
      <c r="I408" s="49" t="e">
        <v>#REF!</v>
      </c>
      <c r="J408" s="50"/>
    </row>
    <row r="409" ht="28.8" outlineLevel="1" spans="1:10">
      <c r="A409" s="50">
        <v>338</v>
      </c>
      <c r="B409" s="51" t="str">
        <v>屋面-4厚PE玻纤加强聚酯胎卷材</v>
      </c>
      <c r="C409" s="51" t="e">
        <v>#REF!</v>
      </c>
      <c r="D409" s="51" t="str">
        <v/>
      </c>
      <c r="E409" s="51" t="str">
        <v/>
      </c>
      <c r="F409" s="52" t="e">
        <v>#REF!</v>
      </c>
      <c r="G409" s="48" t="e">
        <v>#REF!</v>
      </c>
      <c r="H409" s="49">
        <v>316</v>
      </c>
      <c r="I409" s="49" t="e">
        <v>#REF!</v>
      </c>
      <c r="J409" s="50"/>
    </row>
    <row r="410" outlineLevel="1" spans="1:10">
      <c r="A410" s="50">
        <v>339</v>
      </c>
      <c r="B410" s="51" t="str">
        <v>屋面-3厚PE玻纤胎卷材</v>
      </c>
      <c r="C410" s="51" t="e">
        <v>#REF!</v>
      </c>
      <c r="D410" s="51" t="str">
        <v/>
      </c>
      <c r="E410" s="51" t="str">
        <v/>
      </c>
      <c r="F410" s="52" t="e">
        <v>#REF!</v>
      </c>
      <c r="G410" s="48" t="e">
        <v>#REF!</v>
      </c>
      <c r="H410" s="49">
        <v>316</v>
      </c>
      <c r="I410" s="49" t="e">
        <v>#REF!</v>
      </c>
      <c r="J410" s="50"/>
    </row>
    <row r="411" outlineLevel="1" spans="1:10">
      <c r="A411" s="50">
        <v>340</v>
      </c>
      <c r="B411" s="51" t="str">
        <v>屋面-250厚石墨聚苯板</v>
      </c>
      <c r="C411" s="51" t="e">
        <v>#REF!</v>
      </c>
      <c r="D411" s="51" t="str">
        <v/>
      </c>
      <c r="E411" s="51" t="str">
        <v/>
      </c>
      <c r="F411" s="52" t="e">
        <v>#REF!</v>
      </c>
      <c r="G411" s="48" t="e">
        <v>#REF!</v>
      </c>
      <c r="H411" s="49">
        <v>316</v>
      </c>
      <c r="I411" s="49" t="e">
        <v>#REF!</v>
      </c>
      <c r="J411" s="50"/>
    </row>
    <row r="412" ht="28.8" outlineLevel="1" spans="1:10">
      <c r="A412" s="50">
        <v>341</v>
      </c>
      <c r="B412" s="51" t="str">
        <v>屋面-1.2铝箔面玻纤胎卷材</v>
      </c>
      <c r="C412" s="51" t="e">
        <v>#REF!</v>
      </c>
      <c r="D412" s="51" t="str">
        <v/>
      </c>
      <c r="E412" s="51" t="str">
        <v/>
      </c>
      <c r="F412" s="52" t="e">
        <v>#REF!</v>
      </c>
      <c r="G412" s="48" t="e">
        <v>#REF!</v>
      </c>
      <c r="H412" s="49">
        <v>316</v>
      </c>
      <c r="I412" s="49" t="e">
        <v>#REF!</v>
      </c>
      <c r="J412" s="50"/>
    </row>
    <row r="413" outlineLevel="1" spans="1:10">
      <c r="A413" s="50">
        <v>342</v>
      </c>
      <c r="B413" s="51" t="str">
        <v>屋面-30厚C20细石砼找坡</v>
      </c>
      <c r="C413" s="51" t="e">
        <v>#REF!</v>
      </c>
      <c r="D413" s="51" t="str">
        <v/>
      </c>
      <c r="E413" s="51" t="str">
        <v/>
      </c>
      <c r="F413" s="52" t="e">
        <v>#REF!</v>
      </c>
      <c r="G413" s="48" t="e">
        <v>#REF!</v>
      </c>
      <c r="H413" s="49">
        <v>316</v>
      </c>
      <c r="I413" s="49" t="e">
        <v>#REF!</v>
      </c>
      <c r="J413" s="50"/>
    </row>
    <row r="414" ht="28.8" outlineLevel="1" spans="1:10">
      <c r="A414" s="50" t="str">
        <v/>
      </c>
      <c r="B414" s="51" t="str">
        <v>住宅非上人屋面（楼梯间.门厅.水箱间等）</v>
      </c>
      <c r="C414" s="51" t="str">
        <v/>
      </c>
      <c r="D414" s="51" t="str">
        <v/>
      </c>
      <c r="E414" s="51" t="str">
        <v/>
      </c>
      <c r="F414" s="52" t="str">
        <v/>
      </c>
      <c r="G414" s="48" t="str">
        <v/>
      </c>
      <c r="H414" s="49">
        <v>0</v>
      </c>
      <c r="I414" s="49">
        <v>0</v>
      </c>
      <c r="J414" s="50"/>
    </row>
    <row r="415" ht="28.8" outlineLevel="1" spans="1:10">
      <c r="A415" s="50">
        <v>343</v>
      </c>
      <c r="B415" s="51" t="str">
        <v>屋面-20厚M15水泥砂浆保护层</v>
      </c>
      <c r="C415" s="51" t="e">
        <v>#REF!</v>
      </c>
      <c r="D415" s="51" t="str">
        <v/>
      </c>
      <c r="E415" s="51" t="str">
        <v/>
      </c>
      <c r="F415" s="52" t="e">
        <v>#REF!</v>
      </c>
      <c r="G415" s="48" t="e">
        <v>#REF!</v>
      </c>
      <c r="H415" s="49">
        <v>177</v>
      </c>
      <c r="I415" s="49" t="e">
        <v>#REF!</v>
      </c>
      <c r="J415" s="50"/>
    </row>
    <row r="416" outlineLevel="1" spans="1:10">
      <c r="A416" s="50">
        <v>344</v>
      </c>
      <c r="B416" s="51" t="str">
        <v>屋面-土工布</v>
      </c>
      <c r="C416" s="51" t="e">
        <v>#REF!</v>
      </c>
      <c r="D416" s="51" t="str">
        <v/>
      </c>
      <c r="E416" s="51" t="str">
        <v/>
      </c>
      <c r="F416" s="52" t="e">
        <v>#REF!</v>
      </c>
      <c r="G416" s="48" t="e">
        <v>#REF!</v>
      </c>
      <c r="H416" s="49">
        <v>177</v>
      </c>
      <c r="I416" s="49" t="e">
        <v>#REF!</v>
      </c>
      <c r="J416" s="50"/>
    </row>
    <row r="417" outlineLevel="1" spans="1:10">
      <c r="A417" s="50">
        <v>345</v>
      </c>
      <c r="B417" s="51" t="str">
        <v>屋面-3+3SBS</v>
      </c>
      <c r="C417" s="51" t="e">
        <v>#REF!</v>
      </c>
      <c r="D417" s="51" t="str">
        <v/>
      </c>
      <c r="E417" s="51" t="str">
        <v/>
      </c>
      <c r="F417" s="52" t="e">
        <v>#REF!</v>
      </c>
      <c r="G417" s="48" t="e">
        <v>#REF!</v>
      </c>
      <c r="H417" s="49">
        <v>177</v>
      </c>
      <c r="I417" s="49" t="e">
        <v>#REF!</v>
      </c>
      <c r="J417" s="50"/>
    </row>
    <row r="418" outlineLevel="1" spans="1:10">
      <c r="A418" s="50">
        <v>346</v>
      </c>
      <c r="B418" s="51" t="str">
        <v>屋面-30厚C20细石砼</v>
      </c>
      <c r="C418" s="51" t="e">
        <v>#REF!</v>
      </c>
      <c r="D418" s="51" t="str">
        <v/>
      </c>
      <c r="E418" s="51" t="str">
        <v/>
      </c>
      <c r="F418" s="52" t="e">
        <v>#REF!</v>
      </c>
      <c r="G418" s="48" t="e">
        <v>#REF!</v>
      </c>
      <c r="H418" s="49">
        <v>177</v>
      </c>
      <c r="I418" s="49" t="e">
        <v>#REF!</v>
      </c>
      <c r="J418" s="50"/>
    </row>
    <row r="419" ht="28.8" outlineLevel="1" spans="1:10">
      <c r="A419" s="50">
        <v>347</v>
      </c>
      <c r="B419" s="51" t="str">
        <v>屋面-最薄处30厚焦渣找坡</v>
      </c>
      <c r="C419" s="51" t="e">
        <v>#REF!</v>
      </c>
      <c r="D419" s="51" t="str">
        <v/>
      </c>
      <c r="E419" s="51" t="str">
        <v/>
      </c>
      <c r="F419" s="52" t="e">
        <v>#REF!</v>
      </c>
      <c r="G419" s="48" t="e">
        <v>#REF!</v>
      </c>
      <c r="H419" s="49">
        <v>177</v>
      </c>
      <c r="I419" s="49" t="e">
        <v>#REF!</v>
      </c>
      <c r="J419" s="50"/>
    </row>
    <row r="420" outlineLevel="1" spans="1:10">
      <c r="A420" s="50">
        <v>348</v>
      </c>
      <c r="B420" s="51" t="str">
        <v>屋面-110厚XPS</v>
      </c>
      <c r="C420" s="51" t="e">
        <v>#REF!</v>
      </c>
      <c r="D420" s="51" t="str">
        <v/>
      </c>
      <c r="E420" s="51" t="str">
        <v/>
      </c>
      <c r="F420" s="52" t="e">
        <v>#REF!</v>
      </c>
      <c r="G420" s="48" t="e">
        <v>#REF!</v>
      </c>
      <c r="H420" s="49">
        <v>0</v>
      </c>
      <c r="I420" s="49" t="e">
        <v>#REF!</v>
      </c>
      <c r="J420" s="50"/>
    </row>
    <row r="421" outlineLevel="1" spans="1:10">
      <c r="A421" s="50">
        <v>349</v>
      </c>
      <c r="B421" s="51" t="str">
        <v>屋面-190厚EPS</v>
      </c>
      <c r="C421" s="51" t="e">
        <v>#REF!</v>
      </c>
      <c r="D421" s="51" t="str">
        <v/>
      </c>
      <c r="E421" s="51" t="str">
        <v/>
      </c>
      <c r="F421" s="52" t="e">
        <v>#REF!</v>
      </c>
      <c r="G421" s="48" t="e">
        <v>#REF!</v>
      </c>
      <c r="H421" s="49">
        <v>177</v>
      </c>
      <c r="I421" s="49" t="e">
        <v>#REF!</v>
      </c>
      <c r="J421" s="50"/>
    </row>
    <row r="422" ht="43.2" outlineLevel="1" spans="1:10">
      <c r="A422" s="50" t="str">
        <v/>
      </c>
      <c r="B422" s="51" t="str">
        <v>住宅非上人屋面（楼梯间.门厅.水箱间等）与主楼相连</v>
      </c>
      <c r="C422" s="51" t="str">
        <v/>
      </c>
      <c r="D422" s="51" t="str">
        <v/>
      </c>
      <c r="E422" s="51" t="str">
        <v/>
      </c>
      <c r="F422" s="52" t="str">
        <v/>
      </c>
      <c r="G422" s="48" t="str">
        <v/>
      </c>
      <c r="H422" s="49">
        <v>0</v>
      </c>
      <c r="I422" s="49">
        <v>0</v>
      </c>
      <c r="J422" s="50"/>
    </row>
    <row r="423" ht="28.8" outlineLevel="1" spans="1:10">
      <c r="A423" s="50">
        <v>350</v>
      </c>
      <c r="B423" s="51" t="str">
        <v>屋面-20厚M15水泥砂浆保护层</v>
      </c>
      <c r="C423" s="51" t="e">
        <v>#REF!</v>
      </c>
      <c r="D423" s="51" t="str">
        <v/>
      </c>
      <c r="E423" s="51" t="str">
        <v/>
      </c>
      <c r="F423" s="52" t="e">
        <v>#REF!</v>
      </c>
      <c r="G423" s="48" t="e">
        <v>#REF!</v>
      </c>
      <c r="H423" s="49">
        <v>0</v>
      </c>
      <c r="I423" s="49" t="e">
        <v>#REF!</v>
      </c>
      <c r="J423" s="50"/>
    </row>
    <row r="424" outlineLevel="1" spans="1:10">
      <c r="A424" s="50">
        <v>351</v>
      </c>
      <c r="B424" s="51" t="str">
        <v>屋面-土工布</v>
      </c>
      <c r="C424" s="51" t="e">
        <v>#REF!</v>
      </c>
      <c r="D424" s="51" t="str">
        <v/>
      </c>
      <c r="E424" s="51" t="str">
        <v/>
      </c>
      <c r="F424" s="52" t="e">
        <v>#REF!</v>
      </c>
      <c r="G424" s="48" t="e">
        <v>#REF!</v>
      </c>
      <c r="H424" s="49">
        <v>0</v>
      </c>
      <c r="I424" s="49" t="e">
        <v>#REF!</v>
      </c>
      <c r="J424" s="50"/>
    </row>
    <row r="425" outlineLevel="1" spans="1:10">
      <c r="A425" s="50">
        <v>352</v>
      </c>
      <c r="B425" s="51" t="str">
        <v>屋面-4厚SBS</v>
      </c>
      <c r="C425" s="51" t="e">
        <v>#REF!</v>
      </c>
      <c r="D425" s="51" t="str">
        <v/>
      </c>
      <c r="E425" s="51" t="str">
        <v/>
      </c>
      <c r="F425" s="52" t="e">
        <v>#REF!</v>
      </c>
      <c r="G425" s="48" t="e">
        <v>#REF!</v>
      </c>
      <c r="H425" s="49">
        <v>0</v>
      </c>
      <c r="I425" s="49" t="e">
        <v>#REF!</v>
      </c>
      <c r="J425" s="50"/>
    </row>
    <row r="426" outlineLevel="1" spans="1:10">
      <c r="A426" s="50">
        <v>353</v>
      </c>
      <c r="B426" s="51" t="str">
        <v>屋面-30厚C20细石砼</v>
      </c>
      <c r="C426" s="51" t="e">
        <v>#REF!</v>
      </c>
      <c r="D426" s="51" t="str">
        <v/>
      </c>
      <c r="E426" s="51" t="str">
        <v/>
      </c>
      <c r="F426" s="52" t="e">
        <v>#REF!</v>
      </c>
      <c r="G426" s="48" t="e">
        <v>#REF!</v>
      </c>
      <c r="H426" s="49">
        <v>0</v>
      </c>
      <c r="I426" s="49" t="e">
        <v>#REF!</v>
      </c>
      <c r="J426" s="50"/>
    </row>
    <row r="427" ht="28.8" outlineLevel="1" spans="1:10">
      <c r="A427" s="50">
        <v>354</v>
      </c>
      <c r="B427" s="51" t="str">
        <v>屋面-最薄处30厚焦渣找坡</v>
      </c>
      <c r="C427" s="51" t="e">
        <v>#REF!</v>
      </c>
      <c r="D427" s="51" t="str">
        <v/>
      </c>
      <c r="E427" s="51" t="str">
        <v/>
      </c>
      <c r="F427" s="52" t="e">
        <v>#REF!</v>
      </c>
      <c r="G427" s="48" t="e">
        <v>#REF!</v>
      </c>
      <c r="H427" s="49">
        <v>0</v>
      </c>
      <c r="I427" s="49" t="e">
        <v>#REF!</v>
      </c>
      <c r="J427" s="50"/>
    </row>
    <row r="428" outlineLevel="1" spans="1:10">
      <c r="A428" s="50">
        <v>355</v>
      </c>
      <c r="B428" s="51" t="str">
        <v>屋面-190厚EPS</v>
      </c>
      <c r="C428" s="51" t="e">
        <v>#REF!</v>
      </c>
      <c r="D428" s="51" t="str">
        <v/>
      </c>
      <c r="E428" s="51" t="str">
        <v/>
      </c>
      <c r="F428" s="52" t="e">
        <v>#REF!</v>
      </c>
      <c r="G428" s="48" t="e">
        <v>#REF!</v>
      </c>
      <c r="H428" s="49">
        <v>0</v>
      </c>
      <c r="I428" s="49" t="e">
        <v>#REF!</v>
      </c>
      <c r="J428" s="50"/>
    </row>
    <row r="429" ht="43.2" outlineLevel="1" spans="1:10">
      <c r="A429" s="50" t="str">
        <v/>
      </c>
      <c r="B429" s="51" t="str">
        <v>住宅非上人屋面（楼梯间.门厅.水箱间等）不与主楼相连</v>
      </c>
      <c r="C429" s="51" t="str">
        <v/>
      </c>
      <c r="D429" s="51" t="str">
        <v/>
      </c>
      <c r="E429" s="51" t="str">
        <v/>
      </c>
      <c r="F429" s="52" t="str">
        <v/>
      </c>
      <c r="G429" s="48" t="str">
        <v/>
      </c>
      <c r="H429" s="49">
        <v>0</v>
      </c>
      <c r="I429" s="49">
        <v>0</v>
      </c>
      <c r="J429" s="50"/>
    </row>
    <row r="430" ht="28.8" outlineLevel="1" spans="1:10">
      <c r="A430" s="50">
        <v>356</v>
      </c>
      <c r="B430" s="51" t="str">
        <v>屋面-20厚M15水泥砂浆保护层</v>
      </c>
      <c r="C430" s="51" t="e">
        <v>#REF!</v>
      </c>
      <c r="D430" s="51" t="str">
        <v/>
      </c>
      <c r="E430" s="51" t="str">
        <v/>
      </c>
      <c r="F430" s="52" t="e">
        <v>#REF!</v>
      </c>
      <c r="G430" s="48" t="e">
        <v>#REF!</v>
      </c>
      <c r="H430" s="49">
        <v>0</v>
      </c>
      <c r="I430" s="49" t="e">
        <v>#REF!</v>
      </c>
      <c r="J430" s="50"/>
    </row>
    <row r="431" outlineLevel="1" spans="1:10">
      <c r="A431" s="50">
        <v>357</v>
      </c>
      <c r="B431" s="51" t="str">
        <v>屋面-土工布</v>
      </c>
      <c r="C431" s="51" t="e">
        <v>#REF!</v>
      </c>
      <c r="D431" s="51" t="str">
        <v/>
      </c>
      <c r="E431" s="51" t="str">
        <v/>
      </c>
      <c r="F431" s="52" t="e">
        <v>#REF!</v>
      </c>
      <c r="G431" s="48" t="e">
        <v>#REF!</v>
      </c>
      <c r="H431" s="49">
        <v>0</v>
      </c>
      <c r="I431" s="49" t="e">
        <v>#REF!</v>
      </c>
      <c r="J431" s="50"/>
    </row>
    <row r="432" outlineLevel="1" spans="1:10">
      <c r="A432" s="50">
        <v>358</v>
      </c>
      <c r="B432" s="51" t="str">
        <v>屋面-4厚SBS</v>
      </c>
      <c r="C432" s="51" t="e">
        <v>#REF!</v>
      </c>
      <c r="D432" s="51" t="str">
        <v/>
      </c>
      <c r="E432" s="51" t="str">
        <v/>
      </c>
      <c r="F432" s="52" t="e">
        <v>#REF!</v>
      </c>
      <c r="G432" s="48" t="e">
        <v>#REF!</v>
      </c>
      <c r="H432" s="49">
        <v>0</v>
      </c>
      <c r="I432" s="49" t="e">
        <v>#REF!</v>
      </c>
      <c r="J432" s="50"/>
    </row>
    <row r="433" outlineLevel="1" spans="1:10">
      <c r="A433" s="50">
        <v>359</v>
      </c>
      <c r="B433" s="51" t="str">
        <v>屋面-30厚C20细石砼</v>
      </c>
      <c r="C433" s="51" t="e">
        <v>#REF!</v>
      </c>
      <c r="D433" s="51" t="str">
        <v/>
      </c>
      <c r="E433" s="51" t="str">
        <v/>
      </c>
      <c r="F433" s="52" t="e">
        <v>#REF!</v>
      </c>
      <c r="G433" s="48" t="e">
        <v>#REF!</v>
      </c>
      <c r="H433" s="49">
        <v>0</v>
      </c>
      <c r="I433" s="49" t="e">
        <v>#REF!</v>
      </c>
      <c r="J433" s="50"/>
    </row>
    <row r="434" ht="28.8" outlineLevel="1" spans="1:10">
      <c r="A434" s="50">
        <v>360</v>
      </c>
      <c r="B434" s="51" t="str">
        <v>屋面-最薄处30厚焦渣找坡</v>
      </c>
      <c r="C434" s="51" t="e">
        <v>#REF!</v>
      </c>
      <c r="D434" s="51" t="str">
        <v/>
      </c>
      <c r="E434" s="51" t="str">
        <v/>
      </c>
      <c r="F434" s="52" t="e">
        <v>#REF!</v>
      </c>
      <c r="G434" s="48" t="e">
        <v>#REF!</v>
      </c>
      <c r="H434" s="49">
        <v>0</v>
      </c>
      <c r="I434" s="49" t="e">
        <v>#REF!</v>
      </c>
      <c r="J434" s="50"/>
    </row>
    <row r="435" outlineLevel="1" spans="1:10">
      <c r="A435" s="50" t="str">
        <v/>
      </c>
      <c r="B435" s="51" t="str">
        <v>住宅屋面挑檐</v>
      </c>
      <c r="C435" s="51" t="str">
        <v/>
      </c>
      <c r="D435" s="51" t="str">
        <v/>
      </c>
      <c r="E435" s="51" t="str">
        <v/>
      </c>
      <c r="F435" s="52" t="str">
        <v/>
      </c>
      <c r="G435" s="48" t="str">
        <v/>
      </c>
      <c r="H435" s="49">
        <v>0</v>
      </c>
      <c r="I435" s="49">
        <v>0</v>
      </c>
      <c r="J435" s="50"/>
    </row>
    <row r="436" ht="28.8" outlineLevel="1" spans="1:10">
      <c r="A436" s="50">
        <v>361</v>
      </c>
      <c r="B436" s="51" t="str">
        <v>屋面-20厚M15水泥砂浆保护层</v>
      </c>
      <c r="C436" s="51" t="e">
        <v>#REF!</v>
      </c>
      <c r="D436" s="51" t="str">
        <v/>
      </c>
      <c r="E436" s="51" t="str">
        <v/>
      </c>
      <c r="F436" s="52" t="e">
        <v>#REF!</v>
      </c>
      <c r="G436" s="48" t="e">
        <v>#REF!</v>
      </c>
      <c r="H436" s="49">
        <v>192</v>
      </c>
      <c r="I436" s="49" t="e">
        <v>#REF!</v>
      </c>
      <c r="J436" s="50"/>
    </row>
    <row r="437" outlineLevel="1" spans="1:10">
      <c r="A437" s="50">
        <v>362</v>
      </c>
      <c r="B437" s="51" t="str">
        <v>屋面-土工布</v>
      </c>
      <c r="C437" s="51" t="e">
        <v>#REF!</v>
      </c>
      <c r="D437" s="51" t="str">
        <v/>
      </c>
      <c r="E437" s="51" t="str">
        <v/>
      </c>
      <c r="F437" s="52" t="e">
        <v>#REF!</v>
      </c>
      <c r="G437" s="48" t="e">
        <v>#REF!</v>
      </c>
      <c r="H437" s="49">
        <v>192</v>
      </c>
      <c r="I437" s="49" t="e">
        <v>#REF!</v>
      </c>
      <c r="J437" s="50"/>
    </row>
    <row r="438" outlineLevel="1" spans="1:10">
      <c r="A438" s="50">
        <v>363</v>
      </c>
      <c r="B438" s="51" t="str">
        <v>屋面-4厚SBS</v>
      </c>
      <c r="C438" s="51" t="e">
        <v>#REF!</v>
      </c>
      <c r="D438" s="51" t="str">
        <v/>
      </c>
      <c r="E438" s="51" t="str">
        <v/>
      </c>
      <c r="F438" s="52" t="e">
        <v>#REF!</v>
      </c>
      <c r="G438" s="48" t="e">
        <v>#REF!</v>
      </c>
      <c r="H438" s="49">
        <v>192</v>
      </c>
      <c r="I438" s="49" t="e">
        <v>#REF!</v>
      </c>
      <c r="J438" s="50"/>
    </row>
    <row r="439" ht="28.8" outlineLevel="1" spans="1:10">
      <c r="A439" s="50">
        <v>364</v>
      </c>
      <c r="B439" s="51" t="str">
        <v>屋面-20厚M20水泥砂浆找坡</v>
      </c>
      <c r="C439" s="51" t="e">
        <v>#REF!</v>
      </c>
      <c r="D439" s="51" t="str">
        <v/>
      </c>
      <c r="E439" s="51" t="str">
        <v/>
      </c>
      <c r="F439" s="52" t="e">
        <v>#REF!</v>
      </c>
      <c r="G439" s="48" t="e">
        <v>#REF!</v>
      </c>
      <c r="H439" s="49">
        <v>192</v>
      </c>
      <c r="I439" s="49" t="e">
        <v>#REF!</v>
      </c>
      <c r="J439" s="50"/>
    </row>
    <row r="440" outlineLevel="1" spans="1:10">
      <c r="A440" s="50" t="str">
        <v/>
      </c>
      <c r="B440" s="51" t="str">
        <v>住宅坡屋面</v>
      </c>
      <c r="C440" s="51" t="str">
        <v/>
      </c>
      <c r="D440" s="51" t="str">
        <v/>
      </c>
      <c r="E440" s="51" t="str">
        <v/>
      </c>
      <c r="F440" s="52" t="str">
        <v/>
      </c>
      <c r="G440" s="48" t="str">
        <v/>
      </c>
      <c r="H440" s="49">
        <v>0</v>
      </c>
      <c r="I440" s="49">
        <v>0</v>
      </c>
      <c r="J440" s="50"/>
    </row>
    <row r="441" outlineLevel="1" spans="1:10">
      <c r="A441" s="50">
        <v>365</v>
      </c>
      <c r="B441" s="51" t="str">
        <v>屋面-45厚C20细石砼</v>
      </c>
      <c r="C441" s="51" t="e">
        <v>#REF!</v>
      </c>
      <c r="D441" s="51" t="str">
        <v/>
      </c>
      <c r="E441" s="51" t="str">
        <v/>
      </c>
      <c r="F441" s="52" t="e">
        <v>#REF!</v>
      </c>
      <c r="G441" s="48" t="e">
        <v>#REF!</v>
      </c>
      <c r="H441" s="49">
        <v>0</v>
      </c>
      <c r="I441" s="49" t="e">
        <v>#REF!</v>
      </c>
      <c r="J441" s="50"/>
    </row>
    <row r="442" outlineLevel="1" spans="1:10">
      <c r="A442" s="50">
        <v>366</v>
      </c>
      <c r="B442" s="51" t="str">
        <v>屋面-φ4@200钢筋网</v>
      </c>
      <c r="C442" s="51" t="e">
        <v>#REF!</v>
      </c>
      <c r="D442" s="51" t="str">
        <v/>
      </c>
      <c r="E442" s="51" t="str">
        <v/>
      </c>
      <c r="F442" s="52" t="e">
        <v>#REF!</v>
      </c>
      <c r="G442" s="48" t="e">
        <v>#REF!</v>
      </c>
      <c r="H442" s="49">
        <v>0</v>
      </c>
      <c r="I442" s="49" t="e">
        <v>#REF!</v>
      </c>
      <c r="J442" s="50"/>
    </row>
    <row r="443" outlineLevel="1" spans="1:10">
      <c r="A443" s="50">
        <v>367</v>
      </c>
      <c r="B443" s="51" t="str">
        <v>屋面-土工布</v>
      </c>
      <c r="C443" s="51" t="e">
        <v>#REF!</v>
      </c>
      <c r="D443" s="51" t="str">
        <v/>
      </c>
      <c r="E443" s="51" t="str">
        <v/>
      </c>
      <c r="F443" s="52" t="e">
        <v>#REF!</v>
      </c>
      <c r="G443" s="48" t="e">
        <v>#REF!</v>
      </c>
      <c r="H443" s="49">
        <v>0</v>
      </c>
      <c r="I443" s="49" t="e">
        <v>#REF!</v>
      </c>
      <c r="J443" s="50"/>
    </row>
    <row r="444" outlineLevel="1" spans="1:10">
      <c r="A444" s="50">
        <v>368</v>
      </c>
      <c r="B444" s="51" t="str">
        <v>屋面-4厚SBS</v>
      </c>
      <c r="C444" s="51" t="e">
        <v>#REF!</v>
      </c>
      <c r="D444" s="51" t="str">
        <v/>
      </c>
      <c r="E444" s="51" t="str">
        <v/>
      </c>
      <c r="F444" s="52" t="e">
        <v>#REF!</v>
      </c>
      <c r="G444" s="48" t="e">
        <v>#REF!</v>
      </c>
      <c r="H444" s="49">
        <v>0</v>
      </c>
      <c r="I444" s="49" t="e">
        <v>#REF!</v>
      </c>
      <c r="J444" s="50"/>
    </row>
    <row r="445" outlineLevel="1" spans="1:10">
      <c r="A445" s="50">
        <v>369</v>
      </c>
      <c r="B445" s="51" t="str">
        <v>屋面-30厚C20细石砼</v>
      </c>
      <c r="C445" s="51" t="e">
        <v>#REF!</v>
      </c>
      <c r="D445" s="51" t="str">
        <v/>
      </c>
      <c r="E445" s="51" t="str">
        <v/>
      </c>
      <c r="F445" s="52" t="e">
        <v>#REF!</v>
      </c>
      <c r="G445" s="48" t="e">
        <v>#REF!</v>
      </c>
      <c r="H445" s="49">
        <v>0</v>
      </c>
      <c r="I445" s="49" t="e">
        <v>#REF!</v>
      </c>
      <c r="J445" s="50"/>
    </row>
    <row r="446" outlineLevel="1" spans="1:10">
      <c r="A446" s="50">
        <v>370</v>
      </c>
      <c r="B446" s="51" t="str">
        <v>屋面-190厚EPS聚苯板</v>
      </c>
      <c r="C446" s="51" t="e">
        <v>#REF!</v>
      </c>
      <c r="D446" s="51" t="str">
        <v/>
      </c>
      <c r="E446" s="51" t="str">
        <v/>
      </c>
      <c r="F446" s="52" t="e">
        <v>#REF!</v>
      </c>
      <c r="G446" s="48" t="e">
        <v>#REF!</v>
      </c>
      <c r="H446" s="49">
        <v>0</v>
      </c>
      <c r="I446" s="49" t="e">
        <v>#REF!</v>
      </c>
      <c r="J446" s="50"/>
    </row>
    <row r="447" outlineLevel="1" spans="1:10">
      <c r="A447" s="50" t="str">
        <v/>
      </c>
      <c r="B447" s="51" t="str">
        <v>住宅坡女儿墙（法式）</v>
      </c>
      <c r="C447" s="51" t="str">
        <v/>
      </c>
      <c r="D447" s="51" t="str">
        <v/>
      </c>
      <c r="E447" s="51" t="str">
        <v/>
      </c>
      <c r="F447" s="52" t="str">
        <v/>
      </c>
      <c r="G447" s="48" t="str">
        <v/>
      </c>
      <c r="H447" s="49">
        <v>0</v>
      </c>
      <c r="I447" s="49">
        <v>0</v>
      </c>
      <c r="J447" s="50"/>
    </row>
    <row r="448" outlineLevel="1" spans="1:10">
      <c r="A448" s="50">
        <v>371</v>
      </c>
      <c r="B448" s="51" t="str">
        <v>屋面-屋面瓦</v>
      </c>
      <c r="C448" s="51" t="e">
        <v>#REF!</v>
      </c>
      <c r="D448" s="51" t="str">
        <v/>
      </c>
      <c r="E448" s="51" t="str">
        <v/>
      </c>
      <c r="F448" s="52" t="e">
        <v>#REF!</v>
      </c>
      <c r="G448" s="48" t="e">
        <v>#REF!</v>
      </c>
      <c r="H448" s="49">
        <v>0</v>
      </c>
      <c r="I448" s="49" t="e">
        <v>#REF!</v>
      </c>
      <c r="J448" s="50"/>
    </row>
    <row r="449" ht="28.8" outlineLevel="1" spans="1:10">
      <c r="A449" s="50">
        <v>372</v>
      </c>
      <c r="B449" s="51" t="str">
        <v>屋面-20厚无机保温砂浆I型</v>
      </c>
      <c r="C449" s="51" t="e">
        <v>#REF!</v>
      </c>
      <c r="D449" s="51" t="str">
        <v/>
      </c>
      <c r="E449" s="51" t="str">
        <v/>
      </c>
      <c r="F449" s="52" t="e">
        <v>#REF!</v>
      </c>
      <c r="G449" s="48" t="e">
        <v>#REF!</v>
      </c>
      <c r="H449" s="49">
        <v>0</v>
      </c>
      <c r="I449" s="49" t="e">
        <v>#REF!</v>
      </c>
      <c r="J449" s="50"/>
    </row>
    <row r="450" outlineLevel="1" spans="1:10">
      <c r="A450" s="50">
        <v>373</v>
      </c>
      <c r="B450" s="51" t="str">
        <v>屋面-风井窗井</v>
      </c>
      <c r="C450" s="51" t="e">
        <v>#REF!</v>
      </c>
      <c r="D450" s="51" t="str">
        <v/>
      </c>
      <c r="E450" s="51" t="str">
        <v/>
      </c>
      <c r="F450" s="52" t="e">
        <v>#REF!</v>
      </c>
      <c r="G450" s="48" t="e">
        <v>#REF!</v>
      </c>
      <c r="H450" s="49">
        <v>0</v>
      </c>
      <c r="I450" s="49" t="e">
        <v>#REF!</v>
      </c>
      <c r="J450" s="50"/>
    </row>
    <row r="451" outlineLevel="1" spans="1:10">
      <c r="A451" s="50">
        <v>374</v>
      </c>
      <c r="B451" s="51" t="str">
        <v>屋面-雨棚上</v>
      </c>
      <c r="C451" s="51" t="e">
        <v>#REF!</v>
      </c>
      <c r="D451" s="51" t="str">
        <v/>
      </c>
      <c r="E451" s="51" t="str">
        <v/>
      </c>
      <c r="F451" s="52" t="e">
        <v>#REF!</v>
      </c>
      <c r="G451" s="48" t="e">
        <v>#REF!</v>
      </c>
      <c r="H451" s="49">
        <v>0</v>
      </c>
      <c r="I451" s="49" t="e">
        <v>#REF!</v>
      </c>
      <c r="J451" s="50"/>
    </row>
    <row r="452" outlineLevel="1" spans="1:10">
      <c r="A452" s="50">
        <v>375</v>
      </c>
      <c r="B452" s="51" t="str">
        <v>墙面防水-墙基防潮层</v>
      </c>
      <c r="C452" s="51" t="e">
        <v>#REF!</v>
      </c>
      <c r="D452" s="51" t="str">
        <v/>
      </c>
      <c r="E452" s="51" t="str">
        <v/>
      </c>
      <c r="F452" s="52" t="e">
        <v>#REF!</v>
      </c>
      <c r="G452" s="48" t="e">
        <v>#REF!</v>
      </c>
      <c r="H452" s="49">
        <v>0</v>
      </c>
      <c r="I452" s="49" t="e">
        <v>#REF!</v>
      </c>
      <c r="J452" s="50"/>
    </row>
    <row r="453" outlineLevel="1" spans="1:10">
      <c r="A453" s="50">
        <v>376</v>
      </c>
      <c r="B453" s="51" t="str">
        <v>屋面-出屋面风道保温</v>
      </c>
      <c r="C453" s="51" t="e">
        <v>#REF!</v>
      </c>
      <c r="D453" s="51" t="str">
        <v/>
      </c>
      <c r="E453" s="51" t="str">
        <v/>
      </c>
      <c r="F453" s="52" t="e">
        <v>#REF!</v>
      </c>
      <c r="G453" s="48" t="e">
        <v>#REF!</v>
      </c>
      <c r="H453" s="49">
        <v>0</v>
      </c>
      <c r="I453" s="49" t="e">
        <v>#REF!</v>
      </c>
      <c r="J453" s="50"/>
    </row>
    <row r="454" outlineLevel="1" spans="1:10">
      <c r="A454" s="50" t="str">
        <v/>
      </c>
      <c r="B454" s="51" t="str">
        <v>后贴保温层</v>
      </c>
      <c r="C454" s="51" t="str">
        <v/>
      </c>
      <c r="D454" s="51" t="str">
        <v/>
      </c>
      <c r="E454" s="51" t="str">
        <v/>
      </c>
      <c r="F454" s="52" t="str">
        <v/>
      </c>
      <c r="G454" s="48" t="str">
        <v/>
      </c>
      <c r="H454" s="49">
        <v>0</v>
      </c>
      <c r="I454" s="49">
        <v>0</v>
      </c>
      <c r="J454" s="50"/>
    </row>
    <row r="455" outlineLevel="1" spans="1:10">
      <c r="A455" s="50">
        <v>377</v>
      </c>
      <c r="B455" s="51" t="str">
        <v>外墙面-180厚XPS</v>
      </c>
      <c r="C455" s="51" t="e">
        <v>#REF!</v>
      </c>
      <c r="D455" s="51" t="str">
        <v/>
      </c>
      <c r="E455" s="51" t="str">
        <v/>
      </c>
      <c r="F455" s="52" t="e">
        <v>#REF!</v>
      </c>
      <c r="G455" s="48" t="e">
        <v>#REF!</v>
      </c>
      <c r="H455" s="49">
        <v>0</v>
      </c>
      <c r="I455" s="49" t="e">
        <v>#REF!</v>
      </c>
      <c r="J455" s="50"/>
    </row>
    <row r="456" outlineLevel="1" spans="1:10">
      <c r="A456" s="50">
        <v>378</v>
      </c>
      <c r="B456" s="51" t="str">
        <v>外墙面-3厚抗裂砂浆</v>
      </c>
      <c r="C456" s="51" t="e">
        <v>#REF!</v>
      </c>
      <c r="D456" s="51" t="str">
        <v/>
      </c>
      <c r="E456" s="51" t="str">
        <v/>
      </c>
      <c r="F456" s="52" t="e">
        <v>#REF!</v>
      </c>
      <c r="G456" s="48" t="e">
        <v>#REF!</v>
      </c>
      <c r="H456" s="49">
        <v>0</v>
      </c>
      <c r="I456" s="49" t="e">
        <v>#REF!</v>
      </c>
      <c r="J456" s="50"/>
    </row>
    <row r="457" outlineLevel="1" spans="1:10">
      <c r="A457" s="50">
        <v>379</v>
      </c>
      <c r="B457" s="51" t="str">
        <v>外墙面-网格布</v>
      </c>
      <c r="C457" s="51" t="e">
        <v>#REF!</v>
      </c>
      <c r="D457" s="51" t="str">
        <v/>
      </c>
      <c r="E457" s="51" t="str">
        <v/>
      </c>
      <c r="F457" s="52" t="e">
        <v>#REF!</v>
      </c>
      <c r="G457" s="48" t="e">
        <v>#REF!</v>
      </c>
      <c r="H457" s="49">
        <v>0</v>
      </c>
      <c r="I457" s="49" t="e">
        <v>#REF!</v>
      </c>
      <c r="J457" s="50"/>
    </row>
    <row r="458" outlineLevel="1" spans="1:10">
      <c r="A458" s="50">
        <v>380</v>
      </c>
      <c r="B458" s="51" t="str">
        <v>屋面-Φ110UPVC雨水管</v>
      </c>
      <c r="C458" s="51" t="e">
        <v>#REF!</v>
      </c>
      <c r="D458" s="51" t="str">
        <v/>
      </c>
      <c r="E458" s="51" t="str">
        <v/>
      </c>
      <c r="F458" s="52" t="e">
        <v>#REF!</v>
      </c>
      <c r="G458" s="48" t="e">
        <v>#REF!</v>
      </c>
      <c r="H458" s="49">
        <v>0</v>
      </c>
      <c r="I458" s="49" t="e">
        <v>#REF!</v>
      </c>
      <c r="J458" s="50"/>
    </row>
    <row r="459" outlineLevel="1" spans="1:10">
      <c r="A459" s="50">
        <v>381</v>
      </c>
      <c r="B459" s="51" t="str">
        <v>屋面-Φ50泄水口</v>
      </c>
      <c r="C459" s="51" t="e">
        <v>#REF!</v>
      </c>
      <c r="D459" s="51" t="str">
        <v/>
      </c>
      <c r="E459" s="51" t="str">
        <v/>
      </c>
      <c r="F459" s="52" t="e">
        <v>#REF!</v>
      </c>
      <c r="G459" s="48" t="e">
        <v>#REF!</v>
      </c>
      <c r="H459" s="49">
        <v>0</v>
      </c>
      <c r="I459" s="49" t="e">
        <v>#REF!</v>
      </c>
      <c r="J459" s="50"/>
    </row>
    <row r="460" outlineLevel="1" spans="1:10">
      <c r="A460" s="50">
        <v>382</v>
      </c>
      <c r="B460" s="51" t="str">
        <v>外墙（屋面）面-变形缝</v>
      </c>
      <c r="C460" s="51" t="e">
        <v>#REF!</v>
      </c>
      <c r="D460" s="51" t="str">
        <v/>
      </c>
      <c r="E460" s="51" t="str">
        <v/>
      </c>
      <c r="F460" s="52" t="e">
        <v>#REF!</v>
      </c>
      <c r="G460" s="48" t="e">
        <v>#REF!</v>
      </c>
      <c r="H460" s="49">
        <v>0</v>
      </c>
      <c r="I460" s="49" t="e">
        <v>#REF!</v>
      </c>
      <c r="J460" s="50"/>
    </row>
    <row r="461" outlineLevel="1" spans="1:10">
      <c r="A461" s="50" t="str">
        <v/>
      </c>
      <c r="B461" s="51" t="str">
        <v>A.04.03保温一体化工程</v>
      </c>
      <c r="C461" s="51" t="str">
        <v/>
      </c>
      <c r="D461" s="51" t="str">
        <v/>
      </c>
      <c r="E461" s="51" t="str">
        <v/>
      </c>
      <c r="F461" s="52" t="str">
        <v/>
      </c>
      <c r="G461" s="48" t="str">
        <v/>
      </c>
      <c r="H461" s="49">
        <v>0</v>
      </c>
      <c r="I461" s="49" t="e">
        <v>#REF!</v>
      </c>
      <c r="J461" s="50"/>
    </row>
    <row r="462" ht="28.8" outlineLevel="1" spans="1:10">
      <c r="A462" s="50">
        <v>383</v>
      </c>
      <c r="B462" s="51" t="str">
        <v>130厚轻质发泡复合保温板-浇筑施工</v>
      </c>
      <c r="C462" s="51" t="e">
        <v>#REF!</v>
      </c>
      <c r="D462" s="51" t="str">
        <v/>
      </c>
      <c r="E462" s="51" t="str">
        <v/>
      </c>
      <c r="F462" s="52" t="e">
        <v>#REF!</v>
      </c>
      <c r="G462" s="48" t="e">
        <v>#REF!</v>
      </c>
      <c r="H462" s="49">
        <v>0</v>
      </c>
      <c r="I462" s="49" t="e">
        <v>#REF!</v>
      </c>
      <c r="J462" s="50"/>
    </row>
    <row r="463" ht="28.8" outlineLevel="1" spans="1:10">
      <c r="A463" s="50">
        <v>384</v>
      </c>
      <c r="B463" s="51" t="str">
        <v>130厚轻质发泡复合保温板-后贴施工</v>
      </c>
      <c r="C463" s="51" t="e">
        <v>#REF!</v>
      </c>
      <c r="D463" s="51" t="str">
        <v/>
      </c>
      <c r="E463" s="51" t="str">
        <v/>
      </c>
      <c r="F463" s="52" t="e">
        <v>#REF!</v>
      </c>
      <c r="G463" s="48" t="e">
        <v>#REF!</v>
      </c>
      <c r="H463" s="49">
        <v>0</v>
      </c>
      <c r="I463" s="49" t="e">
        <v>#REF!</v>
      </c>
      <c r="J463" s="50"/>
    </row>
    <row r="464" ht="28.8" outlineLevel="1" spans="1:10">
      <c r="A464" s="50">
        <v>385</v>
      </c>
      <c r="B464" s="51" t="str">
        <v>120厚轻质发泡复合保温板-浇筑施工</v>
      </c>
      <c r="C464" s="51" t="e">
        <v>#REF!</v>
      </c>
      <c r="D464" s="51" t="str">
        <v/>
      </c>
      <c r="E464" s="51" t="str">
        <v/>
      </c>
      <c r="F464" s="52" t="e">
        <v>#REF!</v>
      </c>
      <c r="G464" s="48" t="e">
        <v>#REF!</v>
      </c>
      <c r="H464" s="49">
        <v>0</v>
      </c>
      <c r="I464" s="49" t="e">
        <v>#REF!</v>
      </c>
      <c r="J464" s="50"/>
    </row>
    <row r="465" ht="28.8" outlineLevel="1" spans="1:10">
      <c r="A465" s="50">
        <v>386</v>
      </c>
      <c r="B465" s="51" t="str">
        <v>120厚轻质发泡复合保温板-后贴施工</v>
      </c>
      <c r="C465" s="51" t="e">
        <v>#REF!</v>
      </c>
      <c r="D465" s="51" t="str">
        <v/>
      </c>
      <c r="E465" s="51" t="str">
        <v/>
      </c>
      <c r="F465" s="52" t="e">
        <v>#REF!</v>
      </c>
      <c r="G465" s="48" t="e">
        <v>#REF!</v>
      </c>
      <c r="H465" s="49">
        <v>0</v>
      </c>
      <c r="I465" s="49" t="e">
        <v>#REF!</v>
      </c>
      <c r="J465" s="50"/>
    </row>
    <row r="466" ht="28.8" outlineLevel="1" spans="1:10">
      <c r="A466" s="50">
        <v>387</v>
      </c>
      <c r="B466" s="51" t="str">
        <v>110厚轻质发泡复合保温板-浇筑施工</v>
      </c>
      <c r="C466" s="51" t="e">
        <v>#REF!</v>
      </c>
      <c r="D466" s="51" t="str">
        <v/>
      </c>
      <c r="E466" s="51" t="str">
        <v/>
      </c>
      <c r="F466" s="52" t="e">
        <v>#REF!</v>
      </c>
      <c r="G466" s="48" t="e">
        <v>#REF!</v>
      </c>
      <c r="H466" s="49">
        <v>0</v>
      </c>
      <c r="I466" s="49" t="e">
        <v>#REF!</v>
      </c>
      <c r="J466" s="50"/>
    </row>
    <row r="467" ht="28.8" outlineLevel="1" spans="1:10">
      <c r="A467" s="50">
        <v>388</v>
      </c>
      <c r="B467" s="51" t="str">
        <v>110厚轻质发泡复合保温板-后贴施工</v>
      </c>
      <c r="C467" s="51" t="e">
        <v>#REF!</v>
      </c>
      <c r="D467" s="51" t="str">
        <v/>
      </c>
      <c r="E467" s="51" t="str">
        <v/>
      </c>
      <c r="F467" s="52" t="e">
        <v>#REF!</v>
      </c>
      <c r="G467" s="48" t="e">
        <v>#REF!</v>
      </c>
      <c r="H467" s="49">
        <v>0</v>
      </c>
      <c r="I467" s="49" t="e">
        <v>#REF!</v>
      </c>
      <c r="J467" s="50"/>
    </row>
    <row r="468" ht="28.8" outlineLevel="1" spans="1:10">
      <c r="A468" s="50">
        <v>389</v>
      </c>
      <c r="B468" s="51" t="str">
        <v>100厚轻质发泡复合保温板-浇筑施工</v>
      </c>
      <c r="C468" s="51" t="e">
        <v>#REF!</v>
      </c>
      <c r="D468" s="51" t="str">
        <v/>
      </c>
      <c r="E468" s="51" t="str">
        <v/>
      </c>
      <c r="F468" s="52" t="e">
        <v>#REF!</v>
      </c>
      <c r="G468" s="48" t="e">
        <v>#REF!</v>
      </c>
      <c r="H468" s="49">
        <v>1964.7604</v>
      </c>
      <c r="I468" s="49" t="e">
        <v>#REF!</v>
      </c>
      <c r="J468" s="50"/>
    </row>
    <row r="469" ht="28.8" outlineLevel="1" spans="1:10">
      <c r="A469" s="50">
        <v>390</v>
      </c>
      <c r="B469" s="51" t="str">
        <v>100厚轻质发泡复合保温板-后贴施工</v>
      </c>
      <c r="C469" s="51" t="e">
        <v>#REF!</v>
      </c>
      <c r="D469" s="51" t="str">
        <v/>
      </c>
      <c r="E469" s="51" t="str">
        <v/>
      </c>
      <c r="F469" s="52" t="e">
        <v>#REF!</v>
      </c>
      <c r="G469" s="48" t="e">
        <v>#REF!</v>
      </c>
      <c r="H469" s="49">
        <v>0</v>
      </c>
      <c r="I469" s="49" t="e">
        <v>#REF!</v>
      </c>
      <c r="J469" s="50"/>
    </row>
    <row r="470" ht="28.8" outlineLevel="1" spans="1:10">
      <c r="A470" s="50">
        <v>391</v>
      </c>
      <c r="B470" s="51" t="str">
        <v>90厚轻质发泡复合保温板-浇筑施工</v>
      </c>
      <c r="C470" s="51" t="e">
        <v>#REF!</v>
      </c>
      <c r="D470" s="51" t="str">
        <v/>
      </c>
      <c r="E470" s="51" t="str">
        <v/>
      </c>
      <c r="F470" s="52" t="e">
        <v>#REF!</v>
      </c>
      <c r="G470" s="48" t="e">
        <v>#REF!</v>
      </c>
      <c r="H470" s="49">
        <v>0</v>
      </c>
      <c r="I470" s="49" t="e">
        <v>#REF!</v>
      </c>
      <c r="J470" s="50"/>
    </row>
    <row r="471" ht="28.8" outlineLevel="1" spans="1:10">
      <c r="A471" s="50">
        <v>392</v>
      </c>
      <c r="B471" s="51" t="str">
        <v>90厚轻质发泡复合保温板后贴施工</v>
      </c>
      <c r="C471" s="51" t="e">
        <v>#REF!</v>
      </c>
      <c r="D471" s="51" t="str">
        <v/>
      </c>
      <c r="E471" s="51" t="str">
        <v/>
      </c>
      <c r="F471" s="52" t="e">
        <v>#REF!</v>
      </c>
      <c r="G471" s="48" t="e">
        <v>#REF!</v>
      </c>
      <c r="H471" s="49">
        <v>0</v>
      </c>
      <c r="I471" s="49" t="e">
        <v>#REF!</v>
      </c>
      <c r="J471" s="50"/>
    </row>
    <row r="472" ht="28.8" outlineLevel="1" spans="1:10">
      <c r="A472" s="50">
        <v>393</v>
      </c>
      <c r="B472" s="51" t="str">
        <v>80厚轻质发泡复合保温板-浇筑施工</v>
      </c>
      <c r="C472" s="51" t="e">
        <v>#REF!</v>
      </c>
      <c r="D472" s="51" t="str">
        <v/>
      </c>
      <c r="E472" s="51" t="str">
        <v/>
      </c>
      <c r="F472" s="52" t="e">
        <v>#REF!</v>
      </c>
      <c r="G472" s="48" t="e">
        <v>#REF!</v>
      </c>
      <c r="H472" s="49">
        <v>0</v>
      </c>
      <c r="I472" s="49" t="e">
        <v>#REF!</v>
      </c>
      <c r="J472" s="50"/>
    </row>
    <row r="473" ht="28.8" outlineLevel="1" spans="1:10">
      <c r="A473" s="50">
        <v>394</v>
      </c>
      <c r="B473" s="51" t="str">
        <v>80厚轻质发泡复合保温板-后贴施工</v>
      </c>
      <c r="C473" s="51" t="e">
        <v>#REF!</v>
      </c>
      <c r="D473" s="51" t="str">
        <v/>
      </c>
      <c r="E473" s="51" t="str">
        <v/>
      </c>
      <c r="F473" s="52" t="e">
        <v>#REF!</v>
      </c>
      <c r="G473" s="48" t="e">
        <v>#REF!</v>
      </c>
      <c r="H473" s="49">
        <v>0</v>
      </c>
      <c r="I473" s="49" t="e">
        <v>#REF!</v>
      </c>
      <c r="J473" s="50"/>
    </row>
    <row r="474" ht="28.8" outlineLevel="1" spans="1:10">
      <c r="A474" s="50">
        <v>395</v>
      </c>
      <c r="B474" s="51" t="str">
        <v>70厚轻质发泡复合保温板-浇筑施工</v>
      </c>
      <c r="C474" s="51" t="e">
        <v>#REF!</v>
      </c>
      <c r="D474" s="51" t="str">
        <v/>
      </c>
      <c r="E474" s="51" t="str">
        <v/>
      </c>
      <c r="F474" s="52" t="e">
        <v>#REF!</v>
      </c>
      <c r="G474" s="48" t="e">
        <v>#REF!</v>
      </c>
      <c r="H474" s="49">
        <v>0</v>
      </c>
      <c r="I474" s="49" t="e">
        <v>#REF!</v>
      </c>
      <c r="J474" s="50"/>
    </row>
    <row r="475" ht="28.8" outlineLevel="1" spans="1:10">
      <c r="A475" s="50">
        <v>396</v>
      </c>
      <c r="B475" s="51" t="str">
        <v>70厚轻质发泡复合保温板-后贴施工</v>
      </c>
      <c r="C475" s="51" t="e">
        <v>#REF!</v>
      </c>
      <c r="D475" s="51" t="str">
        <v/>
      </c>
      <c r="E475" s="51" t="str">
        <v/>
      </c>
      <c r="F475" s="52" t="e">
        <v>#REF!</v>
      </c>
      <c r="G475" s="48" t="e">
        <v>#REF!</v>
      </c>
      <c r="H475" s="49">
        <v>0</v>
      </c>
      <c r="I475" s="49" t="e">
        <v>#REF!</v>
      </c>
      <c r="J475" s="50"/>
    </row>
    <row r="476" outlineLevel="1" spans="1:10">
      <c r="A476" s="50" t="str">
        <v/>
      </c>
      <c r="B476" s="51" t="str">
        <v>保温隔热墙面（被动式）</v>
      </c>
      <c r="C476" s="51" t="str">
        <v/>
      </c>
      <c r="D476" s="51" t="str">
        <v/>
      </c>
      <c r="E476" s="51" t="str">
        <v/>
      </c>
      <c r="F476" s="52" t="str">
        <v/>
      </c>
      <c r="G476" s="48" t="str">
        <v/>
      </c>
      <c r="H476" s="49">
        <v>0</v>
      </c>
      <c r="I476" s="49">
        <v>0</v>
      </c>
      <c r="J476" s="50"/>
    </row>
    <row r="477" ht="28.8" outlineLevel="1" spans="1:10">
      <c r="A477" s="50">
        <v>397</v>
      </c>
      <c r="B477" s="51" t="str">
        <v>外墙保温-260厚石墨聚苯板</v>
      </c>
      <c r="C477" s="51" t="e">
        <v>#REF!</v>
      </c>
      <c r="D477" s="51" t="str">
        <v/>
      </c>
      <c r="E477" s="51" t="str">
        <v/>
      </c>
      <c r="F477" s="52" t="e">
        <v>#REF!</v>
      </c>
      <c r="G477" s="48" t="e">
        <v>#REF!</v>
      </c>
      <c r="H477" s="49">
        <v>0</v>
      </c>
      <c r="I477" s="49" t="e">
        <v>#REF!</v>
      </c>
      <c r="J477" s="50"/>
    </row>
    <row r="478" outlineLevel="1" spans="1:10">
      <c r="A478" s="50">
        <v>398</v>
      </c>
      <c r="B478" s="51" t="str">
        <v>外墙保温-界面修补</v>
      </c>
      <c r="C478" s="51" t="e">
        <v>#REF!</v>
      </c>
      <c r="D478" s="51" t="str">
        <v/>
      </c>
      <c r="E478" s="51" t="str">
        <v/>
      </c>
      <c r="F478" s="52" t="e">
        <v>#REF!</v>
      </c>
      <c r="G478" s="48" t="e">
        <v>#REF!</v>
      </c>
      <c r="H478" s="49">
        <v>0</v>
      </c>
      <c r="I478" s="49" t="e">
        <v>#REF!</v>
      </c>
      <c r="J478" s="50"/>
    </row>
    <row r="479" ht="28.8" outlineLevel="1" spans="1:10">
      <c r="A479" s="50">
        <v>399</v>
      </c>
      <c r="B479" s="51" t="str">
        <v>外墙保温-5厚干粉聚合物砂浆</v>
      </c>
      <c r="C479" s="51" t="e">
        <v>#REF!</v>
      </c>
      <c r="D479" s="51" t="str">
        <v/>
      </c>
      <c r="E479" s="51" t="str">
        <v/>
      </c>
      <c r="F479" s="52" t="e">
        <v>#REF!</v>
      </c>
      <c r="G479" s="48" t="e">
        <v>#REF!</v>
      </c>
      <c r="H479" s="49">
        <v>0</v>
      </c>
      <c r="I479" s="49" t="e">
        <v>#REF!</v>
      </c>
      <c r="J479" s="50"/>
    </row>
    <row r="480" outlineLevel="1" spans="1:10">
      <c r="A480" s="50">
        <v>400</v>
      </c>
      <c r="B480" s="51" t="str">
        <v>外墙面-网格布</v>
      </c>
      <c r="C480" s="51" t="e">
        <v>#REF!</v>
      </c>
      <c r="D480" s="51" t="str">
        <v/>
      </c>
      <c r="E480" s="51" t="str">
        <v/>
      </c>
      <c r="F480" s="52" t="e">
        <v>#REF!</v>
      </c>
      <c r="G480" s="48" t="e">
        <v>#REF!</v>
      </c>
      <c r="H480" s="49">
        <v>0</v>
      </c>
      <c r="I480" s="49" t="e">
        <v>#REF!</v>
      </c>
      <c r="J480" s="50"/>
    </row>
    <row r="481" outlineLevel="1" spans="1:10">
      <c r="A481" s="50" t="str">
        <v/>
      </c>
      <c r="B481" s="51" t="str">
        <v>自密实混凝土墙保温</v>
      </c>
      <c r="C481" s="51" t="str">
        <v/>
      </c>
      <c r="D481" s="51" t="str">
        <v/>
      </c>
      <c r="E481" s="51" t="str">
        <v/>
      </c>
      <c r="F481" s="52" t="str">
        <v/>
      </c>
      <c r="G481" s="48" t="str">
        <v/>
      </c>
      <c r="H481" s="49">
        <v>0</v>
      </c>
      <c r="I481" s="49">
        <v>0</v>
      </c>
      <c r="J481" s="50"/>
    </row>
    <row r="482" ht="28.8" outlineLevel="1" spans="1:10">
      <c r="A482" s="50">
        <v>401</v>
      </c>
      <c r="B482" s="51" t="str">
        <v>外墙保温-320厚石墨聚苯板（单层网）</v>
      </c>
      <c r="C482" s="51" t="e">
        <v>#REF!</v>
      </c>
      <c r="D482" s="51" t="str">
        <v/>
      </c>
      <c r="E482" s="51" t="str">
        <v/>
      </c>
      <c r="F482" s="52" t="e">
        <v>#REF!</v>
      </c>
      <c r="G482" s="48" t="e">
        <v>#REF!</v>
      </c>
      <c r="H482" s="49">
        <v>0</v>
      </c>
      <c r="I482" s="49" t="e">
        <v>#REF!</v>
      </c>
      <c r="J482" s="50"/>
    </row>
    <row r="483" outlineLevel="1" spans="1:10">
      <c r="A483" s="50">
        <v>402</v>
      </c>
      <c r="B483" s="51" t="str">
        <v>外墙保温-界面修补</v>
      </c>
      <c r="C483" s="51" t="e">
        <v>#REF!</v>
      </c>
      <c r="D483" s="51" t="str">
        <v/>
      </c>
      <c r="E483" s="51" t="str">
        <v/>
      </c>
      <c r="F483" s="52" t="e">
        <v>#REF!</v>
      </c>
      <c r="G483" s="48" t="e">
        <v>#REF!</v>
      </c>
      <c r="H483" s="49">
        <v>0</v>
      </c>
      <c r="I483" s="49" t="e">
        <v>#REF!</v>
      </c>
      <c r="J483" s="50"/>
    </row>
    <row r="484" ht="28.8" outlineLevel="1" spans="1:10">
      <c r="A484" s="50">
        <v>403</v>
      </c>
      <c r="B484" s="51" t="str">
        <v>外墙保温-5厚干粉聚合物砂浆</v>
      </c>
      <c r="C484" s="51" t="e">
        <v>#REF!</v>
      </c>
      <c r="D484" s="51" t="str">
        <v/>
      </c>
      <c r="E484" s="51" t="str">
        <v/>
      </c>
      <c r="F484" s="52" t="e">
        <v>#REF!</v>
      </c>
      <c r="G484" s="48" t="e">
        <v>#REF!</v>
      </c>
      <c r="H484" s="49">
        <v>0</v>
      </c>
      <c r="I484" s="49" t="e">
        <v>#REF!</v>
      </c>
      <c r="J484" s="50"/>
    </row>
    <row r="485" outlineLevel="1" spans="1:10">
      <c r="A485" s="50">
        <v>404</v>
      </c>
      <c r="B485" s="51" t="str">
        <v>外墙面-网格布</v>
      </c>
      <c r="C485" s="51" t="e">
        <v>#REF!</v>
      </c>
      <c r="D485" s="51" t="str">
        <v/>
      </c>
      <c r="E485" s="51" t="str">
        <v/>
      </c>
      <c r="F485" s="52" t="e">
        <v>#REF!</v>
      </c>
      <c r="G485" s="48" t="e">
        <v>#REF!</v>
      </c>
      <c r="H485" s="49">
        <v>0</v>
      </c>
      <c r="I485" s="49" t="e">
        <v>#REF!</v>
      </c>
      <c r="J485" s="50"/>
    </row>
    <row r="486" outlineLevel="1" spans="1:10">
      <c r="A486" s="50" t="str">
        <v/>
      </c>
      <c r="B486" s="51" t="str">
        <v>自密实混凝土墙保温</v>
      </c>
      <c r="C486" s="51" t="str">
        <v/>
      </c>
      <c r="D486" s="51" t="str">
        <v/>
      </c>
      <c r="E486" s="51" t="str">
        <v/>
      </c>
      <c r="F486" s="52" t="str">
        <v/>
      </c>
      <c r="G486" s="48" t="str">
        <v/>
      </c>
      <c r="H486" s="49">
        <v>0</v>
      </c>
      <c r="I486" s="49">
        <v>0</v>
      </c>
      <c r="J486" s="50"/>
    </row>
    <row r="487" ht="28.8" outlineLevel="1" spans="1:10">
      <c r="A487" s="50">
        <v>405</v>
      </c>
      <c r="B487" s="51" t="str">
        <v>外墙保温-320厚石墨聚苯板（双层网）</v>
      </c>
      <c r="C487" s="51" t="e">
        <v>#REF!</v>
      </c>
      <c r="D487" s="51" t="str">
        <v/>
      </c>
      <c r="E487" s="51" t="str">
        <v/>
      </c>
      <c r="F487" s="52" t="e">
        <v>#REF!</v>
      </c>
      <c r="G487" s="48" t="e">
        <v>#REF!</v>
      </c>
      <c r="H487" s="49">
        <v>0</v>
      </c>
      <c r="I487" s="49" t="e">
        <v>#REF!</v>
      </c>
      <c r="J487" s="50"/>
    </row>
    <row r="488" outlineLevel="1" spans="1:10">
      <c r="A488" s="50">
        <v>406</v>
      </c>
      <c r="B488" s="51" t="str">
        <v>外墙保温-界面修补</v>
      </c>
      <c r="C488" s="51" t="e">
        <v>#REF!</v>
      </c>
      <c r="D488" s="51" t="str">
        <v/>
      </c>
      <c r="E488" s="51" t="str">
        <v/>
      </c>
      <c r="F488" s="52" t="e">
        <v>#REF!</v>
      </c>
      <c r="G488" s="48" t="e">
        <v>#REF!</v>
      </c>
      <c r="H488" s="49">
        <v>0</v>
      </c>
      <c r="I488" s="49" t="e">
        <v>#REF!</v>
      </c>
      <c r="J488" s="50"/>
    </row>
    <row r="489" ht="28.8" outlineLevel="1" spans="1:10">
      <c r="A489" s="50">
        <v>407</v>
      </c>
      <c r="B489" s="51" t="str">
        <v>外墙保温-5厚干粉聚合物砂浆</v>
      </c>
      <c r="C489" s="51" t="e">
        <v>#REF!</v>
      </c>
      <c r="D489" s="51" t="str">
        <v/>
      </c>
      <c r="E489" s="51" t="str">
        <v/>
      </c>
      <c r="F489" s="52" t="e">
        <v>#REF!</v>
      </c>
      <c r="G489" s="48" t="e">
        <v>#REF!</v>
      </c>
      <c r="H489" s="49">
        <v>0</v>
      </c>
      <c r="I489" s="49" t="e">
        <v>#REF!</v>
      </c>
      <c r="J489" s="50"/>
    </row>
    <row r="490" outlineLevel="1" spans="1:10">
      <c r="A490" s="50">
        <v>408</v>
      </c>
      <c r="B490" s="51" t="str">
        <v>外墙面-网格布</v>
      </c>
      <c r="C490" s="51" t="e">
        <v>#REF!</v>
      </c>
      <c r="D490" s="51" t="str">
        <v/>
      </c>
      <c r="E490" s="51" t="str">
        <v/>
      </c>
      <c r="F490" s="52" t="e">
        <v>#REF!</v>
      </c>
      <c r="G490" s="48" t="e">
        <v>#REF!</v>
      </c>
      <c r="H490" s="49">
        <v>0</v>
      </c>
      <c r="I490" s="49" t="e">
        <v>#REF!</v>
      </c>
      <c r="J490" s="50"/>
    </row>
    <row r="491" outlineLevel="1" spans="1:10">
      <c r="A491" s="50" t="str">
        <v/>
      </c>
      <c r="B491" s="51" t="str">
        <v>A.05简易装修工程</v>
      </c>
      <c r="C491" s="51" t="str">
        <v/>
      </c>
      <c r="D491" s="51" t="str">
        <v/>
      </c>
      <c r="E491" s="51" t="str">
        <v/>
      </c>
      <c r="F491" s="52" t="str">
        <v/>
      </c>
      <c r="G491" s="48" t="str">
        <v/>
      </c>
      <c r="H491" s="49">
        <v>0</v>
      </c>
      <c r="I491" s="49" t="e">
        <v>#REF!</v>
      </c>
      <c r="J491" s="50"/>
    </row>
    <row r="492" outlineLevel="1" spans="1:10">
      <c r="A492" s="50" t="str">
        <v/>
      </c>
      <c r="B492" s="51" t="str">
        <v>A.05.01地面装饰工程</v>
      </c>
      <c r="C492" s="51" t="str">
        <v/>
      </c>
      <c r="D492" s="51" t="str">
        <v/>
      </c>
      <c r="E492" s="51" t="str">
        <v/>
      </c>
      <c r="F492" s="52" t="str">
        <v/>
      </c>
      <c r="G492" s="48" t="str">
        <v/>
      </c>
      <c r="H492" s="49">
        <v>0</v>
      </c>
      <c r="I492" s="49" t="e">
        <v>#REF!</v>
      </c>
      <c r="J492" s="50"/>
    </row>
    <row r="493" outlineLevel="1" spans="1:10">
      <c r="A493" s="50">
        <v>409</v>
      </c>
      <c r="B493" s="51" t="str">
        <v>楼地面-楼梯间（30厚）</v>
      </c>
      <c r="C493" s="51" t="e">
        <v>#REF!</v>
      </c>
      <c r="D493" s="51" t="str">
        <v/>
      </c>
      <c r="E493" s="51" t="str">
        <v/>
      </c>
      <c r="F493" s="52" t="e">
        <v>#REF!</v>
      </c>
      <c r="G493" s="48" t="e">
        <v>#REF!</v>
      </c>
      <c r="H493" s="49">
        <v>131</v>
      </c>
      <c r="I493" s="49" t="e">
        <v>#REF!</v>
      </c>
      <c r="J493" s="50"/>
    </row>
    <row r="494" outlineLevel="1" spans="1:10">
      <c r="A494" s="50">
        <v>410</v>
      </c>
      <c r="B494" s="51" t="str">
        <v>楼地面-楼梯间（20厚）</v>
      </c>
      <c r="C494" s="51" t="e">
        <v>#REF!</v>
      </c>
      <c r="D494" s="51" t="str">
        <v/>
      </c>
      <c r="E494" s="51" t="str">
        <v/>
      </c>
      <c r="F494" s="52" t="e">
        <v>#REF!</v>
      </c>
      <c r="G494" s="48" t="e">
        <v>#REF!</v>
      </c>
      <c r="H494" s="49">
        <v>368</v>
      </c>
      <c r="I494" s="49" t="e">
        <v>#REF!</v>
      </c>
      <c r="J494" s="50"/>
    </row>
    <row r="495" outlineLevel="1" spans="1:10">
      <c r="A495" s="50" t="str">
        <v/>
      </c>
      <c r="B495" s="51" t="str">
        <v>装配式干法地暖楼地面</v>
      </c>
      <c r="C495" s="51" t="str">
        <v/>
      </c>
      <c r="D495" s="51" t="str">
        <v/>
      </c>
      <c r="E495" s="51" t="str">
        <v/>
      </c>
      <c r="F495" s="52" t="str">
        <v/>
      </c>
      <c r="G495" s="48" t="str">
        <v/>
      </c>
      <c r="H495" s="49">
        <v>0</v>
      </c>
      <c r="I495" s="49">
        <v>0</v>
      </c>
      <c r="J495" s="50"/>
    </row>
    <row r="496" outlineLevel="1" spans="1:10">
      <c r="A496" s="50">
        <v>411</v>
      </c>
      <c r="B496" s="51" t="str">
        <v>楼地面-7厚抗裂砂浆</v>
      </c>
      <c r="C496" s="51" t="e">
        <v>#REF!</v>
      </c>
      <c r="D496" s="51" t="str">
        <v/>
      </c>
      <c r="E496" s="51" t="str">
        <v/>
      </c>
      <c r="F496" s="52" t="e">
        <v>#REF!</v>
      </c>
      <c r="G496" s="48" t="e">
        <v>#REF!</v>
      </c>
      <c r="H496" s="49">
        <v>0</v>
      </c>
      <c r="I496" s="49" t="e">
        <v>#REF!</v>
      </c>
      <c r="J496" s="50"/>
    </row>
    <row r="497" outlineLevel="1" spans="1:10">
      <c r="A497" s="50">
        <v>412</v>
      </c>
      <c r="B497" s="51" t="str">
        <v>楼地面-玻纤网</v>
      </c>
      <c r="C497" s="51" t="e">
        <v>#REF!</v>
      </c>
      <c r="D497" s="51" t="str">
        <v/>
      </c>
      <c r="E497" s="51" t="str">
        <v/>
      </c>
      <c r="F497" s="52" t="e">
        <v>#REF!</v>
      </c>
      <c r="G497" s="48" t="e">
        <v>#REF!</v>
      </c>
      <c r="H497" s="49">
        <v>0</v>
      </c>
      <c r="I497" s="49" t="e">
        <v>#REF!</v>
      </c>
      <c r="J497" s="50"/>
    </row>
    <row r="498" ht="28.8" outlineLevel="1" spans="1:10">
      <c r="A498" s="50">
        <v>413</v>
      </c>
      <c r="B498" s="51" t="str">
        <v>楼地面-干法地暖薄粘结剂</v>
      </c>
      <c r="C498" s="51" t="e">
        <v>#REF!</v>
      </c>
      <c r="D498" s="51" t="str">
        <v/>
      </c>
      <c r="E498" s="51" t="str">
        <v/>
      </c>
      <c r="F498" s="52" t="e">
        <v>#REF!</v>
      </c>
      <c r="G498" s="48" t="e">
        <v>#REF!</v>
      </c>
      <c r="H498" s="49">
        <v>0</v>
      </c>
      <c r="I498" s="49" t="e">
        <v>#REF!</v>
      </c>
      <c r="J498" s="50"/>
    </row>
    <row r="499" ht="28.8" outlineLevel="1" spans="1:10">
      <c r="A499" s="50">
        <v>414</v>
      </c>
      <c r="B499" s="51" t="str">
        <v>楼地面-干法地暖厚粘结剂</v>
      </c>
      <c r="C499" s="51" t="e">
        <v>#REF!</v>
      </c>
      <c r="D499" s="51" t="str">
        <v/>
      </c>
      <c r="E499" s="51" t="str">
        <v/>
      </c>
      <c r="F499" s="52" t="e">
        <v>#REF!</v>
      </c>
      <c r="G499" s="48" t="e">
        <v>#REF!</v>
      </c>
      <c r="H499" s="49">
        <v>0</v>
      </c>
      <c r="I499" s="49" t="e">
        <v>#REF!</v>
      </c>
      <c r="J499" s="50"/>
    </row>
    <row r="500" outlineLevel="1" spans="1:10">
      <c r="A500" s="50">
        <v>415</v>
      </c>
      <c r="B500" s="51" t="str">
        <v>楼地面-砂浆粘结层</v>
      </c>
      <c r="C500" s="51" t="e">
        <v>#REF!</v>
      </c>
      <c r="D500" s="51" t="str">
        <v/>
      </c>
      <c r="E500" s="51" t="str">
        <v/>
      </c>
      <c r="F500" s="52" t="e">
        <v>#REF!</v>
      </c>
      <c r="G500" s="48" t="e">
        <v>#REF!</v>
      </c>
      <c r="H500" s="49">
        <v>0</v>
      </c>
      <c r="I500" s="49" t="e">
        <v>#REF!</v>
      </c>
      <c r="J500" s="50"/>
    </row>
    <row r="501" ht="28.8" outlineLevel="1" spans="1:10">
      <c r="A501" s="50" t="str">
        <v/>
      </c>
      <c r="B501" s="51" t="str">
        <v>湿法地暖楼地面（通用做法）</v>
      </c>
      <c r="C501" s="51" t="str">
        <v/>
      </c>
      <c r="D501" s="51" t="str">
        <v/>
      </c>
      <c r="E501" s="51" t="str">
        <v/>
      </c>
      <c r="F501" s="52" t="str">
        <v/>
      </c>
      <c r="G501" s="48" t="str">
        <v/>
      </c>
      <c r="H501" s="49">
        <v>0</v>
      </c>
      <c r="I501" s="49">
        <v>0</v>
      </c>
      <c r="J501" s="50"/>
    </row>
    <row r="502" ht="28.8" outlineLevel="1" spans="1:10">
      <c r="A502" s="50">
        <v>416</v>
      </c>
      <c r="B502" s="51" t="str">
        <v>楼地面-单层Φ3@50钢筋网</v>
      </c>
      <c r="C502" s="51" t="e">
        <v>#REF!</v>
      </c>
      <c r="D502" s="51" t="str">
        <v/>
      </c>
      <c r="E502" s="51" t="str">
        <v/>
      </c>
      <c r="F502" s="52" t="e">
        <v>#REF!</v>
      </c>
      <c r="G502" s="48" t="e">
        <v>#REF!</v>
      </c>
      <c r="H502" s="49">
        <v>0</v>
      </c>
      <c r="I502" s="49" t="e">
        <v>#REF!</v>
      </c>
      <c r="J502" s="50"/>
    </row>
    <row r="503" outlineLevel="1" spans="1:10">
      <c r="A503" s="50">
        <v>417</v>
      </c>
      <c r="B503" s="51" t="str">
        <v>楼地面-铝箔纸</v>
      </c>
      <c r="C503" s="51" t="e">
        <v>#REF!</v>
      </c>
      <c r="D503" s="51" t="str">
        <v/>
      </c>
      <c r="E503" s="51" t="str">
        <v/>
      </c>
      <c r="F503" s="52" t="e">
        <v>#REF!</v>
      </c>
      <c r="G503" s="48" t="e">
        <v>#REF!</v>
      </c>
      <c r="H503" s="49">
        <v>0</v>
      </c>
      <c r="I503" s="49" t="e">
        <v>#REF!</v>
      </c>
      <c r="J503" s="50"/>
    </row>
    <row r="504" outlineLevel="1" spans="1:10">
      <c r="A504" s="50">
        <v>418</v>
      </c>
      <c r="B504" s="51" t="str">
        <v>楼地面-20厚XPS</v>
      </c>
      <c r="C504" s="51" t="e">
        <v>#REF!</v>
      </c>
      <c r="D504" s="51" t="str">
        <v/>
      </c>
      <c r="E504" s="51" t="str">
        <v/>
      </c>
      <c r="F504" s="52" t="e">
        <v>#REF!</v>
      </c>
      <c r="G504" s="48" t="e">
        <v>#REF!</v>
      </c>
      <c r="H504" s="49">
        <v>0</v>
      </c>
      <c r="I504" s="49" t="e">
        <v>#REF!</v>
      </c>
      <c r="J504" s="50"/>
    </row>
    <row r="505" outlineLevel="1" spans="1:10">
      <c r="A505" s="50" t="str">
        <v/>
      </c>
      <c r="B505" s="51" t="str">
        <v>卫生间地面（有覆土）</v>
      </c>
      <c r="C505" s="51" t="str">
        <v/>
      </c>
      <c r="D505" s="51" t="str">
        <v/>
      </c>
      <c r="E505" s="51" t="str">
        <v/>
      </c>
      <c r="F505" s="52" t="str">
        <v/>
      </c>
      <c r="G505" s="48" t="str">
        <v/>
      </c>
      <c r="H505" s="49">
        <v>0</v>
      </c>
      <c r="I505" s="49">
        <v>0</v>
      </c>
      <c r="J505" s="50"/>
    </row>
    <row r="506" ht="28.8" outlineLevel="1" spans="1:10">
      <c r="A506" s="50">
        <v>419</v>
      </c>
      <c r="B506" s="51" t="str">
        <v>楼地面-60厚C15豆石砼找坡</v>
      </c>
      <c r="C506" s="51" t="e">
        <v>#REF!</v>
      </c>
      <c r="D506" s="51" t="str">
        <v/>
      </c>
      <c r="E506" s="51" t="str">
        <v/>
      </c>
      <c r="F506" s="52" t="e">
        <v>#REF!</v>
      </c>
      <c r="G506" s="48" t="e">
        <v>#REF!</v>
      </c>
      <c r="H506" s="49">
        <v>0</v>
      </c>
      <c r="I506" s="49" t="e">
        <v>#REF!</v>
      </c>
      <c r="J506" s="50"/>
    </row>
    <row r="507" outlineLevel="1" spans="1:10">
      <c r="A507" s="50">
        <v>420</v>
      </c>
      <c r="B507" s="51" t="str">
        <v>楼地面-玻纤网</v>
      </c>
      <c r="C507" s="51" t="e">
        <v>#REF!</v>
      </c>
      <c r="D507" s="51" t="str">
        <v/>
      </c>
      <c r="E507" s="51" t="str">
        <v/>
      </c>
      <c r="F507" s="52" t="e">
        <v>#REF!</v>
      </c>
      <c r="G507" s="48" t="e">
        <v>#REF!</v>
      </c>
      <c r="H507" s="49">
        <v>0</v>
      </c>
      <c r="I507" s="49" t="e">
        <v>#REF!</v>
      </c>
      <c r="J507" s="50"/>
    </row>
    <row r="508" outlineLevel="1" spans="1:10">
      <c r="A508" s="50">
        <v>421</v>
      </c>
      <c r="B508" s="51" t="str">
        <v>楼地面-15厚M20水泥砂浆</v>
      </c>
      <c r="C508" s="51" t="e">
        <v>#REF!</v>
      </c>
      <c r="D508" s="51" t="str">
        <v/>
      </c>
      <c r="E508" s="51" t="str">
        <v/>
      </c>
      <c r="F508" s="52" t="e">
        <v>#REF!</v>
      </c>
      <c r="G508" s="48" t="e">
        <v>#REF!</v>
      </c>
      <c r="H508" s="49">
        <v>0</v>
      </c>
      <c r="I508" s="49" t="e">
        <v>#REF!</v>
      </c>
      <c r="J508" s="50"/>
    </row>
    <row r="509" outlineLevel="1" spans="1:10">
      <c r="A509" s="50">
        <v>422</v>
      </c>
      <c r="B509" s="51" t="str">
        <v>楼地面-60厚C15细石砼</v>
      </c>
      <c r="C509" s="51" t="e">
        <v>#REF!</v>
      </c>
      <c r="D509" s="51" t="str">
        <v/>
      </c>
      <c r="E509" s="51" t="str">
        <v/>
      </c>
      <c r="F509" s="52" t="e">
        <v>#REF!</v>
      </c>
      <c r="G509" s="48" t="e">
        <v>#REF!</v>
      </c>
      <c r="H509" s="49">
        <v>0</v>
      </c>
      <c r="I509" s="49" t="e">
        <v>#REF!</v>
      </c>
      <c r="J509" s="50"/>
    </row>
    <row r="510" outlineLevel="1" spans="1:10">
      <c r="A510" s="50">
        <v>423</v>
      </c>
      <c r="B510" s="51" t="str">
        <v>楼地面-塑料膜</v>
      </c>
      <c r="C510" s="51" t="e">
        <v>#REF!</v>
      </c>
      <c r="D510" s="51" t="str">
        <v/>
      </c>
      <c r="E510" s="51" t="str">
        <v/>
      </c>
      <c r="F510" s="52" t="e">
        <v>#REF!</v>
      </c>
      <c r="G510" s="48" t="e">
        <v>#REF!</v>
      </c>
      <c r="H510" s="49">
        <v>0</v>
      </c>
      <c r="I510" s="49" t="e">
        <v>#REF!</v>
      </c>
      <c r="J510" s="50"/>
    </row>
    <row r="511" ht="28.8" outlineLevel="1" spans="1:10">
      <c r="A511" s="50">
        <v>424</v>
      </c>
      <c r="B511" s="51" t="str">
        <v>楼地面-150厚3:7灰土夯实</v>
      </c>
      <c r="C511" s="51" t="e">
        <v>#REF!</v>
      </c>
      <c r="D511" s="51" t="str">
        <v/>
      </c>
      <c r="E511" s="51" t="str">
        <v/>
      </c>
      <c r="F511" s="52" t="e">
        <v>#REF!</v>
      </c>
      <c r="G511" s="48" t="e">
        <v>#REF!</v>
      </c>
      <c r="H511" s="49">
        <v>0</v>
      </c>
      <c r="I511" s="49" t="e">
        <v>#REF!</v>
      </c>
      <c r="J511" s="50"/>
    </row>
    <row r="512" outlineLevel="1" spans="1:10">
      <c r="A512" s="50">
        <v>425</v>
      </c>
      <c r="B512" s="51" t="str">
        <v>楼地面-素土夯实</v>
      </c>
      <c r="C512" s="51" t="e">
        <v>#REF!</v>
      </c>
      <c r="D512" s="51" t="str">
        <v/>
      </c>
      <c r="E512" s="51" t="str">
        <v/>
      </c>
      <c r="F512" s="52" t="e">
        <v>#REF!</v>
      </c>
      <c r="G512" s="48" t="e">
        <v>#REF!</v>
      </c>
      <c r="H512" s="49">
        <v>0</v>
      </c>
      <c r="I512" s="49" t="e">
        <v>#REF!</v>
      </c>
      <c r="J512" s="50"/>
    </row>
    <row r="513" outlineLevel="1" spans="1:10">
      <c r="A513" s="50" t="str">
        <v/>
      </c>
      <c r="B513" s="51" t="str">
        <v>卫生间地面（有覆土）</v>
      </c>
      <c r="C513" s="51" t="str">
        <v/>
      </c>
      <c r="D513" s="51" t="str">
        <v/>
      </c>
      <c r="E513" s="51" t="str">
        <v/>
      </c>
      <c r="F513" s="52" t="str">
        <v/>
      </c>
      <c r="G513" s="48" t="str">
        <v/>
      </c>
      <c r="H513" s="49">
        <v>0</v>
      </c>
      <c r="I513" s="49">
        <v>0</v>
      </c>
      <c r="J513" s="50"/>
    </row>
    <row r="514" outlineLevel="1" spans="1:10">
      <c r="A514" s="50">
        <v>426</v>
      </c>
      <c r="B514" s="51" t="str">
        <v>楼地面-60厚C15细石砼</v>
      </c>
      <c r="C514" s="51" t="e">
        <v>#REF!</v>
      </c>
      <c r="D514" s="51" t="str">
        <v/>
      </c>
      <c r="E514" s="51" t="str">
        <v/>
      </c>
      <c r="F514" s="52" t="e">
        <v>#REF!</v>
      </c>
      <c r="G514" s="48" t="e">
        <v>#REF!</v>
      </c>
      <c r="H514" s="49">
        <v>0</v>
      </c>
      <c r="I514" s="49" t="e">
        <v>#REF!</v>
      </c>
      <c r="J514" s="50"/>
    </row>
    <row r="515" outlineLevel="1" spans="1:10">
      <c r="A515" s="50">
        <v>427</v>
      </c>
      <c r="B515" s="51" t="str">
        <v>楼地面-60厚C15砼</v>
      </c>
      <c r="C515" s="51" t="e">
        <v>#REF!</v>
      </c>
      <c r="D515" s="51" t="str">
        <v/>
      </c>
      <c r="E515" s="51" t="str">
        <v/>
      </c>
      <c r="F515" s="52" t="e">
        <v>#REF!</v>
      </c>
      <c r="G515" s="48" t="e">
        <v>#REF!</v>
      </c>
      <c r="H515" s="49">
        <v>0</v>
      </c>
      <c r="I515" s="49" t="e">
        <v>#REF!</v>
      </c>
      <c r="J515" s="50"/>
    </row>
    <row r="516" ht="28.8" outlineLevel="1" spans="1:10">
      <c r="A516" s="50">
        <v>428</v>
      </c>
      <c r="B516" s="51" t="str">
        <v>楼地面-双层Φ3@50钢筋网</v>
      </c>
      <c r="C516" s="51" t="e">
        <v>#REF!</v>
      </c>
      <c r="D516" s="51" t="str">
        <v/>
      </c>
      <c r="E516" s="51" t="str">
        <v/>
      </c>
      <c r="F516" s="52" t="e">
        <v>#REF!</v>
      </c>
      <c r="G516" s="48" t="e">
        <v>#REF!</v>
      </c>
      <c r="H516" s="49">
        <v>0</v>
      </c>
      <c r="I516" s="49" t="e">
        <v>#REF!</v>
      </c>
      <c r="J516" s="50"/>
    </row>
    <row r="517" outlineLevel="1" spans="1:10">
      <c r="A517" s="50">
        <v>429</v>
      </c>
      <c r="B517" s="51" t="str">
        <v>楼地面-塑料膜</v>
      </c>
      <c r="C517" s="51" t="e">
        <v>#REF!</v>
      </c>
      <c r="D517" s="51" t="str">
        <v/>
      </c>
      <c r="E517" s="51" t="str">
        <v/>
      </c>
      <c r="F517" s="52" t="e">
        <v>#REF!</v>
      </c>
      <c r="G517" s="48" t="e">
        <v>#REF!</v>
      </c>
      <c r="H517" s="49">
        <v>0</v>
      </c>
      <c r="I517" s="49" t="e">
        <v>#REF!</v>
      </c>
      <c r="J517" s="50"/>
    </row>
    <row r="518" ht="28.8" outlineLevel="1" spans="1:10">
      <c r="A518" s="50">
        <v>430</v>
      </c>
      <c r="B518" s="51" t="str">
        <v>楼地面-150厚3:7灰土夯实</v>
      </c>
      <c r="C518" s="51" t="e">
        <v>#REF!</v>
      </c>
      <c r="D518" s="51" t="str">
        <v/>
      </c>
      <c r="E518" s="51" t="str">
        <v/>
      </c>
      <c r="F518" s="52" t="e">
        <v>#REF!</v>
      </c>
      <c r="G518" s="48" t="e">
        <v>#REF!</v>
      </c>
      <c r="H518" s="49">
        <v>0</v>
      </c>
      <c r="I518" s="49" t="e">
        <v>#REF!</v>
      </c>
      <c r="J518" s="50"/>
    </row>
    <row r="519" outlineLevel="1" spans="1:10">
      <c r="A519" s="50">
        <v>431</v>
      </c>
      <c r="B519" s="51" t="str">
        <v>楼地面-素土夯实</v>
      </c>
      <c r="C519" s="51" t="e">
        <v>#REF!</v>
      </c>
      <c r="D519" s="51" t="str">
        <v/>
      </c>
      <c r="E519" s="51" t="str">
        <v/>
      </c>
      <c r="F519" s="52" t="e">
        <v>#REF!</v>
      </c>
      <c r="G519" s="48" t="e">
        <v>#REF!</v>
      </c>
      <c r="H519" s="49">
        <v>0</v>
      </c>
      <c r="I519" s="49" t="e">
        <v>#REF!</v>
      </c>
      <c r="J519" s="50"/>
    </row>
    <row r="520" outlineLevel="1" spans="1:10">
      <c r="A520" s="50" t="str">
        <v/>
      </c>
      <c r="B520" s="51" t="str">
        <v>卫生间地面（有覆土）</v>
      </c>
      <c r="C520" s="51" t="str">
        <v/>
      </c>
      <c r="D520" s="51" t="str">
        <v/>
      </c>
      <c r="E520" s="51" t="str">
        <v/>
      </c>
      <c r="F520" s="52" t="str">
        <v/>
      </c>
      <c r="G520" s="48" t="str">
        <v/>
      </c>
      <c r="H520" s="49">
        <v>0</v>
      </c>
      <c r="I520" s="49">
        <v>0</v>
      </c>
      <c r="J520" s="50"/>
    </row>
    <row r="521" ht="28.8" outlineLevel="1" spans="1:10">
      <c r="A521" s="50">
        <v>432</v>
      </c>
      <c r="B521" s="51" t="str">
        <v>楼地面-60厚C15豆石砼找坡</v>
      </c>
      <c r="C521" s="51" t="e">
        <v>#REF!</v>
      </c>
      <c r="D521" s="51" t="str">
        <v/>
      </c>
      <c r="E521" s="51" t="str">
        <v/>
      </c>
      <c r="F521" s="52" t="e">
        <v>#REF!</v>
      </c>
      <c r="G521" s="48" t="e">
        <v>#REF!</v>
      </c>
      <c r="H521" s="49">
        <v>0</v>
      </c>
      <c r="I521" s="49" t="e">
        <v>#REF!</v>
      </c>
      <c r="J521" s="50"/>
    </row>
    <row r="522" outlineLevel="1" spans="1:10">
      <c r="A522" s="50">
        <v>433</v>
      </c>
      <c r="B522" s="51" t="str">
        <v>楼地面-60厚C15细石砼</v>
      </c>
      <c r="C522" s="51" t="e">
        <v>#REF!</v>
      </c>
      <c r="D522" s="51" t="str">
        <v/>
      </c>
      <c r="E522" s="51" t="str">
        <v/>
      </c>
      <c r="F522" s="52" t="e">
        <v>#REF!</v>
      </c>
      <c r="G522" s="48" t="e">
        <v>#REF!</v>
      </c>
      <c r="H522" s="49">
        <v>0</v>
      </c>
      <c r="I522" s="49" t="e">
        <v>#REF!</v>
      </c>
      <c r="J522" s="50"/>
    </row>
    <row r="523" outlineLevel="1" spans="1:10">
      <c r="A523" s="50">
        <v>434</v>
      </c>
      <c r="B523" s="51" t="str">
        <v>楼地面-塑料膜</v>
      </c>
      <c r="C523" s="51" t="e">
        <v>#REF!</v>
      </c>
      <c r="D523" s="51" t="str">
        <v/>
      </c>
      <c r="E523" s="51" t="str">
        <v/>
      </c>
      <c r="F523" s="52" t="e">
        <v>#REF!</v>
      </c>
      <c r="G523" s="48" t="e">
        <v>#REF!</v>
      </c>
      <c r="H523" s="49">
        <v>0</v>
      </c>
      <c r="I523" s="49" t="e">
        <v>#REF!</v>
      </c>
      <c r="J523" s="50"/>
    </row>
    <row r="524" ht="28.8" outlineLevel="1" spans="1:10">
      <c r="A524" s="50">
        <v>435</v>
      </c>
      <c r="B524" s="51" t="str">
        <v>楼地面-150厚3:7灰土夯实</v>
      </c>
      <c r="C524" s="51" t="e">
        <v>#REF!</v>
      </c>
      <c r="D524" s="51" t="str">
        <v/>
      </c>
      <c r="E524" s="51" t="str">
        <v/>
      </c>
      <c r="F524" s="52" t="e">
        <v>#REF!</v>
      </c>
      <c r="G524" s="48" t="e">
        <v>#REF!</v>
      </c>
      <c r="H524" s="49">
        <v>0</v>
      </c>
      <c r="I524" s="49" t="e">
        <v>#REF!</v>
      </c>
      <c r="J524" s="50"/>
    </row>
    <row r="525" outlineLevel="1" spans="1:10">
      <c r="A525" s="50">
        <v>436</v>
      </c>
      <c r="B525" s="51" t="str">
        <v>楼地面-素土夯实</v>
      </c>
      <c r="C525" s="51" t="e">
        <v>#REF!</v>
      </c>
      <c r="D525" s="51" t="str">
        <v/>
      </c>
      <c r="E525" s="51" t="str">
        <v/>
      </c>
      <c r="F525" s="52" t="e">
        <v>#REF!</v>
      </c>
      <c r="G525" s="48" t="e">
        <v>#REF!</v>
      </c>
      <c r="H525" s="49">
        <v>0</v>
      </c>
      <c r="I525" s="49" t="e">
        <v>#REF!</v>
      </c>
      <c r="J525" s="50"/>
    </row>
    <row r="526" outlineLevel="1" spans="1:10">
      <c r="A526" s="50" t="str">
        <v/>
      </c>
      <c r="B526" s="51" t="str">
        <v>卫生间地面（无覆土）</v>
      </c>
      <c r="C526" s="51" t="str">
        <v/>
      </c>
      <c r="D526" s="51" t="str">
        <v/>
      </c>
      <c r="E526" s="51" t="str">
        <v/>
      </c>
      <c r="F526" s="52" t="str">
        <v/>
      </c>
      <c r="G526" s="48" t="str">
        <v/>
      </c>
      <c r="H526" s="49">
        <v>0</v>
      </c>
      <c r="I526" s="49">
        <v>0</v>
      </c>
      <c r="J526" s="50"/>
    </row>
    <row r="527" outlineLevel="1" spans="1:10">
      <c r="A527" s="50">
        <v>437</v>
      </c>
      <c r="B527" s="51" t="str">
        <v>楼地面-60厚C15细石砼</v>
      </c>
      <c r="C527" s="51" t="e">
        <v>#REF!</v>
      </c>
      <c r="D527" s="51" t="str">
        <v/>
      </c>
      <c r="E527" s="51" t="str">
        <v/>
      </c>
      <c r="F527" s="52" t="e">
        <v>#REF!</v>
      </c>
      <c r="G527" s="48" t="e">
        <v>#REF!</v>
      </c>
      <c r="H527" s="49">
        <v>0</v>
      </c>
      <c r="I527" s="49" t="e">
        <v>#REF!</v>
      </c>
      <c r="J527" s="50"/>
    </row>
    <row r="528" outlineLevel="1" spans="1:10">
      <c r="A528" s="50" t="str">
        <v/>
      </c>
      <c r="B528" s="51" t="str">
        <v>卫生间地面（无覆土）</v>
      </c>
      <c r="C528" s="51" t="str">
        <v/>
      </c>
      <c r="D528" s="51" t="str">
        <v/>
      </c>
      <c r="E528" s="51" t="str">
        <v/>
      </c>
      <c r="F528" s="52" t="str">
        <v/>
      </c>
      <c r="G528" s="48" t="str">
        <v/>
      </c>
      <c r="H528" s="49">
        <v>0</v>
      </c>
      <c r="I528" s="49">
        <v>0</v>
      </c>
      <c r="J528" s="50"/>
    </row>
    <row r="529" ht="28.8" outlineLevel="1" spans="1:10">
      <c r="A529" s="50">
        <v>438</v>
      </c>
      <c r="B529" s="51" t="str">
        <v>楼地面-65厚C15豆石砼找坡</v>
      </c>
      <c r="C529" s="51" t="e">
        <v>#REF!</v>
      </c>
      <c r="D529" s="51" t="str">
        <v/>
      </c>
      <c r="E529" s="51" t="str">
        <v/>
      </c>
      <c r="F529" s="52" t="e">
        <v>#REF!</v>
      </c>
      <c r="G529" s="48" t="e">
        <v>#REF!</v>
      </c>
      <c r="H529" s="49">
        <v>0</v>
      </c>
      <c r="I529" s="49" t="e">
        <v>#REF!</v>
      </c>
      <c r="J529" s="50"/>
    </row>
    <row r="530" outlineLevel="1" spans="1:10">
      <c r="A530" s="50">
        <v>439</v>
      </c>
      <c r="B530" s="51" t="str">
        <v>楼地面-玻纤网</v>
      </c>
      <c r="C530" s="51" t="e">
        <v>#REF!</v>
      </c>
      <c r="D530" s="51" t="str">
        <v/>
      </c>
      <c r="E530" s="51" t="str">
        <v/>
      </c>
      <c r="F530" s="52" t="e">
        <v>#REF!</v>
      </c>
      <c r="G530" s="48" t="e">
        <v>#REF!</v>
      </c>
      <c r="H530" s="49">
        <v>0</v>
      </c>
      <c r="I530" s="49" t="e">
        <v>#REF!</v>
      </c>
      <c r="J530" s="50"/>
    </row>
    <row r="531" outlineLevel="1" spans="1:10">
      <c r="A531" s="50">
        <v>440</v>
      </c>
      <c r="B531" s="51" t="str">
        <v>楼地面-15厚M20水泥砂浆</v>
      </c>
      <c r="C531" s="51" t="e">
        <v>#REF!</v>
      </c>
      <c r="D531" s="51" t="str">
        <v/>
      </c>
      <c r="E531" s="51" t="str">
        <v/>
      </c>
      <c r="F531" s="52" t="e">
        <v>#REF!</v>
      </c>
      <c r="G531" s="48" t="e">
        <v>#REF!</v>
      </c>
      <c r="H531" s="49">
        <v>0</v>
      </c>
      <c r="I531" s="49" t="e">
        <v>#REF!</v>
      </c>
      <c r="J531" s="50"/>
    </row>
    <row r="532" ht="28.8" outlineLevel="1" spans="1:10">
      <c r="A532" s="50" t="str">
        <v/>
      </c>
      <c r="B532" s="51" t="str">
        <v>户内除卫生间楼面（有覆土）</v>
      </c>
      <c r="C532" s="51" t="str">
        <v/>
      </c>
      <c r="D532" s="51" t="str">
        <v/>
      </c>
      <c r="E532" s="51" t="str">
        <v/>
      </c>
      <c r="F532" s="52" t="str">
        <v/>
      </c>
      <c r="G532" s="48" t="str">
        <v/>
      </c>
      <c r="H532" s="49">
        <v>0</v>
      </c>
      <c r="I532" s="49">
        <v>0</v>
      </c>
      <c r="J532" s="50"/>
    </row>
    <row r="533" ht="28.8" outlineLevel="1" spans="1:10">
      <c r="A533" s="50">
        <v>441</v>
      </c>
      <c r="B533" s="51" t="str">
        <v>楼地面-50厚C15细石砼（毛坯）</v>
      </c>
      <c r="C533" s="51" t="e">
        <v>#REF!</v>
      </c>
      <c r="D533" s="51" t="str">
        <v/>
      </c>
      <c r="E533" s="51" t="str">
        <v/>
      </c>
      <c r="F533" s="52" t="e">
        <v>#REF!</v>
      </c>
      <c r="G533" s="48" t="e">
        <v>#REF!</v>
      </c>
      <c r="H533" s="49">
        <v>0</v>
      </c>
      <c r="I533" s="49" t="e">
        <v>#REF!</v>
      </c>
      <c r="J533" s="50"/>
    </row>
    <row r="534" outlineLevel="1" spans="1:10">
      <c r="A534" s="50">
        <v>442</v>
      </c>
      <c r="B534" s="51" t="str">
        <v>楼地面-60厚C15砼</v>
      </c>
      <c r="C534" s="51" t="e">
        <v>#REF!</v>
      </c>
      <c r="D534" s="51" t="str">
        <v/>
      </c>
      <c r="E534" s="51" t="str">
        <v/>
      </c>
      <c r="F534" s="52" t="e">
        <v>#REF!</v>
      </c>
      <c r="G534" s="48" t="e">
        <v>#REF!</v>
      </c>
      <c r="H534" s="49">
        <v>0</v>
      </c>
      <c r="I534" s="49" t="e">
        <v>#REF!</v>
      </c>
      <c r="J534" s="50"/>
    </row>
    <row r="535" ht="28.8" outlineLevel="1" spans="1:10">
      <c r="A535" s="50">
        <v>443</v>
      </c>
      <c r="B535" s="51" t="str">
        <v>楼地面-双层Φ3@50钢筋网</v>
      </c>
      <c r="C535" s="51" t="e">
        <v>#REF!</v>
      </c>
      <c r="D535" s="51" t="str">
        <v/>
      </c>
      <c r="E535" s="51" t="str">
        <v/>
      </c>
      <c r="F535" s="52" t="e">
        <v>#REF!</v>
      </c>
      <c r="G535" s="48" t="e">
        <v>#REF!</v>
      </c>
      <c r="H535" s="49">
        <v>0</v>
      </c>
      <c r="I535" s="49" t="e">
        <v>#REF!</v>
      </c>
      <c r="J535" s="50"/>
    </row>
    <row r="536" outlineLevel="1" spans="1:10">
      <c r="A536" s="50">
        <v>444</v>
      </c>
      <c r="B536" s="51" t="str">
        <v>楼地面-塑料膜</v>
      </c>
      <c r="C536" s="51" t="e">
        <v>#REF!</v>
      </c>
      <c r="D536" s="51" t="str">
        <v/>
      </c>
      <c r="E536" s="51" t="str">
        <v/>
      </c>
      <c r="F536" s="52" t="e">
        <v>#REF!</v>
      </c>
      <c r="G536" s="48" t="e">
        <v>#REF!</v>
      </c>
      <c r="H536" s="49">
        <v>0</v>
      </c>
      <c r="I536" s="49" t="e">
        <v>#REF!</v>
      </c>
      <c r="J536" s="50"/>
    </row>
    <row r="537" ht="28.8" outlineLevel="1" spans="1:10">
      <c r="A537" s="50">
        <v>445</v>
      </c>
      <c r="B537" s="51" t="str">
        <v>楼地面-150厚3:7灰土夯实</v>
      </c>
      <c r="C537" s="51" t="e">
        <v>#REF!</v>
      </c>
      <c r="D537" s="51" t="str">
        <v/>
      </c>
      <c r="E537" s="51" t="str">
        <v/>
      </c>
      <c r="F537" s="52" t="e">
        <v>#REF!</v>
      </c>
      <c r="G537" s="48" t="e">
        <v>#REF!</v>
      </c>
      <c r="H537" s="49">
        <v>0</v>
      </c>
      <c r="I537" s="49" t="e">
        <v>#REF!</v>
      </c>
      <c r="J537" s="50"/>
    </row>
    <row r="538" outlineLevel="1" spans="1:10">
      <c r="A538" s="50">
        <v>446</v>
      </c>
      <c r="B538" s="51" t="str">
        <v>楼地面-素土夯实</v>
      </c>
      <c r="C538" s="51" t="e">
        <v>#REF!</v>
      </c>
      <c r="D538" s="51" t="str">
        <v/>
      </c>
      <c r="E538" s="51" t="str">
        <v/>
      </c>
      <c r="F538" s="52" t="e">
        <v>#REF!</v>
      </c>
      <c r="G538" s="48" t="e">
        <v>#REF!</v>
      </c>
      <c r="H538" s="49">
        <v>0</v>
      </c>
      <c r="I538" s="49" t="e">
        <v>#REF!</v>
      </c>
      <c r="J538" s="50"/>
    </row>
    <row r="539" ht="28.8" outlineLevel="1" spans="1:10">
      <c r="A539" s="50" t="str">
        <v/>
      </c>
      <c r="B539" s="51" t="str">
        <v>户内除卫生间楼面（有覆土）</v>
      </c>
      <c r="C539" s="51" t="str">
        <v/>
      </c>
      <c r="D539" s="51" t="str">
        <v/>
      </c>
      <c r="E539" s="51" t="str">
        <v/>
      </c>
      <c r="F539" s="52" t="str">
        <v/>
      </c>
      <c r="G539" s="48" t="str">
        <v/>
      </c>
      <c r="H539" s="49">
        <v>0</v>
      </c>
      <c r="I539" s="49">
        <v>0</v>
      </c>
      <c r="J539" s="50"/>
    </row>
    <row r="540" outlineLevel="1" spans="1:10">
      <c r="A540" s="50">
        <v>447</v>
      </c>
      <c r="B540" s="51" t="str">
        <v>楼地面-60厚C15细石砼</v>
      </c>
      <c r="C540" s="51" t="e">
        <v>#REF!</v>
      </c>
      <c r="D540" s="51" t="str">
        <v/>
      </c>
      <c r="E540" s="51" t="str">
        <v/>
      </c>
      <c r="F540" s="52" t="e">
        <v>#REF!</v>
      </c>
      <c r="G540" s="48" t="e">
        <v>#REF!</v>
      </c>
      <c r="H540" s="49">
        <v>0</v>
      </c>
      <c r="I540" s="49" t="e">
        <v>#REF!</v>
      </c>
      <c r="J540" s="50"/>
    </row>
    <row r="541" outlineLevel="1" spans="1:10">
      <c r="A541" s="50">
        <v>448</v>
      </c>
      <c r="B541" s="51" t="str">
        <v>楼地面-塑料膜</v>
      </c>
      <c r="C541" s="51" t="e">
        <v>#REF!</v>
      </c>
      <c r="D541" s="51" t="str">
        <v/>
      </c>
      <c r="E541" s="51" t="str">
        <v/>
      </c>
      <c r="F541" s="52" t="e">
        <v>#REF!</v>
      </c>
      <c r="G541" s="48" t="e">
        <v>#REF!</v>
      </c>
      <c r="H541" s="49">
        <v>0</v>
      </c>
      <c r="I541" s="49" t="e">
        <v>#REF!</v>
      </c>
      <c r="J541" s="50"/>
    </row>
    <row r="542" ht="28.8" outlineLevel="1" spans="1:10">
      <c r="A542" s="50">
        <v>449</v>
      </c>
      <c r="B542" s="51" t="str">
        <v>楼地面-150厚3:7灰土夯实</v>
      </c>
      <c r="C542" s="51" t="e">
        <v>#REF!</v>
      </c>
      <c r="D542" s="51" t="str">
        <v/>
      </c>
      <c r="E542" s="51" t="str">
        <v/>
      </c>
      <c r="F542" s="52" t="e">
        <v>#REF!</v>
      </c>
      <c r="G542" s="48" t="e">
        <v>#REF!</v>
      </c>
      <c r="H542" s="49">
        <v>0</v>
      </c>
      <c r="I542" s="49" t="e">
        <v>#REF!</v>
      </c>
      <c r="J542" s="50"/>
    </row>
    <row r="543" outlineLevel="1" spans="1:10">
      <c r="A543" s="50">
        <v>450</v>
      </c>
      <c r="B543" s="51" t="str">
        <v>楼地面-素土夯实</v>
      </c>
      <c r="C543" s="51" t="e">
        <v>#REF!</v>
      </c>
      <c r="D543" s="51" t="str">
        <v/>
      </c>
      <c r="E543" s="51" t="str">
        <v/>
      </c>
      <c r="F543" s="52" t="e">
        <v>#REF!</v>
      </c>
      <c r="G543" s="48" t="e">
        <v>#REF!</v>
      </c>
      <c r="H543" s="49">
        <v>0</v>
      </c>
      <c r="I543" s="49" t="e">
        <v>#REF!</v>
      </c>
      <c r="J543" s="50"/>
    </row>
    <row r="544" ht="28.8" outlineLevel="1" spans="1:10">
      <c r="A544" s="50" t="str">
        <v/>
      </c>
      <c r="B544" s="51" t="str">
        <v>卫生间楼面（有覆土）用于售楼部</v>
      </c>
      <c r="C544" s="51" t="str">
        <v/>
      </c>
      <c r="D544" s="51" t="str">
        <v/>
      </c>
      <c r="E544" s="51" t="str">
        <v/>
      </c>
      <c r="F544" s="52" t="str">
        <v/>
      </c>
      <c r="G544" s="48" t="str">
        <v/>
      </c>
      <c r="H544" s="49">
        <v>0</v>
      </c>
      <c r="I544" s="49">
        <v>0</v>
      </c>
      <c r="J544" s="50"/>
    </row>
    <row r="545" ht="28.8" outlineLevel="1" spans="1:10">
      <c r="A545" s="50">
        <v>451</v>
      </c>
      <c r="B545" s="51" t="str">
        <v>楼地面-65厚C15豆石砼找坡</v>
      </c>
      <c r="C545" s="51" t="e">
        <v>#REF!</v>
      </c>
      <c r="D545" s="51" t="str">
        <v/>
      </c>
      <c r="E545" s="51" t="str">
        <v/>
      </c>
      <c r="F545" s="52" t="e">
        <v>#REF!</v>
      </c>
      <c r="G545" s="48" t="e">
        <v>#REF!</v>
      </c>
      <c r="H545" s="49">
        <v>0</v>
      </c>
      <c r="I545" s="49" t="e">
        <v>#REF!</v>
      </c>
      <c r="J545" s="50"/>
    </row>
    <row r="546" outlineLevel="1" spans="1:10">
      <c r="A546" s="50">
        <v>452</v>
      </c>
      <c r="B546" s="51" t="str">
        <v>楼地面-玻纤网</v>
      </c>
      <c r="C546" s="51" t="e">
        <v>#REF!</v>
      </c>
      <c r="D546" s="51" t="str">
        <v/>
      </c>
      <c r="E546" s="51" t="str">
        <v/>
      </c>
      <c r="F546" s="52" t="e">
        <v>#REF!</v>
      </c>
      <c r="G546" s="48" t="e">
        <v>#REF!</v>
      </c>
      <c r="H546" s="49">
        <v>0</v>
      </c>
      <c r="I546" s="49" t="e">
        <v>#REF!</v>
      </c>
      <c r="J546" s="50"/>
    </row>
    <row r="547" outlineLevel="1" spans="1:10">
      <c r="A547" s="50">
        <v>453</v>
      </c>
      <c r="B547" s="51" t="str">
        <v>楼地面-100厚C20砼</v>
      </c>
      <c r="C547" s="51" t="e">
        <v>#REF!</v>
      </c>
      <c r="D547" s="51" t="str">
        <v/>
      </c>
      <c r="E547" s="51" t="str">
        <v/>
      </c>
      <c r="F547" s="52" t="e">
        <v>#REF!</v>
      </c>
      <c r="G547" s="48" t="e">
        <v>#REF!</v>
      </c>
      <c r="H547" s="49">
        <v>0</v>
      </c>
      <c r="I547" s="49" t="e">
        <v>#REF!</v>
      </c>
      <c r="J547" s="50"/>
    </row>
    <row r="548" outlineLevel="1" spans="1:10">
      <c r="A548" s="50">
        <v>454</v>
      </c>
      <c r="B548" s="51" t="str">
        <v>楼地面-塑料膜</v>
      </c>
      <c r="C548" s="51" t="e">
        <v>#REF!</v>
      </c>
      <c r="D548" s="51" t="str">
        <v/>
      </c>
      <c r="E548" s="51" t="str">
        <v/>
      </c>
      <c r="F548" s="52" t="e">
        <v>#REF!</v>
      </c>
      <c r="G548" s="48" t="e">
        <v>#REF!</v>
      </c>
      <c r="H548" s="49">
        <v>0</v>
      </c>
      <c r="I548" s="49" t="e">
        <v>#REF!</v>
      </c>
      <c r="J548" s="50"/>
    </row>
    <row r="549" ht="28.8" outlineLevel="1" spans="1:10">
      <c r="A549" s="50">
        <v>455</v>
      </c>
      <c r="B549" s="51" t="str">
        <v>楼地面-150厚3:7灰土夯实</v>
      </c>
      <c r="C549" s="51" t="e">
        <v>#REF!</v>
      </c>
      <c r="D549" s="51" t="str">
        <v/>
      </c>
      <c r="E549" s="51" t="str">
        <v/>
      </c>
      <c r="F549" s="52" t="e">
        <v>#REF!</v>
      </c>
      <c r="G549" s="48" t="e">
        <v>#REF!</v>
      </c>
      <c r="H549" s="49">
        <v>0</v>
      </c>
      <c r="I549" s="49" t="e">
        <v>#REF!</v>
      </c>
      <c r="J549" s="50"/>
    </row>
    <row r="550" outlineLevel="1" spans="1:10">
      <c r="A550" s="50">
        <v>456</v>
      </c>
      <c r="B550" s="51" t="str">
        <v>楼地面-素土夯实</v>
      </c>
      <c r="C550" s="51" t="e">
        <v>#REF!</v>
      </c>
      <c r="D550" s="51" t="str">
        <v/>
      </c>
      <c r="E550" s="51" t="str">
        <v/>
      </c>
      <c r="F550" s="52" t="e">
        <v>#REF!</v>
      </c>
      <c r="G550" s="48" t="e">
        <v>#REF!</v>
      </c>
      <c r="H550" s="49">
        <v>0</v>
      </c>
      <c r="I550" s="49" t="e">
        <v>#REF!</v>
      </c>
      <c r="J550" s="50"/>
    </row>
    <row r="551" ht="28.8" outlineLevel="1" spans="1:10">
      <c r="A551" s="50" t="str">
        <v/>
      </c>
      <c r="B551" s="51" t="str">
        <v>户内除卫生间楼面（有覆土）</v>
      </c>
      <c r="C551" s="51" t="str">
        <v/>
      </c>
      <c r="D551" s="51" t="str">
        <v/>
      </c>
      <c r="E551" s="51" t="str">
        <v/>
      </c>
      <c r="F551" s="52" t="str">
        <v/>
      </c>
      <c r="G551" s="48" t="str">
        <v/>
      </c>
      <c r="H551" s="49">
        <v>0</v>
      </c>
      <c r="I551" s="49">
        <v>0</v>
      </c>
      <c r="J551" s="50"/>
    </row>
    <row r="552" outlineLevel="1" spans="1:10">
      <c r="A552" s="50">
        <v>457</v>
      </c>
      <c r="B552" s="51" t="str">
        <v>楼地面-50厚C15豆石砼</v>
      </c>
      <c r="C552" s="51" t="e">
        <v>#REF!</v>
      </c>
      <c r="D552" s="51" t="str">
        <v/>
      </c>
      <c r="E552" s="51" t="str">
        <v/>
      </c>
      <c r="F552" s="52" t="e">
        <v>#REF!</v>
      </c>
      <c r="G552" s="48" t="e">
        <v>#REF!</v>
      </c>
      <c r="H552" s="49">
        <v>0</v>
      </c>
      <c r="I552" s="49" t="e">
        <v>#REF!</v>
      </c>
      <c r="J552" s="50"/>
    </row>
    <row r="553" outlineLevel="1" spans="1:10">
      <c r="A553" s="50">
        <v>458</v>
      </c>
      <c r="B553" s="51" t="str">
        <v>楼地面-玻纤网</v>
      </c>
      <c r="C553" s="51" t="e">
        <v>#REF!</v>
      </c>
      <c r="D553" s="51" t="str">
        <v/>
      </c>
      <c r="E553" s="51" t="str">
        <v/>
      </c>
      <c r="F553" s="52" t="e">
        <v>#REF!</v>
      </c>
      <c r="G553" s="48" t="e">
        <v>#REF!</v>
      </c>
      <c r="H553" s="49">
        <v>0</v>
      </c>
      <c r="I553" s="49" t="e">
        <v>#REF!</v>
      </c>
      <c r="J553" s="50"/>
    </row>
    <row r="554" outlineLevel="1" spans="1:10">
      <c r="A554" s="50">
        <v>459</v>
      </c>
      <c r="B554" s="51" t="str">
        <v>楼地面-15厚M20水泥砂浆</v>
      </c>
      <c r="C554" s="51" t="e">
        <v>#REF!</v>
      </c>
      <c r="D554" s="51" t="str">
        <v/>
      </c>
      <c r="E554" s="51" t="str">
        <v/>
      </c>
      <c r="F554" s="52" t="e">
        <v>#REF!</v>
      </c>
      <c r="G554" s="48" t="e">
        <v>#REF!</v>
      </c>
      <c r="H554" s="49">
        <v>0</v>
      </c>
      <c r="I554" s="49" t="e">
        <v>#REF!</v>
      </c>
      <c r="J554" s="50"/>
    </row>
    <row r="555" outlineLevel="1" spans="1:10">
      <c r="A555" s="50">
        <v>460</v>
      </c>
      <c r="B555" s="51" t="str">
        <v>楼地面-60厚C15细石砼</v>
      </c>
      <c r="C555" s="51" t="e">
        <v>#REF!</v>
      </c>
      <c r="D555" s="51" t="str">
        <v/>
      </c>
      <c r="E555" s="51" t="str">
        <v/>
      </c>
      <c r="F555" s="52" t="e">
        <v>#REF!</v>
      </c>
      <c r="G555" s="48" t="e">
        <v>#REF!</v>
      </c>
      <c r="H555" s="49">
        <v>0</v>
      </c>
      <c r="I555" s="49" t="e">
        <v>#REF!</v>
      </c>
      <c r="J555" s="50"/>
    </row>
    <row r="556" outlineLevel="1" spans="1:10">
      <c r="A556" s="50">
        <v>461</v>
      </c>
      <c r="B556" s="51" t="str">
        <v>楼地面-塑料膜</v>
      </c>
      <c r="C556" s="51" t="e">
        <v>#REF!</v>
      </c>
      <c r="D556" s="51" t="str">
        <v/>
      </c>
      <c r="E556" s="51" t="str">
        <v/>
      </c>
      <c r="F556" s="52" t="e">
        <v>#REF!</v>
      </c>
      <c r="G556" s="48" t="e">
        <v>#REF!</v>
      </c>
      <c r="H556" s="49">
        <v>0</v>
      </c>
      <c r="I556" s="49" t="e">
        <v>#REF!</v>
      </c>
      <c r="J556" s="50"/>
    </row>
    <row r="557" ht="28.8" outlineLevel="1" spans="1:10">
      <c r="A557" s="50">
        <v>462</v>
      </c>
      <c r="B557" s="51" t="str">
        <v>楼地面-150厚3:7灰土夯实</v>
      </c>
      <c r="C557" s="51" t="e">
        <v>#REF!</v>
      </c>
      <c r="D557" s="51" t="str">
        <v/>
      </c>
      <c r="E557" s="51" t="str">
        <v/>
      </c>
      <c r="F557" s="52" t="e">
        <v>#REF!</v>
      </c>
      <c r="G557" s="48" t="e">
        <v>#REF!</v>
      </c>
      <c r="H557" s="49">
        <v>0</v>
      </c>
      <c r="I557" s="49" t="e">
        <v>#REF!</v>
      </c>
      <c r="J557" s="50"/>
    </row>
    <row r="558" outlineLevel="1" spans="1:10">
      <c r="A558" s="50">
        <v>463</v>
      </c>
      <c r="B558" s="51" t="str">
        <v>楼地面-素土夯实</v>
      </c>
      <c r="C558" s="51" t="e">
        <v>#REF!</v>
      </c>
      <c r="D558" s="51" t="str">
        <v/>
      </c>
      <c r="E558" s="51" t="str">
        <v/>
      </c>
      <c r="F558" s="52" t="e">
        <v>#REF!</v>
      </c>
      <c r="G558" s="48" t="e">
        <v>#REF!</v>
      </c>
      <c r="H558" s="49">
        <v>0</v>
      </c>
      <c r="I558" s="49" t="e">
        <v>#REF!</v>
      </c>
      <c r="J558" s="50"/>
    </row>
    <row r="559" ht="28.8" outlineLevel="1" spans="1:10">
      <c r="A559" s="50" t="str">
        <v/>
      </c>
      <c r="B559" s="51" t="str">
        <v>有覆土房间，地库以上，地面素土以下做法</v>
      </c>
      <c r="C559" s="51" t="str">
        <v/>
      </c>
      <c r="D559" s="51" t="str">
        <v/>
      </c>
      <c r="E559" s="51" t="str">
        <v/>
      </c>
      <c r="F559" s="52" t="str">
        <v/>
      </c>
      <c r="G559" s="48" t="str">
        <v/>
      </c>
      <c r="H559" s="49">
        <v>0</v>
      </c>
      <c r="I559" s="49">
        <v>0</v>
      </c>
      <c r="J559" s="50"/>
    </row>
    <row r="560" outlineLevel="1" spans="1:10">
      <c r="A560" s="50">
        <v>464</v>
      </c>
      <c r="B560" s="51" t="str">
        <v>楼地面-20厚M20水泥砂浆</v>
      </c>
      <c r="C560" s="51" t="e">
        <v>#REF!</v>
      </c>
      <c r="D560" s="51" t="str">
        <v/>
      </c>
      <c r="E560" s="51" t="str">
        <v/>
      </c>
      <c r="F560" s="52" t="e">
        <v>#REF!</v>
      </c>
      <c r="G560" s="48" t="e">
        <v>#REF!</v>
      </c>
      <c r="H560" s="49">
        <v>0</v>
      </c>
      <c r="I560" s="49" t="e">
        <v>#REF!</v>
      </c>
      <c r="J560" s="50"/>
    </row>
    <row r="561" outlineLevel="1" spans="1:10">
      <c r="A561" s="50">
        <v>465</v>
      </c>
      <c r="B561" s="51" t="str">
        <v>楼地面-聚氨酯防水涂料</v>
      </c>
      <c r="C561" s="51" t="e">
        <v>#REF!</v>
      </c>
      <c r="D561" s="51" t="str">
        <v/>
      </c>
      <c r="E561" s="51" t="str">
        <v/>
      </c>
      <c r="F561" s="52" t="e">
        <v>#REF!</v>
      </c>
      <c r="G561" s="48" t="e">
        <v>#REF!</v>
      </c>
      <c r="H561" s="49">
        <v>0</v>
      </c>
      <c r="I561" s="49" t="e">
        <v>#REF!</v>
      </c>
      <c r="J561" s="50"/>
    </row>
    <row r="562" outlineLevel="1" spans="1:10">
      <c r="A562" s="50">
        <v>466</v>
      </c>
      <c r="B562" s="51" t="str">
        <v>楼地面-20厚M20水泥砂浆</v>
      </c>
      <c r="C562" s="51" t="e">
        <v>#REF!</v>
      </c>
      <c r="D562" s="51" t="str">
        <v/>
      </c>
      <c r="E562" s="51" t="str">
        <v/>
      </c>
      <c r="F562" s="52" t="e">
        <v>#REF!</v>
      </c>
      <c r="G562" s="48" t="e">
        <v>#REF!</v>
      </c>
      <c r="H562" s="49">
        <v>0</v>
      </c>
      <c r="I562" s="49" t="e">
        <v>#REF!</v>
      </c>
      <c r="J562" s="50"/>
    </row>
    <row r="563" ht="28.8" outlineLevel="1" spans="1:10">
      <c r="A563" s="50">
        <v>467</v>
      </c>
      <c r="B563" s="51" t="str">
        <v>楼地面-15厚水泥基自流平</v>
      </c>
      <c r="C563" s="51" t="e">
        <v>#REF!</v>
      </c>
      <c r="D563" s="51" t="str">
        <v/>
      </c>
      <c r="E563" s="51" t="str">
        <v/>
      </c>
      <c r="F563" s="52" t="e">
        <v>#REF!</v>
      </c>
      <c r="G563" s="48" t="e">
        <v>#REF!</v>
      </c>
      <c r="H563" s="49">
        <v>0</v>
      </c>
      <c r="I563" s="49" t="e">
        <v>#REF!</v>
      </c>
      <c r="J563" s="50"/>
    </row>
    <row r="564" ht="28.8" outlineLevel="1" spans="1:10">
      <c r="A564" s="50">
        <v>468</v>
      </c>
      <c r="B564" s="51" t="str">
        <v>楼地面-20厚水泥基自流平</v>
      </c>
      <c r="C564" s="51" t="e">
        <v>#REF!</v>
      </c>
      <c r="D564" s="51" t="str">
        <v/>
      </c>
      <c r="E564" s="51" t="str">
        <v/>
      </c>
      <c r="F564" s="52" t="e">
        <v>#REF!</v>
      </c>
      <c r="G564" s="48" t="e">
        <v>#REF!</v>
      </c>
      <c r="H564" s="49">
        <v>0</v>
      </c>
      <c r="I564" s="49" t="e">
        <v>#REF!</v>
      </c>
      <c r="J564" s="50"/>
    </row>
    <row r="565" ht="28.8" outlineLevel="1" spans="1:10">
      <c r="A565" s="50">
        <v>469</v>
      </c>
      <c r="B565" s="51" t="str">
        <v>楼地面-15厚石膏基自流平</v>
      </c>
      <c r="C565" s="51" t="e">
        <v>#REF!</v>
      </c>
      <c r="D565" s="51" t="str">
        <v/>
      </c>
      <c r="E565" s="51" t="str">
        <v/>
      </c>
      <c r="F565" s="52" t="e">
        <v>#REF!</v>
      </c>
      <c r="G565" s="48" t="e">
        <v>#REF!</v>
      </c>
      <c r="H565" s="49">
        <v>0</v>
      </c>
      <c r="I565" s="49" t="e">
        <v>#REF!</v>
      </c>
      <c r="J565" s="50"/>
    </row>
    <row r="566" ht="28.8" outlineLevel="1" spans="1:10">
      <c r="A566" s="50">
        <v>470</v>
      </c>
      <c r="B566" s="51" t="str">
        <v>楼地面-20厚石膏基自流平</v>
      </c>
      <c r="C566" s="51" t="e">
        <v>#REF!</v>
      </c>
      <c r="D566" s="51" t="str">
        <v/>
      </c>
      <c r="E566" s="51" t="str">
        <v/>
      </c>
      <c r="F566" s="52" t="e">
        <v>#REF!</v>
      </c>
      <c r="G566" s="48" t="e">
        <v>#REF!</v>
      </c>
      <c r="H566" s="49">
        <v>0</v>
      </c>
      <c r="I566" s="49" t="e">
        <v>#REF!</v>
      </c>
      <c r="J566" s="50"/>
    </row>
    <row r="567" outlineLevel="1" spans="1:10">
      <c r="A567" s="50" t="str">
        <v/>
      </c>
      <c r="B567" s="51" t="str">
        <v>其他房间</v>
      </c>
      <c r="C567" s="51" t="str">
        <v/>
      </c>
      <c r="D567" s="51" t="str">
        <v/>
      </c>
      <c r="E567" s="51" t="str">
        <v/>
      </c>
      <c r="F567" s="52" t="str">
        <v/>
      </c>
      <c r="G567" s="48" t="str">
        <v/>
      </c>
      <c r="H567" s="49">
        <v>0</v>
      </c>
      <c r="I567" s="49">
        <v>0</v>
      </c>
      <c r="J567" s="50"/>
    </row>
    <row r="568" outlineLevel="1" spans="1:10">
      <c r="A568" s="50">
        <v>471</v>
      </c>
      <c r="B568" s="51" t="str">
        <v>楼地面-50厚C20细石砼</v>
      </c>
      <c r="C568" s="51" t="e">
        <v>#REF!</v>
      </c>
      <c r="D568" s="51" t="str">
        <v/>
      </c>
      <c r="E568" s="51" t="str">
        <v/>
      </c>
      <c r="F568" s="52" t="e">
        <v>#REF!</v>
      </c>
      <c r="G568" s="48" t="e">
        <v>#REF!</v>
      </c>
      <c r="H568" s="49">
        <v>0</v>
      </c>
      <c r="I568" s="49" t="e">
        <v>#REF!</v>
      </c>
      <c r="J568" s="50"/>
    </row>
    <row r="569" outlineLevel="1" spans="1:10">
      <c r="A569" s="50">
        <v>472</v>
      </c>
      <c r="B569" s="51" t="str">
        <v>楼地面-聚氨酯防水涂料</v>
      </c>
      <c r="C569" s="51" t="e">
        <v>#REF!</v>
      </c>
      <c r="D569" s="51" t="str">
        <v/>
      </c>
      <c r="E569" s="51" t="str">
        <v/>
      </c>
      <c r="F569" s="52" t="e">
        <v>#REF!</v>
      </c>
      <c r="G569" s="48" t="e">
        <v>#REF!</v>
      </c>
      <c r="H569" s="49">
        <v>0</v>
      </c>
      <c r="I569" s="49" t="e">
        <v>#REF!</v>
      </c>
      <c r="J569" s="50"/>
    </row>
    <row r="570" outlineLevel="1" spans="1:10">
      <c r="A570" s="50">
        <v>473</v>
      </c>
      <c r="B570" s="51" t="str">
        <v>楼地面-15厚M20水泥砂浆</v>
      </c>
      <c r="C570" s="51" t="e">
        <v>#REF!</v>
      </c>
      <c r="D570" s="51" t="str">
        <v/>
      </c>
      <c r="E570" s="51" t="str">
        <v/>
      </c>
      <c r="F570" s="52" t="e">
        <v>#REF!</v>
      </c>
      <c r="G570" s="48" t="e">
        <v>#REF!</v>
      </c>
      <c r="H570" s="49">
        <v>0</v>
      </c>
      <c r="I570" s="49" t="e">
        <v>#REF!</v>
      </c>
      <c r="J570" s="50"/>
    </row>
    <row r="571" outlineLevel="1" spans="1:10">
      <c r="A571" s="50">
        <v>474</v>
      </c>
      <c r="B571" s="51" t="str">
        <v>楼地面-玻纤网</v>
      </c>
      <c r="C571" s="51" t="e">
        <v>#REF!</v>
      </c>
      <c r="D571" s="51" t="str">
        <v/>
      </c>
      <c r="E571" s="51" t="str">
        <v/>
      </c>
      <c r="F571" s="52" t="e">
        <v>#REF!</v>
      </c>
      <c r="G571" s="48" t="e">
        <v>#REF!</v>
      </c>
      <c r="H571" s="49">
        <v>0</v>
      </c>
      <c r="I571" s="49" t="e">
        <v>#REF!</v>
      </c>
      <c r="J571" s="50"/>
    </row>
    <row r="572" outlineLevel="1" spans="1:10">
      <c r="A572" s="50">
        <v>475</v>
      </c>
      <c r="B572" s="51" t="str">
        <v>楼地面-塑料膜</v>
      </c>
      <c r="C572" s="51" t="e">
        <v>#REF!</v>
      </c>
      <c r="D572" s="51" t="str">
        <v/>
      </c>
      <c r="E572" s="51" t="str">
        <v/>
      </c>
      <c r="F572" s="52" t="e">
        <v>#REF!</v>
      </c>
      <c r="G572" s="48" t="e">
        <v>#REF!</v>
      </c>
      <c r="H572" s="49">
        <v>0</v>
      </c>
      <c r="I572" s="49" t="e">
        <v>#REF!</v>
      </c>
      <c r="J572" s="50"/>
    </row>
    <row r="573" outlineLevel="1" spans="1:10">
      <c r="A573" s="50">
        <v>476</v>
      </c>
      <c r="B573" s="51" t="str">
        <v>楼地面-180厚XPS</v>
      </c>
      <c r="C573" s="51" t="e">
        <v>#REF!</v>
      </c>
      <c r="D573" s="51" t="str">
        <v/>
      </c>
      <c r="E573" s="51" t="str">
        <v/>
      </c>
      <c r="F573" s="52" t="e">
        <v>#REF!</v>
      </c>
      <c r="G573" s="48" t="e">
        <v>#REF!</v>
      </c>
      <c r="H573" s="49">
        <v>0</v>
      </c>
      <c r="I573" s="49" t="e">
        <v>#REF!</v>
      </c>
      <c r="J573" s="50"/>
    </row>
    <row r="574" outlineLevel="1" spans="1:10">
      <c r="A574" s="50">
        <v>477</v>
      </c>
      <c r="B574" s="51" t="str">
        <v>楼地面-15厚M20水泥砂浆</v>
      </c>
      <c r="C574" s="51" t="e">
        <v>#REF!</v>
      </c>
      <c r="D574" s="51" t="str">
        <v/>
      </c>
      <c r="E574" s="51" t="str">
        <v/>
      </c>
      <c r="F574" s="52" t="e">
        <v>#REF!</v>
      </c>
      <c r="G574" s="48" t="e">
        <v>#REF!</v>
      </c>
      <c r="H574" s="49">
        <v>0</v>
      </c>
      <c r="I574" s="49" t="e">
        <v>#REF!</v>
      </c>
      <c r="J574" s="50"/>
    </row>
    <row r="575" outlineLevel="1" spans="1:10">
      <c r="A575" s="50">
        <v>478</v>
      </c>
      <c r="B575" s="51" t="str">
        <v>楼地面-60厚C15细石砼</v>
      </c>
      <c r="C575" s="51" t="e">
        <v>#REF!</v>
      </c>
      <c r="D575" s="51" t="str">
        <v/>
      </c>
      <c r="E575" s="51" t="str">
        <v/>
      </c>
      <c r="F575" s="52" t="e">
        <v>#REF!</v>
      </c>
      <c r="G575" s="48" t="e">
        <v>#REF!</v>
      </c>
      <c r="H575" s="49">
        <v>0</v>
      </c>
      <c r="I575" s="49" t="e">
        <v>#REF!</v>
      </c>
      <c r="J575" s="50"/>
    </row>
    <row r="576" ht="28.8" outlineLevel="1" spans="1:10">
      <c r="A576" s="50">
        <v>479</v>
      </c>
      <c r="B576" s="51" t="str">
        <v>楼地面-双层Φ3@50钢筋网</v>
      </c>
      <c r="C576" s="51" t="e">
        <v>#REF!</v>
      </c>
      <c r="D576" s="51" t="str">
        <v/>
      </c>
      <c r="E576" s="51" t="str">
        <v/>
      </c>
      <c r="F576" s="52" t="e">
        <v>#REF!</v>
      </c>
      <c r="G576" s="48" t="e">
        <v>#REF!</v>
      </c>
      <c r="H576" s="49">
        <v>0</v>
      </c>
      <c r="I576" s="49" t="e">
        <v>#REF!</v>
      </c>
      <c r="J576" s="50"/>
    </row>
    <row r="577" outlineLevel="1" spans="1:10">
      <c r="A577" s="50">
        <v>480</v>
      </c>
      <c r="B577" s="51" t="str">
        <v>楼地面-塑料膜</v>
      </c>
      <c r="C577" s="51" t="e">
        <v>#REF!</v>
      </c>
      <c r="D577" s="51" t="str">
        <v/>
      </c>
      <c r="E577" s="51" t="str">
        <v/>
      </c>
      <c r="F577" s="52" t="e">
        <v>#REF!</v>
      </c>
      <c r="G577" s="48" t="e">
        <v>#REF!</v>
      </c>
      <c r="H577" s="49">
        <v>0</v>
      </c>
      <c r="I577" s="49" t="e">
        <v>#REF!</v>
      </c>
      <c r="J577" s="50"/>
    </row>
    <row r="578" ht="28.8" outlineLevel="1" spans="1:10">
      <c r="A578" s="50">
        <v>481</v>
      </c>
      <c r="B578" s="51" t="str">
        <v>楼地面-150厚3:7灰土夯实</v>
      </c>
      <c r="C578" s="51" t="e">
        <v>#REF!</v>
      </c>
      <c r="D578" s="51" t="str">
        <v/>
      </c>
      <c r="E578" s="51" t="str">
        <v/>
      </c>
      <c r="F578" s="52" t="e">
        <v>#REF!</v>
      </c>
      <c r="G578" s="48" t="e">
        <v>#REF!</v>
      </c>
      <c r="H578" s="49">
        <v>0</v>
      </c>
      <c r="I578" s="49" t="e">
        <v>#REF!</v>
      </c>
      <c r="J578" s="50"/>
    </row>
    <row r="579" outlineLevel="1" spans="1:10">
      <c r="A579" s="50">
        <v>482</v>
      </c>
      <c r="B579" s="51" t="str">
        <v>楼地面-素土夯实</v>
      </c>
      <c r="C579" s="51" t="e">
        <v>#REF!</v>
      </c>
      <c r="D579" s="51" t="str">
        <v/>
      </c>
      <c r="E579" s="51" t="str">
        <v/>
      </c>
      <c r="F579" s="52" t="e">
        <v>#REF!</v>
      </c>
      <c r="G579" s="48" t="e">
        <v>#REF!</v>
      </c>
      <c r="H579" s="49">
        <v>0</v>
      </c>
      <c r="I579" s="49" t="e">
        <v>#REF!</v>
      </c>
      <c r="J579" s="50"/>
    </row>
    <row r="580" ht="28.8" outlineLevel="1" spans="1:10">
      <c r="A580" s="50">
        <v>483</v>
      </c>
      <c r="B580" s="51" t="str">
        <v>楼地面-50厚C15细石砼（毛坯）</v>
      </c>
      <c r="C580" s="51" t="e">
        <v>#REF!</v>
      </c>
      <c r="D580" s="51" t="str">
        <v/>
      </c>
      <c r="E580" s="51" t="str">
        <v/>
      </c>
      <c r="F580" s="52" t="e">
        <v>#REF!</v>
      </c>
      <c r="G580" s="48" t="e">
        <v>#REF!</v>
      </c>
      <c r="H580" s="49">
        <v>0</v>
      </c>
      <c r="I580" s="49" t="e">
        <v>#REF!</v>
      </c>
      <c r="J580" s="50"/>
    </row>
    <row r="581" ht="28.8" outlineLevel="1" spans="1:10">
      <c r="A581" s="50">
        <v>484</v>
      </c>
      <c r="B581" s="51" t="str">
        <v>楼地面-50厚C15细石砼（毛坯）</v>
      </c>
      <c r="C581" s="51" t="e">
        <v>#REF!</v>
      </c>
      <c r="D581" s="51" t="str">
        <v/>
      </c>
      <c r="E581" s="51" t="str">
        <v/>
      </c>
      <c r="F581" s="52" t="e">
        <v>#REF!</v>
      </c>
      <c r="G581" s="48" t="e">
        <v>#REF!</v>
      </c>
      <c r="H581" s="49">
        <v>0</v>
      </c>
      <c r="I581" s="49" t="e">
        <v>#REF!</v>
      </c>
      <c r="J581" s="50"/>
    </row>
    <row r="582" outlineLevel="1" spans="1:10">
      <c r="A582" s="50" t="str">
        <v/>
      </c>
      <c r="B582" s="51" t="str">
        <v>阳台楼面（无覆土）</v>
      </c>
      <c r="C582" s="51" t="str">
        <v/>
      </c>
      <c r="D582" s="51" t="str">
        <v/>
      </c>
      <c r="E582" s="51" t="str">
        <v/>
      </c>
      <c r="F582" s="52" t="str">
        <v/>
      </c>
      <c r="G582" s="48" t="str">
        <v/>
      </c>
      <c r="H582" s="49">
        <v>0</v>
      </c>
      <c r="I582" s="49">
        <v>0</v>
      </c>
      <c r="J582" s="50"/>
    </row>
    <row r="583" ht="28.8" outlineLevel="1" spans="1:10">
      <c r="A583" s="50">
        <v>485</v>
      </c>
      <c r="B583" s="51" t="str">
        <v>楼地面-50厚C15豆石砼找坡</v>
      </c>
      <c r="C583" s="51" t="e">
        <v>#REF!</v>
      </c>
      <c r="D583" s="51" t="str">
        <v/>
      </c>
      <c r="E583" s="51" t="str">
        <v/>
      </c>
      <c r="F583" s="52" t="e">
        <v>#REF!</v>
      </c>
      <c r="G583" s="48" t="e">
        <v>#REF!</v>
      </c>
      <c r="H583" s="49">
        <v>0</v>
      </c>
      <c r="I583" s="49" t="e">
        <v>#REF!</v>
      </c>
      <c r="J583" s="50"/>
    </row>
    <row r="584" outlineLevel="1" spans="1:10">
      <c r="A584" s="50">
        <v>486</v>
      </c>
      <c r="B584" s="51" t="str">
        <v>楼地面-玻纤网</v>
      </c>
      <c r="C584" s="51" t="e">
        <v>#REF!</v>
      </c>
      <c r="D584" s="51" t="str">
        <v/>
      </c>
      <c r="E584" s="51" t="str">
        <v/>
      </c>
      <c r="F584" s="52" t="e">
        <v>#REF!</v>
      </c>
      <c r="G584" s="48" t="e">
        <v>#REF!</v>
      </c>
      <c r="H584" s="49">
        <v>0</v>
      </c>
      <c r="I584" s="49" t="e">
        <v>#REF!</v>
      </c>
      <c r="J584" s="50"/>
    </row>
    <row r="585" ht="28.8" outlineLevel="1" spans="1:10">
      <c r="A585" s="50">
        <v>487</v>
      </c>
      <c r="B585" s="51" t="str">
        <v>阳台地面-聚氨酯防水涂料</v>
      </c>
      <c r="C585" s="51" t="e">
        <v>#REF!</v>
      </c>
      <c r="D585" s="51" t="str">
        <v/>
      </c>
      <c r="E585" s="51" t="str">
        <v/>
      </c>
      <c r="F585" s="52" t="e">
        <v>#REF!</v>
      </c>
      <c r="G585" s="48" t="e">
        <v>#REF!</v>
      </c>
      <c r="H585" s="49">
        <v>0</v>
      </c>
      <c r="I585" s="49" t="e">
        <v>#REF!</v>
      </c>
      <c r="J585" s="50"/>
    </row>
    <row r="586" ht="28.8" outlineLevel="1" spans="1:10">
      <c r="A586" s="50">
        <v>488</v>
      </c>
      <c r="B586" s="51" t="str">
        <v>楼地面-30厚C15豆石砼找坡</v>
      </c>
      <c r="C586" s="51" t="e">
        <v>#REF!</v>
      </c>
      <c r="D586" s="51" t="str">
        <v/>
      </c>
      <c r="E586" s="51" t="str">
        <v/>
      </c>
      <c r="F586" s="52" t="e">
        <v>#REF!</v>
      </c>
      <c r="G586" s="48" t="e">
        <v>#REF!</v>
      </c>
      <c r="H586" s="49">
        <v>0</v>
      </c>
      <c r="I586" s="49" t="e">
        <v>#REF!</v>
      </c>
      <c r="J586" s="50"/>
    </row>
    <row r="587" ht="28.8" outlineLevel="1" spans="1:10">
      <c r="A587" s="50" t="str">
        <v/>
      </c>
      <c r="B587" s="51" t="str">
        <v>一层有覆土的阳台地漏一米范围内</v>
      </c>
      <c r="C587" s="51" t="str">
        <v/>
      </c>
      <c r="D587" s="51" t="str">
        <v/>
      </c>
      <c r="E587" s="51" t="str">
        <v/>
      </c>
      <c r="F587" s="52" t="str">
        <v/>
      </c>
      <c r="G587" s="48" t="str">
        <v/>
      </c>
      <c r="H587" s="49">
        <v>0</v>
      </c>
      <c r="I587" s="49">
        <v>0</v>
      </c>
      <c r="J587" s="50"/>
    </row>
    <row r="588" ht="28.8" outlineLevel="1" spans="1:10">
      <c r="A588" s="50">
        <v>489</v>
      </c>
      <c r="B588" s="51" t="str">
        <v>楼地面-30厚C15豆石砼找坡</v>
      </c>
      <c r="C588" s="51" t="e">
        <v>#REF!</v>
      </c>
      <c r="D588" s="51" t="str">
        <v/>
      </c>
      <c r="E588" s="51" t="str">
        <v/>
      </c>
      <c r="F588" s="52" t="e">
        <v>#REF!</v>
      </c>
      <c r="G588" s="48" t="e">
        <v>#REF!</v>
      </c>
      <c r="H588" s="49">
        <v>0</v>
      </c>
      <c r="I588" s="49" t="e">
        <v>#REF!</v>
      </c>
      <c r="J588" s="50"/>
    </row>
    <row r="589" ht="28.8" outlineLevel="1" spans="1:10">
      <c r="A589" s="50">
        <v>490</v>
      </c>
      <c r="B589" s="51" t="str">
        <v>阳台地面-聚氨酯防水涂料</v>
      </c>
      <c r="C589" s="51" t="e">
        <v>#REF!</v>
      </c>
      <c r="D589" s="51" t="str">
        <v/>
      </c>
      <c r="E589" s="51" t="str">
        <v/>
      </c>
      <c r="F589" s="52" t="e">
        <v>#REF!</v>
      </c>
      <c r="G589" s="48" t="e">
        <v>#REF!</v>
      </c>
      <c r="H589" s="49">
        <v>0</v>
      </c>
      <c r="I589" s="49" t="e">
        <v>#REF!</v>
      </c>
      <c r="J589" s="50"/>
    </row>
    <row r="590" outlineLevel="1" spans="1:10">
      <c r="A590" s="50">
        <v>491</v>
      </c>
      <c r="B590" s="51" t="str">
        <v>楼地面-60厚C15细石砼</v>
      </c>
      <c r="C590" s="51" t="e">
        <v>#REF!</v>
      </c>
      <c r="D590" s="51" t="str">
        <v/>
      </c>
      <c r="E590" s="51" t="str">
        <v/>
      </c>
      <c r="F590" s="52" t="e">
        <v>#REF!</v>
      </c>
      <c r="G590" s="48" t="e">
        <v>#REF!</v>
      </c>
      <c r="H590" s="49">
        <v>0</v>
      </c>
      <c r="I590" s="49" t="e">
        <v>#REF!</v>
      </c>
      <c r="J590" s="50"/>
    </row>
    <row r="591" outlineLevel="1" spans="1:10">
      <c r="A591" s="50">
        <v>492</v>
      </c>
      <c r="B591" s="51" t="str">
        <v>楼地面-塑料膜</v>
      </c>
      <c r="C591" s="51" t="e">
        <v>#REF!</v>
      </c>
      <c r="D591" s="51" t="str">
        <v/>
      </c>
      <c r="E591" s="51" t="str">
        <v/>
      </c>
      <c r="F591" s="52" t="e">
        <v>#REF!</v>
      </c>
      <c r="G591" s="48" t="e">
        <v>#REF!</v>
      </c>
      <c r="H591" s="49">
        <v>0</v>
      </c>
      <c r="I591" s="49" t="e">
        <v>#REF!</v>
      </c>
      <c r="J591" s="50"/>
    </row>
    <row r="592" ht="28.8" outlineLevel="1" spans="1:10">
      <c r="A592" s="50">
        <v>493</v>
      </c>
      <c r="B592" s="51" t="str">
        <v>楼地面-150厚3:7灰土夯实</v>
      </c>
      <c r="C592" s="51" t="e">
        <v>#REF!</v>
      </c>
      <c r="D592" s="51" t="str">
        <v/>
      </c>
      <c r="E592" s="51" t="str">
        <v/>
      </c>
      <c r="F592" s="52" t="e">
        <v>#REF!</v>
      </c>
      <c r="G592" s="48" t="e">
        <v>#REF!</v>
      </c>
      <c r="H592" s="49">
        <v>0</v>
      </c>
      <c r="I592" s="49" t="e">
        <v>#REF!</v>
      </c>
      <c r="J592" s="50"/>
    </row>
    <row r="593" outlineLevel="1" spans="1:10">
      <c r="A593" s="50">
        <v>494</v>
      </c>
      <c r="B593" s="51" t="str">
        <v>楼地面-水暖电井</v>
      </c>
      <c r="C593" s="51" t="e">
        <v>#REF!</v>
      </c>
      <c r="D593" s="51" t="str">
        <v/>
      </c>
      <c r="E593" s="51" t="str">
        <v/>
      </c>
      <c r="F593" s="52" t="e">
        <v>#REF!</v>
      </c>
      <c r="G593" s="48" t="e">
        <v>#REF!</v>
      </c>
      <c r="H593" s="49">
        <v>0</v>
      </c>
      <c r="I593" s="49" t="e">
        <v>#REF!</v>
      </c>
      <c r="J593" s="50"/>
    </row>
    <row r="594" outlineLevel="1" spans="1:10">
      <c r="A594" s="50" t="str">
        <v/>
      </c>
      <c r="B594" s="51" t="str">
        <v>厨房楼面（有覆土）</v>
      </c>
      <c r="C594" s="51" t="str">
        <v/>
      </c>
      <c r="D594" s="51" t="str">
        <v/>
      </c>
      <c r="E594" s="51" t="str">
        <v/>
      </c>
      <c r="F594" s="52" t="str">
        <v/>
      </c>
      <c r="G594" s="48" t="str">
        <v/>
      </c>
      <c r="H594" s="49">
        <v>0</v>
      </c>
      <c r="I594" s="49">
        <v>0</v>
      </c>
      <c r="J594" s="50"/>
    </row>
    <row r="595" outlineLevel="1" spans="1:10">
      <c r="A595" s="50">
        <v>495</v>
      </c>
      <c r="B595" s="51" t="str">
        <v>楼地面-60厚C15细石砼</v>
      </c>
      <c r="C595" s="51" t="e">
        <v>#REF!</v>
      </c>
      <c r="D595" s="51" t="str">
        <v/>
      </c>
      <c r="E595" s="51" t="str">
        <v/>
      </c>
      <c r="F595" s="52" t="e">
        <v>#REF!</v>
      </c>
      <c r="G595" s="48" t="e">
        <v>#REF!</v>
      </c>
      <c r="H595" s="49">
        <v>0</v>
      </c>
      <c r="I595" s="49" t="e">
        <v>#REF!</v>
      </c>
      <c r="J595" s="50"/>
    </row>
    <row r="596" outlineLevel="1" spans="1:10">
      <c r="A596" s="50">
        <v>496</v>
      </c>
      <c r="B596" s="51" t="str">
        <v>楼地面-玻纤网</v>
      </c>
      <c r="C596" s="51" t="e">
        <v>#REF!</v>
      </c>
      <c r="D596" s="51" t="str">
        <v/>
      </c>
      <c r="E596" s="51" t="str">
        <v/>
      </c>
      <c r="F596" s="52" t="e">
        <v>#REF!</v>
      </c>
      <c r="G596" s="48" t="e">
        <v>#REF!</v>
      </c>
      <c r="H596" s="49">
        <v>0</v>
      </c>
      <c r="I596" s="49" t="e">
        <v>#REF!</v>
      </c>
      <c r="J596" s="50"/>
    </row>
    <row r="597" outlineLevel="1" spans="1:10">
      <c r="A597" s="50">
        <v>497</v>
      </c>
      <c r="B597" s="51" t="str">
        <v>楼地面-塑料膜</v>
      </c>
      <c r="C597" s="51" t="e">
        <v>#REF!</v>
      </c>
      <c r="D597" s="51" t="str">
        <v/>
      </c>
      <c r="E597" s="51" t="str">
        <v/>
      </c>
      <c r="F597" s="52" t="e">
        <v>#REF!</v>
      </c>
      <c r="G597" s="48" t="e">
        <v>#REF!</v>
      </c>
      <c r="H597" s="49">
        <v>0</v>
      </c>
      <c r="I597" s="49" t="e">
        <v>#REF!</v>
      </c>
      <c r="J597" s="50"/>
    </row>
    <row r="598" ht="28.8" outlineLevel="1" spans="1:10">
      <c r="A598" s="50">
        <v>498</v>
      </c>
      <c r="B598" s="51" t="str">
        <v>楼地面-150厚3:7灰土夯实</v>
      </c>
      <c r="C598" s="51" t="e">
        <v>#REF!</v>
      </c>
      <c r="D598" s="51" t="str">
        <v/>
      </c>
      <c r="E598" s="51" t="str">
        <v/>
      </c>
      <c r="F598" s="52" t="e">
        <v>#REF!</v>
      </c>
      <c r="G598" s="48" t="e">
        <v>#REF!</v>
      </c>
      <c r="H598" s="49">
        <v>0</v>
      </c>
      <c r="I598" s="49" t="e">
        <v>#REF!</v>
      </c>
      <c r="J598" s="50"/>
    </row>
    <row r="599" outlineLevel="1" spans="1:10">
      <c r="A599" s="50">
        <v>499</v>
      </c>
      <c r="B599" s="51" t="str">
        <v>楼地面-素土夯实</v>
      </c>
      <c r="C599" s="51" t="e">
        <v>#REF!</v>
      </c>
      <c r="D599" s="51" t="str">
        <v/>
      </c>
      <c r="E599" s="51" t="str">
        <v/>
      </c>
      <c r="F599" s="52" t="e">
        <v>#REF!</v>
      </c>
      <c r="G599" s="48" t="e">
        <v>#REF!</v>
      </c>
      <c r="H599" s="49">
        <v>0</v>
      </c>
      <c r="I599" s="49" t="e">
        <v>#REF!</v>
      </c>
      <c r="J599" s="50"/>
    </row>
    <row r="600" ht="28.8" outlineLevel="1" spans="1:10">
      <c r="A600" s="50" t="str">
        <v/>
      </c>
      <c r="B600" s="51" t="str">
        <v>厨房、阳台楼面（有覆土）</v>
      </c>
      <c r="C600" s="51" t="str">
        <v/>
      </c>
      <c r="D600" s="51" t="str">
        <v/>
      </c>
      <c r="E600" s="51" t="str">
        <v/>
      </c>
      <c r="F600" s="52" t="str">
        <v/>
      </c>
      <c r="G600" s="48" t="str">
        <v/>
      </c>
      <c r="H600" s="49">
        <v>0</v>
      </c>
      <c r="I600" s="49">
        <v>0</v>
      </c>
      <c r="J600" s="50"/>
    </row>
    <row r="601" outlineLevel="1" spans="1:10">
      <c r="A601" s="50">
        <v>500</v>
      </c>
      <c r="B601" s="51" t="str">
        <v>楼地面-50厚C15豆石砼</v>
      </c>
      <c r="C601" s="51" t="e">
        <v>#REF!</v>
      </c>
      <c r="D601" s="51" t="str">
        <v/>
      </c>
      <c r="E601" s="51" t="str">
        <v/>
      </c>
      <c r="F601" s="52" t="e">
        <v>#REF!</v>
      </c>
      <c r="G601" s="48" t="e">
        <v>#REF!</v>
      </c>
      <c r="H601" s="49">
        <v>0</v>
      </c>
      <c r="I601" s="49" t="e">
        <v>#REF!</v>
      </c>
      <c r="J601" s="50"/>
    </row>
    <row r="602" outlineLevel="1" spans="1:10">
      <c r="A602" s="50">
        <v>501</v>
      </c>
      <c r="B602" s="51" t="str">
        <v>楼地面-60厚C15细石砼</v>
      </c>
      <c r="C602" s="51" t="e">
        <v>#REF!</v>
      </c>
      <c r="D602" s="51" t="str">
        <v/>
      </c>
      <c r="E602" s="51" t="str">
        <v/>
      </c>
      <c r="F602" s="52" t="e">
        <v>#REF!</v>
      </c>
      <c r="G602" s="48" t="e">
        <v>#REF!</v>
      </c>
      <c r="H602" s="49">
        <v>0</v>
      </c>
      <c r="I602" s="49" t="e">
        <v>#REF!</v>
      </c>
      <c r="J602" s="50"/>
    </row>
    <row r="603" outlineLevel="1" spans="1:10">
      <c r="A603" s="50">
        <v>502</v>
      </c>
      <c r="B603" s="51" t="str">
        <v>楼地面-玻纤网</v>
      </c>
      <c r="C603" s="51" t="e">
        <v>#REF!</v>
      </c>
      <c r="D603" s="51" t="str">
        <v/>
      </c>
      <c r="E603" s="51" t="str">
        <v/>
      </c>
      <c r="F603" s="52" t="e">
        <v>#REF!</v>
      </c>
      <c r="G603" s="48" t="e">
        <v>#REF!</v>
      </c>
      <c r="H603" s="49">
        <v>0</v>
      </c>
      <c r="I603" s="49" t="e">
        <v>#REF!</v>
      </c>
      <c r="J603" s="50"/>
    </row>
    <row r="604" outlineLevel="1" spans="1:10">
      <c r="A604" s="50">
        <v>503</v>
      </c>
      <c r="B604" s="51" t="str">
        <v>楼地面-塑料膜</v>
      </c>
      <c r="C604" s="51" t="e">
        <v>#REF!</v>
      </c>
      <c r="D604" s="51" t="str">
        <v/>
      </c>
      <c r="E604" s="51" t="str">
        <v/>
      </c>
      <c r="F604" s="52" t="e">
        <v>#REF!</v>
      </c>
      <c r="G604" s="48" t="e">
        <v>#REF!</v>
      </c>
      <c r="H604" s="49">
        <v>0</v>
      </c>
      <c r="I604" s="49" t="e">
        <v>#REF!</v>
      </c>
      <c r="J604" s="50"/>
    </row>
    <row r="605" ht="28.8" outlineLevel="1" spans="1:10">
      <c r="A605" s="50">
        <v>504</v>
      </c>
      <c r="B605" s="51" t="str">
        <v>楼地面-150厚3:7灰土夯实</v>
      </c>
      <c r="C605" s="51" t="e">
        <v>#REF!</v>
      </c>
      <c r="D605" s="51" t="str">
        <v/>
      </c>
      <c r="E605" s="51" t="str">
        <v/>
      </c>
      <c r="F605" s="52" t="e">
        <v>#REF!</v>
      </c>
      <c r="G605" s="48" t="e">
        <v>#REF!</v>
      </c>
      <c r="H605" s="49">
        <v>0</v>
      </c>
      <c r="I605" s="49" t="e">
        <v>#REF!</v>
      </c>
      <c r="J605" s="50"/>
    </row>
    <row r="606" outlineLevel="1" spans="1:10">
      <c r="A606" s="50">
        <v>505</v>
      </c>
      <c r="B606" s="51" t="str">
        <v>楼地面-素土夯实</v>
      </c>
      <c r="C606" s="51" t="e">
        <v>#REF!</v>
      </c>
      <c r="D606" s="51" t="str">
        <v/>
      </c>
      <c r="E606" s="51" t="str">
        <v/>
      </c>
      <c r="F606" s="52" t="e">
        <v>#REF!</v>
      </c>
      <c r="G606" s="48" t="e">
        <v>#REF!</v>
      </c>
      <c r="H606" s="49">
        <v>0</v>
      </c>
      <c r="I606" s="49" t="e">
        <v>#REF!</v>
      </c>
      <c r="J606" s="50"/>
    </row>
    <row r="607" ht="28.8" outlineLevel="1" spans="1:10">
      <c r="A607" s="50">
        <v>506</v>
      </c>
      <c r="B607" s="51" t="str">
        <v>楼地面-50厚C15细石砼（毛坯）</v>
      </c>
      <c r="C607" s="51" t="e">
        <v>#REF!</v>
      </c>
      <c r="D607" s="51" t="str">
        <v/>
      </c>
      <c r="E607" s="51" t="str">
        <v/>
      </c>
      <c r="F607" s="52" t="e">
        <v>#REF!</v>
      </c>
      <c r="G607" s="48" t="e">
        <v>#REF!</v>
      </c>
      <c r="H607" s="49">
        <v>0</v>
      </c>
      <c r="I607" s="49" t="e">
        <v>#REF!</v>
      </c>
      <c r="J607" s="50"/>
    </row>
    <row r="608" outlineLevel="1" spans="1:10">
      <c r="A608" s="50" t="str">
        <v/>
      </c>
      <c r="B608" s="51" t="str">
        <v>厨房楼面（无覆土）</v>
      </c>
      <c r="C608" s="51" t="str">
        <v/>
      </c>
      <c r="D608" s="51" t="str">
        <v/>
      </c>
      <c r="E608" s="51" t="str">
        <v/>
      </c>
      <c r="F608" s="52" t="str">
        <v/>
      </c>
      <c r="G608" s="48" t="str">
        <v/>
      </c>
      <c r="H608" s="49">
        <v>0</v>
      </c>
      <c r="I608" s="49">
        <v>0</v>
      </c>
      <c r="J608" s="50"/>
    </row>
    <row r="609" outlineLevel="1" spans="1:10">
      <c r="A609" s="50">
        <v>507</v>
      </c>
      <c r="B609" s="51" t="str">
        <v>楼地面-50厚C15豆石砼</v>
      </c>
      <c r="C609" s="51" t="e">
        <v>#REF!</v>
      </c>
      <c r="D609" s="51" t="str">
        <v/>
      </c>
      <c r="E609" s="51" t="str">
        <v/>
      </c>
      <c r="F609" s="52" t="e">
        <v>#REF!</v>
      </c>
      <c r="G609" s="48" t="e">
        <v>#REF!</v>
      </c>
      <c r="H609" s="49">
        <v>0</v>
      </c>
      <c r="I609" s="49" t="e">
        <v>#REF!</v>
      </c>
      <c r="J609" s="50"/>
    </row>
    <row r="610" outlineLevel="1" spans="1:10">
      <c r="A610" s="50">
        <v>508</v>
      </c>
      <c r="B610" s="51" t="str">
        <v>楼地面-玻纤网</v>
      </c>
      <c r="C610" s="51" t="e">
        <v>#REF!</v>
      </c>
      <c r="D610" s="51" t="str">
        <v/>
      </c>
      <c r="E610" s="51" t="str">
        <v/>
      </c>
      <c r="F610" s="52" t="e">
        <v>#REF!</v>
      </c>
      <c r="G610" s="48" t="e">
        <v>#REF!</v>
      </c>
      <c r="H610" s="49">
        <v>0</v>
      </c>
      <c r="I610" s="49" t="e">
        <v>#REF!</v>
      </c>
      <c r="J610" s="50"/>
    </row>
    <row r="611" outlineLevel="1" spans="1:10">
      <c r="A611" s="50" t="str">
        <v/>
      </c>
      <c r="B611" s="51" t="str">
        <v>其他房间-用于其他配套</v>
      </c>
      <c r="C611" s="51" t="str">
        <v/>
      </c>
      <c r="D611" s="51" t="str">
        <v/>
      </c>
      <c r="E611" s="51" t="str">
        <v/>
      </c>
      <c r="F611" s="52" t="str">
        <v/>
      </c>
      <c r="G611" s="48" t="str">
        <v/>
      </c>
      <c r="H611" s="49">
        <v>0</v>
      </c>
      <c r="I611" s="49">
        <v>0</v>
      </c>
      <c r="J611" s="50"/>
    </row>
    <row r="612" outlineLevel="1" spans="1:10">
      <c r="A612" s="50">
        <v>509</v>
      </c>
      <c r="B612" s="51" t="str">
        <v>楼地面-50厚C15豆石砼</v>
      </c>
      <c r="C612" s="51" t="e">
        <v>#REF!</v>
      </c>
      <c r="D612" s="51" t="str">
        <v/>
      </c>
      <c r="E612" s="51" t="str">
        <v/>
      </c>
      <c r="F612" s="52" t="e">
        <v>#REF!</v>
      </c>
      <c r="G612" s="48" t="e">
        <v>#REF!</v>
      </c>
      <c r="H612" s="49">
        <v>0</v>
      </c>
      <c r="I612" s="49" t="e">
        <v>#REF!</v>
      </c>
      <c r="J612" s="50"/>
    </row>
    <row r="613" outlineLevel="1" spans="1:10">
      <c r="A613" s="50">
        <v>510</v>
      </c>
      <c r="B613" s="51" t="str">
        <v>楼地面-玻纤网</v>
      </c>
      <c r="C613" s="51" t="e">
        <v>#REF!</v>
      </c>
      <c r="D613" s="51" t="str">
        <v/>
      </c>
      <c r="E613" s="51" t="str">
        <v/>
      </c>
      <c r="F613" s="52" t="e">
        <v>#REF!</v>
      </c>
      <c r="G613" s="48" t="e">
        <v>#REF!</v>
      </c>
      <c r="H613" s="49">
        <v>0</v>
      </c>
      <c r="I613" s="49" t="e">
        <v>#REF!</v>
      </c>
      <c r="J613" s="50"/>
    </row>
    <row r="614" outlineLevel="1" spans="1:10">
      <c r="A614" s="50">
        <v>511</v>
      </c>
      <c r="B614" s="51" t="str">
        <v>楼地面-60厚C15细石砼</v>
      </c>
      <c r="C614" s="51" t="e">
        <v>#REF!</v>
      </c>
      <c r="D614" s="51" t="str">
        <v/>
      </c>
      <c r="E614" s="51" t="str">
        <v/>
      </c>
      <c r="F614" s="52" t="e">
        <v>#REF!</v>
      </c>
      <c r="G614" s="48" t="e">
        <v>#REF!</v>
      </c>
      <c r="H614" s="49">
        <v>0</v>
      </c>
      <c r="I614" s="49" t="e">
        <v>#REF!</v>
      </c>
      <c r="J614" s="50"/>
    </row>
    <row r="615" outlineLevel="1" spans="1:10">
      <c r="A615" s="50">
        <v>512</v>
      </c>
      <c r="B615" s="51" t="str">
        <v>楼地面-塑料膜</v>
      </c>
      <c r="C615" s="51" t="e">
        <v>#REF!</v>
      </c>
      <c r="D615" s="51" t="str">
        <v/>
      </c>
      <c r="E615" s="51" t="str">
        <v/>
      </c>
      <c r="F615" s="52" t="e">
        <v>#REF!</v>
      </c>
      <c r="G615" s="48" t="e">
        <v>#REF!</v>
      </c>
      <c r="H615" s="49">
        <v>0</v>
      </c>
      <c r="I615" s="49" t="e">
        <v>#REF!</v>
      </c>
      <c r="J615" s="50"/>
    </row>
    <row r="616" ht="28.8" outlineLevel="1" spans="1:10">
      <c r="A616" s="50">
        <v>513</v>
      </c>
      <c r="B616" s="51" t="str">
        <v>楼地面-150厚3:7灰土夯实</v>
      </c>
      <c r="C616" s="51" t="e">
        <v>#REF!</v>
      </c>
      <c r="D616" s="51" t="str">
        <v/>
      </c>
      <c r="E616" s="51" t="str">
        <v/>
      </c>
      <c r="F616" s="52" t="e">
        <v>#REF!</v>
      </c>
      <c r="G616" s="48" t="e">
        <v>#REF!</v>
      </c>
      <c r="H616" s="49">
        <v>0</v>
      </c>
      <c r="I616" s="49" t="e">
        <v>#REF!</v>
      </c>
      <c r="J616" s="50"/>
    </row>
    <row r="617" outlineLevel="1" spans="1:10">
      <c r="A617" s="50">
        <v>514</v>
      </c>
      <c r="B617" s="51" t="str">
        <v>楼地面-素土夯实</v>
      </c>
      <c r="C617" s="51" t="e">
        <v>#REF!</v>
      </c>
      <c r="D617" s="51" t="str">
        <v/>
      </c>
      <c r="E617" s="51" t="str">
        <v/>
      </c>
      <c r="F617" s="52" t="e">
        <v>#REF!</v>
      </c>
      <c r="G617" s="48" t="e">
        <v>#REF!</v>
      </c>
      <c r="H617" s="49">
        <v>0</v>
      </c>
      <c r="I617" s="49" t="e">
        <v>#REF!</v>
      </c>
      <c r="J617" s="50"/>
    </row>
    <row r="618" outlineLevel="1" spans="1:10">
      <c r="A618" s="50" t="str">
        <v/>
      </c>
      <c r="B618" s="51" t="str">
        <v>其他房间-用于售楼处</v>
      </c>
      <c r="C618" s="51" t="str">
        <v/>
      </c>
      <c r="D618" s="51" t="str">
        <v/>
      </c>
      <c r="E618" s="51" t="str">
        <v/>
      </c>
      <c r="F618" s="52" t="str">
        <v/>
      </c>
      <c r="G618" s="48" t="str">
        <v/>
      </c>
      <c r="H618" s="49">
        <v>0</v>
      </c>
      <c r="I618" s="49">
        <v>0</v>
      </c>
      <c r="J618" s="50"/>
    </row>
    <row r="619" outlineLevel="1" spans="1:10">
      <c r="A619" s="50">
        <v>515</v>
      </c>
      <c r="B619" s="51" t="str">
        <v>楼地面-50厚C15豆石砼</v>
      </c>
      <c r="C619" s="51" t="e">
        <v>#REF!</v>
      </c>
      <c r="D619" s="51" t="str">
        <v/>
      </c>
      <c r="E619" s="51" t="str">
        <v/>
      </c>
      <c r="F619" s="52" t="e">
        <v>#REF!</v>
      </c>
      <c r="G619" s="48" t="e">
        <v>#REF!</v>
      </c>
      <c r="H619" s="49">
        <v>0</v>
      </c>
      <c r="I619" s="49" t="e">
        <v>#REF!</v>
      </c>
      <c r="J619" s="50"/>
    </row>
    <row r="620" outlineLevel="1" spans="1:10">
      <c r="A620" s="50">
        <v>516</v>
      </c>
      <c r="B620" s="51" t="str">
        <v>楼地面-70厚C15豆石砼</v>
      </c>
      <c r="C620" s="51" t="e">
        <v>#REF!</v>
      </c>
      <c r="D620" s="51" t="str">
        <v/>
      </c>
      <c r="E620" s="51" t="str">
        <v/>
      </c>
      <c r="F620" s="52" t="e">
        <v>#REF!</v>
      </c>
      <c r="G620" s="48" t="e">
        <v>#REF!</v>
      </c>
      <c r="H620" s="49">
        <v>0</v>
      </c>
      <c r="I620" s="49" t="e">
        <v>#REF!</v>
      </c>
      <c r="J620" s="50"/>
    </row>
    <row r="621" outlineLevel="1" spans="1:10">
      <c r="A621" s="50">
        <v>517</v>
      </c>
      <c r="B621" s="51" t="str">
        <v>楼地面-玻纤网</v>
      </c>
      <c r="C621" s="51" t="e">
        <v>#REF!</v>
      </c>
      <c r="D621" s="51" t="str">
        <v/>
      </c>
      <c r="E621" s="51" t="str">
        <v/>
      </c>
      <c r="F621" s="52" t="e">
        <v>#REF!</v>
      </c>
      <c r="G621" s="48" t="e">
        <v>#REF!</v>
      </c>
      <c r="H621" s="49">
        <v>0</v>
      </c>
      <c r="I621" s="49" t="e">
        <v>#REF!</v>
      </c>
      <c r="J621" s="50"/>
    </row>
    <row r="622" outlineLevel="1" spans="1:10">
      <c r="A622" s="50">
        <v>518</v>
      </c>
      <c r="B622" s="51" t="str">
        <v>楼地面-100厚C20砼</v>
      </c>
      <c r="C622" s="51" t="e">
        <v>#REF!</v>
      </c>
      <c r="D622" s="51" t="str">
        <v/>
      </c>
      <c r="E622" s="51" t="str">
        <v/>
      </c>
      <c r="F622" s="52" t="e">
        <v>#REF!</v>
      </c>
      <c r="G622" s="48" t="e">
        <v>#REF!</v>
      </c>
      <c r="H622" s="49">
        <v>0</v>
      </c>
      <c r="I622" s="49" t="e">
        <v>#REF!</v>
      </c>
      <c r="J622" s="50"/>
    </row>
    <row r="623" outlineLevel="1" spans="1:10">
      <c r="A623" s="50">
        <v>519</v>
      </c>
      <c r="B623" s="51" t="str">
        <v>楼地面-塑料膜</v>
      </c>
      <c r="C623" s="51" t="e">
        <v>#REF!</v>
      </c>
      <c r="D623" s="51" t="str">
        <v/>
      </c>
      <c r="E623" s="51" t="str">
        <v/>
      </c>
      <c r="F623" s="52" t="e">
        <v>#REF!</v>
      </c>
      <c r="G623" s="48" t="e">
        <v>#REF!</v>
      </c>
      <c r="H623" s="49">
        <v>0</v>
      </c>
      <c r="I623" s="49" t="e">
        <v>#REF!</v>
      </c>
      <c r="J623" s="50"/>
    </row>
    <row r="624" ht="28.8" outlineLevel="1" spans="1:10">
      <c r="A624" s="50">
        <v>520</v>
      </c>
      <c r="B624" s="51" t="str">
        <v>楼地面-150厚3:7灰土夯实</v>
      </c>
      <c r="C624" s="51" t="e">
        <v>#REF!</v>
      </c>
      <c r="D624" s="51" t="str">
        <v/>
      </c>
      <c r="E624" s="51" t="str">
        <v/>
      </c>
      <c r="F624" s="52" t="e">
        <v>#REF!</v>
      </c>
      <c r="G624" s="48" t="e">
        <v>#REF!</v>
      </c>
      <c r="H624" s="49">
        <v>0</v>
      </c>
      <c r="I624" s="49" t="e">
        <v>#REF!</v>
      </c>
      <c r="J624" s="50"/>
    </row>
    <row r="625" outlineLevel="1" spans="1:10">
      <c r="A625" s="50">
        <v>521</v>
      </c>
      <c r="B625" s="51" t="str">
        <v>楼地面-素土夯实</v>
      </c>
      <c r="C625" s="51" t="e">
        <v>#REF!</v>
      </c>
      <c r="D625" s="51" t="str">
        <v/>
      </c>
      <c r="E625" s="51" t="str">
        <v/>
      </c>
      <c r="F625" s="52" t="e">
        <v>#REF!</v>
      </c>
      <c r="G625" s="48" t="e">
        <v>#REF!</v>
      </c>
      <c r="H625" s="49">
        <v>0</v>
      </c>
      <c r="I625" s="49" t="e">
        <v>#REF!</v>
      </c>
      <c r="J625" s="50"/>
    </row>
    <row r="626" outlineLevel="1" spans="1:10">
      <c r="A626" s="50" t="str">
        <v/>
      </c>
      <c r="B626" s="51" t="str">
        <v>电井、进线间、热计量间</v>
      </c>
      <c r="C626" s="51" t="str">
        <v/>
      </c>
      <c r="D626" s="51" t="str">
        <v/>
      </c>
      <c r="E626" s="51" t="str">
        <v/>
      </c>
      <c r="F626" s="52" t="str">
        <v/>
      </c>
      <c r="G626" s="48" t="str">
        <v/>
      </c>
      <c r="H626" s="49">
        <v>0</v>
      </c>
      <c r="I626" s="49">
        <v>0</v>
      </c>
      <c r="J626" s="50"/>
    </row>
    <row r="627" outlineLevel="1" spans="1:10">
      <c r="A627" s="50">
        <v>522</v>
      </c>
      <c r="B627" s="51" t="str">
        <v>楼地面-60厚C15细石砼</v>
      </c>
      <c r="C627" s="51" t="e">
        <v>#REF!</v>
      </c>
      <c r="D627" s="51" t="str">
        <v/>
      </c>
      <c r="E627" s="51" t="str">
        <v/>
      </c>
      <c r="F627" s="52" t="e">
        <v>#REF!</v>
      </c>
      <c r="G627" s="48" t="e">
        <v>#REF!</v>
      </c>
      <c r="H627" s="49">
        <v>16.7</v>
      </c>
      <c r="I627" s="49" t="e">
        <v>#REF!</v>
      </c>
      <c r="J627" s="50"/>
    </row>
    <row r="628" outlineLevel="1" spans="1:10">
      <c r="A628" s="50">
        <v>523</v>
      </c>
      <c r="B628" s="51" t="str">
        <v>楼地面</v>
      </c>
      <c r="C628" s="51" t="e">
        <v>#REF!</v>
      </c>
      <c r="D628" s="51" t="str">
        <v/>
      </c>
      <c r="E628" s="51" t="str">
        <v/>
      </c>
      <c r="F628" s="52" t="e">
        <v>#REF!</v>
      </c>
      <c r="G628" s="48" t="e">
        <v>#REF!</v>
      </c>
      <c r="H628" s="49">
        <v>0</v>
      </c>
      <c r="I628" s="49" t="e">
        <v>#REF!</v>
      </c>
      <c r="J628" s="50"/>
    </row>
    <row r="629" outlineLevel="1" spans="1:10">
      <c r="A629" s="50">
        <v>524</v>
      </c>
      <c r="B629" s="51" t="str">
        <v>楼地面-塑料膜</v>
      </c>
      <c r="C629" s="51" t="e">
        <v>#REF!</v>
      </c>
      <c r="D629" s="51" t="str">
        <v/>
      </c>
      <c r="E629" s="51" t="str">
        <v/>
      </c>
      <c r="F629" s="52" t="e">
        <v>#REF!</v>
      </c>
      <c r="G629" s="48" t="e">
        <v>#REF!</v>
      </c>
      <c r="H629" s="49">
        <v>16.7</v>
      </c>
      <c r="I629" s="49" t="e">
        <v>#REF!</v>
      </c>
      <c r="J629" s="50"/>
    </row>
    <row r="630" ht="28.8" outlineLevel="1" spans="1:10">
      <c r="A630" s="50">
        <v>525</v>
      </c>
      <c r="B630" s="51" t="str">
        <v>楼地面-150厚3:7灰土夯实</v>
      </c>
      <c r="C630" s="51" t="e">
        <v>#REF!</v>
      </c>
      <c r="D630" s="51" t="str">
        <v/>
      </c>
      <c r="E630" s="51" t="str">
        <v/>
      </c>
      <c r="F630" s="52" t="e">
        <v>#REF!</v>
      </c>
      <c r="G630" s="48" t="e">
        <v>#REF!</v>
      </c>
      <c r="H630" s="49">
        <v>16.7</v>
      </c>
      <c r="I630" s="49" t="e">
        <v>#REF!</v>
      </c>
      <c r="J630" s="50"/>
    </row>
    <row r="631" outlineLevel="1" spans="1:10">
      <c r="A631" s="50">
        <v>526</v>
      </c>
      <c r="B631" s="51" t="str">
        <v>楼地面-素土夯实</v>
      </c>
      <c r="C631" s="51" t="e">
        <v>#REF!</v>
      </c>
      <c r="D631" s="51" t="str">
        <v/>
      </c>
      <c r="E631" s="51" t="str">
        <v/>
      </c>
      <c r="F631" s="52" t="e">
        <v>#REF!</v>
      </c>
      <c r="G631" s="48" t="e">
        <v>#REF!</v>
      </c>
      <c r="H631" s="49">
        <v>16.7</v>
      </c>
      <c r="I631" s="49" t="e">
        <v>#REF!</v>
      </c>
      <c r="J631" s="50"/>
    </row>
    <row r="632" outlineLevel="1" spans="1:10">
      <c r="A632" s="50" t="str">
        <v/>
      </c>
      <c r="B632" s="51" t="str">
        <v>住宅室外连廊楼面</v>
      </c>
      <c r="C632" s="51" t="str">
        <v/>
      </c>
      <c r="D632" s="51" t="str">
        <v/>
      </c>
      <c r="E632" s="51" t="str">
        <v/>
      </c>
      <c r="F632" s="52" t="str">
        <v/>
      </c>
      <c r="G632" s="48" t="str">
        <v/>
      </c>
      <c r="H632" s="49">
        <v>0</v>
      </c>
      <c r="I632" s="49">
        <v>0</v>
      </c>
      <c r="J632" s="50"/>
    </row>
    <row r="633" ht="28.8" outlineLevel="1" spans="1:10">
      <c r="A633" s="50">
        <v>527</v>
      </c>
      <c r="B633" s="51" t="str">
        <v>楼地面-30厚水泥砂浆找坡</v>
      </c>
      <c r="C633" s="51" t="e">
        <v>#REF!</v>
      </c>
      <c r="D633" s="51" t="str">
        <v/>
      </c>
      <c r="E633" s="51" t="str">
        <v/>
      </c>
      <c r="F633" s="52" t="e">
        <v>#REF!</v>
      </c>
      <c r="G633" s="48" t="e">
        <v>#REF!</v>
      </c>
      <c r="H633" s="49">
        <v>0</v>
      </c>
      <c r="I633" s="49" t="e">
        <v>#REF!</v>
      </c>
      <c r="J633" s="50"/>
    </row>
    <row r="634" outlineLevel="1" spans="1:10">
      <c r="A634" s="50">
        <v>528</v>
      </c>
      <c r="B634" s="51" t="str">
        <v>楼地面-电梯机房地面</v>
      </c>
      <c r="C634" s="51" t="e">
        <v>#REF!</v>
      </c>
      <c r="D634" s="51" t="str">
        <v/>
      </c>
      <c r="E634" s="51" t="str">
        <v/>
      </c>
      <c r="F634" s="52" t="e">
        <v>#REF!</v>
      </c>
      <c r="G634" s="48" t="e">
        <v>#REF!</v>
      </c>
      <c r="H634" s="49">
        <v>0</v>
      </c>
      <c r="I634" s="49" t="e">
        <v>#REF!</v>
      </c>
      <c r="J634" s="50"/>
    </row>
    <row r="635" outlineLevel="1" spans="1:10">
      <c r="A635" s="50" t="str">
        <v/>
      </c>
      <c r="B635" s="51" t="str">
        <v>屋顶加压送风机房地面</v>
      </c>
      <c r="C635" s="51" t="str">
        <v/>
      </c>
      <c r="D635" s="51" t="str">
        <v/>
      </c>
      <c r="E635" s="51" t="str">
        <v/>
      </c>
      <c r="F635" s="52" t="str">
        <v/>
      </c>
      <c r="G635" s="48" t="str">
        <v/>
      </c>
      <c r="H635" s="49">
        <v>0</v>
      </c>
      <c r="I635" s="49">
        <v>0</v>
      </c>
      <c r="J635" s="50"/>
    </row>
    <row r="636" outlineLevel="1" spans="1:10">
      <c r="A636" s="50">
        <v>529</v>
      </c>
      <c r="B636" s="51" t="str">
        <v>楼地面-50厚C20砼</v>
      </c>
      <c r="C636" s="51" t="e">
        <v>#REF!</v>
      </c>
      <c r="D636" s="51" t="str">
        <v/>
      </c>
      <c r="E636" s="51" t="str">
        <v/>
      </c>
      <c r="F636" s="52" t="e">
        <v>#REF!</v>
      </c>
      <c r="G636" s="48" t="e">
        <v>#REF!</v>
      </c>
      <c r="H636" s="49">
        <v>0</v>
      </c>
      <c r="I636" s="49" t="e">
        <v>#REF!</v>
      </c>
      <c r="J636" s="50"/>
    </row>
    <row r="637" outlineLevel="1" spans="1:10">
      <c r="A637" s="50">
        <v>530</v>
      </c>
      <c r="B637" s="51" t="str">
        <v>楼地面-玻纤网</v>
      </c>
      <c r="C637" s="51" t="e">
        <v>#REF!</v>
      </c>
      <c r="D637" s="51" t="str">
        <v/>
      </c>
      <c r="E637" s="51" t="str">
        <v/>
      </c>
      <c r="F637" s="52" t="e">
        <v>#REF!</v>
      </c>
      <c r="G637" s="48" t="e">
        <v>#REF!</v>
      </c>
      <c r="H637" s="49">
        <v>0</v>
      </c>
      <c r="I637" s="49" t="e">
        <v>#REF!</v>
      </c>
      <c r="J637" s="50"/>
    </row>
    <row r="638" outlineLevel="1" spans="1:10">
      <c r="A638" s="50">
        <v>531</v>
      </c>
      <c r="B638" s="51" t="str">
        <v>楼地面-190厚EPS</v>
      </c>
      <c r="C638" s="51" t="e">
        <v>#REF!</v>
      </c>
      <c r="D638" s="51" t="str">
        <v/>
      </c>
      <c r="E638" s="51" t="str">
        <v/>
      </c>
      <c r="F638" s="52" t="e">
        <v>#REF!</v>
      </c>
      <c r="G638" s="48" t="e">
        <v>#REF!</v>
      </c>
      <c r="H638" s="49">
        <v>0</v>
      </c>
      <c r="I638" s="49" t="e">
        <v>#REF!</v>
      </c>
      <c r="J638" s="50"/>
    </row>
    <row r="639" outlineLevel="1" spans="1:10">
      <c r="A639" s="50" t="str">
        <v/>
      </c>
      <c r="B639" s="51" t="str">
        <v>水箱间地面</v>
      </c>
      <c r="C639" s="51" t="str">
        <v/>
      </c>
      <c r="D639" s="51" t="str">
        <v/>
      </c>
      <c r="E639" s="51" t="str">
        <v/>
      </c>
      <c r="F639" s="52" t="str">
        <v/>
      </c>
      <c r="G639" s="48" t="str">
        <v/>
      </c>
      <c r="H639" s="49">
        <v>0</v>
      </c>
      <c r="I639" s="49">
        <v>0</v>
      </c>
      <c r="J639" s="50"/>
    </row>
    <row r="640" outlineLevel="1" spans="1:10">
      <c r="A640" s="50">
        <v>532</v>
      </c>
      <c r="B640" s="51" t="str">
        <v>楼地面-40厚C20细石砼</v>
      </c>
      <c r="C640" s="51" t="e">
        <v>#REF!</v>
      </c>
      <c r="D640" s="51" t="str">
        <v/>
      </c>
      <c r="E640" s="51" t="str">
        <v/>
      </c>
      <c r="F640" s="52" t="e">
        <v>#REF!</v>
      </c>
      <c r="G640" s="48" t="e">
        <v>#REF!</v>
      </c>
      <c r="H640" s="49">
        <v>0</v>
      </c>
      <c r="I640" s="49" t="e">
        <v>#REF!</v>
      </c>
      <c r="J640" s="50"/>
    </row>
    <row r="641" outlineLevel="1" spans="1:10">
      <c r="A641" s="50">
        <v>533</v>
      </c>
      <c r="B641" s="51" t="str">
        <v>楼地面-土工布</v>
      </c>
      <c r="C641" s="51" t="e">
        <v>#REF!</v>
      </c>
      <c r="D641" s="51" t="str">
        <v/>
      </c>
      <c r="E641" s="51" t="str">
        <v/>
      </c>
      <c r="F641" s="52" t="e">
        <v>#REF!</v>
      </c>
      <c r="G641" s="48" t="e">
        <v>#REF!</v>
      </c>
      <c r="H641" s="49">
        <v>0</v>
      </c>
      <c r="I641" s="49" t="e">
        <v>#REF!</v>
      </c>
      <c r="J641" s="50"/>
    </row>
    <row r="642" outlineLevel="1" spans="1:10">
      <c r="A642" s="50">
        <v>534</v>
      </c>
      <c r="B642" s="51" t="str">
        <v>楼地面-3+3厚SBS</v>
      </c>
      <c r="C642" s="51" t="e">
        <v>#REF!</v>
      </c>
      <c r="D642" s="51" t="str">
        <v/>
      </c>
      <c r="E642" s="51" t="str">
        <v/>
      </c>
      <c r="F642" s="52" t="e">
        <v>#REF!</v>
      </c>
      <c r="G642" s="48" t="e">
        <v>#REF!</v>
      </c>
      <c r="H642" s="49">
        <v>0</v>
      </c>
      <c r="I642" s="49" t="e">
        <v>#REF!</v>
      </c>
      <c r="J642" s="50"/>
    </row>
    <row r="643" outlineLevel="1" spans="1:10">
      <c r="A643" s="50">
        <v>535</v>
      </c>
      <c r="B643" s="51" t="str">
        <v>楼地面-20厚M15水泥砂浆</v>
      </c>
      <c r="C643" s="51" t="e">
        <v>#REF!</v>
      </c>
      <c r="D643" s="51" t="str">
        <v/>
      </c>
      <c r="E643" s="51" t="str">
        <v/>
      </c>
      <c r="F643" s="52" t="e">
        <v>#REF!</v>
      </c>
      <c r="G643" s="48" t="e">
        <v>#REF!</v>
      </c>
      <c r="H643" s="49">
        <v>0</v>
      </c>
      <c r="I643" s="49" t="e">
        <v>#REF!</v>
      </c>
      <c r="J643" s="50"/>
    </row>
    <row r="644" outlineLevel="1" spans="1:10">
      <c r="A644" s="50" t="str">
        <v/>
      </c>
      <c r="B644" s="51" t="str">
        <v>消防控制室</v>
      </c>
      <c r="C644" s="51" t="str">
        <v/>
      </c>
      <c r="D644" s="51" t="str">
        <v/>
      </c>
      <c r="E644" s="51" t="str">
        <v/>
      </c>
      <c r="F644" s="52" t="str">
        <v/>
      </c>
      <c r="G644" s="48" t="str">
        <v/>
      </c>
      <c r="H644" s="49">
        <v>0</v>
      </c>
      <c r="I644" s="49">
        <v>0</v>
      </c>
      <c r="J644" s="50"/>
    </row>
    <row r="645" outlineLevel="1" spans="1:10">
      <c r="A645" s="50">
        <v>536</v>
      </c>
      <c r="B645" s="51" t="str">
        <v>楼地面-60厚C15砼</v>
      </c>
      <c r="C645" s="51" t="e">
        <v>#REF!</v>
      </c>
      <c r="D645" s="51" t="str">
        <v/>
      </c>
      <c r="E645" s="51" t="str">
        <v/>
      </c>
      <c r="F645" s="52" t="e">
        <v>#REF!</v>
      </c>
      <c r="G645" s="48" t="e">
        <v>#REF!</v>
      </c>
      <c r="H645" s="49">
        <v>0</v>
      </c>
      <c r="I645" s="49" t="e">
        <v>#REF!</v>
      </c>
      <c r="J645" s="50"/>
    </row>
    <row r="646" outlineLevel="1" spans="1:10">
      <c r="A646" s="50">
        <v>537</v>
      </c>
      <c r="B646" s="51" t="str">
        <v>楼地面-塑料膜</v>
      </c>
      <c r="C646" s="51" t="e">
        <v>#REF!</v>
      </c>
      <c r="D646" s="51" t="str">
        <v/>
      </c>
      <c r="E646" s="51" t="str">
        <v/>
      </c>
      <c r="F646" s="52" t="e">
        <v>#REF!</v>
      </c>
      <c r="G646" s="48" t="e">
        <v>#REF!</v>
      </c>
      <c r="H646" s="49">
        <v>0</v>
      </c>
      <c r="I646" s="49" t="e">
        <v>#REF!</v>
      </c>
      <c r="J646" s="50"/>
    </row>
    <row r="647" ht="28.8" outlineLevel="1" spans="1:10">
      <c r="A647" s="50">
        <v>538</v>
      </c>
      <c r="B647" s="51" t="str">
        <v>楼地面-150厚3:7灰土夯实</v>
      </c>
      <c r="C647" s="51" t="e">
        <v>#REF!</v>
      </c>
      <c r="D647" s="51" t="str">
        <v/>
      </c>
      <c r="E647" s="51" t="str">
        <v/>
      </c>
      <c r="F647" s="52" t="e">
        <v>#REF!</v>
      </c>
      <c r="G647" s="48" t="e">
        <v>#REF!</v>
      </c>
      <c r="H647" s="49">
        <v>0</v>
      </c>
      <c r="I647" s="49" t="e">
        <v>#REF!</v>
      </c>
      <c r="J647" s="50"/>
    </row>
    <row r="648" outlineLevel="1" spans="1:10">
      <c r="A648" s="50">
        <v>539</v>
      </c>
      <c r="B648" s="51" t="str">
        <v>楼地面-素土夯实</v>
      </c>
      <c r="C648" s="51" t="e">
        <v>#REF!</v>
      </c>
      <c r="D648" s="51" t="str">
        <v/>
      </c>
      <c r="E648" s="51" t="str">
        <v/>
      </c>
      <c r="F648" s="52" t="e">
        <v>#REF!</v>
      </c>
      <c r="G648" s="48" t="e">
        <v>#REF!</v>
      </c>
      <c r="H648" s="49">
        <v>0</v>
      </c>
      <c r="I648" s="49" t="e">
        <v>#REF!</v>
      </c>
      <c r="J648" s="50"/>
    </row>
    <row r="649" outlineLevel="1" spans="1:10">
      <c r="A649" s="50">
        <v>540</v>
      </c>
      <c r="B649" s="51" t="str">
        <v>踢脚线-100mm灰色涂料</v>
      </c>
      <c r="C649" s="51" t="e">
        <v>#REF!</v>
      </c>
      <c r="D649" s="51" t="str">
        <v/>
      </c>
      <c r="E649" s="51" t="str">
        <v/>
      </c>
      <c r="F649" s="52" t="e">
        <v>#REF!</v>
      </c>
      <c r="G649" s="48" t="e">
        <v>#REF!</v>
      </c>
      <c r="H649" s="49">
        <v>0</v>
      </c>
      <c r="I649" s="49" t="e">
        <v>#REF!</v>
      </c>
      <c r="J649" s="50"/>
    </row>
    <row r="650" outlineLevel="1" spans="1:10">
      <c r="A650" s="50">
        <v>541</v>
      </c>
      <c r="B650" s="51" t="str">
        <v>楼地面-聚氨酯防水涂料</v>
      </c>
      <c r="C650" s="51" t="e">
        <v>#REF!</v>
      </c>
      <c r="D650" s="51" t="str">
        <v/>
      </c>
      <c r="E650" s="51" t="str">
        <v/>
      </c>
      <c r="F650" s="52" t="e">
        <v>#REF!</v>
      </c>
      <c r="G650" s="48" t="e">
        <v>#REF!</v>
      </c>
      <c r="H650" s="49">
        <v>0</v>
      </c>
      <c r="I650" s="49" t="e">
        <v>#REF!</v>
      </c>
      <c r="J650" s="50"/>
    </row>
    <row r="651" outlineLevel="1" spans="1:10">
      <c r="A651" s="50" t="str">
        <v/>
      </c>
      <c r="B651" s="51" t="str">
        <v>A.05.02墙柱装饰工程</v>
      </c>
      <c r="C651" s="51" t="str">
        <v/>
      </c>
      <c r="D651" s="51" t="str">
        <v/>
      </c>
      <c r="E651" s="51" t="str">
        <v/>
      </c>
      <c r="F651" s="52" t="str">
        <v/>
      </c>
      <c r="G651" s="48" t="str">
        <v/>
      </c>
      <c r="H651" s="49">
        <v>0</v>
      </c>
      <c r="I651" s="49" t="e">
        <v>#REF!</v>
      </c>
      <c r="J651" s="50"/>
    </row>
    <row r="652" outlineLevel="1" spans="1:10">
      <c r="A652" s="50" t="str">
        <v/>
      </c>
      <c r="B652" s="51" t="str">
        <v>分户墙(其他）</v>
      </c>
      <c r="C652" s="51" t="str">
        <v/>
      </c>
      <c r="D652" s="51" t="str">
        <v/>
      </c>
      <c r="E652" s="51" t="str">
        <v/>
      </c>
      <c r="F652" s="52" t="str">
        <v/>
      </c>
      <c r="G652" s="48" t="str">
        <v/>
      </c>
      <c r="H652" s="49">
        <v>0</v>
      </c>
      <c r="I652" s="49">
        <v>0</v>
      </c>
      <c r="J652" s="50"/>
    </row>
    <row r="653" outlineLevel="1" spans="1:10">
      <c r="A653" s="50">
        <v>542</v>
      </c>
      <c r="B653" s="51" t="str">
        <v>内墙面-界面剂</v>
      </c>
      <c r="C653" s="51" t="e">
        <v>#REF!</v>
      </c>
      <c r="D653" s="51" t="str">
        <v/>
      </c>
      <c r="E653" s="51" t="str">
        <v/>
      </c>
      <c r="F653" s="52" t="e">
        <v>#REF!</v>
      </c>
      <c r="G653" s="48" t="e">
        <v>#REF!</v>
      </c>
      <c r="H653" s="49">
        <v>313</v>
      </c>
      <c r="I653" s="49" t="e">
        <v>#REF!</v>
      </c>
      <c r="J653" s="50"/>
    </row>
    <row r="654" ht="28.8" outlineLevel="1" spans="1:10">
      <c r="A654" s="50">
        <v>543</v>
      </c>
      <c r="B654" s="51" t="str">
        <v>内墙面-15厚无机保温砂浆</v>
      </c>
      <c r="C654" s="51" t="e">
        <v>#REF!</v>
      </c>
      <c r="D654" s="51" t="str">
        <v/>
      </c>
      <c r="E654" s="51" t="str">
        <v/>
      </c>
      <c r="F654" s="52" t="e">
        <v>#REF!</v>
      </c>
      <c r="G654" s="48" t="e">
        <v>#REF!</v>
      </c>
      <c r="H654" s="49">
        <v>313</v>
      </c>
      <c r="I654" s="49" t="e">
        <v>#REF!</v>
      </c>
      <c r="J654" s="50"/>
    </row>
    <row r="655" ht="28.8" outlineLevel="1" spans="1:10">
      <c r="A655" s="50">
        <v>544</v>
      </c>
      <c r="B655" s="51" t="str">
        <v>内墙面-10厚无机保温砂浆</v>
      </c>
      <c r="C655" s="51" t="e">
        <v>#REF!</v>
      </c>
      <c r="D655" s="51" t="str">
        <v/>
      </c>
      <c r="E655" s="51" t="str">
        <v/>
      </c>
      <c r="F655" s="52" t="e">
        <v>#REF!</v>
      </c>
      <c r="G655" s="48" t="e">
        <v>#REF!</v>
      </c>
      <c r="H655" s="49">
        <v>0</v>
      </c>
      <c r="I655" s="49" t="e">
        <v>#REF!</v>
      </c>
      <c r="J655" s="50"/>
    </row>
    <row r="656" outlineLevel="1" spans="1:10">
      <c r="A656" s="50">
        <v>545</v>
      </c>
      <c r="B656" s="51" t="str">
        <v>内墙面-3厚抗裂砂浆</v>
      </c>
      <c r="C656" s="51" t="e">
        <v>#REF!</v>
      </c>
      <c r="D656" s="51" t="str">
        <v/>
      </c>
      <c r="E656" s="51" t="str">
        <v/>
      </c>
      <c r="F656" s="52" t="e">
        <v>#REF!</v>
      </c>
      <c r="G656" s="48" t="e">
        <v>#REF!</v>
      </c>
      <c r="H656" s="49">
        <v>313</v>
      </c>
      <c r="I656" s="49" t="e">
        <v>#REF!</v>
      </c>
      <c r="J656" s="50"/>
    </row>
    <row r="657" outlineLevel="1" spans="1:10">
      <c r="A657" s="50">
        <v>546</v>
      </c>
      <c r="B657" s="51" t="str">
        <v>内墙面-玻纤网</v>
      </c>
      <c r="C657" s="51" t="e">
        <v>#REF!</v>
      </c>
      <c r="D657" s="51" t="str">
        <v/>
      </c>
      <c r="E657" s="51" t="str">
        <v/>
      </c>
      <c r="F657" s="52" t="e">
        <v>#REF!</v>
      </c>
      <c r="G657" s="48" t="e">
        <v>#REF!</v>
      </c>
      <c r="H657" s="49">
        <v>313</v>
      </c>
      <c r="I657" s="49" t="e">
        <v>#REF!</v>
      </c>
      <c r="J657" s="50"/>
    </row>
    <row r="658" outlineLevel="1" spans="1:10">
      <c r="A658" s="50">
        <v>547</v>
      </c>
      <c r="B658" s="51" t="str">
        <v>内墙面-交接处玻纤网</v>
      </c>
      <c r="C658" s="51" t="e">
        <v>#REF!</v>
      </c>
      <c r="D658" s="51" t="str">
        <v/>
      </c>
      <c r="E658" s="51" t="str">
        <v/>
      </c>
      <c r="F658" s="52" t="e">
        <v>#REF!</v>
      </c>
      <c r="G658" s="48" t="e">
        <v>#REF!</v>
      </c>
      <c r="H658" s="49">
        <v>0</v>
      </c>
      <c r="I658" s="49" t="e">
        <v>#REF!</v>
      </c>
      <c r="J658" s="50"/>
    </row>
    <row r="659" outlineLevel="1" spans="1:10">
      <c r="A659" s="50" t="str">
        <v/>
      </c>
      <c r="B659" s="51" t="str">
        <v>采暖与不采暖房间的隔墙</v>
      </c>
      <c r="C659" s="51" t="str">
        <v/>
      </c>
      <c r="D659" s="51" t="str">
        <v/>
      </c>
      <c r="E659" s="51" t="str">
        <v/>
      </c>
      <c r="F659" s="52" t="str">
        <v/>
      </c>
      <c r="G659" s="48" t="str">
        <v/>
      </c>
      <c r="H659" s="49">
        <v>0</v>
      </c>
      <c r="I659" s="49">
        <v>0</v>
      </c>
      <c r="J659" s="50"/>
    </row>
    <row r="660" outlineLevel="1" spans="1:10">
      <c r="A660" s="50">
        <v>548</v>
      </c>
      <c r="B660" s="51" t="str">
        <v>内墙面-界面剂</v>
      </c>
      <c r="C660" s="51" t="e">
        <v>#REF!</v>
      </c>
      <c r="D660" s="51" t="str">
        <v/>
      </c>
      <c r="E660" s="51" t="str">
        <v/>
      </c>
      <c r="F660" s="52" t="e">
        <v>#REF!</v>
      </c>
      <c r="G660" s="48" t="e">
        <v>#REF!</v>
      </c>
      <c r="H660" s="49">
        <v>0</v>
      </c>
      <c r="I660" s="49" t="e">
        <v>#REF!</v>
      </c>
      <c r="J660" s="50"/>
    </row>
    <row r="661" ht="28.8" outlineLevel="1" spans="1:10">
      <c r="A661" s="50">
        <v>549</v>
      </c>
      <c r="B661" s="51" t="str">
        <v>内墙面-20厚无机保温砂浆</v>
      </c>
      <c r="C661" s="51" t="e">
        <v>#REF!</v>
      </c>
      <c r="D661" s="51" t="str">
        <v/>
      </c>
      <c r="E661" s="51" t="str">
        <v/>
      </c>
      <c r="F661" s="52" t="e">
        <v>#REF!</v>
      </c>
      <c r="G661" s="48" t="e">
        <v>#REF!</v>
      </c>
      <c r="H661" s="49">
        <v>0</v>
      </c>
      <c r="I661" s="49" t="e">
        <v>#REF!</v>
      </c>
      <c r="J661" s="50"/>
    </row>
    <row r="662" outlineLevel="1" spans="1:10">
      <c r="A662" s="50">
        <v>550</v>
      </c>
      <c r="B662" s="51" t="str">
        <v>内墙面-3厚抗裂砂浆</v>
      </c>
      <c r="C662" s="51" t="e">
        <v>#REF!</v>
      </c>
      <c r="D662" s="51" t="str">
        <v/>
      </c>
      <c r="E662" s="51" t="str">
        <v/>
      </c>
      <c r="F662" s="52" t="e">
        <v>#REF!</v>
      </c>
      <c r="G662" s="48" t="e">
        <v>#REF!</v>
      </c>
      <c r="H662" s="49">
        <v>0</v>
      </c>
      <c r="I662" s="49" t="e">
        <v>#REF!</v>
      </c>
      <c r="J662" s="50"/>
    </row>
    <row r="663" outlineLevel="1" spans="1:10">
      <c r="A663" s="50">
        <v>551</v>
      </c>
      <c r="B663" s="51" t="str">
        <v>内墙面-玻纤网</v>
      </c>
      <c r="C663" s="51" t="e">
        <v>#REF!</v>
      </c>
      <c r="D663" s="51" t="str">
        <v/>
      </c>
      <c r="E663" s="51" t="str">
        <v/>
      </c>
      <c r="F663" s="52" t="e">
        <v>#REF!</v>
      </c>
      <c r="G663" s="48" t="e">
        <v>#REF!</v>
      </c>
      <c r="H663" s="49">
        <v>0</v>
      </c>
      <c r="I663" s="49" t="e">
        <v>#REF!</v>
      </c>
      <c r="J663" s="50"/>
    </row>
    <row r="664" outlineLevel="1" spans="1:10">
      <c r="A664" s="50" t="str">
        <v/>
      </c>
      <c r="B664" s="51" t="str">
        <v>分户墙处卫生间内墙</v>
      </c>
      <c r="C664" s="51" t="str">
        <v/>
      </c>
      <c r="D664" s="51" t="str">
        <v/>
      </c>
      <c r="E664" s="51" t="str">
        <v/>
      </c>
      <c r="F664" s="52" t="str">
        <v/>
      </c>
      <c r="G664" s="48" t="str">
        <v/>
      </c>
      <c r="H664" s="49">
        <v>0</v>
      </c>
      <c r="I664" s="49">
        <v>0</v>
      </c>
      <c r="J664" s="50"/>
    </row>
    <row r="665" outlineLevel="1" spans="1:10">
      <c r="A665" s="50">
        <v>552</v>
      </c>
      <c r="B665" s="51" t="str">
        <v>内墙面-界面剂</v>
      </c>
      <c r="C665" s="51" t="e">
        <v>#REF!</v>
      </c>
      <c r="D665" s="51" t="str">
        <v/>
      </c>
      <c r="E665" s="51" t="str">
        <v/>
      </c>
      <c r="F665" s="52" t="e">
        <v>#REF!</v>
      </c>
      <c r="G665" s="48" t="e">
        <v>#REF!</v>
      </c>
      <c r="H665" s="49">
        <v>0</v>
      </c>
      <c r="I665" s="49" t="e">
        <v>#REF!</v>
      </c>
      <c r="J665" s="50"/>
    </row>
    <row r="666" ht="28.8" outlineLevel="1" spans="1:10">
      <c r="A666" s="50">
        <v>553</v>
      </c>
      <c r="B666" s="51" t="str">
        <v>内墙面-15厚无机保温砂浆</v>
      </c>
      <c r="C666" s="51" t="e">
        <v>#REF!</v>
      </c>
      <c r="D666" s="51" t="str">
        <v/>
      </c>
      <c r="E666" s="51" t="str">
        <v/>
      </c>
      <c r="F666" s="52" t="e">
        <v>#REF!</v>
      </c>
      <c r="G666" s="48" t="e">
        <v>#REF!</v>
      </c>
      <c r="H666" s="49">
        <v>0</v>
      </c>
      <c r="I666" s="49" t="e">
        <v>#REF!</v>
      </c>
      <c r="J666" s="50"/>
    </row>
    <row r="667" ht="28.8" outlineLevel="1" spans="1:10">
      <c r="A667" s="50">
        <v>554</v>
      </c>
      <c r="B667" s="51" t="str">
        <v>内墙面-10厚无机保温砂浆</v>
      </c>
      <c r="C667" s="51" t="e">
        <v>#REF!</v>
      </c>
      <c r="D667" s="51" t="str">
        <v/>
      </c>
      <c r="E667" s="51" t="str">
        <v/>
      </c>
      <c r="F667" s="52" t="e">
        <v>#REF!</v>
      </c>
      <c r="G667" s="48" t="e">
        <v>#REF!</v>
      </c>
      <c r="H667" s="49">
        <v>0</v>
      </c>
      <c r="I667" s="49" t="e">
        <v>#REF!</v>
      </c>
      <c r="J667" s="50"/>
    </row>
    <row r="668" outlineLevel="1" spans="1:10">
      <c r="A668" s="50">
        <v>555</v>
      </c>
      <c r="B668" s="51" t="str">
        <v>内墙面-3厚抗裂砂浆</v>
      </c>
      <c r="C668" s="51" t="e">
        <v>#REF!</v>
      </c>
      <c r="D668" s="51" t="str">
        <v/>
      </c>
      <c r="E668" s="51" t="str">
        <v/>
      </c>
      <c r="F668" s="52" t="e">
        <v>#REF!</v>
      </c>
      <c r="G668" s="48" t="e">
        <v>#REF!</v>
      </c>
      <c r="H668" s="49">
        <v>0</v>
      </c>
      <c r="I668" s="49" t="e">
        <v>#REF!</v>
      </c>
      <c r="J668" s="50"/>
    </row>
    <row r="669" outlineLevel="1" spans="1:10">
      <c r="A669" s="50">
        <v>556</v>
      </c>
      <c r="B669" s="51" t="str">
        <v>内墙面-镀锌钢丝网</v>
      </c>
      <c r="C669" s="51" t="e">
        <v>#REF!</v>
      </c>
      <c r="D669" s="51" t="str">
        <v/>
      </c>
      <c r="E669" s="51" t="str">
        <v/>
      </c>
      <c r="F669" s="52" t="e">
        <v>#REF!</v>
      </c>
      <c r="G669" s="48" t="e">
        <v>#REF!</v>
      </c>
      <c r="H669" s="49">
        <v>0</v>
      </c>
      <c r="I669" s="49" t="e">
        <v>#REF!</v>
      </c>
      <c r="J669" s="50"/>
    </row>
    <row r="670" ht="28.8" outlineLevel="1" spans="1:10">
      <c r="A670" s="50" t="str">
        <v/>
      </c>
      <c r="B670" s="51" t="str">
        <v>交通核非精装区域与住宅相邻内墙（交通核侧）</v>
      </c>
      <c r="C670" s="51" t="str">
        <v/>
      </c>
      <c r="D670" s="51" t="str">
        <v/>
      </c>
      <c r="E670" s="51" t="str">
        <v/>
      </c>
      <c r="F670" s="52" t="str">
        <v/>
      </c>
      <c r="G670" s="48" t="str">
        <v/>
      </c>
      <c r="H670" s="49">
        <v>0</v>
      </c>
      <c r="I670" s="49">
        <v>0</v>
      </c>
      <c r="J670" s="50"/>
    </row>
    <row r="671" outlineLevel="1" spans="1:10">
      <c r="A671" s="50">
        <v>557</v>
      </c>
      <c r="B671" s="51" t="str">
        <v>内墙面-30厚MPC</v>
      </c>
      <c r="C671" s="51" t="e">
        <v>#REF!</v>
      </c>
      <c r="D671" s="51" t="str">
        <v/>
      </c>
      <c r="E671" s="51" t="str">
        <v/>
      </c>
      <c r="F671" s="52" t="e">
        <v>#REF!</v>
      </c>
      <c r="G671" s="48" t="e">
        <v>#REF!</v>
      </c>
      <c r="H671" s="49">
        <v>353</v>
      </c>
      <c r="I671" s="49" t="e">
        <v>#REF!</v>
      </c>
      <c r="J671" s="50"/>
    </row>
    <row r="672" outlineLevel="1" spans="1:10">
      <c r="A672" s="50">
        <v>558</v>
      </c>
      <c r="B672" s="51" t="str">
        <v>内墙面-玻纤网</v>
      </c>
      <c r="C672" s="51" t="e">
        <v>#REF!</v>
      </c>
      <c r="D672" s="51" t="str">
        <v/>
      </c>
      <c r="E672" s="51" t="str">
        <v/>
      </c>
      <c r="F672" s="52" t="e">
        <v>#REF!</v>
      </c>
      <c r="G672" s="48" t="e">
        <v>#REF!</v>
      </c>
      <c r="H672" s="49">
        <v>353</v>
      </c>
      <c r="I672" s="49" t="e">
        <v>#REF!</v>
      </c>
      <c r="J672" s="50"/>
    </row>
    <row r="673" ht="28.8" outlineLevel="1" spans="1:10">
      <c r="A673" s="50" t="str">
        <v/>
      </c>
      <c r="B673" s="51" t="str">
        <v>交通核非精装区域不与住宅相邻内墙（交通核侧）</v>
      </c>
      <c r="C673" s="51" t="str">
        <v/>
      </c>
      <c r="D673" s="51" t="str">
        <v/>
      </c>
      <c r="E673" s="51" t="str">
        <v/>
      </c>
      <c r="F673" s="52" t="str">
        <v/>
      </c>
      <c r="G673" s="48" t="str">
        <v/>
      </c>
      <c r="H673" s="49">
        <v>0</v>
      </c>
      <c r="I673" s="49">
        <v>0</v>
      </c>
      <c r="J673" s="50"/>
    </row>
    <row r="674" outlineLevel="1" spans="1:10">
      <c r="A674" s="50">
        <v>559</v>
      </c>
      <c r="B674" s="51" t="str">
        <v>内墙面-15厚M20水泥砂浆</v>
      </c>
      <c r="C674" s="51" t="e">
        <v>#REF!</v>
      </c>
      <c r="D674" s="51" t="str">
        <v/>
      </c>
      <c r="E674" s="51" t="str">
        <v/>
      </c>
      <c r="F674" s="52" t="e">
        <v>#REF!</v>
      </c>
      <c r="G674" s="48" t="e">
        <v>#REF!</v>
      </c>
      <c r="H674" s="49">
        <v>0</v>
      </c>
      <c r="I674" s="49" t="e">
        <v>#REF!</v>
      </c>
      <c r="J674" s="50"/>
    </row>
    <row r="675" outlineLevel="1" spans="1:10">
      <c r="A675" s="50">
        <v>560</v>
      </c>
      <c r="B675" s="51" t="str">
        <v>内墙面-玻纤网</v>
      </c>
      <c r="C675" s="51" t="e">
        <v>#REF!</v>
      </c>
      <c r="D675" s="51" t="str">
        <v/>
      </c>
      <c r="E675" s="51" t="str">
        <v/>
      </c>
      <c r="F675" s="52" t="e">
        <v>#REF!</v>
      </c>
      <c r="G675" s="48" t="e">
        <v>#REF!</v>
      </c>
      <c r="H675" s="49">
        <v>0</v>
      </c>
      <c r="I675" s="49" t="e">
        <v>#REF!</v>
      </c>
      <c r="J675" s="50"/>
    </row>
    <row r="676" ht="43.2" outlineLevel="1" spans="1:10">
      <c r="A676" s="50" t="str">
        <v/>
      </c>
      <c r="B676" s="51" t="str">
        <v>一层与户内相邻的门厅.合用前室的隔墙的一侧,及一层楼梯间</v>
      </c>
      <c r="C676" s="51" t="str">
        <v/>
      </c>
      <c r="D676" s="51" t="str">
        <v/>
      </c>
      <c r="E676" s="51" t="str">
        <v/>
      </c>
      <c r="F676" s="52" t="str">
        <v/>
      </c>
      <c r="G676" s="48" t="str">
        <v/>
      </c>
      <c r="H676" s="49">
        <v>0</v>
      </c>
      <c r="I676" s="49">
        <v>0</v>
      </c>
      <c r="J676" s="50"/>
    </row>
    <row r="677" outlineLevel="1" spans="1:10">
      <c r="A677" s="50">
        <v>561</v>
      </c>
      <c r="B677" s="51" t="str">
        <v>内墙面-界面剂</v>
      </c>
      <c r="C677" s="51" t="e">
        <v>#REF!</v>
      </c>
      <c r="D677" s="51" t="str">
        <v/>
      </c>
      <c r="E677" s="51" t="str">
        <v/>
      </c>
      <c r="F677" s="52" t="e">
        <v>#REF!</v>
      </c>
      <c r="G677" s="48" t="e">
        <v>#REF!</v>
      </c>
      <c r="H677" s="49">
        <v>0</v>
      </c>
      <c r="I677" s="49" t="e">
        <v>#REF!</v>
      </c>
      <c r="J677" s="50"/>
    </row>
    <row r="678" ht="28.8" outlineLevel="1" spans="1:10">
      <c r="A678" s="50">
        <v>562</v>
      </c>
      <c r="B678" s="51" t="str">
        <v>内墙面-20厚无机保温砂浆</v>
      </c>
      <c r="C678" s="51" t="e">
        <v>#REF!</v>
      </c>
      <c r="D678" s="51" t="str">
        <v/>
      </c>
      <c r="E678" s="51" t="str">
        <v/>
      </c>
      <c r="F678" s="52" t="e">
        <v>#REF!</v>
      </c>
      <c r="G678" s="48" t="e">
        <v>#REF!</v>
      </c>
      <c r="H678" s="49">
        <v>0</v>
      </c>
      <c r="I678" s="49" t="e">
        <v>#REF!</v>
      </c>
      <c r="J678" s="50"/>
    </row>
    <row r="679" ht="28.8" outlineLevel="1" spans="1:10">
      <c r="A679" s="50" t="str">
        <v/>
      </c>
      <c r="B679" s="51" t="str">
        <v>不与户内相邻的门厅.合用前室的隔墙的一侧</v>
      </c>
      <c r="C679" s="51" t="str">
        <v/>
      </c>
      <c r="D679" s="51" t="str">
        <v/>
      </c>
      <c r="E679" s="51" t="str">
        <v/>
      </c>
      <c r="F679" s="52" t="str">
        <v/>
      </c>
      <c r="G679" s="48" t="str">
        <v/>
      </c>
      <c r="H679" s="49">
        <v>0</v>
      </c>
      <c r="I679" s="49">
        <v>0</v>
      </c>
      <c r="J679" s="50"/>
    </row>
    <row r="680" outlineLevel="1" spans="1:10">
      <c r="A680" s="50">
        <v>563</v>
      </c>
      <c r="B680" s="51" t="str">
        <v>内墙面-界面剂</v>
      </c>
      <c r="C680" s="51" t="e">
        <v>#REF!</v>
      </c>
      <c r="D680" s="51" t="str">
        <v/>
      </c>
      <c r="E680" s="51" t="str">
        <v/>
      </c>
      <c r="F680" s="52" t="e">
        <v>#REF!</v>
      </c>
      <c r="G680" s="48" t="e">
        <v>#REF!</v>
      </c>
      <c r="H680" s="49">
        <v>0</v>
      </c>
      <c r="I680" s="49" t="e">
        <v>#REF!</v>
      </c>
      <c r="J680" s="50"/>
    </row>
    <row r="681" outlineLevel="1" spans="1:10">
      <c r="A681" s="50">
        <v>564</v>
      </c>
      <c r="B681" s="51" t="str">
        <v>内墙面-9厚M7.5水泥砂浆</v>
      </c>
      <c r="C681" s="51" t="e">
        <v>#REF!</v>
      </c>
      <c r="D681" s="51" t="str">
        <v/>
      </c>
      <c r="E681" s="51" t="str">
        <v/>
      </c>
      <c r="F681" s="52" t="e">
        <v>#REF!</v>
      </c>
      <c r="G681" s="48" t="e">
        <v>#REF!</v>
      </c>
      <c r="H681" s="49">
        <v>0</v>
      </c>
      <c r="I681" s="49" t="e">
        <v>#REF!</v>
      </c>
      <c r="J681" s="50"/>
    </row>
    <row r="682" ht="57.6" outlineLevel="1" spans="1:10">
      <c r="A682" s="50" t="str">
        <v/>
      </c>
      <c r="B682" s="51" t="str">
        <v>不与户内相邻的门厅.合用前室的隔墙的一侧/配套电井、进线间、热计量间或其他</v>
      </c>
      <c r="C682" s="51" t="str">
        <v/>
      </c>
      <c r="D682" s="51" t="str">
        <v/>
      </c>
      <c r="E682" s="51" t="str">
        <v/>
      </c>
      <c r="F682" s="52" t="str">
        <v/>
      </c>
      <c r="G682" s="48" t="str">
        <v/>
      </c>
      <c r="H682" s="49">
        <v>0</v>
      </c>
      <c r="I682" s="49">
        <v>0</v>
      </c>
      <c r="J682" s="50"/>
    </row>
    <row r="683" outlineLevel="1" spans="1:10">
      <c r="A683" s="50">
        <v>565</v>
      </c>
      <c r="B683" s="51" t="str">
        <v>内墙面-界面剂</v>
      </c>
      <c r="C683" s="51" t="e">
        <v>#REF!</v>
      </c>
      <c r="D683" s="51" t="str">
        <v/>
      </c>
      <c r="E683" s="51" t="str">
        <v/>
      </c>
      <c r="F683" s="52" t="e">
        <v>#REF!</v>
      </c>
      <c r="G683" s="48" t="e">
        <v>#REF!</v>
      </c>
      <c r="H683" s="49">
        <v>0</v>
      </c>
      <c r="I683" s="49" t="e">
        <v>#REF!</v>
      </c>
      <c r="J683" s="50"/>
    </row>
    <row r="684" outlineLevel="1" spans="1:10">
      <c r="A684" s="50">
        <v>566</v>
      </c>
      <c r="B684" s="51" t="str">
        <v>内墙面-7厚M5石灰砂浆</v>
      </c>
      <c r="C684" s="51" t="e">
        <v>#REF!</v>
      </c>
      <c r="D684" s="51" t="str">
        <v/>
      </c>
      <c r="E684" s="51" t="str">
        <v/>
      </c>
      <c r="F684" s="52" t="e">
        <v>#REF!</v>
      </c>
      <c r="G684" s="48" t="e">
        <v>#REF!</v>
      </c>
      <c r="H684" s="49">
        <v>0</v>
      </c>
      <c r="I684" s="49" t="e">
        <v>#REF!</v>
      </c>
      <c r="J684" s="50"/>
    </row>
    <row r="685" outlineLevel="1" spans="1:10">
      <c r="A685" s="50">
        <v>567</v>
      </c>
      <c r="B685" s="51" t="str">
        <v>内墙面-6厚M7.5石灰砂浆</v>
      </c>
      <c r="C685" s="51" t="e">
        <v>#REF!</v>
      </c>
      <c r="D685" s="51" t="str">
        <v/>
      </c>
      <c r="E685" s="51" t="str">
        <v/>
      </c>
      <c r="F685" s="52" t="e">
        <v>#REF!</v>
      </c>
      <c r="G685" s="48" t="e">
        <v>#REF!</v>
      </c>
      <c r="H685" s="49">
        <v>0</v>
      </c>
      <c r="I685" s="49" t="e">
        <v>#REF!</v>
      </c>
      <c r="J685" s="50"/>
    </row>
    <row r="686" ht="28.8" outlineLevel="1" spans="1:10">
      <c r="A686" s="50" t="str">
        <v/>
      </c>
      <c r="B686" s="51" t="str">
        <v>不与户内相邻的门厅.合用前室的隔墙的一侧</v>
      </c>
      <c r="C686" s="51" t="str">
        <v/>
      </c>
      <c r="D686" s="51" t="str">
        <v/>
      </c>
      <c r="E686" s="51" t="str">
        <v/>
      </c>
      <c r="F686" s="52" t="str">
        <v/>
      </c>
      <c r="G686" s="48" t="str">
        <v/>
      </c>
      <c r="H686" s="49">
        <v>0</v>
      </c>
      <c r="I686" s="49">
        <v>0</v>
      </c>
      <c r="J686" s="50"/>
    </row>
    <row r="687" outlineLevel="1" spans="1:10">
      <c r="A687" s="50">
        <v>568</v>
      </c>
      <c r="B687" s="51" t="str">
        <v>内墙面-玻纤网</v>
      </c>
      <c r="C687" s="51" t="e">
        <v>#REF!</v>
      </c>
      <c r="D687" s="51" t="str">
        <v/>
      </c>
      <c r="E687" s="51" t="str">
        <v/>
      </c>
      <c r="F687" s="52" t="e">
        <v>#REF!</v>
      </c>
      <c r="G687" s="48" t="e">
        <v>#REF!</v>
      </c>
      <c r="H687" s="49">
        <v>0</v>
      </c>
      <c r="I687" s="49" t="e">
        <v>#REF!</v>
      </c>
      <c r="J687" s="50"/>
    </row>
    <row r="688" outlineLevel="1" spans="1:10">
      <c r="A688" s="50">
        <v>569</v>
      </c>
      <c r="B688" s="51" t="str">
        <v>内墙面-界面剂</v>
      </c>
      <c r="C688" s="51" t="e">
        <v>#REF!</v>
      </c>
      <c r="D688" s="51" t="str">
        <v/>
      </c>
      <c r="E688" s="51" t="str">
        <v/>
      </c>
      <c r="F688" s="52" t="e">
        <v>#REF!</v>
      </c>
      <c r="G688" s="48" t="e">
        <v>#REF!</v>
      </c>
      <c r="H688" s="49">
        <v>0</v>
      </c>
      <c r="I688" s="49" t="e">
        <v>#REF!</v>
      </c>
      <c r="J688" s="50"/>
    </row>
    <row r="689" outlineLevel="1" spans="1:10">
      <c r="A689" s="50">
        <v>570</v>
      </c>
      <c r="B689" s="51" t="str">
        <v>内墙面-3-5厚砂浆打底</v>
      </c>
      <c r="C689" s="51" t="e">
        <v>#REF!</v>
      </c>
      <c r="D689" s="51" t="str">
        <v/>
      </c>
      <c r="E689" s="51" t="str">
        <v/>
      </c>
      <c r="F689" s="52" t="e">
        <v>#REF!</v>
      </c>
      <c r="G689" s="48" t="e">
        <v>#REF!</v>
      </c>
      <c r="H689" s="49">
        <v>0</v>
      </c>
      <c r="I689" s="49" t="e">
        <v>#REF!</v>
      </c>
      <c r="J689" s="50"/>
    </row>
    <row r="690" ht="28.8" outlineLevel="1" spans="1:10">
      <c r="A690" s="50" t="str">
        <v/>
      </c>
      <c r="B690" s="51" t="str">
        <v>二层及以上合用前室不与住宅户内相邻的隔墙</v>
      </c>
      <c r="C690" s="51" t="str">
        <v/>
      </c>
      <c r="D690" s="51" t="str">
        <v/>
      </c>
      <c r="E690" s="51" t="str">
        <v/>
      </c>
      <c r="F690" s="52" t="str">
        <v/>
      </c>
      <c r="G690" s="48" t="str">
        <v/>
      </c>
      <c r="H690" s="49">
        <v>0</v>
      </c>
      <c r="I690" s="49">
        <v>0</v>
      </c>
      <c r="J690" s="50"/>
    </row>
    <row r="691" outlineLevel="1" spans="1:10">
      <c r="A691" s="50">
        <v>571</v>
      </c>
      <c r="B691" s="51" t="str">
        <v>内墙面-玻纤网</v>
      </c>
      <c r="C691" s="51" t="e">
        <v>#REF!</v>
      </c>
      <c r="D691" s="51" t="str">
        <v/>
      </c>
      <c r="E691" s="51" t="str">
        <v/>
      </c>
      <c r="F691" s="52" t="e">
        <v>#REF!</v>
      </c>
      <c r="G691" s="48" t="e">
        <v>#REF!</v>
      </c>
      <c r="H691" s="49">
        <v>0</v>
      </c>
      <c r="I691" s="49" t="e">
        <v>#REF!</v>
      </c>
      <c r="J691" s="50"/>
    </row>
    <row r="692" outlineLevel="1" spans="1:10">
      <c r="A692" s="50">
        <v>572</v>
      </c>
      <c r="B692" s="51" t="str">
        <v>内墙面-界面剂</v>
      </c>
      <c r="C692" s="51" t="e">
        <v>#REF!</v>
      </c>
      <c r="D692" s="51" t="str">
        <v/>
      </c>
      <c r="E692" s="51" t="str">
        <v/>
      </c>
      <c r="F692" s="52" t="e">
        <v>#REF!</v>
      </c>
      <c r="G692" s="48" t="e">
        <v>#REF!</v>
      </c>
      <c r="H692" s="49">
        <v>0</v>
      </c>
      <c r="I692" s="49" t="e">
        <v>#REF!</v>
      </c>
      <c r="J692" s="50"/>
    </row>
    <row r="693" outlineLevel="1" spans="1:10">
      <c r="A693" s="50">
        <v>573</v>
      </c>
      <c r="B693" s="51" t="str">
        <v>内墙面-3-5厚砂浆打底</v>
      </c>
      <c r="C693" s="51" t="e">
        <v>#REF!</v>
      </c>
      <c r="D693" s="51" t="str">
        <v/>
      </c>
      <c r="E693" s="51" t="str">
        <v/>
      </c>
      <c r="F693" s="52" t="e">
        <v>#REF!</v>
      </c>
      <c r="G693" s="48" t="e">
        <v>#REF!</v>
      </c>
      <c r="H693" s="49">
        <v>0</v>
      </c>
      <c r="I693" s="49" t="e">
        <v>#REF!</v>
      </c>
      <c r="J693" s="50"/>
    </row>
    <row r="694" outlineLevel="1" spans="1:10">
      <c r="A694" s="50">
        <v>574</v>
      </c>
      <c r="B694" s="51" t="str">
        <v>内墙面-6厚M7.5石灰砂浆</v>
      </c>
      <c r="C694" s="51" t="e">
        <v>#REF!</v>
      </c>
      <c r="D694" s="51" t="str">
        <v/>
      </c>
      <c r="E694" s="51" t="str">
        <v/>
      </c>
      <c r="F694" s="52" t="e">
        <v>#REF!</v>
      </c>
      <c r="G694" s="48" t="e">
        <v>#REF!</v>
      </c>
      <c r="H694" s="49">
        <v>0</v>
      </c>
      <c r="I694" s="49" t="e">
        <v>#REF!</v>
      </c>
      <c r="J694" s="50"/>
    </row>
    <row r="695" ht="43.2" outlineLevel="1" spans="1:10">
      <c r="A695" s="50" t="str">
        <v/>
      </c>
      <c r="B695" s="51" t="str">
        <v>二层及以上楼梯间与住宅户内相邻的隔墙的楼梯间一侧 及一层楼梯间</v>
      </c>
      <c r="C695" s="51" t="str">
        <v/>
      </c>
      <c r="D695" s="51" t="str">
        <v/>
      </c>
      <c r="E695" s="51" t="str">
        <v/>
      </c>
      <c r="F695" s="52" t="str">
        <v/>
      </c>
      <c r="G695" s="48" t="str">
        <v/>
      </c>
      <c r="H695" s="49">
        <v>0</v>
      </c>
      <c r="I695" s="49">
        <v>0</v>
      </c>
      <c r="J695" s="50"/>
    </row>
    <row r="696" outlineLevel="1" spans="1:10">
      <c r="A696" s="50">
        <v>575</v>
      </c>
      <c r="B696" s="51" t="str">
        <v>内墙面-界面剂</v>
      </c>
      <c r="C696" s="51" t="e">
        <v>#REF!</v>
      </c>
      <c r="D696" s="51" t="str">
        <v/>
      </c>
      <c r="E696" s="51" t="str">
        <v/>
      </c>
      <c r="F696" s="52" t="e">
        <v>#REF!</v>
      </c>
      <c r="G696" s="48" t="e">
        <v>#REF!</v>
      </c>
      <c r="H696" s="49">
        <v>0</v>
      </c>
      <c r="I696" s="49" t="e">
        <v>#REF!</v>
      </c>
      <c r="J696" s="50"/>
    </row>
    <row r="697" ht="28.8" outlineLevel="1" spans="1:10">
      <c r="A697" s="50">
        <v>576</v>
      </c>
      <c r="B697" s="51" t="str">
        <v>内墙面-20厚无机保温砂浆</v>
      </c>
      <c r="C697" s="51" t="e">
        <v>#REF!</v>
      </c>
      <c r="D697" s="51" t="str">
        <v/>
      </c>
      <c r="E697" s="51" t="str">
        <v/>
      </c>
      <c r="F697" s="52" t="e">
        <v>#REF!</v>
      </c>
      <c r="G697" s="48" t="e">
        <v>#REF!</v>
      </c>
      <c r="H697" s="49">
        <v>0</v>
      </c>
      <c r="I697" s="49" t="e">
        <v>#REF!</v>
      </c>
      <c r="J697" s="50"/>
    </row>
    <row r="698" outlineLevel="1" spans="1:10">
      <c r="A698" s="50">
        <v>577</v>
      </c>
      <c r="B698" s="51" t="str">
        <v>内墙面-3厚抗裂砂浆</v>
      </c>
      <c r="C698" s="51" t="e">
        <v>#REF!</v>
      </c>
      <c r="D698" s="51" t="str">
        <v/>
      </c>
      <c r="E698" s="51" t="str">
        <v/>
      </c>
      <c r="F698" s="52" t="e">
        <v>#REF!</v>
      </c>
      <c r="G698" s="48" t="e">
        <v>#REF!</v>
      </c>
      <c r="H698" s="49">
        <v>0</v>
      </c>
      <c r="I698" s="49" t="e">
        <v>#REF!</v>
      </c>
      <c r="J698" s="50"/>
    </row>
    <row r="699" outlineLevel="1" spans="1:10">
      <c r="A699" s="50">
        <v>578</v>
      </c>
      <c r="B699" s="51" t="str">
        <v>内墙面-玻纤网</v>
      </c>
      <c r="C699" s="51" t="e">
        <v>#REF!</v>
      </c>
      <c r="D699" s="51" t="str">
        <v/>
      </c>
      <c r="E699" s="51" t="str">
        <v/>
      </c>
      <c r="F699" s="52" t="e">
        <v>#REF!</v>
      </c>
      <c r="G699" s="48" t="e">
        <v>#REF!</v>
      </c>
      <c r="H699" s="49">
        <v>0</v>
      </c>
      <c r="I699" s="49" t="e">
        <v>#REF!</v>
      </c>
      <c r="J699" s="50"/>
    </row>
    <row r="700" ht="57.6" outlineLevel="1" spans="1:10">
      <c r="A700" s="50" t="str">
        <v/>
      </c>
      <c r="B700" s="51" t="str">
        <v>二层及以上合用前室、电梯厅不与住宅户内相邻隔墙的
合用前室、电梯厅一侧</v>
      </c>
      <c r="C700" s="51" t="str">
        <v/>
      </c>
      <c r="D700" s="51" t="str">
        <v/>
      </c>
      <c r="E700" s="51" t="str">
        <v/>
      </c>
      <c r="F700" s="52" t="str">
        <v/>
      </c>
      <c r="G700" s="48" t="str">
        <v/>
      </c>
      <c r="H700" s="49">
        <v>0</v>
      </c>
      <c r="I700" s="49">
        <v>0</v>
      </c>
      <c r="J700" s="50"/>
    </row>
    <row r="701" outlineLevel="1" spans="1:10">
      <c r="A701" s="50">
        <v>579</v>
      </c>
      <c r="B701" s="51" t="str">
        <v>内墙面-界面剂</v>
      </c>
      <c r="C701" s="51" t="e">
        <v>#REF!</v>
      </c>
      <c r="D701" s="51" t="str">
        <v/>
      </c>
      <c r="E701" s="51" t="str">
        <v/>
      </c>
      <c r="F701" s="52" t="e">
        <v>#REF!</v>
      </c>
      <c r="G701" s="48" t="e">
        <v>#REF!</v>
      </c>
      <c r="H701" s="49">
        <v>0</v>
      </c>
      <c r="I701" s="49" t="e">
        <v>#REF!</v>
      </c>
      <c r="J701" s="50"/>
    </row>
    <row r="702" outlineLevel="1" spans="1:10">
      <c r="A702" s="50">
        <v>580</v>
      </c>
      <c r="B702" s="51" t="str">
        <v>内墙面-7厚M5石灰砂浆</v>
      </c>
      <c r="C702" s="51" t="e">
        <v>#REF!</v>
      </c>
      <c r="D702" s="51" t="str">
        <v/>
      </c>
      <c r="E702" s="51" t="str">
        <v/>
      </c>
      <c r="F702" s="52" t="e">
        <v>#REF!</v>
      </c>
      <c r="G702" s="48" t="e">
        <v>#REF!</v>
      </c>
      <c r="H702" s="49">
        <v>0</v>
      </c>
      <c r="I702" s="49" t="e">
        <v>#REF!</v>
      </c>
      <c r="J702" s="50"/>
    </row>
    <row r="703" outlineLevel="1" spans="1:10">
      <c r="A703" s="50">
        <v>581</v>
      </c>
      <c r="B703" s="51" t="str">
        <v>内墙面-6厚M7.5石灰砂浆</v>
      </c>
      <c r="C703" s="51" t="e">
        <v>#REF!</v>
      </c>
      <c r="D703" s="51" t="str">
        <v/>
      </c>
      <c r="E703" s="51" t="str">
        <v/>
      </c>
      <c r="F703" s="52" t="e">
        <v>#REF!</v>
      </c>
      <c r="G703" s="48" t="e">
        <v>#REF!</v>
      </c>
      <c r="H703" s="49">
        <v>0</v>
      </c>
      <c r="I703" s="49" t="e">
        <v>#REF!</v>
      </c>
      <c r="J703" s="50"/>
    </row>
    <row r="704" outlineLevel="1" spans="1:10">
      <c r="A704" s="50" t="str">
        <v/>
      </c>
      <c r="B704" s="51" t="str">
        <v>卫生间.厨房内墙</v>
      </c>
      <c r="C704" s="51" t="str">
        <v/>
      </c>
      <c r="D704" s="51" t="str">
        <v/>
      </c>
      <c r="E704" s="51" t="str">
        <v/>
      </c>
      <c r="F704" s="52" t="str">
        <v/>
      </c>
      <c r="G704" s="48" t="str">
        <v/>
      </c>
      <c r="H704" s="49">
        <v>0</v>
      </c>
      <c r="I704" s="49">
        <v>0</v>
      </c>
      <c r="J704" s="50"/>
    </row>
    <row r="705" outlineLevel="1" spans="1:10">
      <c r="A705" s="50">
        <v>582</v>
      </c>
      <c r="B705" s="51" t="str">
        <v>内墙面-10厚M20水泥砂浆</v>
      </c>
      <c r="C705" s="51" t="e">
        <v>#REF!</v>
      </c>
      <c r="D705" s="51" t="str">
        <v/>
      </c>
      <c r="E705" s="51" t="str">
        <v/>
      </c>
      <c r="F705" s="52" t="e">
        <v>#REF!</v>
      </c>
      <c r="G705" s="48" t="e">
        <v>#REF!</v>
      </c>
      <c r="H705" s="49">
        <v>2209</v>
      </c>
      <c r="I705" s="49" t="e">
        <v>#REF!</v>
      </c>
      <c r="J705" s="50"/>
    </row>
    <row r="706" outlineLevel="1" spans="1:10">
      <c r="A706" s="50">
        <v>583</v>
      </c>
      <c r="B706" s="51" t="str">
        <v>内墙面-玻纤网</v>
      </c>
      <c r="C706" s="51" t="e">
        <v>#REF!</v>
      </c>
      <c r="D706" s="51" t="str">
        <v/>
      </c>
      <c r="E706" s="51" t="str">
        <v/>
      </c>
      <c r="F706" s="52" t="e">
        <v>#REF!</v>
      </c>
      <c r="G706" s="48" t="e">
        <v>#REF!</v>
      </c>
      <c r="H706" s="49">
        <v>2209</v>
      </c>
      <c r="I706" s="49" t="e">
        <v>#REF!</v>
      </c>
      <c r="J706" s="50"/>
    </row>
    <row r="707" outlineLevel="1" spans="1:10">
      <c r="A707" s="50" t="str">
        <v/>
      </c>
      <c r="B707" s="51" t="str">
        <v>卫生间、厨房内墙</v>
      </c>
      <c r="C707" s="51" t="str">
        <v/>
      </c>
      <c r="D707" s="51" t="str">
        <v/>
      </c>
      <c r="E707" s="51" t="str">
        <v/>
      </c>
      <c r="F707" s="52" t="str">
        <v/>
      </c>
      <c r="G707" s="48" t="str">
        <v/>
      </c>
      <c r="H707" s="49">
        <v>0</v>
      </c>
      <c r="I707" s="49">
        <v>0</v>
      </c>
      <c r="J707" s="50"/>
    </row>
    <row r="708" outlineLevel="1" spans="1:10">
      <c r="A708" s="50">
        <v>584</v>
      </c>
      <c r="B708" s="51" t="str">
        <v>内墙面-界面剂</v>
      </c>
      <c r="C708" s="51" t="e">
        <v>#REF!</v>
      </c>
      <c r="D708" s="51" t="str">
        <v/>
      </c>
      <c r="E708" s="51" t="str">
        <v/>
      </c>
      <c r="F708" s="52" t="e">
        <v>#REF!</v>
      </c>
      <c r="G708" s="48" t="e">
        <v>#REF!</v>
      </c>
      <c r="H708" s="49">
        <v>0</v>
      </c>
      <c r="I708" s="49" t="e">
        <v>#REF!</v>
      </c>
      <c r="J708" s="50"/>
    </row>
    <row r="709" ht="28.8" outlineLevel="1" spans="1:10">
      <c r="A709" s="50">
        <v>585</v>
      </c>
      <c r="B709" s="51" t="str">
        <v>内墙面-15厚M7.5水泥砂浆</v>
      </c>
      <c r="C709" s="51" t="e">
        <v>#REF!</v>
      </c>
      <c r="D709" s="51" t="str">
        <v/>
      </c>
      <c r="E709" s="51" t="str">
        <v/>
      </c>
      <c r="F709" s="52" t="e">
        <v>#REF!</v>
      </c>
      <c r="G709" s="48" t="e">
        <v>#REF!</v>
      </c>
      <c r="H709" s="49">
        <v>0</v>
      </c>
      <c r="I709" s="49" t="e">
        <v>#REF!</v>
      </c>
      <c r="J709" s="50"/>
    </row>
    <row r="710" outlineLevel="1" spans="1:10">
      <c r="A710" s="50" t="str">
        <v/>
      </c>
      <c r="B710" s="51" t="str">
        <v>卫生间.厨房内墙</v>
      </c>
      <c r="C710" s="51" t="str">
        <v/>
      </c>
      <c r="D710" s="51" t="str">
        <v/>
      </c>
      <c r="E710" s="51" t="str">
        <v/>
      </c>
      <c r="F710" s="52" t="str">
        <v/>
      </c>
      <c r="G710" s="48" t="str">
        <v/>
      </c>
      <c r="H710" s="49">
        <v>0</v>
      </c>
      <c r="I710" s="49">
        <v>0</v>
      </c>
      <c r="J710" s="50"/>
    </row>
    <row r="711" outlineLevel="1" spans="1:10">
      <c r="A711" s="50">
        <v>586</v>
      </c>
      <c r="B711" s="51" t="str">
        <v>内墙面-玻纤网</v>
      </c>
      <c r="C711" s="51" t="e">
        <v>#REF!</v>
      </c>
      <c r="D711" s="51" t="str">
        <v/>
      </c>
      <c r="E711" s="51" t="str">
        <v/>
      </c>
      <c r="F711" s="52" t="e">
        <v>#REF!</v>
      </c>
      <c r="G711" s="48" t="e">
        <v>#REF!</v>
      </c>
      <c r="H711" s="49">
        <v>0</v>
      </c>
      <c r="I711" s="49" t="e">
        <v>#REF!</v>
      </c>
      <c r="J711" s="50"/>
    </row>
    <row r="712" outlineLevel="1" spans="1:10">
      <c r="A712" s="50">
        <v>587</v>
      </c>
      <c r="B712" s="51" t="str">
        <v>内墙面-界面剂</v>
      </c>
      <c r="C712" s="51" t="e">
        <v>#REF!</v>
      </c>
      <c r="D712" s="51" t="str">
        <v/>
      </c>
      <c r="E712" s="51" t="str">
        <v/>
      </c>
      <c r="F712" s="52" t="e">
        <v>#REF!</v>
      </c>
      <c r="G712" s="48" t="e">
        <v>#REF!</v>
      </c>
      <c r="H712" s="49">
        <v>0</v>
      </c>
      <c r="I712" s="49" t="e">
        <v>#REF!</v>
      </c>
      <c r="J712" s="50"/>
    </row>
    <row r="713" outlineLevel="1" spans="1:10">
      <c r="A713" s="50">
        <v>588</v>
      </c>
      <c r="B713" s="51" t="str">
        <v>内墙面-3-5厚砂浆打底</v>
      </c>
      <c r="C713" s="51" t="e">
        <v>#REF!</v>
      </c>
      <c r="D713" s="51" t="str">
        <v/>
      </c>
      <c r="E713" s="51" t="str">
        <v/>
      </c>
      <c r="F713" s="52" t="e">
        <v>#REF!</v>
      </c>
      <c r="G713" s="48" t="e">
        <v>#REF!</v>
      </c>
      <c r="H713" s="49">
        <v>0</v>
      </c>
      <c r="I713" s="49" t="e">
        <v>#REF!</v>
      </c>
      <c r="J713" s="50"/>
    </row>
    <row r="714" outlineLevel="1" spans="1:10">
      <c r="A714" s="50" t="str">
        <v/>
      </c>
      <c r="B714" s="51" t="str">
        <v>卫生间.厨房内墙</v>
      </c>
      <c r="C714" s="51" t="str">
        <v/>
      </c>
      <c r="D714" s="51" t="str">
        <v/>
      </c>
      <c r="E714" s="51" t="str">
        <v/>
      </c>
      <c r="F714" s="52" t="str">
        <v/>
      </c>
      <c r="G714" s="48" t="str">
        <v/>
      </c>
      <c r="H714" s="49">
        <v>0</v>
      </c>
      <c r="I714" s="49">
        <v>0</v>
      </c>
      <c r="J714" s="50"/>
    </row>
    <row r="715" outlineLevel="1" spans="1:10">
      <c r="A715" s="50">
        <v>589</v>
      </c>
      <c r="B715" s="51" t="str">
        <v>内墙面-界面剂</v>
      </c>
      <c r="C715" s="51" t="e">
        <v>#REF!</v>
      </c>
      <c r="D715" s="51" t="str">
        <v/>
      </c>
      <c r="E715" s="51" t="str">
        <v/>
      </c>
      <c r="F715" s="52" t="e">
        <v>#REF!</v>
      </c>
      <c r="G715" s="48" t="e">
        <v>#REF!</v>
      </c>
      <c r="H715" s="49">
        <v>0</v>
      </c>
      <c r="I715" s="49" t="e">
        <v>#REF!</v>
      </c>
      <c r="J715" s="50"/>
    </row>
    <row r="716" outlineLevel="1" spans="1:10">
      <c r="A716" s="50">
        <v>590</v>
      </c>
      <c r="B716" s="51" t="str">
        <v>内墙面-7厚M5石灰砂浆</v>
      </c>
      <c r="C716" s="51" t="e">
        <v>#REF!</v>
      </c>
      <c r="D716" s="51" t="str">
        <v/>
      </c>
      <c r="E716" s="51" t="str">
        <v/>
      </c>
      <c r="F716" s="52" t="e">
        <v>#REF!</v>
      </c>
      <c r="G716" s="48" t="e">
        <v>#REF!</v>
      </c>
      <c r="H716" s="49">
        <v>0</v>
      </c>
      <c r="I716" s="49" t="e">
        <v>#REF!</v>
      </c>
      <c r="J716" s="50"/>
    </row>
    <row r="717" outlineLevel="1" spans="1:10">
      <c r="A717" s="50">
        <v>591</v>
      </c>
      <c r="B717" s="51" t="str">
        <v>内墙面-6厚M7.5石灰砂浆</v>
      </c>
      <c r="C717" s="51" t="e">
        <v>#REF!</v>
      </c>
      <c r="D717" s="51" t="str">
        <v/>
      </c>
      <c r="E717" s="51" t="str">
        <v/>
      </c>
      <c r="F717" s="52" t="e">
        <v>#REF!</v>
      </c>
      <c r="G717" s="48" t="e">
        <v>#REF!</v>
      </c>
      <c r="H717" s="49">
        <v>0</v>
      </c>
      <c r="I717" s="49" t="e">
        <v>#REF!</v>
      </c>
      <c r="J717" s="50"/>
    </row>
    <row r="718" ht="28.8" outlineLevel="1" spans="1:10">
      <c r="A718" s="50" t="str">
        <v/>
      </c>
      <c r="B718" s="51" t="str">
        <v>用于客厅.餐厅.卧室.书房内墙</v>
      </c>
      <c r="C718" s="51" t="str">
        <v/>
      </c>
      <c r="D718" s="51" t="str">
        <v/>
      </c>
      <c r="E718" s="51" t="str">
        <v/>
      </c>
      <c r="F718" s="52" t="str">
        <v/>
      </c>
      <c r="G718" s="48" t="str">
        <v/>
      </c>
      <c r="H718" s="49">
        <v>0</v>
      </c>
      <c r="I718" s="49">
        <v>0</v>
      </c>
      <c r="J718" s="50"/>
    </row>
    <row r="719" outlineLevel="1" spans="1:10">
      <c r="A719" s="50">
        <v>592</v>
      </c>
      <c r="B719" s="51" t="str">
        <v>内墙面-界面剂</v>
      </c>
      <c r="C719" s="51" t="e">
        <v>#REF!</v>
      </c>
      <c r="D719" s="51" t="str">
        <v/>
      </c>
      <c r="E719" s="51" t="str">
        <v/>
      </c>
      <c r="F719" s="52" t="e">
        <v>#REF!</v>
      </c>
      <c r="G719" s="48" t="e">
        <v>#REF!</v>
      </c>
      <c r="H719" s="49">
        <v>7871</v>
      </c>
      <c r="I719" s="49" t="e">
        <v>#REF!</v>
      </c>
      <c r="J719" s="50"/>
    </row>
    <row r="720" outlineLevel="1" spans="1:10">
      <c r="A720" s="50">
        <v>593</v>
      </c>
      <c r="B720" s="51" t="str">
        <v>内墙面-9厚M5石灰砂浆</v>
      </c>
      <c r="C720" s="51" t="e">
        <v>#REF!</v>
      </c>
      <c r="D720" s="51" t="str">
        <v/>
      </c>
      <c r="E720" s="51" t="str">
        <v/>
      </c>
      <c r="F720" s="52" t="e">
        <v>#REF!</v>
      </c>
      <c r="G720" s="48" t="e">
        <v>#REF!</v>
      </c>
      <c r="H720" s="49">
        <v>7871</v>
      </c>
      <c r="I720" s="49" t="e">
        <v>#REF!</v>
      </c>
      <c r="J720" s="50"/>
    </row>
    <row r="721" outlineLevel="1" spans="1:10">
      <c r="A721" s="50">
        <v>594</v>
      </c>
      <c r="B721" s="51" t="str">
        <v>内墙面-6厚M7.5石灰砂浆</v>
      </c>
      <c r="C721" s="51" t="e">
        <v>#REF!</v>
      </c>
      <c r="D721" s="51" t="str">
        <v/>
      </c>
      <c r="E721" s="51" t="str">
        <v/>
      </c>
      <c r="F721" s="52" t="e">
        <v>#REF!</v>
      </c>
      <c r="G721" s="48" t="e">
        <v>#REF!</v>
      </c>
      <c r="H721" s="49">
        <v>7871</v>
      </c>
      <c r="I721" s="49" t="e">
        <v>#REF!</v>
      </c>
      <c r="J721" s="50"/>
    </row>
    <row r="722" outlineLevel="1" spans="1:10">
      <c r="A722" s="50">
        <v>595</v>
      </c>
      <c r="B722" s="51" t="str">
        <v>内墙面-玻纤网</v>
      </c>
      <c r="C722" s="51" t="e">
        <v>#REF!</v>
      </c>
      <c r="D722" s="51" t="str">
        <v/>
      </c>
      <c r="E722" s="51" t="str">
        <v/>
      </c>
      <c r="F722" s="52" t="e">
        <v>#REF!</v>
      </c>
      <c r="G722" s="48" t="e">
        <v>#REF!</v>
      </c>
      <c r="H722" s="49">
        <v>7871</v>
      </c>
      <c r="I722" s="49" t="e">
        <v>#REF!</v>
      </c>
      <c r="J722" s="50"/>
    </row>
    <row r="723" ht="28.8" outlineLevel="1" spans="1:10">
      <c r="A723" s="50" t="str">
        <v/>
      </c>
      <c r="B723" s="51" t="str">
        <v>户内除厨房.卫生间外的房间</v>
      </c>
      <c r="C723" s="51" t="str">
        <v/>
      </c>
      <c r="D723" s="51" t="str">
        <v/>
      </c>
      <c r="E723" s="51" t="str">
        <v/>
      </c>
      <c r="F723" s="52" t="str">
        <v/>
      </c>
      <c r="G723" s="48" t="str">
        <v/>
      </c>
      <c r="H723" s="49">
        <v>0</v>
      </c>
      <c r="I723" s="49">
        <v>0</v>
      </c>
      <c r="J723" s="50"/>
    </row>
    <row r="724" outlineLevel="1" spans="1:10">
      <c r="A724" s="50">
        <v>596</v>
      </c>
      <c r="B724" s="51" t="str">
        <v>内墙面-界面剂</v>
      </c>
      <c r="C724" s="51" t="e">
        <v>#REF!</v>
      </c>
      <c r="D724" s="51" t="str">
        <v/>
      </c>
      <c r="E724" s="51" t="str">
        <v/>
      </c>
      <c r="F724" s="52" t="e">
        <v>#REF!</v>
      </c>
      <c r="G724" s="48" t="e">
        <v>#REF!</v>
      </c>
      <c r="H724" s="49">
        <v>0</v>
      </c>
      <c r="I724" s="49" t="e">
        <v>#REF!</v>
      </c>
      <c r="J724" s="50"/>
    </row>
    <row r="725" outlineLevel="1" spans="1:10">
      <c r="A725" s="50">
        <v>597</v>
      </c>
      <c r="B725" s="51" t="str">
        <v>内墙面-7厚M5石灰砂浆</v>
      </c>
      <c r="C725" s="51" t="e">
        <v>#REF!</v>
      </c>
      <c r="D725" s="51" t="str">
        <v/>
      </c>
      <c r="E725" s="51" t="str">
        <v/>
      </c>
      <c r="F725" s="52" t="e">
        <v>#REF!</v>
      </c>
      <c r="G725" s="48" t="e">
        <v>#REF!</v>
      </c>
      <c r="H725" s="49">
        <v>0</v>
      </c>
      <c r="I725" s="49" t="e">
        <v>#REF!</v>
      </c>
      <c r="J725" s="50"/>
    </row>
    <row r="726" outlineLevel="1" spans="1:10">
      <c r="A726" s="50">
        <v>598</v>
      </c>
      <c r="B726" s="51" t="str">
        <v>内墙面-6厚M7.5石灰砂浆</v>
      </c>
      <c r="C726" s="51" t="e">
        <v>#REF!</v>
      </c>
      <c r="D726" s="51" t="str">
        <v/>
      </c>
      <c r="E726" s="51" t="str">
        <v/>
      </c>
      <c r="F726" s="52" t="e">
        <v>#REF!</v>
      </c>
      <c r="G726" s="48" t="e">
        <v>#REF!</v>
      </c>
      <c r="H726" s="49">
        <v>0</v>
      </c>
      <c r="I726" s="49" t="e">
        <v>#REF!</v>
      </c>
      <c r="J726" s="50"/>
    </row>
    <row r="727" outlineLevel="1" spans="1:10">
      <c r="A727" s="50">
        <v>599</v>
      </c>
      <c r="B727" s="51" t="str">
        <v>内墙面-15厚粉刷石膏</v>
      </c>
      <c r="C727" s="51" t="e">
        <v>#REF!</v>
      </c>
      <c r="D727" s="51" t="str">
        <v/>
      </c>
      <c r="E727" s="51" t="str">
        <v/>
      </c>
      <c r="F727" s="52" t="e">
        <v>#REF!</v>
      </c>
      <c r="G727" s="48" t="e">
        <v>#REF!</v>
      </c>
      <c r="H727" s="49">
        <v>0</v>
      </c>
      <c r="I727" s="49" t="e">
        <v>#REF!</v>
      </c>
      <c r="J727" s="50"/>
    </row>
    <row r="728" outlineLevel="1" spans="1:10">
      <c r="A728" s="50">
        <v>600</v>
      </c>
      <c r="B728" s="51" t="str">
        <v>内墙面-玻纤网</v>
      </c>
      <c r="C728" s="51" t="e">
        <v>#REF!</v>
      </c>
      <c r="D728" s="51" t="str">
        <v/>
      </c>
      <c r="E728" s="51" t="str">
        <v/>
      </c>
      <c r="F728" s="52" t="e">
        <v>#REF!</v>
      </c>
      <c r="G728" s="48" t="e">
        <v>#REF!</v>
      </c>
      <c r="H728" s="49">
        <v>0</v>
      </c>
      <c r="I728" s="49" t="e">
        <v>#REF!</v>
      </c>
      <c r="J728" s="50"/>
    </row>
    <row r="729" ht="28.8" outlineLevel="1" spans="1:10">
      <c r="A729" s="50" t="str">
        <v/>
      </c>
      <c r="B729" s="51" t="str">
        <v>户内除厨房.卫生间外的房间</v>
      </c>
      <c r="C729" s="51" t="str">
        <v/>
      </c>
      <c r="D729" s="51" t="str">
        <v/>
      </c>
      <c r="E729" s="51" t="str">
        <v/>
      </c>
      <c r="F729" s="52" t="str">
        <v/>
      </c>
      <c r="G729" s="48" t="str">
        <v/>
      </c>
      <c r="H729" s="49">
        <v>0</v>
      </c>
      <c r="I729" s="49">
        <v>0</v>
      </c>
      <c r="J729" s="50"/>
    </row>
    <row r="730" outlineLevel="1" spans="1:10">
      <c r="A730" s="50">
        <v>601</v>
      </c>
      <c r="B730" s="51" t="str">
        <v>内墙面-6厚M7.5石灰砂浆</v>
      </c>
      <c r="C730" s="51" t="e">
        <v>#REF!</v>
      </c>
      <c r="D730" s="51" t="str">
        <v/>
      </c>
      <c r="E730" s="51" t="str">
        <v/>
      </c>
      <c r="F730" s="52" t="e">
        <v>#REF!</v>
      </c>
      <c r="G730" s="48" t="e">
        <v>#REF!</v>
      </c>
      <c r="H730" s="49">
        <v>0</v>
      </c>
      <c r="I730" s="49" t="e">
        <v>#REF!</v>
      </c>
      <c r="J730" s="50"/>
    </row>
    <row r="731" outlineLevel="1" spans="1:10">
      <c r="A731" s="50">
        <v>602</v>
      </c>
      <c r="B731" s="51" t="str">
        <v>内墙面-玻纤网</v>
      </c>
      <c r="C731" s="51" t="e">
        <v>#REF!</v>
      </c>
      <c r="D731" s="51" t="str">
        <v/>
      </c>
      <c r="E731" s="51" t="str">
        <v/>
      </c>
      <c r="F731" s="52" t="e">
        <v>#REF!</v>
      </c>
      <c r="G731" s="48" t="e">
        <v>#REF!</v>
      </c>
      <c r="H731" s="49">
        <v>0</v>
      </c>
      <c r="I731" s="49" t="e">
        <v>#REF!</v>
      </c>
      <c r="J731" s="50"/>
    </row>
    <row r="732" outlineLevel="1" spans="1:10">
      <c r="A732" s="50">
        <v>603</v>
      </c>
      <c r="B732" s="51" t="str">
        <v>内墙面-界面剂</v>
      </c>
      <c r="C732" s="51" t="e">
        <v>#REF!</v>
      </c>
      <c r="D732" s="51" t="str">
        <v/>
      </c>
      <c r="E732" s="51" t="str">
        <v/>
      </c>
      <c r="F732" s="52" t="e">
        <v>#REF!</v>
      </c>
      <c r="G732" s="48" t="e">
        <v>#REF!</v>
      </c>
      <c r="H732" s="49">
        <v>0</v>
      </c>
      <c r="I732" s="49" t="e">
        <v>#REF!</v>
      </c>
      <c r="J732" s="50"/>
    </row>
    <row r="733" outlineLevel="1" spans="1:10">
      <c r="A733" s="50">
        <v>604</v>
      </c>
      <c r="B733" s="51" t="str">
        <v>内墙面-3-5厚砂浆打底</v>
      </c>
      <c r="C733" s="51" t="e">
        <v>#REF!</v>
      </c>
      <c r="D733" s="51" t="str">
        <v/>
      </c>
      <c r="E733" s="51" t="str">
        <v/>
      </c>
      <c r="F733" s="52" t="e">
        <v>#REF!</v>
      </c>
      <c r="G733" s="48" t="e">
        <v>#REF!</v>
      </c>
      <c r="H733" s="49">
        <v>0</v>
      </c>
      <c r="I733" s="49" t="e">
        <v>#REF!</v>
      </c>
      <c r="J733" s="50"/>
    </row>
    <row r="734" outlineLevel="1" spans="1:10">
      <c r="A734" s="50">
        <v>605</v>
      </c>
      <c r="B734" s="51" t="str">
        <v>内墙面-6厚M7.5石灰砂浆</v>
      </c>
      <c r="C734" s="51" t="e">
        <v>#REF!</v>
      </c>
      <c r="D734" s="51" t="str">
        <v/>
      </c>
      <c r="E734" s="51" t="str">
        <v/>
      </c>
      <c r="F734" s="52" t="e">
        <v>#REF!</v>
      </c>
      <c r="G734" s="48" t="e">
        <v>#REF!</v>
      </c>
      <c r="H734" s="49">
        <v>0</v>
      </c>
      <c r="I734" s="49" t="e">
        <v>#REF!</v>
      </c>
      <c r="J734" s="50"/>
    </row>
    <row r="735" outlineLevel="1" spans="1:10">
      <c r="A735" s="50">
        <v>606</v>
      </c>
      <c r="B735" s="51" t="str">
        <v>通风道真空绝热板</v>
      </c>
      <c r="C735" s="51" t="e">
        <v>#REF!</v>
      </c>
      <c r="D735" s="51" t="str">
        <v/>
      </c>
      <c r="E735" s="51" t="str">
        <v/>
      </c>
      <c r="F735" s="52" t="e">
        <v>#REF!</v>
      </c>
      <c r="G735" s="48" t="e">
        <v>#REF!</v>
      </c>
      <c r="H735" s="49">
        <v>0</v>
      </c>
      <c r="I735" s="49" t="e">
        <v>#REF!</v>
      </c>
      <c r="J735" s="50"/>
    </row>
    <row r="736" outlineLevel="1" spans="1:10">
      <c r="A736" s="50">
        <v>607</v>
      </c>
      <c r="B736" s="51" t="str">
        <v>砌块墙钢丝网满挂</v>
      </c>
      <c r="C736" s="51" t="e">
        <v>#REF!</v>
      </c>
      <c r="D736" s="51" t="str">
        <v/>
      </c>
      <c r="E736" s="51" t="str">
        <v/>
      </c>
      <c r="F736" s="52" t="e">
        <v>#REF!</v>
      </c>
      <c r="G736" s="48" t="e">
        <v>#REF!</v>
      </c>
      <c r="H736" s="49">
        <v>0</v>
      </c>
      <c r="I736" s="49" t="e">
        <v>#REF!</v>
      </c>
      <c r="J736" s="50"/>
    </row>
    <row r="737" outlineLevel="1" spans="1:10">
      <c r="A737" s="50">
        <v>608</v>
      </c>
      <c r="B737" s="51" t="str">
        <v>内墙面-界面剂</v>
      </c>
      <c r="C737" s="51" t="e">
        <v>#REF!</v>
      </c>
      <c r="D737" s="51" t="str">
        <v/>
      </c>
      <c r="E737" s="51" t="str">
        <v/>
      </c>
      <c r="F737" s="52" t="e">
        <v>#REF!</v>
      </c>
      <c r="G737" s="48" t="e">
        <v>#REF!</v>
      </c>
      <c r="H737" s="49">
        <v>0</v>
      </c>
      <c r="I737" s="49" t="e">
        <v>#REF!</v>
      </c>
      <c r="J737" s="50"/>
    </row>
    <row r="738" ht="28.8" outlineLevel="1" spans="1:10">
      <c r="A738" s="50">
        <v>609</v>
      </c>
      <c r="B738" s="51" t="str">
        <v>内墙面-15厚M7.5水泥砂浆</v>
      </c>
      <c r="C738" s="51" t="e">
        <v>#REF!</v>
      </c>
      <c r="D738" s="51" t="str">
        <v/>
      </c>
      <c r="E738" s="51" t="str">
        <v/>
      </c>
      <c r="F738" s="52" t="e">
        <v>#REF!</v>
      </c>
      <c r="G738" s="48" t="e">
        <v>#REF!</v>
      </c>
      <c r="H738" s="49">
        <v>0</v>
      </c>
      <c r="I738" s="49" t="e">
        <v>#REF!</v>
      </c>
      <c r="J738" s="50"/>
    </row>
    <row r="739" ht="28.8" outlineLevel="1" spans="1:10">
      <c r="A739" s="50">
        <v>610</v>
      </c>
      <c r="B739" s="51" t="str">
        <v>内墙面-15厚M7.5石灰砂浆</v>
      </c>
      <c r="C739" s="51" t="e">
        <v>#REF!</v>
      </c>
      <c r="D739" s="51" t="str">
        <v/>
      </c>
      <c r="E739" s="51" t="str">
        <v/>
      </c>
      <c r="F739" s="52" t="e">
        <v>#REF!</v>
      </c>
      <c r="G739" s="48" t="e">
        <v>#REF!</v>
      </c>
      <c r="H739" s="49">
        <v>0</v>
      </c>
      <c r="I739" s="49" t="e">
        <v>#REF!</v>
      </c>
      <c r="J739" s="50"/>
    </row>
    <row r="740" ht="28.8" outlineLevel="1" spans="1:10">
      <c r="A740" s="50">
        <v>611</v>
      </c>
      <c r="B740" s="51" t="str">
        <v>内墙面-13厚M7.5石灰砂浆</v>
      </c>
      <c r="C740" s="51" t="e">
        <v>#REF!</v>
      </c>
      <c r="D740" s="51" t="str">
        <v/>
      </c>
      <c r="E740" s="51" t="str">
        <v/>
      </c>
      <c r="F740" s="52" t="e">
        <v>#REF!</v>
      </c>
      <c r="G740" s="48" t="e">
        <v>#REF!</v>
      </c>
      <c r="H740" s="49">
        <v>0</v>
      </c>
      <c r="I740" s="49" t="e">
        <v>#REF!</v>
      </c>
      <c r="J740" s="50"/>
    </row>
    <row r="741" ht="28.8" outlineLevel="1" spans="1:10">
      <c r="A741" s="50">
        <v>612</v>
      </c>
      <c r="B741" s="51" t="str">
        <v>内墙面-13厚M7.5水泥砂浆</v>
      </c>
      <c r="C741" s="51" t="e">
        <v>#REF!</v>
      </c>
      <c r="D741" s="51" t="str">
        <v/>
      </c>
      <c r="E741" s="51" t="str">
        <v/>
      </c>
      <c r="F741" s="52" t="e">
        <v>#REF!</v>
      </c>
      <c r="G741" s="48" t="e">
        <v>#REF!</v>
      </c>
      <c r="H741" s="49">
        <v>0</v>
      </c>
      <c r="I741" s="49" t="e">
        <v>#REF!</v>
      </c>
      <c r="J741" s="50"/>
    </row>
    <row r="742" outlineLevel="1" spans="1:10">
      <c r="A742" s="50">
        <v>613</v>
      </c>
      <c r="B742" s="51" t="str">
        <v>内墙面-15厚M5水泥砂浆</v>
      </c>
      <c r="C742" s="51" t="e">
        <v>#REF!</v>
      </c>
      <c r="D742" s="51" t="str">
        <v/>
      </c>
      <c r="E742" s="51" t="str">
        <v/>
      </c>
      <c r="F742" s="52" t="e">
        <v>#REF!</v>
      </c>
      <c r="G742" s="48" t="e">
        <v>#REF!</v>
      </c>
      <c r="H742" s="49">
        <v>0</v>
      </c>
      <c r="I742" s="49" t="e">
        <v>#REF!</v>
      </c>
      <c r="J742" s="50"/>
    </row>
    <row r="743" outlineLevel="1" spans="1:10">
      <c r="A743" s="50">
        <v>614</v>
      </c>
      <c r="B743" s="51" t="str">
        <v>内墙面-15厚M5石灰砂浆</v>
      </c>
      <c r="C743" s="51" t="e">
        <v>#REF!</v>
      </c>
      <c r="D743" s="51" t="str">
        <v/>
      </c>
      <c r="E743" s="51" t="str">
        <v/>
      </c>
      <c r="F743" s="52" t="e">
        <v>#REF!</v>
      </c>
      <c r="G743" s="48" t="e">
        <v>#REF!</v>
      </c>
      <c r="H743" s="49">
        <v>0</v>
      </c>
      <c r="I743" s="49" t="e">
        <v>#REF!</v>
      </c>
      <c r="J743" s="50"/>
    </row>
    <row r="744" outlineLevel="1" spans="1:10">
      <c r="A744" s="50">
        <v>615</v>
      </c>
      <c r="B744" s="51" t="str">
        <v>内墙面-13厚M5水泥砂浆</v>
      </c>
      <c r="C744" s="51" t="e">
        <v>#REF!</v>
      </c>
      <c r="D744" s="51" t="str">
        <v/>
      </c>
      <c r="E744" s="51" t="str">
        <v/>
      </c>
      <c r="F744" s="52" t="e">
        <v>#REF!</v>
      </c>
      <c r="G744" s="48" t="e">
        <v>#REF!</v>
      </c>
      <c r="H744" s="49">
        <v>0</v>
      </c>
      <c r="I744" s="49" t="e">
        <v>#REF!</v>
      </c>
      <c r="J744" s="50"/>
    </row>
    <row r="745" outlineLevel="1" spans="1:10">
      <c r="A745" s="50">
        <v>616</v>
      </c>
      <c r="B745" s="51" t="str">
        <v>内墙面-13厚M5石灰砂浆</v>
      </c>
      <c r="C745" s="51" t="e">
        <v>#REF!</v>
      </c>
      <c r="D745" s="51" t="str">
        <v/>
      </c>
      <c r="E745" s="51" t="str">
        <v/>
      </c>
      <c r="F745" s="52" t="e">
        <v>#REF!</v>
      </c>
      <c r="G745" s="48" t="e">
        <v>#REF!</v>
      </c>
      <c r="H745" s="49">
        <v>0</v>
      </c>
      <c r="I745" s="49" t="e">
        <v>#REF!</v>
      </c>
      <c r="J745" s="50"/>
    </row>
    <row r="746" outlineLevel="1" spans="1:10">
      <c r="A746" s="50">
        <v>617</v>
      </c>
      <c r="B746" s="51" t="str">
        <v>内墙面-12厚M5水泥砂浆</v>
      </c>
      <c r="C746" s="51" t="e">
        <v>#REF!</v>
      </c>
      <c r="D746" s="51" t="str">
        <v/>
      </c>
      <c r="E746" s="51" t="str">
        <v/>
      </c>
      <c r="F746" s="52" t="e">
        <v>#REF!</v>
      </c>
      <c r="G746" s="48" t="e">
        <v>#REF!</v>
      </c>
      <c r="H746" s="49">
        <v>0</v>
      </c>
      <c r="I746" s="49" t="e">
        <v>#REF!</v>
      </c>
      <c r="J746" s="50"/>
    </row>
    <row r="747" outlineLevel="1" spans="1:10">
      <c r="A747" s="50">
        <v>618</v>
      </c>
      <c r="B747" s="51" t="str">
        <v>内墙面-12厚M5石灰砂浆</v>
      </c>
      <c r="C747" s="51" t="e">
        <v>#REF!</v>
      </c>
      <c r="D747" s="51" t="str">
        <v/>
      </c>
      <c r="E747" s="51" t="str">
        <v/>
      </c>
      <c r="F747" s="52" t="e">
        <v>#REF!</v>
      </c>
      <c r="G747" s="48" t="e">
        <v>#REF!</v>
      </c>
      <c r="H747" s="49">
        <v>0</v>
      </c>
      <c r="I747" s="49" t="e">
        <v>#REF!</v>
      </c>
      <c r="J747" s="50"/>
    </row>
    <row r="748" outlineLevel="1" spans="1:10">
      <c r="A748" s="50">
        <v>619</v>
      </c>
      <c r="B748" s="51" t="str">
        <v>内墙面-镀锌钢丝网</v>
      </c>
      <c r="C748" s="51" t="e">
        <v>#REF!</v>
      </c>
      <c r="D748" s="51" t="str">
        <v/>
      </c>
      <c r="E748" s="51" t="str">
        <v/>
      </c>
      <c r="F748" s="52" t="e">
        <v>#REF!</v>
      </c>
      <c r="G748" s="48" t="e">
        <v>#REF!</v>
      </c>
      <c r="H748" s="49">
        <v>0</v>
      </c>
      <c r="I748" s="49" t="e">
        <v>#REF!</v>
      </c>
      <c r="J748" s="50"/>
    </row>
    <row r="749" ht="28.8" outlineLevel="1" spans="1:10">
      <c r="A749" s="50" t="str">
        <v/>
      </c>
      <c r="B749" s="51" t="str">
        <v>水暖电井内墙（二次结构墙体）</v>
      </c>
      <c r="C749" s="51" t="str">
        <v/>
      </c>
      <c r="D749" s="51" t="str">
        <v/>
      </c>
      <c r="E749" s="51" t="str">
        <v/>
      </c>
      <c r="F749" s="52" t="str">
        <v/>
      </c>
      <c r="G749" s="48" t="str">
        <v/>
      </c>
      <c r="H749" s="49">
        <v>0</v>
      </c>
      <c r="I749" s="49">
        <v>0</v>
      </c>
      <c r="J749" s="50"/>
    </row>
    <row r="750" outlineLevel="1" spans="1:10">
      <c r="A750" s="50">
        <v>620</v>
      </c>
      <c r="B750" s="51" t="str">
        <v>内墙面-界面剂</v>
      </c>
      <c r="C750" s="51" t="e">
        <v>#REF!</v>
      </c>
      <c r="D750" s="51" t="str">
        <v/>
      </c>
      <c r="E750" s="51" t="str">
        <v/>
      </c>
      <c r="F750" s="52" t="e">
        <v>#REF!</v>
      </c>
      <c r="G750" s="48" t="e">
        <v>#REF!</v>
      </c>
      <c r="H750" s="49">
        <v>73.5</v>
      </c>
      <c r="I750" s="49" t="e">
        <v>#REF!</v>
      </c>
      <c r="J750" s="50"/>
    </row>
    <row r="751" outlineLevel="1" spans="1:10">
      <c r="A751" s="50">
        <v>621</v>
      </c>
      <c r="B751" s="51" t="str">
        <v>内墙面-7厚M5石灰砂浆</v>
      </c>
      <c r="C751" s="51" t="e">
        <v>#REF!</v>
      </c>
      <c r="D751" s="51" t="str">
        <v/>
      </c>
      <c r="E751" s="51" t="str">
        <v/>
      </c>
      <c r="F751" s="52" t="e">
        <v>#REF!</v>
      </c>
      <c r="G751" s="48" t="e">
        <v>#REF!</v>
      </c>
      <c r="H751" s="49">
        <v>73.5</v>
      </c>
      <c r="I751" s="49" t="e">
        <v>#REF!</v>
      </c>
      <c r="J751" s="50"/>
    </row>
    <row r="752" outlineLevel="1" spans="1:10">
      <c r="A752" s="50">
        <v>622</v>
      </c>
      <c r="B752" s="51" t="str">
        <v>内墙面-6厚M7.5石灰砂浆</v>
      </c>
      <c r="C752" s="51" t="e">
        <v>#REF!</v>
      </c>
      <c r="D752" s="51" t="str">
        <v/>
      </c>
      <c r="E752" s="51" t="str">
        <v/>
      </c>
      <c r="F752" s="52" t="e">
        <v>#REF!</v>
      </c>
      <c r="G752" s="48" t="e">
        <v>#REF!</v>
      </c>
      <c r="H752" s="49">
        <v>73.5</v>
      </c>
      <c r="I752" s="49" t="e">
        <v>#REF!</v>
      </c>
      <c r="J752" s="50"/>
    </row>
    <row r="753" ht="28.8" outlineLevel="1" spans="1:10">
      <c r="A753" s="50" t="str">
        <v/>
      </c>
      <c r="B753" s="51" t="str">
        <v>水箱间.电梯机房内墙（二次结构墙）</v>
      </c>
      <c r="C753" s="51" t="str">
        <v/>
      </c>
      <c r="D753" s="51" t="str">
        <v/>
      </c>
      <c r="E753" s="51" t="str">
        <v/>
      </c>
      <c r="F753" s="52" t="str">
        <v/>
      </c>
      <c r="G753" s="48" t="str">
        <v/>
      </c>
      <c r="H753" s="49">
        <v>0</v>
      </c>
      <c r="I753" s="49">
        <v>0</v>
      </c>
      <c r="J753" s="50"/>
    </row>
    <row r="754" outlineLevel="1" spans="1:10">
      <c r="A754" s="50">
        <v>623</v>
      </c>
      <c r="B754" s="51" t="str">
        <v>内墙面-界面剂</v>
      </c>
      <c r="C754" s="51" t="e">
        <v>#REF!</v>
      </c>
      <c r="D754" s="51" t="str">
        <v/>
      </c>
      <c r="E754" s="51" t="str">
        <v/>
      </c>
      <c r="F754" s="52" t="e">
        <v>#REF!</v>
      </c>
      <c r="G754" s="48" t="e">
        <v>#REF!</v>
      </c>
      <c r="H754" s="49">
        <v>0</v>
      </c>
      <c r="I754" s="49" t="e">
        <v>#REF!</v>
      </c>
      <c r="J754" s="50"/>
    </row>
    <row r="755" outlineLevel="1" spans="1:10">
      <c r="A755" s="50">
        <v>624</v>
      </c>
      <c r="B755" s="51" t="str">
        <v>内墙面-7厚M5石灰砂浆</v>
      </c>
      <c r="C755" s="51" t="e">
        <v>#REF!</v>
      </c>
      <c r="D755" s="51" t="str">
        <v/>
      </c>
      <c r="E755" s="51" t="str">
        <v/>
      </c>
      <c r="F755" s="52" t="e">
        <v>#REF!</v>
      </c>
      <c r="G755" s="48" t="e">
        <v>#REF!</v>
      </c>
      <c r="H755" s="49">
        <v>0</v>
      </c>
      <c r="I755" s="49" t="e">
        <v>#REF!</v>
      </c>
      <c r="J755" s="50"/>
    </row>
    <row r="756" outlineLevel="1" spans="1:10">
      <c r="A756" s="50">
        <v>625</v>
      </c>
      <c r="B756" s="51" t="str">
        <v>内墙面-6厚M7.5石灰砂浆</v>
      </c>
      <c r="C756" s="51" t="e">
        <v>#REF!</v>
      </c>
      <c r="D756" s="51" t="str">
        <v/>
      </c>
      <c r="E756" s="51" t="str">
        <v/>
      </c>
      <c r="F756" s="52" t="e">
        <v>#REF!</v>
      </c>
      <c r="G756" s="48" t="e">
        <v>#REF!</v>
      </c>
      <c r="H756" s="49">
        <v>0</v>
      </c>
      <c r="I756" s="49" t="e">
        <v>#REF!</v>
      </c>
      <c r="J756" s="50"/>
    </row>
    <row r="757" outlineLevel="1" spans="1:10">
      <c r="A757" s="50">
        <v>626</v>
      </c>
      <c r="B757" s="51" t="str">
        <v>内墙面-7厚M5水泥砂浆</v>
      </c>
      <c r="C757" s="51" t="e">
        <v>#REF!</v>
      </c>
      <c r="D757" s="51" t="str">
        <v/>
      </c>
      <c r="E757" s="51" t="str">
        <v/>
      </c>
      <c r="F757" s="52" t="e">
        <v>#REF!</v>
      </c>
      <c r="G757" s="48" t="e">
        <v>#REF!</v>
      </c>
      <c r="H757" s="49">
        <v>0</v>
      </c>
      <c r="I757" s="49" t="e">
        <v>#REF!</v>
      </c>
      <c r="J757" s="50"/>
    </row>
    <row r="758" outlineLevel="1" spans="1:10">
      <c r="A758" s="50">
        <v>627</v>
      </c>
      <c r="B758" s="51" t="str">
        <v>内墙面-6厚M7.5水泥砂浆</v>
      </c>
      <c r="C758" s="51" t="e">
        <v>#REF!</v>
      </c>
      <c r="D758" s="51" t="str">
        <v/>
      </c>
      <c r="E758" s="51" t="str">
        <v/>
      </c>
      <c r="F758" s="52" t="e">
        <v>#REF!</v>
      </c>
      <c r="G758" s="48" t="e">
        <v>#REF!</v>
      </c>
      <c r="H758" s="49">
        <v>0</v>
      </c>
      <c r="I758" s="49" t="e">
        <v>#REF!</v>
      </c>
      <c r="J758" s="50"/>
    </row>
    <row r="759" outlineLevel="1" spans="1:10">
      <c r="A759" s="50">
        <v>628</v>
      </c>
      <c r="B759" s="51" t="str">
        <v>内墙面-窗井风井</v>
      </c>
      <c r="C759" s="51" t="e">
        <v>#REF!</v>
      </c>
      <c r="D759" s="51" t="str">
        <v/>
      </c>
      <c r="E759" s="51" t="str">
        <v/>
      </c>
      <c r="F759" s="52" t="e">
        <v>#REF!</v>
      </c>
      <c r="G759" s="48" t="e">
        <v>#REF!</v>
      </c>
      <c r="H759" s="49">
        <v>0</v>
      </c>
      <c r="I759" s="49" t="e">
        <v>#REF!</v>
      </c>
      <c r="J759" s="50"/>
    </row>
    <row r="760" outlineLevel="1" spans="1:10">
      <c r="A760" s="50" t="str">
        <v/>
      </c>
      <c r="B760" s="51" t="str">
        <v>A.05.03天棚装饰工程</v>
      </c>
      <c r="C760" s="51" t="str">
        <v/>
      </c>
      <c r="D760" s="51" t="str">
        <v/>
      </c>
      <c r="E760" s="51" t="str">
        <v/>
      </c>
      <c r="F760" s="52" t="str">
        <v/>
      </c>
      <c r="G760" s="48" t="str">
        <v/>
      </c>
      <c r="H760" s="49">
        <v>0</v>
      </c>
      <c r="I760" s="49" t="e">
        <v>#REF!</v>
      </c>
      <c r="J760" s="50"/>
    </row>
    <row r="761" outlineLevel="1" spans="1:10">
      <c r="A761" s="50">
        <v>629</v>
      </c>
      <c r="B761" s="51" t="str">
        <v>天棚-腻子两遍</v>
      </c>
      <c r="C761" s="51" t="e">
        <v>#REF!</v>
      </c>
      <c r="D761" s="51" t="str">
        <v/>
      </c>
      <c r="E761" s="51" t="str">
        <v/>
      </c>
      <c r="F761" s="52" t="e">
        <v>#REF!</v>
      </c>
      <c r="G761" s="48" t="e">
        <v>#REF!</v>
      </c>
      <c r="H761" s="49">
        <v>3859</v>
      </c>
      <c r="I761" s="49" t="e">
        <v>#REF!</v>
      </c>
      <c r="J761" s="50"/>
    </row>
    <row r="762" outlineLevel="1" spans="1:10">
      <c r="A762" s="50" t="str">
        <v/>
      </c>
      <c r="B762" s="51" t="str">
        <v>A.05.04白水泥工程</v>
      </c>
      <c r="C762" s="51" t="str">
        <v/>
      </c>
      <c r="D762" s="51" t="str">
        <v/>
      </c>
      <c r="E762" s="51" t="str">
        <v/>
      </c>
      <c r="F762" s="52" t="str">
        <v/>
      </c>
      <c r="G762" s="48" t="str">
        <v/>
      </c>
      <c r="H762" s="49">
        <v>0</v>
      </c>
      <c r="I762" s="49" t="e">
        <v>#REF!</v>
      </c>
      <c r="J762" s="50"/>
    </row>
    <row r="763" outlineLevel="1" spans="1:10">
      <c r="A763" s="50">
        <v>630</v>
      </c>
      <c r="B763" s="51" t="str">
        <v>内墙面-地上白水泥</v>
      </c>
      <c r="C763" s="51" t="e">
        <v>#REF!</v>
      </c>
      <c r="D763" s="51" t="str">
        <v/>
      </c>
      <c r="E763" s="51" t="str">
        <v/>
      </c>
      <c r="F763" s="52" t="e">
        <v>#REF!</v>
      </c>
      <c r="G763" s="48" t="e">
        <v>#REF!</v>
      </c>
      <c r="H763" s="49">
        <v>601.2398</v>
      </c>
      <c r="I763" s="49" t="e">
        <v>#REF!</v>
      </c>
      <c r="J763" s="50"/>
    </row>
    <row r="764" outlineLevel="1" spans="1:10">
      <c r="A764" s="50">
        <v>631</v>
      </c>
      <c r="B764" s="51" t="str">
        <v>天棚-地上白水泥</v>
      </c>
      <c r="C764" s="51" t="e">
        <v>#REF!</v>
      </c>
      <c r="D764" s="51" t="str">
        <v/>
      </c>
      <c r="E764" s="51" t="str">
        <v/>
      </c>
      <c r="F764" s="52" t="e">
        <v>#REF!</v>
      </c>
      <c r="G764" s="48" t="e">
        <v>#REF!</v>
      </c>
      <c r="H764" s="49">
        <v>230.7862</v>
      </c>
      <c r="I764" s="49" t="e">
        <v>#REF!</v>
      </c>
      <c r="J764" s="50"/>
    </row>
    <row r="765" outlineLevel="1" spans="1:10">
      <c r="A765" s="50" t="str">
        <v/>
      </c>
      <c r="B765" s="51" t="str">
        <v>A.06外墙装饰工程</v>
      </c>
      <c r="C765" s="51" t="str">
        <v/>
      </c>
      <c r="D765" s="51" t="str">
        <v/>
      </c>
      <c r="E765" s="51" t="str">
        <v/>
      </c>
      <c r="F765" s="52" t="str">
        <v/>
      </c>
      <c r="G765" s="48" t="str">
        <v/>
      </c>
      <c r="H765" s="49">
        <v>0</v>
      </c>
      <c r="I765" s="49" t="e">
        <v>#REF!</v>
      </c>
      <c r="J765" s="50"/>
    </row>
    <row r="766" outlineLevel="1" spans="1:10">
      <c r="A766" s="50" t="str">
        <v/>
      </c>
      <c r="B766" s="51" t="str">
        <v>A.06.01保温隔热工程</v>
      </c>
      <c r="C766" s="51" t="str">
        <v/>
      </c>
      <c r="D766" s="51" t="str">
        <v/>
      </c>
      <c r="E766" s="51" t="str">
        <v/>
      </c>
      <c r="F766" s="52" t="str">
        <v/>
      </c>
      <c r="G766" s="48" t="str">
        <v/>
      </c>
      <c r="H766" s="49" t="e">
        <v>#REF!</v>
      </c>
      <c r="I766" s="49" t="e">
        <v>#REF!</v>
      </c>
      <c r="J766" s="50"/>
    </row>
    <row r="767" outlineLevel="1" spans="1:10">
      <c r="A767" s="50">
        <v>632</v>
      </c>
      <c r="B767" s="51" t="str">
        <v>外墙面-3厚抗裂砂浆</v>
      </c>
      <c r="C767" s="51" t="e">
        <v>#REF!</v>
      </c>
      <c r="D767" s="51" t="str">
        <v/>
      </c>
      <c r="E767" s="51" t="str">
        <v/>
      </c>
      <c r="F767" s="52" t="e">
        <v>#REF!</v>
      </c>
      <c r="G767" s="48" t="e">
        <v>#REF!</v>
      </c>
      <c r="H767" s="49" t="e">
        <v>#REF!</v>
      </c>
      <c r="I767" s="49" t="e">
        <v>#REF!</v>
      </c>
      <c r="J767" s="50"/>
    </row>
    <row r="768" outlineLevel="1" spans="1:10">
      <c r="A768" s="50">
        <v>633</v>
      </c>
      <c r="B768" s="51" t="str">
        <v>外墙面-5厚防水抗裂砂浆</v>
      </c>
      <c r="C768" s="51" t="e">
        <v>#REF!</v>
      </c>
      <c r="D768" s="51" t="str">
        <v/>
      </c>
      <c r="E768" s="51" t="str">
        <v/>
      </c>
      <c r="F768" s="52" t="e">
        <v>#REF!</v>
      </c>
      <c r="G768" s="48" t="e">
        <v>#REF!</v>
      </c>
      <c r="H768" s="49" t="e">
        <v>#REF!</v>
      </c>
      <c r="I768" s="49" t="e">
        <v>#REF!</v>
      </c>
      <c r="J768" s="50"/>
    </row>
    <row r="769" outlineLevel="1" spans="1:10">
      <c r="A769" s="50">
        <v>634</v>
      </c>
      <c r="B769" s="51" t="str">
        <v>外墙面-网格布</v>
      </c>
      <c r="C769" s="51" t="e">
        <v>#REF!</v>
      </c>
      <c r="D769" s="51" t="str">
        <v/>
      </c>
      <c r="E769" s="51" t="str">
        <v/>
      </c>
      <c r="F769" s="52" t="e">
        <v>#REF!</v>
      </c>
      <c r="G769" s="48" t="e">
        <v>#REF!</v>
      </c>
      <c r="H769" s="49" t="e">
        <v>#REF!</v>
      </c>
      <c r="I769" s="49" t="e">
        <v>#REF!</v>
      </c>
      <c r="J769" s="50"/>
    </row>
    <row r="770" outlineLevel="1" spans="1:10">
      <c r="A770" s="50">
        <v>635</v>
      </c>
      <c r="B770" s="51" t="str">
        <v>外墙保温-200厚AEPS</v>
      </c>
      <c r="C770" s="51" t="e">
        <v>#REF!</v>
      </c>
      <c r="D770" s="51" t="str">
        <v/>
      </c>
      <c r="E770" s="51" t="str">
        <v/>
      </c>
      <c r="F770" s="52" t="e">
        <v>#REF!</v>
      </c>
      <c r="G770" s="48" t="e">
        <v>#REF!</v>
      </c>
      <c r="H770" s="49" t="e">
        <v>#REF!</v>
      </c>
      <c r="I770" s="49" t="e">
        <v>#REF!</v>
      </c>
      <c r="J770" s="50"/>
    </row>
    <row r="771" outlineLevel="1" spans="1:10">
      <c r="A771" s="50">
        <v>636</v>
      </c>
      <c r="B771" s="51" t="str">
        <v>外墙保温-100厚AEPS</v>
      </c>
      <c r="C771" s="51" t="e">
        <v>#REF!</v>
      </c>
      <c r="D771" s="51" t="str">
        <v/>
      </c>
      <c r="E771" s="51" t="str">
        <v/>
      </c>
      <c r="F771" s="52" t="e">
        <v>#REF!</v>
      </c>
      <c r="G771" s="48" t="e">
        <v>#REF!</v>
      </c>
      <c r="H771" s="49" t="e">
        <v>#REF!</v>
      </c>
      <c r="I771" s="49" t="e">
        <v>#REF!</v>
      </c>
      <c r="J771" s="50"/>
    </row>
    <row r="772" ht="28.8" outlineLevel="1" spans="1:10">
      <c r="A772" s="50">
        <v>637</v>
      </c>
      <c r="B772" s="51" t="str">
        <v>外墙保温-20厚无机保温砂浆</v>
      </c>
      <c r="C772" s="51" t="e">
        <v>#REF!</v>
      </c>
      <c r="D772" s="51" t="str">
        <v/>
      </c>
      <c r="E772" s="51" t="str">
        <v/>
      </c>
      <c r="F772" s="52" t="e">
        <v>#REF!</v>
      </c>
      <c r="G772" s="48" t="e">
        <v>#REF!</v>
      </c>
      <c r="H772" s="49" t="e">
        <v>#REF!</v>
      </c>
      <c r="I772" s="49" t="e">
        <v>#REF!</v>
      </c>
      <c r="J772" s="50"/>
    </row>
    <row r="773" ht="28.8" outlineLevel="1" spans="1:10">
      <c r="A773" s="50">
        <v>638</v>
      </c>
      <c r="B773" s="51" t="str">
        <v>外墙保温-20厚胶粉聚苯颗粒</v>
      </c>
      <c r="C773" s="51" t="e">
        <v>#REF!</v>
      </c>
      <c r="D773" s="51" t="str">
        <v/>
      </c>
      <c r="E773" s="51" t="str">
        <v/>
      </c>
      <c r="F773" s="52" t="e">
        <v>#REF!</v>
      </c>
      <c r="G773" s="48" t="e">
        <v>#REF!</v>
      </c>
      <c r="H773" s="49">
        <v>0</v>
      </c>
      <c r="I773" s="49" t="e">
        <v>#REF!</v>
      </c>
      <c r="J773" s="50"/>
    </row>
    <row r="774" ht="28.8" outlineLevel="1" spans="1:10">
      <c r="A774" s="50">
        <v>639</v>
      </c>
      <c r="B774" s="51" t="str">
        <v>外墙保温-30厚无机保温砂浆</v>
      </c>
      <c r="C774" s="51" t="e">
        <v>#REF!</v>
      </c>
      <c r="D774" s="51" t="str">
        <v/>
      </c>
      <c r="E774" s="51" t="str">
        <v/>
      </c>
      <c r="F774" s="52" t="e">
        <v>#REF!</v>
      </c>
      <c r="G774" s="48" t="e">
        <v>#REF!</v>
      </c>
      <c r="H774" s="49">
        <v>0</v>
      </c>
      <c r="I774" s="49" t="e">
        <v>#REF!</v>
      </c>
      <c r="J774" s="50"/>
    </row>
    <row r="775" outlineLevel="1" spans="1:10">
      <c r="A775" s="50" t="str">
        <v/>
      </c>
      <c r="B775" s="51" t="str">
        <v>被动式墙保温</v>
      </c>
      <c r="C775" s="51" t="str">
        <v/>
      </c>
      <c r="D775" s="51" t="str">
        <v/>
      </c>
      <c r="E775" s="51" t="str">
        <v/>
      </c>
      <c r="F775" s="52" t="str">
        <v/>
      </c>
      <c r="G775" s="48" t="str">
        <v/>
      </c>
      <c r="H775" s="49">
        <v>0</v>
      </c>
      <c r="I775" s="49">
        <v>0</v>
      </c>
      <c r="J775" s="50"/>
    </row>
    <row r="776" ht="28.8" outlineLevel="1" spans="1:10">
      <c r="A776" s="50">
        <v>640</v>
      </c>
      <c r="B776" s="51" t="str">
        <v>外墙保温-320厚石墨聚苯板（双层网）</v>
      </c>
      <c r="C776" s="51" t="e">
        <v>#REF!</v>
      </c>
      <c r="D776" s="51" t="str">
        <v/>
      </c>
      <c r="E776" s="51" t="str">
        <v/>
      </c>
      <c r="F776" s="52" t="e">
        <v>#REF!</v>
      </c>
      <c r="G776" s="48" t="e">
        <v>#REF!</v>
      </c>
      <c r="H776" s="49">
        <v>0</v>
      </c>
      <c r="I776" s="49" t="e">
        <v>#REF!</v>
      </c>
      <c r="J776" s="50"/>
    </row>
    <row r="777" outlineLevel="1" spans="1:10">
      <c r="A777" s="50">
        <v>641</v>
      </c>
      <c r="B777" s="51" t="str">
        <v>自密实混凝土-50厚C30</v>
      </c>
      <c r="C777" s="51" t="e">
        <v>#REF!</v>
      </c>
      <c r="D777" s="51" t="str">
        <v/>
      </c>
      <c r="E777" s="51" t="str">
        <v/>
      </c>
      <c r="F777" s="52" t="e">
        <v>#REF!</v>
      </c>
      <c r="G777" s="48" t="e">
        <v>#REF!</v>
      </c>
      <c r="H777" s="49">
        <v>0</v>
      </c>
      <c r="I777" s="49" t="e">
        <v>#REF!</v>
      </c>
      <c r="J777" s="50"/>
    </row>
    <row r="778" outlineLevel="1" spans="1:10">
      <c r="A778" s="50">
        <v>642</v>
      </c>
      <c r="B778" s="51" t="str">
        <v>外墙保温-界面修补</v>
      </c>
      <c r="C778" s="51" t="e">
        <v>#REF!</v>
      </c>
      <c r="D778" s="51" t="str">
        <v/>
      </c>
      <c r="E778" s="51" t="str">
        <v/>
      </c>
      <c r="F778" s="52" t="e">
        <v>#REF!</v>
      </c>
      <c r="G778" s="48" t="e">
        <v>#REF!</v>
      </c>
      <c r="H778" s="49">
        <v>0</v>
      </c>
      <c r="I778" s="49" t="e">
        <v>#REF!</v>
      </c>
      <c r="J778" s="50"/>
    </row>
    <row r="779" ht="28.8" outlineLevel="1" spans="1:10">
      <c r="A779" s="50">
        <v>643</v>
      </c>
      <c r="B779" s="51" t="str">
        <v>外墙保温-5厚干粉聚合物砂浆</v>
      </c>
      <c r="C779" s="51" t="e">
        <v>#REF!</v>
      </c>
      <c r="D779" s="51" t="str">
        <v/>
      </c>
      <c r="E779" s="51" t="str">
        <v/>
      </c>
      <c r="F779" s="52" t="e">
        <v>#REF!</v>
      </c>
      <c r="G779" s="48" t="e">
        <v>#REF!</v>
      </c>
      <c r="H779" s="49">
        <v>0</v>
      </c>
      <c r="I779" s="49" t="e">
        <v>#REF!</v>
      </c>
      <c r="J779" s="50"/>
    </row>
    <row r="780" outlineLevel="1" spans="1:10">
      <c r="A780" s="50" t="str">
        <v/>
      </c>
      <c r="B780" s="51" t="str">
        <v>被动式墙保温</v>
      </c>
      <c r="C780" s="51" t="str">
        <v/>
      </c>
      <c r="D780" s="51" t="str">
        <v/>
      </c>
      <c r="E780" s="51" t="str">
        <v/>
      </c>
      <c r="F780" s="52" t="str">
        <v/>
      </c>
      <c r="G780" s="48" t="str">
        <v/>
      </c>
      <c r="H780" s="49">
        <v>0</v>
      </c>
      <c r="I780" s="49">
        <v>0</v>
      </c>
      <c r="J780" s="50"/>
    </row>
    <row r="781" ht="28.8" outlineLevel="1" spans="1:10">
      <c r="A781" s="50">
        <v>644</v>
      </c>
      <c r="B781" s="51" t="str">
        <v>外墙保温-260厚石墨聚苯板（双层网）</v>
      </c>
      <c r="C781" s="51" t="e">
        <v>#REF!</v>
      </c>
      <c r="D781" s="51" t="str">
        <v/>
      </c>
      <c r="E781" s="51" t="str">
        <v/>
      </c>
      <c r="F781" s="52" t="e">
        <v>#REF!</v>
      </c>
      <c r="G781" s="48" t="e">
        <v>#REF!</v>
      </c>
      <c r="H781" s="49">
        <v>0</v>
      </c>
      <c r="I781" s="49" t="e">
        <v>#REF!</v>
      </c>
      <c r="J781" s="50"/>
    </row>
    <row r="782" outlineLevel="1" spans="1:10">
      <c r="A782" s="50">
        <v>645</v>
      </c>
      <c r="B782" s="51" t="str">
        <v>自密实混凝土-50厚C35</v>
      </c>
      <c r="C782" s="51" t="e">
        <v>#REF!</v>
      </c>
      <c r="D782" s="51" t="str">
        <v/>
      </c>
      <c r="E782" s="51" t="str">
        <v/>
      </c>
      <c r="F782" s="52" t="e">
        <v>#REF!</v>
      </c>
      <c r="G782" s="48" t="e">
        <v>#REF!</v>
      </c>
      <c r="H782" s="49">
        <v>0</v>
      </c>
      <c r="I782" s="49" t="e">
        <v>#REF!</v>
      </c>
      <c r="J782" s="50"/>
    </row>
    <row r="783" outlineLevel="1" spans="1:10">
      <c r="A783" s="50">
        <v>646</v>
      </c>
      <c r="B783" s="51" t="str">
        <v>自密实混凝土-50厚C30</v>
      </c>
      <c r="C783" s="51" t="e">
        <v>#REF!</v>
      </c>
      <c r="D783" s="51" t="str">
        <v/>
      </c>
      <c r="E783" s="51" t="str">
        <v/>
      </c>
      <c r="F783" s="52" t="e">
        <v>#REF!</v>
      </c>
      <c r="G783" s="48" t="e">
        <v>#REF!</v>
      </c>
      <c r="H783" s="49">
        <v>0</v>
      </c>
      <c r="I783" s="49" t="e">
        <v>#REF!</v>
      </c>
      <c r="J783" s="50"/>
    </row>
    <row r="784" outlineLevel="1" spans="1:10">
      <c r="A784" s="50">
        <v>647</v>
      </c>
      <c r="B784" s="51" t="str">
        <v>外墙保温-50厚C35细石砼</v>
      </c>
      <c r="C784" s="51" t="e">
        <v>#REF!</v>
      </c>
      <c r="D784" s="51" t="str">
        <v/>
      </c>
      <c r="E784" s="51" t="str">
        <v/>
      </c>
      <c r="F784" s="52" t="e">
        <v>#REF!</v>
      </c>
      <c r="G784" s="48" t="e">
        <v>#REF!</v>
      </c>
      <c r="H784" s="49">
        <v>0</v>
      </c>
      <c r="I784" s="49" t="e">
        <v>#REF!</v>
      </c>
      <c r="J784" s="50"/>
    </row>
    <row r="785" outlineLevel="1" spans="1:10">
      <c r="A785" s="50">
        <v>648</v>
      </c>
      <c r="B785" s="51" t="str">
        <v>外墙保温-50厚C30细石砼</v>
      </c>
      <c r="C785" s="51" t="e">
        <v>#REF!</v>
      </c>
      <c r="D785" s="51" t="str">
        <v/>
      </c>
      <c r="E785" s="51" t="str">
        <v/>
      </c>
      <c r="F785" s="52" t="e">
        <v>#REF!</v>
      </c>
      <c r="G785" s="48" t="e">
        <v>#REF!</v>
      </c>
      <c r="H785" s="49">
        <v>0</v>
      </c>
      <c r="I785" s="49" t="e">
        <v>#REF!</v>
      </c>
      <c r="J785" s="50"/>
    </row>
    <row r="786" outlineLevel="1" spans="1:10">
      <c r="A786" s="50">
        <v>649</v>
      </c>
      <c r="B786" s="51" t="str">
        <v>外墙保温-50厚C25细石砼</v>
      </c>
      <c r="C786" s="51" t="e">
        <v>#REF!</v>
      </c>
      <c r="D786" s="51" t="str">
        <v/>
      </c>
      <c r="E786" s="51" t="str">
        <v/>
      </c>
      <c r="F786" s="52" t="e">
        <v>#REF!</v>
      </c>
      <c r="G786" s="48" t="e">
        <v>#REF!</v>
      </c>
      <c r="H786" s="49">
        <v>0</v>
      </c>
      <c r="I786" s="49" t="e">
        <v>#REF!</v>
      </c>
      <c r="J786" s="50"/>
    </row>
    <row r="787" outlineLevel="1" spans="1:10">
      <c r="A787" s="50">
        <v>650</v>
      </c>
      <c r="B787" s="51" t="str">
        <v>外墙保温-50厚C20细石砼</v>
      </c>
      <c r="C787" s="51" t="e">
        <v>#REF!</v>
      </c>
      <c r="D787" s="51" t="str">
        <v/>
      </c>
      <c r="E787" s="51" t="str">
        <v/>
      </c>
      <c r="F787" s="52" t="e">
        <v>#REF!</v>
      </c>
      <c r="G787" s="48" t="e">
        <v>#REF!</v>
      </c>
      <c r="H787" s="49">
        <v>0</v>
      </c>
      <c r="I787" s="49" t="e">
        <v>#REF!</v>
      </c>
      <c r="J787" s="50"/>
    </row>
    <row r="788" outlineLevel="1" spans="1:10">
      <c r="A788" s="50">
        <v>651</v>
      </c>
      <c r="B788" s="51" t="str">
        <v>外墙保温-界面修补</v>
      </c>
      <c r="C788" s="51" t="e">
        <v>#REF!</v>
      </c>
      <c r="D788" s="51" t="str">
        <v/>
      </c>
      <c r="E788" s="51" t="str">
        <v/>
      </c>
      <c r="F788" s="52" t="e">
        <v>#REF!</v>
      </c>
      <c r="G788" s="48" t="e">
        <v>#REF!</v>
      </c>
      <c r="H788" s="49">
        <v>0</v>
      </c>
      <c r="I788" s="49" t="e">
        <v>#REF!</v>
      </c>
      <c r="J788" s="50"/>
    </row>
    <row r="789" ht="28.8" outlineLevel="1" spans="1:10">
      <c r="A789" s="50">
        <v>652</v>
      </c>
      <c r="B789" s="51" t="str">
        <v>外墙保温-5厚干粉聚合物砂浆</v>
      </c>
      <c r="C789" s="51" t="e">
        <v>#REF!</v>
      </c>
      <c r="D789" s="51" t="str">
        <v/>
      </c>
      <c r="E789" s="51" t="str">
        <v/>
      </c>
      <c r="F789" s="52" t="e">
        <v>#REF!</v>
      </c>
      <c r="G789" s="48" t="e">
        <v>#REF!</v>
      </c>
      <c r="H789" s="49">
        <v>0</v>
      </c>
      <c r="I789" s="49" t="e">
        <v>#REF!</v>
      </c>
      <c r="J789" s="50"/>
    </row>
    <row r="790" ht="28.8" outlineLevel="1" spans="1:10">
      <c r="A790" s="50">
        <v>653</v>
      </c>
      <c r="B790" s="51" t="str">
        <v>外墙保温-20厚真空绝热板</v>
      </c>
      <c r="C790" s="51" t="e">
        <v>#REF!</v>
      </c>
      <c r="D790" s="51" t="str">
        <v/>
      </c>
      <c r="E790" s="51" t="str">
        <v/>
      </c>
      <c r="F790" s="52" t="e">
        <v>#REF!</v>
      </c>
      <c r="G790" s="48" t="e">
        <v>#REF!</v>
      </c>
      <c r="H790" s="49">
        <v>0</v>
      </c>
      <c r="I790" s="49" t="e">
        <v>#REF!</v>
      </c>
      <c r="J790" s="50"/>
    </row>
    <row r="791" ht="28.8" outlineLevel="1" spans="1:10">
      <c r="A791" s="50">
        <v>654</v>
      </c>
      <c r="B791" s="51" t="str">
        <v>外墙保温-10厚真空绝热板</v>
      </c>
      <c r="C791" s="51" t="e">
        <v>#REF!</v>
      </c>
      <c r="D791" s="51" t="str">
        <v/>
      </c>
      <c r="E791" s="51" t="str">
        <v/>
      </c>
      <c r="F791" s="52" t="e">
        <v>#REF!</v>
      </c>
      <c r="G791" s="48" t="e">
        <v>#REF!</v>
      </c>
      <c r="H791" s="49">
        <v>0</v>
      </c>
      <c r="I791" s="49" t="e">
        <v>#REF!</v>
      </c>
      <c r="J791" s="50"/>
    </row>
    <row r="792" ht="28.8" outlineLevel="1" spans="1:10">
      <c r="A792" s="50">
        <v>655</v>
      </c>
      <c r="B792" s="51" t="str">
        <v>外保温-连廊设备平台100厚岩棉保温</v>
      </c>
      <c r="C792" s="51" t="e">
        <v>#REF!</v>
      </c>
      <c r="D792" s="51" t="str">
        <v/>
      </c>
      <c r="E792" s="51" t="str">
        <v/>
      </c>
      <c r="F792" s="52" t="e">
        <v>#REF!</v>
      </c>
      <c r="G792" s="48" t="e">
        <v>#REF!</v>
      </c>
      <c r="H792" s="49">
        <v>0</v>
      </c>
      <c r="I792" s="49" t="e">
        <v>#REF!</v>
      </c>
      <c r="J792" s="50"/>
    </row>
    <row r="793" ht="28.8" outlineLevel="1" spans="1:10">
      <c r="A793" s="50">
        <v>656</v>
      </c>
      <c r="B793" s="51" t="str">
        <v>外保温-连廊设备平台100厚石墨聚苯板保温</v>
      </c>
      <c r="C793" s="51" t="e">
        <v>#REF!</v>
      </c>
      <c r="D793" s="51" t="str">
        <v/>
      </c>
      <c r="E793" s="51" t="str">
        <v/>
      </c>
      <c r="F793" s="52" t="e">
        <v>#REF!</v>
      </c>
      <c r="G793" s="48" t="e">
        <v>#REF!</v>
      </c>
      <c r="H793" s="49">
        <v>0</v>
      </c>
      <c r="I793" s="49" t="e">
        <v>#REF!</v>
      </c>
      <c r="J793" s="50"/>
    </row>
    <row r="794" outlineLevel="1" spans="1:10">
      <c r="A794" s="50" t="str">
        <v/>
      </c>
      <c r="B794" s="51" t="str">
        <v>复合岩棉板外墙保温</v>
      </c>
      <c r="C794" s="51" t="str">
        <v/>
      </c>
      <c r="D794" s="51" t="str">
        <v/>
      </c>
      <c r="E794" s="51" t="str">
        <v/>
      </c>
      <c r="F794" s="52" t="str">
        <v/>
      </c>
      <c r="G794" s="48" t="str">
        <v/>
      </c>
      <c r="H794" s="49">
        <v>0</v>
      </c>
      <c r="I794" s="49">
        <v>0</v>
      </c>
      <c r="J794" s="50"/>
    </row>
    <row r="795" outlineLevel="1" spans="1:10">
      <c r="A795" s="50">
        <v>657</v>
      </c>
      <c r="B795" s="51" t="str">
        <v>外墙面-5厚防水砂浆</v>
      </c>
      <c r="C795" s="51" t="e">
        <v>#REF!</v>
      </c>
      <c r="D795" s="51" t="str">
        <v/>
      </c>
      <c r="E795" s="51" t="str">
        <v/>
      </c>
      <c r="F795" s="52" t="e">
        <v>#REF!</v>
      </c>
      <c r="G795" s="48" t="e">
        <v>#REF!</v>
      </c>
      <c r="H795" s="49">
        <v>0</v>
      </c>
      <c r="I795" s="49" t="e">
        <v>#REF!</v>
      </c>
      <c r="J795" s="50"/>
    </row>
    <row r="796" outlineLevel="1" spans="1:10">
      <c r="A796" s="50">
        <v>658</v>
      </c>
      <c r="B796" s="51" t="str">
        <v>外墙面-网格布</v>
      </c>
      <c r="C796" s="51" t="e">
        <v>#REF!</v>
      </c>
      <c r="D796" s="51" t="str">
        <v/>
      </c>
      <c r="E796" s="51" t="str">
        <v/>
      </c>
      <c r="F796" s="52" t="e">
        <v>#REF!</v>
      </c>
      <c r="G796" s="48" t="e">
        <v>#REF!</v>
      </c>
      <c r="H796" s="49">
        <v>0</v>
      </c>
      <c r="I796" s="49" t="e">
        <v>#REF!</v>
      </c>
      <c r="J796" s="50"/>
    </row>
    <row r="797" outlineLevel="1" spans="1:10">
      <c r="A797" s="50">
        <v>659</v>
      </c>
      <c r="B797" s="51" t="str">
        <v>外墙面-5厚防水砂浆</v>
      </c>
      <c r="C797" s="51" t="e">
        <v>#REF!</v>
      </c>
      <c r="D797" s="51" t="str">
        <v/>
      </c>
      <c r="E797" s="51" t="str">
        <v/>
      </c>
      <c r="F797" s="52" t="e">
        <v>#REF!</v>
      </c>
      <c r="G797" s="48" t="e">
        <v>#REF!</v>
      </c>
      <c r="H797" s="49">
        <v>0</v>
      </c>
      <c r="I797" s="49" t="e">
        <v>#REF!</v>
      </c>
      <c r="J797" s="50"/>
    </row>
    <row r="798" ht="28.8" outlineLevel="1" spans="1:10">
      <c r="A798" s="50">
        <v>660</v>
      </c>
      <c r="B798" s="51" t="str">
        <v>外墙保温-250厚复合岩棉板</v>
      </c>
      <c r="C798" s="51" t="e">
        <v>#REF!</v>
      </c>
      <c r="D798" s="51" t="str">
        <v/>
      </c>
      <c r="E798" s="51" t="str">
        <v/>
      </c>
      <c r="F798" s="52" t="e">
        <v>#REF!</v>
      </c>
      <c r="G798" s="48" t="e">
        <v>#REF!</v>
      </c>
      <c r="H798" s="49">
        <v>0</v>
      </c>
      <c r="I798" s="49" t="e">
        <v>#REF!</v>
      </c>
      <c r="J798" s="50"/>
    </row>
    <row r="799" ht="28.8" outlineLevel="1" spans="1:10">
      <c r="A799" s="50">
        <v>661</v>
      </c>
      <c r="B799" s="51" t="str">
        <v>外墙保温-150厚复合岩棉板</v>
      </c>
      <c r="C799" s="51" t="e">
        <v>#REF!</v>
      </c>
      <c r="D799" s="51" t="str">
        <v/>
      </c>
      <c r="E799" s="51" t="str">
        <v/>
      </c>
      <c r="F799" s="52" t="e">
        <v>#REF!</v>
      </c>
      <c r="G799" s="48" t="e">
        <v>#REF!</v>
      </c>
      <c r="H799" s="49">
        <v>0</v>
      </c>
      <c r="I799" s="49" t="e">
        <v>#REF!</v>
      </c>
      <c r="J799" s="50"/>
    </row>
    <row r="800" ht="28.8" outlineLevel="1" spans="1:10">
      <c r="A800" s="50">
        <v>662</v>
      </c>
      <c r="B800" s="51" t="str">
        <v>外墙保温-100厚复合岩棉板</v>
      </c>
      <c r="C800" s="51" t="e">
        <v>#REF!</v>
      </c>
      <c r="D800" s="51" t="str">
        <v/>
      </c>
      <c r="E800" s="51" t="str">
        <v/>
      </c>
      <c r="F800" s="52" t="e">
        <v>#REF!</v>
      </c>
      <c r="G800" s="48" t="e">
        <v>#REF!</v>
      </c>
      <c r="H800" s="49">
        <v>0</v>
      </c>
      <c r="I800" s="49" t="e">
        <v>#REF!</v>
      </c>
      <c r="J800" s="50"/>
    </row>
    <row r="801" outlineLevel="1" spans="1:10">
      <c r="A801" s="50" t="str">
        <v/>
      </c>
      <c r="B801" s="51" t="str">
        <v>复合保温砂浆墙面</v>
      </c>
      <c r="C801" s="51" t="str">
        <v/>
      </c>
      <c r="D801" s="51" t="str">
        <v/>
      </c>
      <c r="E801" s="51" t="str">
        <v/>
      </c>
      <c r="F801" s="52" t="str">
        <v/>
      </c>
      <c r="G801" s="48" t="str">
        <v/>
      </c>
      <c r="H801" s="49">
        <v>0</v>
      </c>
      <c r="I801" s="49">
        <v>0</v>
      </c>
      <c r="J801" s="50"/>
    </row>
    <row r="802" outlineLevel="1" spans="1:10">
      <c r="A802" s="50">
        <v>663</v>
      </c>
      <c r="B802" s="51" t="str">
        <v>外墙面-界面剂</v>
      </c>
      <c r="C802" s="51" t="e">
        <v>#REF!</v>
      </c>
      <c r="D802" s="51" t="str">
        <v/>
      </c>
      <c r="E802" s="51" t="str">
        <v/>
      </c>
      <c r="F802" s="52" t="e">
        <v>#REF!</v>
      </c>
      <c r="G802" s="48" t="e">
        <v>#REF!</v>
      </c>
      <c r="H802" s="49" t="e">
        <v>#REF!</v>
      </c>
      <c r="I802" s="49" t="e">
        <v>#REF!</v>
      </c>
      <c r="J802" s="50"/>
    </row>
    <row r="803" outlineLevel="1" spans="1:10">
      <c r="A803" s="50">
        <v>664</v>
      </c>
      <c r="B803" s="51" t="str">
        <v>外墙保温-20厚MPC</v>
      </c>
      <c r="C803" s="51" t="e">
        <v>#REF!</v>
      </c>
      <c r="D803" s="51" t="str">
        <v/>
      </c>
      <c r="E803" s="51" t="str">
        <v/>
      </c>
      <c r="F803" s="52" t="e">
        <v>#REF!</v>
      </c>
      <c r="G803" s="48" t="e">
        <v>#REF!</v>
      </c>
      <c r="H803" s="49" t="e">
        <v>#REF!</v>
      </c>
      <c r="I803" s="49" t="e">
        <v>#REF!</v>
      </c>
      <c r="J803" s="50"/>
    </row>
    <row r="804" outlineLevel="1" spans="1:10">
      <c r="A804" s="50">
        <v>665</v>
      </c>
      <c r="B804" s="51" t="str">
        <v>外墙保温-15厚MPC</v>
      </c>
      <c r="C804" s="51" t="e">
        <v>#REF!</v>
      </c>
      <c r="D804" s="51" t="str">
        <v/>
      </c>
      <c r="E804" s="51" t="str">
        <v/>
      </c>
      <c r="F804" s="52" t="e">
        <v>#REF!</v>
      </c>
      <c r="G804" s="48" t="e">
        <v>#REF!</v>
      </c>
      <c r="H804" s="49">
        <v>0</v>
      </c>
      <c r="I804" s="49" t="e">
        <v>#REF!</v>
      </c>
      <c r="J804" s="50"/>
    </row>
    <row r="805" outlineLevel="1" spans="1:10">
      <c r="A805" s="50">
        <v>666</v>
      </c>
      <c r="B805" s="51" t="str">
        <v>外墙保温-30厚MPC</v>
      </c>
      <c r="C805" s="51" t="e">
        <v>#REF!</v>
      </c>
      <c r="D805" s="51" t="str">
        <v/>
      </c>
      <c r="E805" s="51" t="str">
        <v/>
      </c>
      <c r="F805" s="52" t="e">
        <v>#REF!</v>
      </c>
      <c r="G805" s="48" t="e">
        <v>#REF!</v>
      </c>
      <c r="H805" s="49" t="e">
        <v>#REF!</v>
      </c>
      <c r="I805" s="49" t="e">
        <v>#REF!</v>
      </c>
      <c r="J805" s="50"/>
    </row>
    <row r="806" outlineLevel="1" spans="1:10">
      <c r="A806" s="50" t="str">
        <v/>
      </c>
      <c r="B806" s="51" t="str">
        <v>A.06.02线条装饰工程</v>
      </c>
      <c r="C806" s="51" t="str">
        <v/>
      </c>
      <c r="D806" s="51" t="str">
        <v/>
      </c>
      <c r="E806" s="51" t="str">
        <v/>
      </c>
      <c r="F806" s="52" t="str">
        <v/>
      </c>
      <c r="G806" s="48" t="str">
        <v/>
      </c>
      <c r="H806" s="49">
        <v>0</v>
      </c>
      <c r="I806" s="49" t="e">
        <v>#REF!</v>
      </c>
      <c r="J806" s="50"/>
    </row>
    <row r="807" outlineLevel="1" spans="1:10">
      <c r="A807" s="50">
        <v>667</v>
      </c>
      <c r="B807" s="51" t="str">
        <v>AAC保温条</v>
      </c>
      <c r="C807" s="51" t="e">
        <v>#REF!</v>
      </c>
      <c r="D807" s="51" t="str">
        <v/>
      </c>
      <c r="E807" s="51" t="str">
        <v/>
      </c>
      <c r="F807" s="52" t="e">
        <v>#REF!</v>
      </c>
      <c r="G807" s="48" t="e">
        <v>#REF!</v>
      </c>
      <c r="H807" s="49">
        <v>0</v>
      </c>
      <c r="I807" s="49" t="e">
        <v>#REF!</v>
      </c>
      <c r="J807" s="50"/>
    </row>
    <row r="808" outlineLevel="1" spans="1:10">
      <c r="A808" s="50" t="str">
        <v/>
      </c>
      <c r="B808" s="51" t="str">
        <v>岩棉线条</v>
      </c>
      <c r="C808" s="51" t="str">
        <v/>
      </c>
      <c r="D808" s="51" t="str">
        <v/>
      </c>
      <c r="E808" s="51" t="str">
        <v/>
      </c>
      <c r="F808" s="52" t="str">
        <v/>
      </c>
      <c r="G808" s="48" t="str">
        <v/>
      </c>
      <c r="H808" s="49">
        <v>0</v>
      </c>
      <c r="I808" s="49">
        <v>0</v>
      </c>
      <c r="J808" s="50"/>
    </row>
    <row r="809" outlineLevel="1" spans="1:10">
      <c r="A809" s="50">
        <v>668</v>
      </c>
      <c r="B809" s="51" t="str">
        <v>外墙面-岩棉线条150*150</v>
      </c>
      <c r="C809" s="51" t="e">
        <v>#REF!</v>
      </c>
      <c r="D809" s="51" t="str">
        <v/>
      </c>
      <c r="E809" s="51" t="str">
        <v/>
      </c>
      <c r="F809" s="52" t="e">
        <v>#REF!</v>
      </c>
      <c r="G809" s="48" t="e">
        <v>#REF!</v>
      </c>
      <c r="H809" s="49">
        <v>0</v>
      </c>
      <c r="I809" s="49" t="e">
        <v>#REF!</v>
      </c>
      <c r="J809" s="50"/>
    </row>
    <row r="810" ht="28.8" outlineLevel="1" spans="1:10">
      <c r="A810" s="50">
        <v>669</v>
      </c>
      <c r="B810" s="51" t="str">
        <v>外墙保温-5厚干粉聚合物砂浆</v>
      </c>
      <c r="C810" s="51" t="e">
        <v>#REF!</v>
      </c>
      <c r="D810" s="51" t="str">
        <v/>
      </c>
      <c r="E810" s="51" t="str">
        <v/>
      </c>
      <c r="F810" s="52" t="e">
        <v>#REF!</v>
      </c>
      <c r="G810" s="48" t="e">
        <v>#REF!</v>
      </c>
      <c r="H810" s="49">
        <v>0</v>
      </c>
      <c r="I810" s="49" t="e">
        <v>#REF!</v>
      </c>
      <c r="J810" s="50"/>
    </row>
    <row r="811" outlineLevel="1" spans="1:10">
      <c r="A811" s="50">
        <v>670</v>
      </c>
      <c r="B811" s="51" t="str">
        <v>外墙面-网格布</v>
      </c>
      <c r="C811" s="51" t="e">
        <v>#REF!</v>
      </c>
      <c r="D811" s="51" t="str">
        <v/>
      </c>
      <c r="E811" s="51" t="str">
        <v/>
      </c>
      <c r="F811" s="52" t="e">
        <v>#REF!</v>
      </c>
      <c r="G811" s="48" t="e">
        <v>#REF!</v>
      </c>
      <c r="H811" s="49">
        <v>0</v>
      </c>
      <c r="I811" s="49" t="e">
        <v>#REF!</v>
      </c>
      <c r="J811" s="50"/>
    </row>
    <row r="812" outlineLevel="1" spans="1:10">
      <c r="A812" s="50" t="str">
        <v/>
      </c>
      <c r="B812" s="51" t="str">
        <v>EPS线条</v>
      </c>
      <c r="C812" s="51" t="str">
        <v/>
      </c>
      <c r="D812" s="51" t="str">
        <v/>
      </c>
      <c r="E812" s="51" t="str">
        <v/>
      </c>
      <c r="F812" s="52" t="str">
        <v/>
      </c>
      <c r="G812" s="48" t="str">
        <v/>
      </c>
      <c r="H812" s="49">
        <v>0</v>
      </c>
      <c r="I812" s="49">
        <v>0</v>
      </c>
      <c r="J812" s="50"/>
    </row>
    <row r="813" outlineLevel="1" spans="1:10">
      <c r="A813" s="50">
        <v>671</v>
      </c>
      <c r="B813" s="51" t="str">
        <v>外墙EPS线条-线条100*50</v>
      </c>
      <c r="C813" s="51" t="e">
        <v>#REF!</v>
      </c>
      <c r="D813" s="51" t="str">
        <v/>
      </c>
      <c r="E813" s="51" t="str">
        <v/>
      </c>
      <c r="F813" s="52" t="e">
        <v>#REF!</v>
      </c>
      <c r="G813" s="48" t="e">
        <v>#REF!</v>
      </c>
      <c r="H813" s="49" t="e">
        <v>#REF!</v>
      </c>
      <c r="I813" s="49" t="e">
        <v>#REF!</v>
      </c>
      <c r="J813" s="50"/>
    </row>
    <row r="814" ht="28.8" outlineLevel="1" spans="1:10">
      <c r="A814" s="50">
        <v>672</v>
      </c>
      <c r="B814" s="51" t="str">
        <v>外墙EPS线条-线条120*100</v>
      </c>
      <c r="C814" s="51" t="e">
        <v>#REF!</v>
      </c>
      <c r="D814" s="51" t="str">
        <v/>
      </c>
      <c r="E814" s="51" t="str">
        <v/>
      </c>
      <c r="F814" s="52" t="e">
        <v>#REF!</v>
      </c>
      <c r="G814" s="48" t="e">
        <v>#REF!</v>
      </c>
      <c r="H814" s="49" t="e">
        <v>#REF!</v>
      </c>
      <c r="I814" s="49" t="e">
        <v>#REF!</v>
      </c>
      <c r="J814" s="50"/>
    </row>
    <row r="815" outlineLevel="1" spans="1:10">
      <c r="A815" s="50">
        <v>673</v>
      </c>
      <c r="B815" s="51" t="str">
        <v>外墙EPS线条-线条70*30</v>
      </c>
      <c r="C815" s="51" t="e">
        <v>#REF!</v>
      </c>
      <c r="D815" s="51" t="str">
        <v/>
      </c>
      <c r="E815" s="51" t="str">
        <v/>
      </c>
      <c r="F815" s="52" t="e">
        <v>#REF!</v>
      </c>
      <c r="G815" s="48" t="e">
        <v>#REF!</v>
      </c>
      <c r="H815" s="49" t="e">
        <v>#REF!</v>
      </c>
      <c r="I815" s="49" t="e">
        <v>#REF!</v>
      </c>
      <c r="J815" s="50"/>
    </row>
    <row r="816" ht="28.8" outlineLevel="1" spans="1:10">
      <c r="A816" s="50">
        <v>674</v>
      </c>
      <c r="B816" s="51" t="str">
        <v>外墙EPS线条-线条120*240</v>
      </c>
      <c r="C816" s="51" t="e">
        <v>#REF!</v>
      </c>
      <c r="D816" s="51" t="str">
        <v/>
      </c>
      <c r="E816" s="51" t="str">
        <v/>
      </c>
      <c r="F816" s="52" t="e">
        <v>#REF!</v>
      </c>
      <c r="G816" s="48" t="e">
        <v>#REF!</v>
      </c>
      <c r="H816" s="49" t="e">
        <v>#REF!</v>
      </c>
      <c r="I816" s="49" t="e">
        <v>#REF!</v>
      </c>
      <c r="J816" s="50"/>
    </row>
    <row r="817" outlineLevel="1" spans="1:10">
      <c r="A817" s="50">
        <v>675</v>
      </c>
      <c r="B817" s="51" t="str">
        <v>外墙EPS线条-线条120*70</v>
      </c>
      <c r="C817" s="51" t="e">
        <v>#REF!</v>
      </c>
      <c r="D817" s="51" t="str">
        <v/>
      </c>
      <c r="E817" s="51" t="str">
        <v/>
      </c>
      <c r="F817" s="52" t="e">
        <v>#REF!</v>
      </c>
      <c r="G817" s="48" t="e">
        <v>#REF!</v>
      </c>
      <c r="H817" s="49" t="e">
        <v>#REF!</v>
      </c>
      <c r="I817" s="49" t="e">
        <v>#REF!</v>
      </c>
      <c r="J817" s="50"/>
    </row>
    <row r="818" outlineLevel="1" spans="1:10">
      <c r="A818" s="50">
        <v>676</v>
      </c>
      <c r="B818" s="51" t="str">
        <v>外墙EPS线条-线条50*50</v>
      </c>
      <c r="C818" s="51" t="e">
        <v>#REF!</v>
      </c>
      <c r="D818" s="51" t="str">
        <v/>
      </c>
      <c r="E818" s="51" t="str">
        <v/>
      </c>
      <c r="F818" s="52" t="e">
        <v>#REF!</v>
      </c>
      <c r="G818" s="48" t="e">
        <v>#REF!</v>
      </c>
      <c r="H818" s="49" t="e">
        <v>#REF!</v>
      </c>
      <c r="I818" s="49" t="e">
        <v>#REF!</v>
      </c>
      <c r="J818" s="50"/>
    </row>
    <row r="819" ht="28.8" outlineLevel="1" spans="1:10">
      <c r="A819" s="50">
        <v>677</v>
      </c>
      <c r="B819" s="51" t="str">
        <v>外墙EPS线条-线条L型800*220</v>
      </c>
      <c r="C819" s="51" t="e">
        <v>#REF!</v>
      </c>
      <c r="D819" s="51" t="str">
        <v/>
      </c>
      <c r="E819" s="51" t="str">
        <v/>
      </c>
      <c r="F819" s="52" t="e">
        <v>#REF!</v>
      </c>
      <c r="G819" s="48" t="e">
        <v>#REF!</v>
      </c>
      <c r="H819" s="49" t="e">
        <v>#REF!</v>
      </c>
      <c r="I819" s="49" t="e">
        <v>#REF!</v>
      </c>
      <c r="J819" s="50"/>
    </row>
    <row r="820" outlineLevel="1" spans="1:10">
      <c r="A820" s="50">
        <v>678</v>
      </c>
      <c r="B820" s="51" t="str">
        <v>外墙EPS线条-线条100*70</v>
      </c>
      <c r="C820" s="51" t="e">
        <v>#REF!</v>
      </c>
      <c r="D820" s="51" t="str">
        <v/>
      </c>
      <c r="E820" s="51" t="str">
        <v/>
      </c>
      <c r="F820" s="52" t="e">
        <v>#REF!</v>
      </c>
      <c r="G820" s="48" t="e">
        <v>#REF!</v>
      </c>
      <c r="H820" s="49" t="e">
        <v>#REF!</v>
      </c>
      <c r="I820" s="49" t="e">
        <v>#REF!</v>
      </c>
      <c r="J820" s="50"/>
    </row>
    <row r="821" ht="28.8" outlineLevel="1" spans="1:10">
      <c r="A821" s="50">
        <v>679</v>
      </c>
      <c r="B821" s="51" t="str">
        <v>外墙EPS线条-线条L型240*120</v>
      </c>
      <c r="C821" s="51" t="e">
        <v>#REF!</v>
      </c>
      <c r="D821" s="51" t="str">
        <v/>
      </c>
      <c r="E821" s="51" t="str">
        <v/>
      </c>
      <c r="F821" s="52" t="e">
        <v>#REF!</v>
      </c>
      <c r="G821" s="48" t="e">
        <v>#REF!</v>
      </c>
      <c r="H821" s="49" t="e">
        <v>#REF!</v>
      </c>
      <c r="I821" s="49" t="e">
        <v>#REF!</v>
      </c>
      <c r="J821" s="50"/>
    </row>
    <row r="822" outlineLevel="1" spans="1:10">
      <c r="A822" s="50">
        <v>680</v>
      </c>
      <c r="B822" s="51" t="str">
        <v>外墙EPS线条-线条120*50</v>
      </c>
      <c r="C822" s="51" t="e">
        <v>#REF!</v>
      </c>
      <c r="D822" s="51" t="str">
        <v/>
      </c>
      <c r="E822" s="51" t="str">
        <v/>
      </c>
      <c r="F822" s="52" t="e">
        <v>#REF!</v>
      </c>
      <c r="G822" s="48" t="e">
        <v>#REF!</v>
      </c>
      <c r="H822" s="49" t="e">
        <v>#REF!</v>
      </c>
      <c r="I822" s="49" t="e">
        <v>#REF!</v>
      </c>
      <c r="J822" s="50"/>
    </row>
    <row r="823" outlineLevel="1" spans="1:10">
      <c r="A823" s="50">
        <v>681</v>
      </c>
      <c r="B823" s="51" t="str">
        <v>外墙EPS线条-线条70*100</v>
      </c>
      <c r="C823" s="51" t="e">
        <v>#REF!</v>
      </c>
      <c r="D823" s="51" t="str">
        <v/>
      </c>
      <c r="E823" s="51" t="str">
        <v/>
      </c>
      <c r="F823" s="52" t="e">
        <v>#REF!</v>
      </c>
      <c r="G823" s="48" t="e">
        <v>#REF!</v>
      </c>
      <c r="H823" s="49" t="e">
        <v>#REF!</v>
      </c>
      <c r="I823" s="49" t="e">
        <v>#REF!</v>
      </c>
      <c r="J823" s="50"/>
    </row>
    <row r="824" outlineLevel="1" spans="1:10">
      <c r="A824" s="50">
        <v>682</v>
      </c>
      <c r="B824" s="51" t="str">
        <v>外墙EPS线条-线条30*50</v>
      </c>
      <c r="C824" s="51" t="e">
        <v>#REF!</v>
      </c>
      <c r="D824" s="51" t="str">
        <v/>
      </c>
      <c r="E824" s="51" t="str">
        <v/>
      </c>
      <c r="F824" s="52" t="e">
        <v>#REF!</v>
      </c>
      <c r="G824" s="48" t="e">
        <v>#REF!</v>
      </c>
      <c r="H824" s="49" t="e">
        <v>#REF!</v>
      </c>
      <c r="I824" s="49" t="e">
        <v>#REF!</v>
      </c>
      <c r="J824" s="50"/>
    </row>
    <row r="825" ht="28.8" outlineLevel="1" spans="1:10">
      <c r="A825" s="50">
        <v>683</v>
      </c>
      <c r="B825" s="51" t="str">
        <v>外墙EPS线条-线条L型220*100</v>
      </c>
      <c r="C825" s="51" t="e">
        <v>#REF!</v>
      </c>
      <c r="D825" s="51" t="str">
        <v/>
      </c>
      <c r="E825" s="51" t="str">
        <v/>
      </c>
      <c r="F825" s="52" t="e">
        <v>#REF!</v>
      </c>
      <c r="G825" s="48" t="e">
        <v>#REF!</v>
      </c>
      <c r="H825" s="49" t="e">
        <v>#REF!</v>
      </c>
      <c r="I825" s="49" t="e">
        <v>#REF!</v>
      </c>
      <c r="J825" s="50"/>
    </row>
    <row r="826" outlineLevel="1" spans="1:10">
      <c r="A826" s="50">
        <v>684</v>
      </c>
      <c r="B826" s="51" t="str">
        <v>外墙EPS线条-线条30*70</v>
      </c>
      <c r="C826" s="51" t="e">
        <v>#REF!</v>
      </c>
      <c r="D826" s="51" t="str">
        <v/>
      </c>
      <c r="E826" s="51" t="str">
        <v/>
      </c>
      <c r="F826" s="52" t="e">
        <v>#REF!</v>
      </c>
      <c r="G826" s="48" t="e">
        <v>#REF!</v>
      </c>
      <c r="H826" s="49" t="e">
        <v>#REF!</v>
      </c>
      <c r="I826" s="49" t="e">
        <v>#REF!</v>
      </c>
      <c r="J826" s="50"/>
    </row>
    <row r="827" outlineLevel="1" spans="1:10">
      <c r="A827" s="50">
        <v>685</v>
      </c>
      <c r="B827" s="51" t="str">
        <v>外墙EPS线条-线条70*70</v>
      </c>
      <c r="C827" s="51" t="e">
        <v>#REF!</v>
      </c>
      <c r="D827" s="51" t="str">
        <v/>
      </c>
      <c r="E827" s="51" t="str">
        <v/>
      </c>
      <c r="F827" s="52" t="e">
        <v>#REF!</v>
      </c>
      <c r="G827" s="48" t="e">
        <v>#REF!</v>
      </c>
      <c r="H827" s="49" t="e">
        <v>#REF!</v>
      </c>
      <c r="I827" s="49" t="e">
        <v>#REF!</v>
      </c>
      <c r="J827" s="50"/>
    </row>
    <row r="828" outlineLevel="1" spans="1:10">
      <c r="A828" s="50">
        <v>686</v>
      </c>
      <c r="B828" s="51" t="str">
        <v>外墙EPS线条-线条70*210</v>
      </c>
      <c r="C828" s="51" t="e">
        <v>#REF!</v>
      </c>
      <c r="D828" s="51" t="str">
        <v/>
      </c>
      <c r="E828" s="51" t="str">
        <v/>
      </c>
      <c r="F828" s="52" t="e">
        <v>#REF!</v>
      </c>
      <c r="G828" s="48" t="e">
        <v>#REF!</v>
      </c>
      <c r="H828" s="49" t="e">
        <v>#REF!</v>
      </c>
      <c r="I828" s="49" t="e">
        <v>#REF!</v>
      </c>
      <c r="J828" s="50"/>
    </row>
    <row r="829" outlineLevel="1" spans="1:10">
      <c r="A829" s="50">
        <v>687</v>
      </c>
      <c r="B829" s="51" t="str">
        <v>外墙EPS线条-线条70*390</v>
      </c>
      <c r="C829" s="51" t="e">
        <v>#REF!</v>
      </c>
      <c r="D829" s="51" t="str">
        <v/>
      </c>
      <c r="E829" s="51" t="str">
        <v/>
      </c>
      <c r="F829" s="52" t="e">
        <v>#REF!</v>
      </c>
      <c r="G829" s="48" t="e">
        <v>#REF!</v>
      </c>
      <c r="H829" s="49" t="e">
        <v>#REF!</v>
      </c>
      <c r="I829" s="49" t="e">
        <v>#REF!</v>
      </c>
      <c r="J829" s="50"/>
    </row>
    <row r="830" outlineLevel="1" spans="1:10">
      <c r="A830" s="50">
        <v>688</v>
      </c>
      <c r="B830" s="51" t="str">
        <v>外墙EPS线条-线条50*100</v>
      </c>
      <c r="C830" s="51" t="e">
        <v>#REF!</v>
      </c>
      <c r="D830" s="51" t="str">
        <v/>
      </c>
      <c r="E830" s="51" t="str">
        <v/>
      </c>
      <c r="F830" s="52" t="e">
        <v>#REF!</v>
      </c>
      <c r="G830" s="48" t="e">
        <v>#REF!</v>
      </c>
      <c r="H830" s="49" t="e">
        <v>#REF!</v>
      </c>
      <c r="I830" s="49" t="e">
        <v>#REF!</v>
      </c>
      <c r="J830" s="50"/>
    </row>
    <row r="831" ht="28.8" outlineLevel="1" spans="1:10">
      <c r="A831" s="50">
        <v>689</v>
      </c>
      <c r="B831" s="51" t="str">
        <v>外墙EPS线条-线条160*100</v>
      </c>
      <c r="C831" s="51" t="e">
        <v>#REF!</v>
      </c>
      <c r="D831" s="51" t="str">
        <v/>
      </c>
      <c r="E831" s="51" t="str">
        <v/>
      </c>
      <c r="F831" s="52" t="e">
        <v>#REF!</v>
      </c>
      <c r="G831" s="48" t="e">
        <v>#REF!</v>
      </c>
      <c r="H831" s="49" t="e">
        <v>#REF!</v>
      </c>
      <c r="I831" s="49" t="e">
        <v>#REF!</v>
      </c>
      <c r="J831" s="50"/>
    </row>
    <row r="832" outlineLevel="1" spans="1:10">
      <c r="A832" s="50">
        <v>690</v>
      </c>
      <c r="B832" s="51" t="str">
        <v>外墙EPS线条-线条120*40</v>
      </c>
      <c r="C832" s="51" t="e">
        <v>#REF!</v>
      </c>
      <c r="D832" s="51" t="str">
        <v/>
      </c>
      <c r="E832" s="51" t="str">
        <v/>
      </c>
      <c r="F832" s="52" t="e">
        <v>#REF!</v>
      </c>
      <c r="G832" s="48" t="e">
        <v>#REF!</v>
      </c>
      <c r="H832" s="49" t="e">
        <v>#REF!</v>
      </c>
      <c r="I832" s="49" t="e">
        <v>#REF!</v>
      </c>
      <c r="J832" s="50"/>
    </row>
    <row r="833" ht="28.8" outlineLevel="1" spans="1:10">
      <c r="A833" s="50">
        <v>691</v>
      </c>
      <c r="B833" s="51" t="str">
        <v>外墙EPS线条-线条100*280</v>
      </c>
      <c r="C833" s="51" t="e">
        <v>#REF!</v>
      </c>
      <c r="D833" s="51" t="str">
        <v/>
      </c>
      <c r="E833" s="51" t="str">
        <v/>
      </c>
      <c r="F833" s="52" t="e">
        <v>#REF!</v>
      </c>
      <c r="G833" s="48" t="e">
        <v>#REF!</v>
      </c>
      <c r="H833" s="49" t="e">
        <v>#REF!</v>
      </c>
      <c r="I833" s="49" t="e">
        <v>#REF!</v>
      </c>
      <c r="J833" s="50"/>
    </row>
    <row r="834" ht="28.8" outlineLevel="1" spans="1:10">
      <c r="A834" s="50">
        <v>692</v>
      </c>
      <c r="B834" s="51" t="str">
        <v>外墙EPS线条-线条100*140</v>
      </c>
      <c r="C834" s="51" t="e">
        <v>#REF!</v>
      </c>
      <c r="D834" s="51" t="str">
        <v/>
      </c>
      <c r="E834" s="51" t="str">
        <v/>
      </c>
      <c r="F834" s="52" t="e">
        <v>#REF!</v>
      </c>
      <c r="G834" s="48" t="e">
        <v>#REF!</v>
      </c>
      <c r="H834" s="49" t="e">
        <v>#REF!</v>
      </c>
      <c r="I834" s="49" t="e">
        <v>#REF!</v>
      </c>
      <c r="J834" s="50"/>
    </row>
    <row r="835" ht="28.8" outlineLevel="1" spans="1:10">
      <c r="A835" s="50">
        <v>693</v>
      </c>
      <c r="B835" s="51" t="str">
        <v>外墙EPS线条-线条130*100</v>
      </c>
      <c r="C835" s="51" t="e">
        <v>#REF!</v>
      </c>
      <c r="D835" s="51" t="str">
        <v/>
      </c>
      <c r="E835" s="51" t="str">
        <v/>
      </c>
      <c r="F835" s="52" t="e">
        <v>#REF!</v>
      </c>
      <c r="G835" s="48" t="e">
        <v>#REF!</v>
      </c>
      <c r="H835" s="49" t="e">
        <v>#REF!</v>
      </c>
      <c r="I835" s="49" t="e">
        <v>#REF!</v>
      </c>
      <c r="J835" s="50"/>
    </row>
    <row r="836" ht="28.8" outlineLevel="1" spans="1:10">
      <c r="A836" s="50">
        <v>694</v>
      </c>
      <c r="B836" s="51" t="str">
        <v>外墙EPS线条-线条130*240</v>
      </c>
      <c r="C836" s="51" t="e">
        <v>#REF!</v>
      </c>
      <c r="D836" s="51" t="str">
        <v/>
      </c>
      <c r="E836" s="51" t="str">
        <v/>
      </c>
      <c r="F836" s="52" t="e">
        <v>#REF!</v>
      </c>
      <c r="G836" s="48" t="e">
        <v>#REF!</v>
      </c>
      <c r="H836" s="49" t="e">
        <v>#REF!</v>
      </c>
      <c r="I836" s="49" t="e">
        <v>#REF!</v>
      </c>
      <c r="J836" s="50"/>
    </row>
    <row r="837" outlineLevel="1" spans="1:10">
      <c r="A837" s="50">
        <v>695</v>
      </c>
      <c r="B837" s="51" t="str">
        <v>外墙EPS线条-线条80*50</v>
      </c>
      <c r="C837" s="51" t="e">
        <v>#REF!</v>
      </c>
      <c r="D837" s="51" t="str">
        <v/>
      </c>
      <c r="E837" s="51" t="str">
        <v/>
      </c>
      <c r="F837" s="52" t="e">
        <v>#REF!</v>
      </c>
      <c r="G837" s="48" t="e">
        <v>#REF!</v>
      </c>
      <c r="H837" s="49" t="e">
        <v>#REF!</v>
      </c>
      <c r="I837" s="49" t="e">
        <v>#REF!</v>
      </c>
      <c r="J837" s="50"/>
    </row>
    <row r="838" outlineLevel="1" spans="1:10">
      <c r="A838" s="50">
        <v>696</v>
      </c>
      <c r="B838" s="51" t="str">
        <v>外墙EPS线条-线条60*50</v>
      </c>
      <c r="C838" s="51" t="e">
        <v>#REF!</v>
      </c>
      <c r="D838" s="51" t="str">
        <v/>
      </c>
      <c r="E838" s="51" t="str">
        <v/>
      </c>
      <c r="F838" s="52" t="e">
        <v>#REF!</v>
      </c>
      <c r="G838" s="48" t="e">
        <v>#REF!</v>
      </c>
      <c r="H838" s="49" t="e">
        <v>#REF!</v>
      </c>
      <c r="I838" s="49" t="e">
        <v>#REF!</v>
      </c>
      <c r="J838" s="50"/>
    </row>
    <row r="839" outlineLevel="1" spans="1:10">
      <c r="A839" s="50">
        <v>697</v>
      </c>
      <c r="B839" s="51" t="str">
        <v>外墙EPS线条-线条35*50</v>
      </c>
      <c r="C839" s="51" t="e">
        <v>#REF!</v>
      </c>
      <c r="D839" s="51" t="str">
        <v/>
      </c>
      <c r="E839" s="51" t="str">
        <v/>
      </c>
      <c r="F839" s="52" t="e">
        <v>#REF!</v>
      </c>
      <c r="G839" s="48" t="e">
        <v>#REF!</v>
      </c>
      <c r="H839" s="49" t="e">
        <v>#REF!</v>
      </c>
      <c r="I839" s="49" t="e">
        <v>#REF!</v>
      </c>
      <c r="J839" s="50"/>
    </row>
    <row r="840" ht="28.8" outlineLevel="1" spans="1:10">
      <c r="A840" s="50">
        <v>698</v>
      </c>
      <c r="B840" s="51" t="str">
        <v>外墙EPS线条-线条120*500</v>
      </c>
      <c r="C840" s="51" t="e">
        <v>#REF!</v>
      </c>
      <c r="D840" s="51" t="str">
        <v/>
      </c>
      <c r="E840" s="51" t="str">
        <v/>
      </c>
      <c r="F840" s="52" t="e">
        <v>#REF!</v>
      </c>
      <c r="G840" s="48" t="e">
        <v>#REF!</v>
      </c>
      <c r="H840" s="49" t="e">
        <v>#REF!</v>
      </c>
      <c r="I840" s="49" t="e">
        <v>#REF!</v>
      </c>
      <c r="J840" s="50"/>
    </row>
    <row r="841" ht="28.8" outlineLevel="1" spans="1:10">
      <c r="A841" s="50">
        <v>699</v>
      </c>
      <c r="B841" s="51" t="str">
        <v>外墙EPS线条-线条1082*140</v>
      </c>
      <c r="C841" s="51" t="e">
        <v>#REF!</v>
      </c>
      <c r="D841" s="51" t="str">
        <v/>
      </c>
      <c r="E841" s="51" t="str">
        <v/>
      </c>
      <c r="F841" s="52" t="e">
        <v>#REF!</v>
      </c>
      <c r="G841" s="48" t="e">
        <v>#REF!</v>
      </c>
      <c r="H841" s="49" t="e">
        <v>#REF!</v>
      </c>
      <c r="I841" s="49" t="e">
        <v>#REF!</v>
      </c>
      <c r="J841" s="50"/>
    </row>
    <row r="842" ht="28.8" outlineLevel="1" spans="1:10">
      <c r="A842" s="50">
        <v>700</v>
      </c>
      <c r="B842" s="51" t="str">
        <v>外墙EPS线条-不规则EPS线条410*100</v>
      </c>
      <c r="C842" s="51" t="e">
        <v>#REF!</v>
      </c>
      <c r="D842" s="51" t="str">
        <v/>
      </c>
      <c r="E842" s="51" t="str">
        <v/>
      </c>
      <c r="F842" s="52" t="e">
        <v>#REF!</v>
      </c>
      <c r="G842" s="48" t="e">
        <v>#REF!</v>
      </c>
      <c r="H842" s="49" t="e">
        <v>#REF!</v>
      </c>
      <c r="I842" s="49" t="e">
        <v>#REF!</v>
      </c>
      <c r="J842" s="50"/>
    </row>
    <row r="843" outlineLevel="1" spans="1:10">
      <c r="A843" s="50">
        <v>701</v>
      </c>
      <c r="B843" s="51" t="str">
        <v>外墙EPS线条-线条150*80</v>
      </c>
      <c r="C843" s="51" t="e">
        <v>#REF!</v>
      </c>
      <c r="D843" s="51" t="str">
        <v/>
      </c>
      <c r="E843" s="51" t="str">
        <v/>
      </c>
      <c r="F843" s="52" t="e">
        <v>#REF!</v>
      </c>
      <c r="G843" s="48" t="e">
        <v>#REF!</v>
      </c>
      <c r="H843" s="49" t="e">
        <v>#REF!</v>
      </c>
      <c r="I843" s="49" t="e">
        <v>#REF!</v>
      </c>
      <c r="J843" s="50"/>
    </row>
    <row r="844" ht="28.8" outlineLevel="1" spans="1:10">
      <c r="A844" s="50">
        <v>702</v>
      </c>
      <c r="B844" s="51" t="str">
        <v>外墙EPS线条-线条480*170</v>
      </c>
      <c r="C844" s="51" t="e">
        <v>#REF!</v>
      </c>
      <c r="D844" s="51" t="str">
        <v/>
      </c>
      <c r="E844" s="51" t="str">
        <v/>
      </c>
      <c r="F844" s="52" t="e">
        <v>#REF!</v>
      </c>
      <c r="G844" s="48" t="e">
        <v>#REF!</v>
      </c>
      <c r="H844" s="49" t="e">
        <v>#REF!</v>
      </c>
      <c r="I844" s="49" t="e">
        <v>#REF!</v>
      </c>
      <c r="J844" s="50"/>
    </row>
    <row r="845" ht="28.8" outlineLevel="1" spans="1:10">
      <c r="A845" s="50">
        <v>703</v>
      </c>
      <c r="B845" s="51" t="str">
        <v>外墙EPS线条-线条1840*150</v>
      </c>
      <c r="C845" s="51" t="e">
        <v>#REF!</v>
      </c>
      <c r="D845" s="51" t="str">
        <v/>
      </c>
      <c r="E845" s="51" t="str">
        <v/>
      </c>
      <c r="F845" s="52" t="e">
        <v>#REF!</v>
      </c>
      <c r="G845" s="48" t="e">
        <v>#REF!</v>
      </c>
      <c r="H845" s="49" t="e">
        <v>#REF!</v>
      </c>
      <c r="I845" s="49" t="e">
        <v>#REF!</v>
      </c>
      <c r="J845" s="50"/>
    </row>
    <row r="846" outlineLevel="1" spans="1:10">
      <c r="A846" s="50">
        <v>704</v>
      </c>
      <c r="B846" s="51" t="str">
        <v>外墙EPS线条-线条450*50</v>
      </c>
      <c r="C846" s="51" t="e">
        <v>#REF!</v>
      </c>
      <c r="D846" s="51" t="str">
        <v/>
      </c>
      <c r="E846" s="51" t="str">
        <v/>
      </c>
      <c r="F846" s="52" t="e">
        <v>#REF!</v>
      </c>
      <c r="G846" s="48" t="e">
        <v>#REF!</v>
      </c>
      <c r="H846" s="49" t="e">
        <v>#REF!</v>
      </c>
      <c r="I846" s="49" t="e">
        <v>#REF!</v>
      </c>
      <c r="J846" s="50"/>
    </row>
    <row r="847" ht="28.8" outlineLevel="1" spans="1:10">
      <c r="A847" s="50">
        <v>705</v>
      </c>
      <c r="B847" s="51" t="str">
        <v>外墙EPS线条-线条695*150</v>
      </c>
      <c r="C847" s="51" t="e">
        <v>#REF!</v>
      </c>
      <c r="D847" s="51" t="str">
        <v/>
      </c>
      <c r="E847" s="51" t="str">
        <v/>
      </c>
      <c r="F847" s="52" t="e">
        <v>#REF!</v>
      </c>
      <c r="G847" s="48" t="e">
        <v>#REF!</v>
      </c>
      <c r="H847" s="49" t="e">
        <v>#REF!</v>
      </c>
      <c r="I847" s="49" t="e">
        <v>#REF!</v>
      </c>
      <c r="J847" s="50"/>
    </row>
    <row r="848" outlineLevel="1" spans="1:10">
      <c r="A848" s="50">
        <v>706</v>
      </c>
      <c r="B848" s="51" t="str">
        <v>外墙EPS线条-线条70*50</v>
      </c>
      <c r="C848" s="51" t="e">
        <v>#REF!</v>
      </c>
      <c r="D848" s="51" t="str">
        <v/>
      </c>
      <c r="E848" s="51" t="str">
        <v/>
      </c>
      <c r="F848" s="52" t="e">
        <v>#REF!</v>
      </c>
      <c r="G848" s="48" t="e">
        <v>#REF!</v>
      </c>
      <c r="H848" s="49" t="e">
        <v>#REF!</v>
      </c>
      <c r="I848" s="49" t="e">
        <v>#REF!</v>
      </c>
      <c r="J848" s="50"/>
    </row>
    <row r="849" ht="28.8" outlineLevel="1" spans="1:10">
      <c r="A849" s="50">
        <v>707</v>
      </c>
      <c r="B849" s="51" t="str">
        <v>外墙EPS线条-线条300*100</v>
      </c>
      <c r="C849" s="51" t="e">
        <v>#REF!</v>
      </c>
      <c r="D849" s="51" t="str">
        <v/>
      </c>
      <c r="E849" s="51" t="str">
        <v/>
      </c>
      <c r="F849" s="52" t="e">
        <v>#REF!</v>
      </c>
      <c r="G849" s="48" t="e">
        <v>#REF!</v>
      </c>
      <c r="H849" s="49" t="e">
        <v>#REF!</v>
      </c>
      <c r="I849" s="49" t="e">
        <v>#REF!</v>
      </c>
      <c r="J849" s="50"/>
    </row>
    <row r="850" ht="28.8" outlineLevel="1" spans="1:10">
      <c r="A850" s="50">
        <v>708</v>
      </c>
      <c r="B850" s="51" t="str">
        <v>外墙EPS线条-线条200*100</v>
      </c>
      <c r="C850" s="51" t="e">
        <v>#REF!</v>
      </c>
      <c r="D850" s="51" t="str">
        <v/>
      </c>
      <c r="E850" s="51" t="str">
        <v/>
      </c>
      <c r="F850" s="52" t="e">
        <v>#REF!</v>
      </c>
      <c r="G850" s="48" t="e">
        <v>#REF!</v>
      </c>
      <c r="H850" s="49" t="e">
        <v>#REF!</v>
      </c>
      <c r="I850" s="49" t="e">
        <v>#REF!</v>
      </c>
      <c r="J850" s="50"/>
    </row>
    <row r="851" ht="43.2" outlineLevel="1" spans="1:10">
      <c r="A851" s="50">
        <v>709</v>
      </c>
      <c r="B851" s="51" t="str">
        <v>外墙EPS线条-不规则EPS线条1750*420（顶层挑檐下）</v>
      </c>
      <c r="C851" s="51" t="e">
        <v>#REF!</v>
      </c>
      <c r="D851" s="51" t="str">
        <v/>
      </c>
      <c r="E851" s="51" t="str">
        <v/>
      </c>
      <c r="F851" s="52" t="e">
        <v>#REF!</v>
      </c>
      <c r="G851" s="48" t="e">
        <v>#REF!</v>
      </c>
      <c r="H851" s="49" t="e">
        <v>#REF!</v>
      </c>
      <c r="I851" s="49" t="e">
        <v>#REF!</v>
      </c>
      <c r="J851" s="50"/>
    </row>
    <row r="852" ht="43.2" outlineLevel="1" spans="1:10">
      <c r="A852" s="50">
        <v>710</v>
      </c>
      <c r="B852" s="51" t="str">
        <v>外墙EPS线条-不规则EPS线条1250*300（顶层挑檐下）</v>
      </c>
      <c r="C852" s="51" t="e">
        <v>#REF!</v>
      </c>
      <c r="D852" s="51" t="str">
        <v/>
      </c>
      <c r="E852" s="51" t="str">
        <v/>
      </c>
      <c r="F852" s="52" t="e">
        <v>#REF!</v>
      </c>
      <c r="G852" s="48" t="e">
        <v>#REF!</v>
      </c>
      <c r="H852" s="49" t="e">
        <v>#REF!</v>
      </c>
      <c r="I852" s="49" t="e">
        <v>#REF!</v>
      </c>
      <c r="J852" s="50"/>
    </row>
    <row r="853" outlineLevel="1" spans="1:10">
      <c r="A853" s="50">
        <v>711</v>
      </c>
      <c r="B853" s="51" t="str">
        <v>外墙EPS线条-L型120*100</v>
      </c>
      <c r="C853" s="51" t="e">
        <v>#REF!</v>
      </c>
      <c r="D853" s="51" t="str">
        <v/>
      </c>
      <c r="E853" s="51" t="str">
        <v/>
      </c>
      <c r="F853" s="52" t="e">
        <v>#REF!</v>
      </c>
      <c r="G853" s="48" t="e">
        <v>#REF!</v>
      </c>
      <c r="H853" s="49" t="e">
        <v>#REF!</v>
      </c>
      <c r="I853" s="49" t="e">
        <v>#REF!</v>
      </c>
      <c r="J853" s="50"/>
    </row>
    <row r="854" outlineLevel="1" spans="1:10">
      <c r="A854" s="50">
        <v>712</v>
      </c>
      <c r="B854" s="51" t="str">
        <v>柱头1</v>
      </c>
      <c r="C854" s="51" t="e">
        <v>#REF!</v>
      </c>
      <c r="D854" s="51" t="str">
        <v/>
      </c>
      <c r="E854" s="51" t="str">
        <v/>
      </c>
      <c r="F854" s="52" t="e">
        <v>#REF!</v>
      </c>
      <c r="G854" s="48" t="e">
        <v>#REF!</v>
      </c>
      <c r="H854" s="49" t="e">
        <v>#REF!</v>
      </c>
      <c r="I854" s="49" t="e">
        <v>#REF!</v>
      </c>
      <c r="J854" s="50"/>
    </row>
    <row r="855" outlineLevel="1" spans="1:10">
      <c r="A855" s="50">
        <v>713</v>
      </c>
      <c r="B855" s="51" t="str">
        <v>柱头2</v>
      </c>
      <c r="C855" s="51" t="e">
        <v>#REF!</v>
      </c>
      <c r="D855" s="51" t="str">
        <v/>
      </c>
      <c r="E855" s="51" t="str">
        <v/>
      </c>
      <c r="F855" s="52" t="e">
        <v>#REF!</v>
      </c>
      <c r="G855" s="48" t="e">
        <v>#REF!</v>
      </c>
      <c r="H855" s="49" t="e">
        <v>#REF!</v>
      </c>
      <c r="I855" s="49" t="e">
        <v>#REF!</v>
      </c>
      <c r="J855" s="50"/>
    </row>
    <row r="856" outlineLevel="1" spans="1:10">
      <c r="A856" s="50">
        <v>714</v>
      </c>
      <c r="B856" s="51" t="str">
        <v>柱头3</v>
      </c>
      <c r="C856" s="51" t="e">
        <v>#REF!</v>
      </c>
      <c r="D856" s="51" t="str">
        <v/>
      </c>
      <c r="E856" s="51" t="str">
        <v/>
      </c>
      <c r="F856" s="52" t="e">
        <v>#REF!</v>
      </c>
      <c r="G856" s="48" t="e">
        <v>#REF!</v>
      </c>
      <c r="H856" s="49" t="e">
        <v>#REF!</v>
      </c>
      <c r="I856" s="49" t="e">
        <v>#REF!</v>
      </c>
      <c r="J856" s="50"/>
    </row>
    <row r="857" outlineLevel="1" spans="1:10">
      <c r="A857" s="50">
        <v>715</v>
      </c>
      <c r="B857" s="51" t="str">
        <v>方柱1</v>
      </c>
      <c r="C857" s="51" t="e">
        <v>#REF!</v>
      </c>
      <c r="D857" s="51" t="str">
        <v/>
      </c>
      <c r="E857" s="51" t="str">
        <v/>
      </c>
      <c r="F857" s="52" t="e">
        <v>#REF!</v>
      </c>
      <c r="G857" s="48" t="e">
        <v>#REF!</v>
      </c>
      <c r="H857" s="49" t="e">
        <v>#REF!</v>
      </c>
      <c r="I857" s="49" t="e">
        <v>#REF!</v>
      </c>
      <c r="J857" s="50"/>
    </row>
    <row r="858" outlineLevel="1" spans="1:10">
      <c r="A858" s="50">
        <v>716</v>
      </c>
      <c r="B858" s="51" t="str">
        <v>方柱2</v>
      </c>
      <c r="C858" s="51" t="e">
        <v>#REF!</v>
      </c>
      <c r="D858" s="51" t="str">
        <v/>
      </c>
      <c r="E858" s="51" t="str">
        <v/>
      </c>
      <c r="F858" s="52" t="e">
        <v>#REF!</v>
      </c>
      <c r="G858" s="48" t="e">
        <v>#REF!</v>
      </c>
      <c r="H858" s="49" t="e">
        <v>#REF!</v>
      </c>
      <c r="I858" s="49" t="e">
        <v>#REF!</v>
      </c>
      <c r="J858" s="50"/>
    </row>
    <row r="859" outlineLevel="1" spans="1:10">
      <c r="A859" s="50">
        <v>717</v>
      </c>
      <c r="B859" s="51" t="str">
        <v>方柱3</v>
      </c>
      <c r="C859" s="51" t="e">
        <v>#REF!</v>
      </c>
      <c r="D859" s="51" t="str">
        <v/>
      </c>
      <c r="E859" s="51" t="str">
        <v/>
      </c>
      <c r="F859" s="52" t="e">
        <v>#REF!</v>
      </c>
      <c r="G859" s="48" t="e">
        <v>#REF!</v>
      </c>
      <c r="H859" s="49" t="e">
        <v>#REF!</v>
      </c>
      <c r="I859" s="49" t="e">
        <v>#REF!</v>
      </c>
      <c r="J859" s="50"/>
    </row>
    <row r="860" outlineLevel="1" spans="1:10">
      <c r="A860" s="50">
        <v>718</v>
      </c>
      <c r="B860" s="51" t="str">
        <v>扶手墩1</v>
      </c>
      <c r="C860" s="51" t="e">
        <v>#REF!</v>
      </c>
      <c r="D860" s="51" t="str">
        <v/>
      </c>
      <c r="E860" s="51" t="str">
        <v/>
      </c>
      <c r="F860" s="52" t="e">
        <v>#REF!</v>
      </c>
      <c r="G860" s="48" t="e">
        <v>#REF!</v>
      </c>
      <c r="H860" s="49" t="e">
        <v>#REF!</v>
      </c>
      <c r="I860" s="49" t="e">
        <v>#REF!</v>
      </c>
      <c r="J860" s="50"/>
    </row>
    <row r="861" outlineLevel="1" spans="1:10">
      <c r="A861" s="50">
        <v>719</v>
      </c>
      <c r="B861" s="51" t="str">
        <v>顶部EPS装饰檐线</v>
      </c>
      <c r="C861" s="51" t="e">
        <v>#REF!</v>
      </c>
      <c r="D861" s="51" t="str">
        <v/>
      </c>
      <c r="E861" s="51" t="str">
        <v/>
      </c>
      <c r="F861" s="52" t="e">
        <v>#REF!</v>
      </c>
      <c r="G861" s="48" t="e">
        <v>#REF!</v>
      </c>
      <c r="H861" s="49" t="e">
        <v>#REF!</v>
      </c>
      <c r="I861" s="49" t="e">
        <v>#REF!</v>
      </c>
      <c r="J861" s="50"/>
    </row>
    <row r="862" outlineLevel="1" spans="1:10">
      <c r="A862" s="50">
        <v>720</v>
      </c>
      <c r="B862" s="51" t="str">
        <v>顶部EPS檐线内造型</v>
      </c>
      <c r="C862" s="51" t="e">
        <v>#REF!</v>
      </c>
      <c r="D862" s="51" t="str">
        <v/>
      </c>
      <c r="E862" s="51" t="str">
        <v/>
      </c>
      <c r="F862" s="52" t="e">
        <v>#REF!</v>
      </c>
      <c r="G862" s="48" t="e">
        <v>#REF!</v>
      </c>
      <c r="H862" s="49" t="e">
        <v>#REF!</v>
      </c>
      <c r="I862" s="49" t="e">
        <v>#REF!</v>
      </c>
      <c r="J862" s="50"/>
    </row>
    <row r="863" outlineLevel="1" spans="1:10">
      <c r="A863" s="50">
        <v>721</v>
      </c>
      <c r="B863" s="51" t="str">
        <v>柱身突出造型EPS439*480</v>
      </c>
      <c r="C863" s="51" t="e">
        <v>#REF!</v>
      </c>
      <c r="D863" s="51" t="str">
        <v/>
      </c>
      <c r="E863" s="51" t="str">
        <v/>
      </c>
      <c r="F863" s="52" t="e">
        <v>#REF!</v>
      </c>
      <c r="G863" s="48" t="e">
        <v>#REF!</v>
      </c>
      <c r="H863" s="49" t="e">
        <v>#REF!</v>
      </c>
      <c r="I863" s="49" t="e">
        <v>#REF!</v>
      </c>
      <c r="J863" s="50"/>
    </row>
    <row r="864" outlineLevel="1" spans="1:10">
      <c r="A864" s="50">
        <v>722</v>
      </c>
      <c r="B864" s="51" t="str">
        <v>上扶手线（含砼及埋件）</v>
      </c>
      <c r="C864" s="51" t="e">
        <v>#REF!</v>
      </c>
      <c r="D864" s="51" t="str">
        <v/>
      </c>
      <c r="E864" s="51" t="str">
        <v/>
      </c>
      <c r="F864" s="52" t="e">
        <v>#REF!</v>
      </c>
      <c r="G864" s="48" t="e">
        <v>#REF!</v>
      </c>
      <c r="H864" s="49" t="e">
        <v>#REF!</v>
      </c>
      <c r="I864" s="49" t="e">
        <v>#REF!</v>
      </c>
      <c r="J864" s="50"/>
    </row>
    <row r="865" outlineLevel="1" spans="1:10">
      <c r="A865" s="50">
        <v>723</v>
      </c>
      <c r="B865" s="51" t="str">
        <v>下扶手线</v>
      </c>
      <c r="C865" s="51" t="e">
        <v>#REF!</v>
      </c>
      <c r="D865" s="51" t="str">
        <v/>
      </c>
      <c r="E865" s="51" t="str">
        <v/>
      </c>
      <c r="F865" s="52" t="e">
        <v>#REF!</v>
      </c>
      <c r="G865" s="48" t="e">
        <v>#REF!</v>
      </c>
      <c r="H865" s="49" t="e">
        <v>#REF!</v>
      </c>
      <c r="I865" s="49" t="e">
        <v>#REF!</v>
      </c>
      <c r="J865" s="50"/>
    </row>
    <row r="866" ht="28.8" outlineLevel="1" spans="1:10">
      <c r="A866" s="50">
        <v>724</v>
      </c>
      <c r="B866" s="51" t="str">
        <v>车库出入口成品宝瓶栏杆柱</v>
      </c>
      <c r="C866" s="51" t="e">
        <v>#REF!</v>
      </c>
      <c r="D866" s="51" t="str">
        <v/>
      </c>
      <c r="E866" s="51" t="str">
        <v/>
      </c>
      <c r="F866" s="52" t="e">
        <v>#REF!</v>
      </c>
      <c r="G866" s="48" t="e">
        <v>#REF!</v>
      </c>
      <c r="H866" s="49" t="e">
        <v>#REF!</v>
      </c>
      <c r="I866" s="49" t="e">
        <v>#REF!</v>
      </c>
      <c r="J866" s="50"/>
    </row>
    <row r="867" outlineLevel="1" spans="1:10">
      <c r="A867" s="50" t="str">
        <v/>
      </c>
      <c r="B867" s="51" t="str">
        <v>A.06.03外墙饰面工程</v>
      </c>
      <c r="C867" s="51" t="str">
        <v/>
      </c>
      <c r="D867" s="51" t="str">
        <v/>
      </c>
      <c r="E867" s="51" t="str">
        <v/>
      </c>
      <c r="F867" s="52" t="str">
        <v/>
      </c>
      <c r="G867" s="48" t="str">
        <v/>
      </c>
      <c r="H867" s="49">
        <v>0</v>
      </c>
      <c r="I867" s="49" t="e">
        <v>#REF!</v>
      </c>
      <c r="J867" s="50"/>
    </row>
    <row r="868" outlineLevel="1" spans="1:10">
      <c r="A868" s="50" t="str">
        <v/>
      </c>
      <c r="B868" s="51" t="str">
        <v>外墙大面涂料</v>
      </c>
      <c r="C868" s="51" t="str">
        <v/>
      </c>
      <c r="D868" s="51" t="str">
        <v/>
      </c>
      <c r="E868" s="51" t="str">
        <v/>
      </c>
      <c r="F868" s="52" t="str">
        <v/>
      </c>
      <c r="G868" s="48" t="str">
        <v/>
      </c>
      <c r="H868" s="49">
        <v>0</v>
      </c>
      <c r="I868" s="49">
        <v>0</v>
      </c>
      <c r="J868" s="50"/>
    </row>
    <row r="869" outlineLevel="1" spans="1:10">
      <c r="A869" s="50">
        <v>725</v>
      </c>
      <c r="B869" s="51" t="str">
        <v>外墙涂料-米黄色水包水</v>
      </c>
      <c r="C869" s="51" t="e">
        <v>#REF!</v>
      </c>
      <c r="D869" s="51" t="str">
        <v/>
      </c>
      <c r="E869" s="51" t="str">
        <v/>
      </c>
      <c r="F869" s="52" t="e">
        <v>#REF!</v>
      </c>
      <c r="G869" s="48" t="e">
        <v>#REF!</v>
      </c>
      <c r="H869" s="49" t="e">
        <v>#REF!</v>
      </c>
      <c r="I869" s="49" t="e">
        <v>#REF!</v>
      </c>
      <c r="J869" s="50"/>
    </row>
    <row r="870" outlineLevel="1" spans="1:10">
      <c r="A870" s="50">
        <v>726</v>
      </c>
      <c r="B870" s="51" t="str">
        <v>外墙涂料-水包砂</v>
      </c>
      <c r="C870" s="51" t="e">
        <v>#REF!</v>
      </c>
      <c r="D870" s="51" t="str">
        <v/>
      </c>
      <c r="E870" s="51" t="str">
        <v/>
      </c>
      <c r="F870" s="52" t="e">
        <v>#REF!</v>
      </c>
      <c r="G870" s="48" t="e">
        <v>#REF!</v>
      </c>
      <c r="H870" s="49">
        <v>0</v>
      </c>
      <c r="I870" s="49" t="e">
        <v>#REF!</v>
      </c>
      <c r="J870" s="50"/>
    </row>
    <row r="871" ht="28.8" outlineLevel="1" spans="1:10">
      <c r="A871" s="50">
        <v>727</v>
      </c>
      <c r="B871" s="51" t="str">
        <v>外墙涂料-米黄色质感涂料</v>
      </c>
      <c r="C871" s="51" t="e">
        <v>#REF!</v>
      </c>
      <c r="D871" s="51" t="str">
        <v/>
      </c>
      <c r="E871" s="51" t="str">
        <v/>
      </c>
      <c r="F871" s="52" t="e">
        <v>#REF!</v>
      </c>
      <c r="G871" s="48" t="e">
        <v>#REF!</v>
      </c>
      <c r="H871" s="49">
        <v>1063.03363601453</v>
      </c>
      <c r="I871" s="49" t="e">
        <v>#REF!</v>
      </c>
      <c r="J871" s="50"/>
    </row>
    <row r="872" ht="28.8" outlineLevel="1" spans="1:10">
      <c r="A872" s="50">
        <v>728</v>
      </c>
      <c r="B872" s="51" t="str">
        <v>外墙涂料-深褐色质感涂料</v>
      </c>
      <c r="C872" s="51" t="e">
        <v>#REF!</v>
      </c>
      <c r="D872" s="51" t="str">
        <v/>
      </c>
      <c r="E872" s="51" t="str">
        <v/>
      </c>
      <c r="F872" s="52" t="e">
        <v>#REF!</v>
      </c>
      <c r="G872" s="48" t="e">
        <v>#REF!</v>
      </c>
      <c r="H872" s="49" t="e">
        <v>#REF!</v>
      </c>
      <c r="I872" s="49" t="e">
        <v>#REF!</v>
      </c>
      <c r="J872" s="50"/>
    </row>
    <row r="873" outlineLevel="1" spans="1:10">
      <c r="A873" s="50">
        <v>729</v>
      </c>
      <c r="B873" s="51" t="str">
        <v>外墙涂料-咖色质感涂料</v>
      </c>
      <c r="C873" s="51" t="e">
        <v>#REF!</v>
      </c>
      <c r="D873" s="51" t="str">
        <v/>
      </c>
      <c r="E873" s="51" t="str">
        <v/>
      </c>
      <c r="F873" s="52" t="e">
        <v>#REF!</v>
      </c>
      <c r="G873" s="48" t="e">
        <v>#REF!</v>
      </c>
      <c r="H873" s="49" t="e">
        <v>#REF!</v>
      </c>
      <c r="I873" s="49" t="e">
        <v>#REF!</v>
      </c>
      <c r="J873" s="50"/>
    </row>
    <row r="874" ht="28.8" outlineLevel="1" spans="1:10">
      <c r="A874" s="50">
        <v>730</v>
      </c>
      <c r="B874" s="51" t="str">
        <v>外墙涂料-仿葡萄牙米黄水包水</v>
      </c>
      <c r="C874" s="51" t="e">
        <v>#REF!</v>
      </c>
      <c r="D874" s="51" t="str">
        <v/>
      </c>
      <c r="E874" s="51" t="str">
        <v/>
      </c>
      <c r="F874" s="52" t="e">
        <v>#REF!</v>
      </c>
      <c r="G874" s="48" t="e">
        <v>#REF!</v>
      </c>
      <c r="H874" s="49" t="e">
        <v>#REF!</v>
      </c>
      <c r="I874" s="49" t="e">
        <v>#REF!</v>
      </c>
      <c r="J874" s="50"/>
    </row>
    <row r="875" outlineLevel="1" spans="1:10">
      <c r="A875" s="50">
        <v>731</v>
      </c>
      <c r="B875" s="51" t="str">
        <v>外墙涂料-古典棕水包水</v>
      </c>
      <c r="C875" s="51" t="e">
        <v>#REF!</v>
      </c>
      <c r="D875" s="51" t="str">
        <v/>
      </c>
      <c r="E875" s="51" t="str">
        <v/>
      </c>
      <c r="F875" s="52" t="e">
        <v>#REF!</v>
      </c>
      <c r="G875" s="48" t="e">
        <v>#REF!</v>
      </c>
      <c r="H875" s="49" t="e">
        <v>#REF!</v>
      </c>
      <c r="I875" s="49" t="e">
        <v>#REF!</v>
      </c>
      <c r="J875" s="50"/>
    </row>
    <row r="876" outlineLevel="1" spans="1:10">
      <c r="A876" s="50">
        <v>732</v>
      </c>
      <c r="B876" s="51" t="str">
        <v>外墙涂料-米黄色真石漆</v>
      </c>
      <c r="C876" s="51" t="e">
        <v>#REF!</v>
      </c>
      <c r="D876" s="51" t="str">
        <v/>
      </c>
      <c r="E876" s="51" t="str">
        <v/>
      </c>
      <c r="F876" s="52" t="e">
        <v>#REF!</v>
      </c>
      <c r="G876" s="48" t="e">
        <v>#REF!</v>
      </c>
      <c r="H876" s="49" t="e">
        <v>#REF!</v>
      </c>
      <c r="I876" s="49" t="e">
        <v>#REF!</v>
      </c>
      <c r="J876" s="50"/>
    </row>
    <row r="877" ht="28.8" outlineLevel="1" spans="1:10">
      <c r="A877" s="50">
        <v>733</v>
      </c>
      <c r="B877" s="51" t="str">
        <v>外墙涂料-仿葡萄牙米黄真石漆</v>
      </c>
      <c r="C877" s="51" t="e">
        <v>#REF!</v>
      </c>
      <c r="D877" s="51" t="str">
        <v/>
      </c>
      <c r="E877" s="51" t="str">
        <v/>
      </c>
      <c r="F877" s="52" t="e">
        <v>#REF!</v>
      </c>
      <c r="G877" s="48" t="e">
        <v>#REF!</v>
      </c>
      <c r="H877" s="49" t="e">
        <v>#REF!</v>
      </c>
      <c r="I877" s="49" t="e">
        <v>#REF!</v>
      </c>
      <c r="J877" s="50"/>
    </row>
    <row r="878" outlineLevel="1" spans="1:10">
      <c r="A878" s="50">
        <v>734</v>
      </c>
      <c r="B878" s="51" t="str">
        <v>外墙涂料-米白色真石漆</v>
      </c>
      <c r="C878" s="51" t="e">
        <v>#REF!</v>
      </c>
      <c r="D878" s="51" t="str">
        <v/>
      </c>
      <c r="E878" s="51" t="str">
        <v/>
      </c>
      <c r="F878" s="52" t="e">
        <v>#REF!</v>
      </c>
      <c r="G878" s="48" t="e">
        <v>#REF!</v>
      </c>
      <c r="H878" s="49" t="e">
        <v>#REF!</v>
      </c>
      <c r="I878" s="49" t="e">
        <v>#REF!</v>
      </c>
      <c r="J878" s="50"/>
    </row>
    <row r="879" outlineLevel="1" spans="1:10">
      <c r="A879" s="50">
        <v>735</v>
      </c>
      <c r="B879" s="51" t="str">
        <v>外墙涂料-深咖色真石漆</v>
      </c>
      <c r="C879" s="51" t="e">
        <v>#REF!</v>
      </c>
      <c r="D879" s="51" t="str">
        <v/>
      </c>
      <c r="E879" s="51" t="str">
        <v/>
      </c>
      <c r="F879" s="52" t="e">
        <v>#REF!</v>
      </c>
      <c r="G879" s="48" t="e">
        <v>#REF!</v>
      </c>
      <c r="H879" s="49" t="e">
        <v>#REF!</v>
      </c>
      <c r="I879" s="49" t="e">
        <v>#REF!</v>
      </c>
      <c r="J879" s="50"/>
    </row>
    <row r="880" outlineLevel="1" spans="1:10">
      <c r="A880" s="50">
        <v>736</v>
      </c>
      <c r="B880" s="51" t="str">
        <v>外墙涂料-弹涂</v>
      </c>
      <c r="C880" s="51" t="e">
        <v>#REF!</v>
      </c>
      <c r="D880" s="51" t="str">
        <v/>
      </c>
      <c r="E880" s="51" t="str">
        <v/>
      </c>
      <c r="F880" s="52" t="e">
        <v>#REF!</v>
      </c>
      <c r="G880" s="48" t="e">
        <v>#REF!</v>
      </c>
      <c r="H880" s="49">
        <v>0</v>
      </c>
      <c r="I880" s="49" t="e">
        <v>#REF!</v>
      </c>
      <c r="J880" s="50"/>
    </row>
    <row r="881" outlineLevel="1" spans="1:10">
      <c r="A881" s="50">
        <v>737</v>
      </c>
      <c r="B881" s="51" t="str">
        <v>外墙涂料</v>
      </c>
      <c r="C881" s="51" t="e">
        <v>#REF!</v>
      </c>
      <c r="D881" s="51" t="str">
        <v/>
      </c>
      <c r="E881" s="51" t="str">
        <v/>
      </c>
      <c r="F881" s="52" t="e">
        <v>#REF!</v>
      </c>
      <c r="G881" s="48" t="e">
        <v>#REF!</v>
      </c>
      <c r="H881" s="49">
        <v>0</v>
      </c>
      <c r="I881" s="49" t="e">
        <v>#REF!</v>
      </c>
      <c r="J881" s="50"/>
    </row>
    <row r="882" outlineLevel="1" spans="1:10">
      <c r="A882" s="50">
        <v>738</v>
      </c>
      <c r="B882" s="51" t="str">
        <v>外墙涂料-管线涂料</v>
      </c>
      <c r="C882" s="51" t="e">
        <v>#REF!</v>
      </c>
      <c r="D882" s="51" t="str">
        <v/>
      </c>
      <c r="E882" s="51" t="str">
        <v/>
      </c>
      <c r="F882" s="52" t="e">
        <v>#REF!</v>
      </c>
      <c r="G882" s="48" t="e">
        <v>#REF!</v>
      </c>
      <c r="H882" s="49" t="e">
        <v>#REF!</v>
      </c>
      <c r="I882" s="49" t="e">
        <v>#REF!</v>
      </c>
      <c r="J882" s="50"/>
    </row>
    <row r="883" outlineLevel="1" spans="1:10">
      <c r="A883" s="50" t="str">
        <v/>
      </c>
      <c r="B883" s="51" t="str">
        <v>外墙外挑构件涂料</v>
      </c>
      <c r="C883" s="51" t="str">
        <v/>
      </c>
      <c r="D883" s="51" t="str">
        <v/>
      </c>
      <c r="E883" s="51" t="str">
        <v/>
      </c>
      <c r="F883" s="52" t="str">
        <v/>
      </c>
      <c r="G883" s="48" t="str">
        <v/>
      </c>
      <c r="H883" s="49">
        <v>0</v>
      </c>
      <c r="I883" s="49">
        <v>0</v>
      </c>
      <c r="J883" s="50"/>
    </row>
    <row r="884" ht="28.8" outlineLevel="1" spans="1:10">
      <c r="A884" s="50">
        <v>739</v>
      </c>
      <c r="B884" s="51" t="str">
        <v>外墙外挑涂料-米黄色水包水</v>
      </c>
      <c r="C884" s="51" t="e">
        <v>#REF!</v>
      </c>
      <c r="D884" s="51" t="str">
        <v/>
      </c>
      <c r="E884" s="51" t="str">
        <v/>
      </c>
      <c r="F884" s="52" t="e">
        <v>#REF!</v>
      </c>
      <c r="G884" s="48" t="e">
        <v>#REF!</v>
      </c>
      <c r="H884" s="49" t="e">
        <v>#REF!</v>
      </c>
      <c r="I884" s="49" t="e">
        <v>#REF!</v>
      </c>
      <c r="J884" s="50"/>
    </row>
    <row r="885" ht="28.8" outlineLevel="1" spans="1:10">
      <c r="A885" s="50">
        <v>740</v>
      </c>
      <c r="B885" s="51" t="str">
        <v>外墙外挑涂料-米黄色质感涂料</v>
      </c>
      <c r="C885" s="51" t="e">
        <v>#REF!</v>
      </c>
      <c r="D885" s="51" t="str">
        <v/>
      </c>
      <c r="E885" s="51" t="str">
        <v/>
      </c>
      <c r="F885" s="52" t="e">
        <v>#REF!</v>
      </c>
      <c r="G885" s="48" t="e">
        <v>#REF!</v>
      </c>
      <c r="H885" s="49" t="e">
        <v>#REF!</v>
      </c>
      <c r="I885" s="49" t="e">
        <v>#REF!</v>
      </c>
      <c r="J885" s="50"/>
    </row>
    <row r="886" ht="28.8" outlineLevel="1" spans="1:10">
      <c r="A886" s="50">
        <v>741</v>
      </c>
      <c r="B886" s="51" t="str">
        <v>外墙外挑涂料-深褐色质感涂料</v>
      </c>
      <c r="C886" s="51" t="e">
        <v>#REF!</v>
      </c>
      <c r="D886" s="51" t="str">
        <v/>
      </c>
      <c r="E886" s="51" t="str">
        <v/>
      </c>
      <c r="F886" s="52" t="e">
        <v>#REF!</v>
      </c>
      <c r="G886" s="48" t="e">
        <v>#REF!</v>
      </c>
      <c r="H886" s="49" t="e">
        <v>#REF!</v>
      </c>
      <c r="I886" s="49" t="e">
        <v>#REF!</v>
      </c>
      <c r="J886" s="50"/>
    </row>
    <row r="887" outlineLevel="1" spans="1:10">
      <c r="A887" s="50">
        <v>742</v>
      </c>
      <c r="B887" s="51" t="str">
        <v>外墙涂料-空调仓</v>
      </c>
      <c r="C887" s="51" t="e">
        <v>#REF!</v>
      </c>
      <c r="D887" s="51" t="str">
        <v/>
      </c>
      <c r="E887" s="51" t="str">
        <v/>
      </c>
      <c r="F887" s="52" t="e">
        <v>#REF!</v>
      </c>
      <c r="G887" s="48" t="e">
        <v>#REF!</v>
      </c>
      <c r="H887" s="49" t="e">
        <v>#REF!</v>
      </c>
      <c r="I887" s="49" t="e">
        <v>#REF!</v>
      </c>
      <c r="J887" s="50"/>
    </row>
    <row r="888" outlineLevel="1" spans="1:10">
      <c r="A888" s="50">
        <v>743</v>
      </c>
      <c r="B888" s="51" t="str">
        <v>外墙防水-空调仓</v>
      </c>
      <c r="C888" s="51" t="e">
        <v>#REF!</v>
      </c>
      <c r="D888" s="51" t="str">
        <v/>
      </c>
      <c r="E888" s="51" t="str">
        <v/>
      </c>
      <c r="F888" s="52" t="e">
        <v>#REF!</v>
      </c>
      <c r="G888" s="48" t="e">
        <v>#REF!</v>
      </c>
      <c r="H888" s="49" t="e">
        <v>#REF!</v>
      </c>
      <c r="I888" s="49" t="e">
        <v>#REF!</v>
      </c>
      <c r="J888" s="50"/>
    </row>
    <row r="889" outlineLevel="1" spans="1:10">
      <c r="A889" s="50">
        <v>744</v>
      </c>
      <c r="B889" s="51" t="str">
        <v>外墙面-空调仓保护层</v>
      </c>
      <c r="C889" s="51" t="e">
        <v>#REF!</v>
      </c>
      <c r="D889" s="51" t="str">
        <v/>
      </c>
      <c r="E889" s="51" t="str">
        <v/>
      </c>
      <c r="F889" s="52" t="e">
        <v>#REF!</v>
      </c>
      <c r="G889" s="48" t="e">
        <v>#REF!</v>
      </c>
      <c r="H889" s="49" t="e">
        <v>#REF!</v>
      </c>
      <c r="I889" s="49" t="e">
        <v>#REF!</v>
      </c>
      <c r="J889" s="50"/>
    </row>
    <row r="890" outlineLevel="1" spans="1:10">
      <c r="A890" s="50">
        <v>745</v>
      </c>
      <c r="B890" s="51" t="str">
        <v>外墙面-空调板防水</v>
      </c>
      <c r="C890" s="51" t="e">
        <v>#REF!</v>
      </c>
      <c r="D890" s="51" t="str">
        <v/>
      </c>
      <c r="E890" s="51" t="str">
        <v/>
      </c>
      <c r="F890" s="52" t="e">
        <v>#REF!</v>
      </c>
      <c r="G890" s="48" t="e">
        <v>#REF!</v>
      </c>
      <c r="H890" s="49" t="e">
        <v>#REF!</v>
      </c>
      <c r="I890" s="49" t="e">
        <v>#REF!</v>
      </c>
      <c r="J890" s="50"/>
    </row>
    <row r="891" ht="28.8" outlineLevel="1" spans="1:10">
      <c r="A891" s="50">
        <v>746</v>
      </c>
      <c r="B891" s="51" t="str">
        <v>外墙面-15厚聚合物M15水泥（防水）砂浆</v>
      </c>
      <c r="C891" s="51" t="e">
        <v>#REF!</v>
      </c>
      <c r="D891" s="51" t="str">
        <v/>
      </c>
      <c r="E891" s="51" t="str">
        <v/>
      </c>
      <c r="F891" s="52" t="e">
        <v>#REF!</v>
      </c>
      <c r="G891" s="48" t="e">
        <v>#REF!</v>
      </c>
      <c r="H891" s="49" t="e">
        <v>#REF!</v>
      </c>
      <c r="I891" s="49" t="e">
        <v>#REF!</v>
      </c>
      <c r="J891" s="50"/>
    </row>
    <row r="892" ht="28.8" outlineLevel="1" spans="1:10">
      <c r="A892" s="50" t="str">
        <v/>
      </c>
      <c r="B892" s="51" t="str">
        <v>外墙保温与普通砂浆找平层</v>
      </c>
      <c r="C892" s="51" t="str">
        <v/>
      </c>
      <c r="D892" s="51" t="str">
        <v/>
      </c>
      <c r="E892" s="51" t="str">
        <v/>
      </c>
      <c r="F892" s="52" t="str">
        <v/>
      </c>
      <c r="G892" s="48" t="str">
        <v/>
      </c>
      <c r="H892" s="49">
        <v>0</v>
      </c>
      <c r="I892" s="49">
        <v>0</v>
      </c>
      <c r="J892" s="50"/>
    </row>
    <row r="893" outlineLevel="1" spans="1:10">
      <c r="A893" s="50">
        <v>747</v>
      </c>
      <c r="B893" s="51" t="str">
        <v>外墙面-界面剂</v>
      </c>
      <c r="C893" s="51" t="e">
        <v>#REF!</v>
      </c>
      <c r="D893" s="51" t="str">
        <v/>
      </c>
      <c r="E893" s="51" t="str">
        <v/>
      </c>
      <c r="F893" s="52" t="e">
        <v>#REF!</v>
      </c>
      <c r="G893" s="48" t="e">
        <v>#REF!</v>
      </c>
      <c r="H893" s="49" t="e">
        <v>#REF!</v>
      </c>
      <c r="I893" s="49" t="e">
        <v>#REF!</v>
      </c>
      <c r="J893" s="50"/>
    </row>
    <row r="894" outlineLevel="1" spans="1:10">
      <c r="A894" s="50">
        <v>748</v>
      </c>
      <c r="B894" s="51" t="str">
        <v>外墙面-12厚轻质砂浆</v>
      </c>
      <c r="C894" s="51" t="e">
        <v>#REF!</v>
      </c>
      <c r="D894" s="51" t="str">
        <v/>
      </c>
      <c r="E894" s="51" t="str">
        <v/>
      </c>
      <c r="F894" s="52" t="e">
        <v>#REF!</v>
      </c>
      <c r="G894" s="48" t="e">
        <v>#REF!</v>
      </c>
      <c r="H894" s="49" t="e">
        <v>#REF!</v>
      </c>
      <c r="I894" s="49" t="e">
        <v>#REF!</v>
      </c>
      <c r="J894" s="50"/>
    </row>
    <row r="895" outlineLevel="1" spans="1:10">
      <c r="A895" s="50">
        <v>749</v>
      </c>
      <c r="B895" s="51" t="str">
        <v>外墙面-15厚轻质砂浆</v>
      </c>
      <c r="C895" s="51" t="e">
        <v>#REF!</v>
      </c>
      <c r="D895" s="51" t="str">
        <v/>
      </c>
      <c r="E895" s="51" t="str">
        <v/>
      </c>
      <c r="F895" s="52" t="e">
        <v>#REF!</v>
      </c>
      <c r="G895" s="48" t="e">
        <v>#REF!</v>
      </c>
      <c r="H895" s="49">
        <v>0</v>
      </c>
      <c r="I895" s="49" t="e">
        <v>#REF!</v>
      </c>
      <c r="J895" s="50"/>
    </row>
    <row r="896" ht="28.8" outlineLevel="1" spans="1:10">
      <c r="A896" s="50">
        <v>750</v>
      </c>
      <c r="B896" s="51" t="str">
        <v>外墙保温-20厚有机保温砂浆</v>
      </c>
      <c r="C896" s="51" t="e">
        <v>#REF!</v>
      </c>
      <c r="D896" s="51" t="str">
        <v/>
      </c>
      <c r="E896" s="51" t="str">
        <v/>
      </c>
      <c r="F896" s="52" t="e">
        <v>#REF!</v>
      </c>
      <c r="G896" s="48" t="e">
        <v>#REF!</v>
      </c>
      <c r="H896" s="49" t="e">
        <v>#REF!</v>
      </c>
      <c r="I896" s="49" t="e">
        <v>#REF!</v>
      </c>
      <c r="J896" s="50"/>
    </row>
    <row r="897" outlineLevel="1" spans="1:10">
      <c r="A897" s="50">
        <v>751</v>
      </c>
      <c r="B897" s="51" t="str">
        <v>外墙面-3厚抗裂砂浆</v>
      </c>
      <c r="C897" s="51" t="e">
        <v>#REF!</v>
      </c>
      <c r="D897" s="51" t="str">
        <v/>
      </c>
      <c r="E897" s="51" t="str">
        <v/>
      </c>
      <c r="F897" s="52" t="e">
        <v>#REF!</v>
      </c>
      <c r="G897" s="48" t="e">
        <v>#REF!</v>
      </c>
      <c r="H897" s="49" t="e">
        <v>#REF!</v>
      </c>
      <c r="I897" s="49" t="e">
        <v>#REF!</v>
      </c>
      <c r="J897" s="50"/>
    </row>
    <row r="898" outlineLevel="1" spans="1:10">
      <c r="A898" s="50">
        <v>752</v>
      </c>
      <c r="B898" s="51" t="str">
        <v>外墙面-网格布</v>
      </c>
      <c r="C898" s="51" t="e">
        <v>#REF!</v>
      </c>
      <c r="D898" s="51" t="str">
        <v/>
      </c>
      <c r="E898" s="51" t="str">
        <v/>
      </c>
      <c r="F898" s="52" t="e">
        <v>#REF!</v>
      </c>
      <c r="G898" s="48" t="e">
        <v>#REF!</v>
      </c>
      <c r="H898" s="49" t="e">
        <v>#REF!</v>
      </c>
      <c r="I898" s="49" t="e">
        <v>#REF!</v>
      </c>
      <c r="J898" s="50"/>
    </row>
    <row r="899" outlineLevel="1" spans="1:10">
      <c r="A899" s="50">
        <v>753</v>
      </c>
      <c r="B899" s="51" t="str">
        <v>外墙面-12厚M5水泥砂浆</v>
      </c>
      <c r="C899" s="51" t="e">
        <v>#REF!</v>
      </c>
      <c r="D899" s="51" t="str">
        <v/>
      </c>
      <c r="E899" s="51" t="str">
        <v/>
      </c>
      <c r="F899" s="52" t="e">
        <v>#REF!</v>
      </c>
      <c r="G899" s="48" t="e">
        <v>#REF!</v>
      </c>
      <c r="H899" s="49" t="e">
        <v>#REF!</v>
      </c>
      <c r="I899" s="49" t="e">
        <v>#REF!</v>
      </c>
      <c r="J899" s="50"/>
    </row>
    <row r="900" outlineLevel="1" spans="1:10">
      <c r="A900" s="50">
        <v>754</v>
      </c>
      <c r="B900" s="51" t="str">
        <v>外墙面-13厚M5水泥砂浆</v>
      </c>
      <c r="C900" s="51" t="e">
        <v>#REF!</v>
      </c>
      <c r="D900" s="51" t="str">
        <v/>
      </c>
      <c r="E900" s="51" t="str">
        <v/>
      </c>
      <c r="F900" s="52" t="e">
        <v>#REF!</v>
      </c>
      <c r="G900" s="48" t="e">
        <v>#REF!</v>
      </c>
      <c r="H900" s="49" t="e">
        <v>#REF!</v>
      </c>
      <c r="I900" s="49" t="e">
        <v>#REF!</v>
      </c>
      <c r="J900" s="50"/>
    </row>
    <row r="901" spans="1:10">
      <c r="A901" s="40"/>
      <c r="B901" s="41" t="s">
        <v>2356</v>
      </c>
      <c r="C901" s="41"/>
      <c r="D901" s="41"/>
      <c r="E901" s="41"/>
      <c r="F901" s="42"/>
      <c r="G901" s="43"/>
      <c r="H901" s="44"/>
      <c r="I901" s="44"/>
      <c r="J901" s="40"/>
    </row>
    <row r="902" outlineLevel="1" spans="1:10">
      <c r="A902" s="50" t="str">
        <f ca="1" t="array" ref="A902:G1798">IF(INDIRECT(K2&amp;"!A4:G900")=0,"",INDIRECT(K2&amp;"!A4:G900"))</f>
        <v/>
      </c>
      <c r="B902" s="51" t="str">
        <v>地下给排水</v>
      </c>
      <c r="C902" s="51" t="str">
        <v/>
      </c>
      <c r="D902" s="51" t="str">
        <v/>
      </c>
      <c r="E902" s="51" t="str">
        <v/>
      </c>
      <c r="F902" s="52" t="str">
        <v/>
      </c>
      <c r="G902" s="48" t="str">
        <v/>
      </c>
      <c r="H902" s="49">
        <f ca="1" t="array" ref="H902:H1798">INDIRECT(K2&amp;"!L4:L900")</f>
        <v>0</v>
      </c>
      <c r="I902" s="49" t="e">
        <f ca="1" t="array" ref="I902:I1798">INDIRECT(K2&amp;"!V4:V900")</f>
        <v>#REF!</v>
      </c>
      <c r="J902" s="50"/>
    </row>
    <row r="903" outlineLevel="1" spans="1:10">
      <c r="A903" s="50" t="str">
        <v/>
      </c>
      <c r="B903" s="51" t="str">
        <v>B.01地下给水</v>
      </c>
      <c r="C903" s="51" t="str">
        <v/>
      </c>
      <c r="D903" s="51" t="str">
        <v/>
      </c>
      <c r="E903" s="51" t="str">
        <v/>
      </c>
      <c r="F903" s="52" t="str">
        <v/>
      </c>
      <c r="G903" s="48" t="str">
        <v/>
      </c>
      <c r="H903" s="49">
        <v>0</v>
      </c>
      <c r="I903" s="49" t="e">
        <v>#REF!</v>
      </c>
      <c r="J903" s="50"/>
    </row>
    <row r="904" outlineLevel="1" spans="1:10">
      <c r="A904" s="50" t="str">
        <v/>
      </c>
      <c r="B904" s="51" t="str">
        <v>B.01.1阀部件</v>
      </c>
      <c r="C904" s="51" t="str">
        <v/>
      </c>
      <c r="D904" s="51" t="str">
        <v/>
      </c>
      <c r="E904" s="51" t="str">
        <v/>
      </c>
      <c r="F904" s="52" t="str">
        <v/>
      </c>
      <c r="G904" s="48" t="str">
        <v/>
      </c>
      <c r="H904" s="49">
        <v>0</v>
      </c>
      <c r="I904" s="49" t="e">
        <v>#REF!</v>
      </c>
      <c r="J904" s="50"/>
    </row>
    <row r="905" ht="28.8" outlineLevel="1" spans="1:10">
      <c r="A905" s="50">
        <v>1</v>
      </c>
      <c r="B905" s="51" t="str">
        <v>螺纹阀门-自动放气阀-DN15</v>
      </c>
      <c r="C905" s="51" t="e">
        <v>#REF!</v>
      </c>
      <c r="D905" s="51" t="str">
        <v/>
      </c>
      <c r="E905" s="51" t="str">
        <v/>
      </c>
      <c r="F905" s="52" t="e">
        <v>#REF!</v>
      </c>
      <c r="G905" s="48" t="e">
        <v>#REF!</v>
      </c>
      <c r="H905" s="49">
        <v>0</v>
      </c>
      <c r="I905" s="49" t="e">
        <v>#REF!</v>
      </c>
      <c r="J905" s="50"/>
    </row>
    <row r="906" outlineLevel="1" spans="1:10">
      <c r="A906" s="50">
        <v>2</v>
      </c>
      <c r="B906" s="51" t="str">
        <v>螺纹阀门-截止阀-DN15</v>
      </c>
      <c r="C906" s="51" t="e">
        <v>#REF!</v>
      </c>
      <c r="D906" s="51" t="str">
        <v/>
      </c>
      <c r="E906" s="51" t="str">
        <v/>
      </c>
      <c r="F906" s="52" t="e">
        <v>#REF!</v>
      </c>
      <c r="G906" s="48" t="e">
        <v>#REF!</v>
      </c>
      <c r="H906" s="49">
        <v>0</v>
      </c>
      <c r="I906" s="49" t="e">
        <v>#REF!</v>
      </c>
      <c r="J906" s="50"/>
    </row>
    <row r="907" outlineLevel="1" spans="1:10">
      <c r="A907" s="50">
        <v>3</v>
      </c>
      <c r="B907" s="51" t="str">
        <v>螺纹阀门-截止阀-DN25</v>
      </c>
      <c r="C907" s="51" t="e">
        <v>#REF!</v>
      </c>
      <c r="D907" s="51" t="str">
        <v/>
      </c>
      <c r="E907" s="51" t="str">
        <v/>
      </c>
      <c r="F907" s="52" t="e">
        <v>#REF!</v>
      </c>
      <c r="G907" s="48" t="e">
        <v>#REF!</v>
      </c>
      <c r="H907" s="49">
        <v>0</v>
      </c>
      <c r="I907" s="49" t="e">
        <v>#REF!</v>
      </c>
      <c r="J907" s="50"/>
    </row>
    <row r="908" outlineLevel="1" spans="1:10">
      <c r="A908" s="50">
        <v>4</v>
      </c>
      <c r="B908" s="51" t="str">
        <v>螺纹阀门-截止阀-DN32</v>
      </c>
      <c r="C908" s="51" t="e">
        <v>#REF!</v>
      </c>
      <c r="D908" s="51" t="str">
        <v/>
      </c>
      <c r="E908" s="51" t="str">
        <v/>
      </c>
      <c r="F908" s="52" t="e">
        <v>#REF!</v>
      </c>
      <c r="G908" s="48" t="e">
        <v>#REF!</v>
      </c>
      <c r="H908" s="49">
        <v>0</v>
      </c>
      <c r="I908" s="49" t="e">
        <v>#REF!</v>
      </c>
      <c r="J908" s="50"/>
    </row>
    <row r="909" outlineLevel="1" spans="1:10">
      <c r="A909" s="50">
        <v>5</v>
      </c>
      <c r="B909" s="51" t="str">
        <v>螺纹阀门-截止阀-De20</v>
      </c>
      <c r="C909" s="51" t="e">
        <v>#REF!</v>
      </c>
      <c r="D909" s="51" t="str">
        <v/>
      </c>
      <c r="E909" s="51" t="str">
        <v/>
      </c>
      <c r="F909" s="52" t="e">
        <v>#REF!</v>
      </c>
      <c r="G909" s="48" t="e">
        <v>#REF!</v>
      </c>
      <c r="H909" s="49">
        <v>1</v>
      </c>
      <c r="I909" s="49" t="e">
        <v>#REF!</v>
      </c>
      <c r="J909" s="50"/>
    </row>
    <row r="910" outlineLevel="1" spans="1:10">
      <c r="A910" s="50">
        <v>6</v>
      </c>
      <c r="B910" s="51" t="str">
        <v>螺纹阀门-截止阀-De25</v>
      </c>
      <c r="C910" s="51" t="e">
        <v>#REF!</v>
      </c>
      <c r="D910" s="51" t="str">
        <v/>
      </c>
      <c r="E910" s="51" t="str">
        <v/>
      </c>
      <c r="F910" s="52" t="e">
        <v>#REF!</v>
      </c>
      <c r="G910" s="48" t="e">
        <v>#REF!</v>
      </c>
      <c r="H910" s="49">
        <v>0</v>
      </c>
      <c r="I910" s="49" t="e">
        <v>#REF!</v>
      </c>
      <c r="J910" s="50"/>
    </row>
    <row r="911" outlineLevel="1" spans="1:10">
      <c r="A911" s="50">
        <v>7</v>
      </c>
      <c r="B911" s="51" t="str">
        <v>螺纹阀门-截止阀-De32</v>
      </c>
      <c r="C911" s="51" t="e">
        <v>#REF!</v>
      </c>
      <c r="D911" s="51" t="str">
        <v/>
      </c>
      <c r="E911" s="51" t="str">
        <v/>
      </c>
      <c r="F911" s="52" t="e">
        <v>#REF!</v>
      </c>
      <c r="G911" s="48" t="e">
        <v>#REF!</v>
      </c>
      <c r="H911" s="49">
        <v>0</v>
      </c>
      <c r="I911" s="49" t="e">
        <v>#REF!</v>
      </c>
      <c r="J911" s="50"/>
    </row>
    <row r="912" outlineLevel="1" spans="1:10">
      <c r="A912" s="50">
        <v>8</v>
      </c>
      <c r="B912" s="51" t="str">
        <v>螺纹阀门-截止阀-De40</v>
      </c>
      <c r="C912" s="51" t="e">
        <v>#REF!</v>
      </c>
      <c r="D912" s="51" t="str">
        <v/>
      </c>
      <c r="E912" s="51" t="str">
        <v/>
      </c>
      <c r="F912" s="52" t="e">
        <v>#REF!</v>
      </c>
      <c r="G912" s="48" t="e">
        <v>#REF!</v>
      </c>
      <c r="H912" s="49">
        <v>0</v>
      </c>
      <c r="I912" s="49" t="e">
        <v>#REF!</v>
      </c>
      <c r="J912" s="50"/>
    </row>
    <row r="913" outlineLevel="1" spans="1:10">
      <c r="A913" s="50">
        <v>9</v>
      </c>
      <c r="B913" s="51" t="str">
        <v>螺纹阀门-截止阀-De50</v>
      </c>
      <c r="C913" s="51" t="e">
        <v>#REF!</v>
      </c>
      <c r="D913" s="51" t="str">
        <v/>
      </c>
      <c r="E913" s="51" t="str">
        <v/>
      </c>
      <c r="F913" s="52" t="e">
        <v>#REF!</v>
      </c>
      <c r="G913" s="48" t="e">
        <v>#REF!</v>
      </c>
      <c r="H913" s="49">
        <v>0</v>
      </c>
      <c r="I913" s="49" t="e">
        <v>#REF!</v>
      </c>
      <c r="J913" s="50"/>
    </row>
    <row r="914" outlineLevel="1" spans="1:10">
      <c r="A914" s="50">
        <v>10</v>
      </c>
      <c r="B914" s="51" t="str">
        <v>螺纹阀门-截止阀-De63</v>
      </c>
      <c r="C914" s="51" t="e">
        <v>#REF!</v>
      </c>
      <c r="D914" s="51" t="str">
        <v/>
      </c>
      <c r="E914" s="51" t="str">
        <v/>
      </c>
      <c r="F914" s="52" t="e">
        <v>#REF!</v>
      </c>
      <c r="G914" s="48" t="e">
        <v>#REF!</v>
      </c>
      <c r="H914" s="49">
        <v>0</v>
      </c>
      <c r="I914" s="49" t="e">
        <v>#REF!</v>
      </c>
      <c r="J914" s="50"/>
    </row>
    <row r="915" outlineLevel="1" spans="1:10">
      <c r="A915" s="50">
        <v>11</v>
      </c>
      <c r="B915" s="51" t="str">
        <v>螺纹阀门-止回阀-DN32</v>
      </c>
      <c r="C915" s="51" t="e">
        <v>#REF!</v>
      </c>
      <c r="D915" s="51" t="str">
        <v/>
      </c>
      <c r="E915" s="51" t="str">
        <v/>
      </c>
      <c r="F915" s="52" t="e">
        <v>#REF!</v>
      </c>
      <c r="G915" s="48" t="e">
        <v>#REF!</v>
      </c>
      <c r="H915" s="49">
        <v>0</v>
      </c>
      <c r="I915" s="49" t="e">
        <v>#REF!</v>
      </c>
      <c r="J915" s="50"/>
    </row>
    <row r="916" outlineLevel="1" spans="1:10">
      <c r="A916" s="50">
        <v>12</v>
      </c>
      <c r="B916" s="51" t="str">
        <v>螺纹阀门-闸阀-DN25</v>
      </c>
      <c r="C916" s="51" t="e">
        <v>#REF!</v>
      </c>
      <c r="D916" s="51" t="str">
        <v/>
      </c>
      <c r="E916" s="51" t="str">
        <v/>
      </c>
      <c r="F916" s="52" t="e">
        <v>#REF!</v>
      </c>
      <c r="G916" s="48" t="e">
        <v>#REF!</v>
      </c>
      <c r="H916" s="49">
        <v>0</v>
      </c>
      <c r="I916" s="49" t="e">
        <v>#REF!</v>
      </c>
      <c r="J916" s="50"/>
    </row>
    <row r="917" outlineLevel="1" spans="1:10">
      <c r="A917" s="50">
        <v>13</v>
      </c>
      <c r="B917" s="51" t="str">
        <v>螺纹阀门-闸阀-DN32</v>
      </c>
      <c r="C917" s="51" t="e">
        <v>#REF!</v>
      </c>
      <c r="D917" s="51" t="str">
        <v/>
      </c>
      <c r="E917" s="51" t="str">
        <v/>
      </c>
      <c r="F917" s="52" t="e">
        <v>#REF!</v>
      </c>
      <c r="G917" s="48" t="e">
        <v>#REF!</v>
      </c>
      <c r="H917" s="49">
        <v>0</v>
      </c>
      <c r="I917" s="49" t="e">
        <v>#REF!</v>
      </c>
      <c r="J917" s="50"/>
    </row>
    <row r="918" outlineLevel="1" spans="1:10">
      <c r="A918" s="50">
        <v>14</v>
      </c>
      <c r="B918" s="51" t="str">
        <v>螺纹阀门-闸阀-DN40</v>
      </c>
      <c r="C918" s="51" t="e">
        <v>#REF!</v>
      </c>
      <c r="D918" s="51" t="str">
        <v/>
      </c>
      <c r="E918" s="51" t="str">
        <v/>
      </c>
      <c r="F918" s="52" t="e">
        <v>#REF!</v>
      </c>
      <c r="G918" s="48" t="e">
        <v>#REF!</v>
      </c>
      <c r="H918" s="49">
        <v>0</v>
      </c>
      <c r="I918" s="49" t="e">
        <v>#REF!</v>
      </c>
      <c r="J918" s="50"/>
    </row>
    <row r="919" outlineLevel="1" spans="1:10">
      <c r="A919" s="50">
        <v>15</v>
      </c>
      <c r="B919" s="51" t="str">
        <v>螺纹阀门-闸阀-DN50</v>
      </c>
      <c r="C919" s="51" t="e">
        <v>#REF!</v>
      </c>
      <c r="D919" s="51" t="str">
        <v/>
      </c>
      <c r="E919" s="51" t="str">
        <v/>
      </c>
      <c r="F919" s="52" t="e">
        <v>#REF!</v>
      </c>
      <c r="G919" s="48" t="e">
        <v>#REF!</v>
      </c>
      <c r="H919" s="49">
        <v>0</v>
      </c>
      <c r="I919" s="49" t="e">
        <v>#REF!</v>
      </c>
      <c r="J919" s="50"/>
    </row>
    <row r="920" outlineLevel="1" spans="1:10">
      <c r="A920" s="50">
        <v>16</v>
      </c>
      <c r="B920" s="51" t="str">
        <v>螺纹阀门-过滤器-De50</v>
      </c>
      <c r="C920" s="51" t="e">
        <v>#REF!</v>
      </c>
      <c r="D920" s="51" t="str">
        <v/>
      </c>
      <c r="E920" s="51" t="str">
        <v/>
      </c>
      <c r="F920" s="52" t="e">
        <v>#REF!</v>
      </c>
      <c r="G920" s="48" t="e">
        <v>#REF!</v>
      </c>
      <c r="H920" s="49">
        <v>0</v>
      </c>
      <c r="I920" s="49" t="e">
        <v>#REF!</v>
      </c>
      <c r="J920" s="50"/>
    </row>
    <row r="921" outlineLevel="1" spans="1:10">
      <c r="A921" s="50">
        <v>17</v>
      </c>
      <c r="B921" s="51" t="str">
        <v>螺纹阀门-过滤器-DN50</v>
      </c>
      <c r="C921" s="51" t="e">
        <v>#REF!</v>
      </c>
      <c r="D921" s="51" t="str">
        <v/>
      </c>
      <c r="E921" s="51" t="str">
        <v/>
      </c>
      <c r="F921" s="52" t="e">
        <v>#REF!</v>
      </c>
      <c r="G921" s="48" t="e">
        <v>#REF!</v>
      </c>
      <c r="H921" s="49">
        <v>0</v>
      </c>
      <c r="I921" s="49" t="e">
        <v>#REF!</v>
      </c>
      <c r="J921" s="50"/>
    </row>
    <row r="922" outlineLevel="1" spans="1:10">
      <c r="A922" s="50">
        <v>18</v>
      </c>
      <c r="B922" s="51" t="str">
        <v>法兰阀门-过滤器-DN100</v>
      </c>
      <c r="C922" s="51" t="e">
        <v>#REF!</v>
      </c>
      <c r="D922" s="51" t="str">
        <v/>
      </c>
      <c r="E922" s="51" t="str">
        <v/>
      </c>
      <c r="F922" s="52" t="e">
        <v>#REF!</v>
      </c>
      <c r="G922" s="48" t="e">
        <v>#REF!</v>
      </c>
      <c r="H922" s="49">
        <v>0</v>
      </c>
      <c r="I922" s="49" t="e">
        <v>#REF!</v>
      </c>
      <c r="J922" s="50"/>
    </row>
    <row r="923" outlineLevel="1" spans="1:10">
      <c r="A923" s="50">
        <v>19</v>
      </c>
      <c r="B923" s="51" t="str">
        <v>螺纹阀门-软接头-De50</v>
      </c>
      <c r="C923" s="51" t="e">
        <v>#REF!</v>
      </c>
      <c r="D923" s="51" t="str">
        <v/>
      </c>
      <c r="E923" s="51" t="str">
        <v/>
      </c>
      <c r="F923" s="52" t="e">
        <v>#REF!</v>
      </c>
      <c r="G923" s="48" t="e">
        <v>#REF!</v>
      </c>
      <c r="H923" s="49">
        <v>0</v>
      </c>
      <c r="I923" s="49" t="e">
        <v>#REF!</v>
      </c>
      <c r="J923" s="50"/>
    </row>
    <row r="924" outlineLevel="1" spans="1:10">
      <c r="A924" s="50">
        <v>20</v>
      </c>
      <c r="B924" s="51" t="str">
        <v>法兰阀门-软接头-DN100</v>
      </c>
      <c r="C924" s="51" t="e">
        <v>#REF!</v>
      </c>
      <c r="D924" s="51" t="str">
        <v/>
      </c>
      <c r="E924" s="51" t="str">
        <v/>
      </c>
      <c r="F924" s="52" t="e">
        <v>#REF!</v>
      </c>
      <c r="G924" s="48" t="e">
        <v>#REF!</v>
      </c>
      <c r="H924" s="49">
        <v>0</v>
      </c>
      <c r="I924" s="49" t="e">
        <v>#REF!</v>
      </c>
      <c r="J924" s="50"/>
    </row>
    <row r="925" outlineLevel="1" spans="1:10">
      <c r="A925" s="50">
        <v>21</v>
      </c>
      <c r="B925" s="51" t="str">
        <v>法兰阀门-闸阀-DN65</v>
      </c>
      <c r="C925" s="51" t="e">
        <v>#REF!</v>
      </c>
      <c r="D925" s="51" t="str">
        <v/>
      </c>
      <c r="E925" s="51" t="str">
        <v/>
      </c>
      <c r="F925" s="52" t="e">
        <v>#REF!</v>
      </c>
      <c r="G925" s="48" t="e">
        <v>#REF!</v>
      </c>
      <c r="H925" s="49">
        <v>0</v>
      </c>
      <c r="I925" s="49" t="e">
        <v>#REF!</v>
      </c>
      <c r="J925" s="50"/>
    </row>
    <row r="926" outlineLevel="1" spans="1:10">
      <c r="A926" s="50">
        <v>22</v>
      </c>
      <c r="B926" s="51" t="str">
        <v>对夹式蝶阀-De50</v>
      </c>
      <c r="C926" s="51" t="e">
        <v>#REF!</v>
      </c>
      <c r="D926" s="51" t="str">
        <v/>
      </c>
      <c r="E926" s="51" t="str">
        <v/>
      </c>
      <c r="F926" s="52" t="e">
        <v>#REF!</v>
      </c>
      <c r="G926" s="48" t="e">
        <v>#REF!</v>
      </c>
      <c r="H926" s="49">
        <v>0</v>
      </c>
      <c r="I926" s="49" t="e">
        <v>#REF!</v>
      </c>
      <c r="J926" s="50"/>
    </row>
    <row r="927" outlineLevel="1" spans="1:10">
      <c r="A927" s="50">
        <v>23</v>
      </c>
      <c r="B927" s="51" t="str">
        <v>对夹式蝶阀-DN50</v>
      </c>
      <c r="C927" s="51" t="e">
        <v>#REF!</v>
      </c>
      <c r="D927" s="51" t="str">
        <v/>
      </c>
      <c r="E927" s="51" t="str">
        <v/>
      </c>
      <c r="F927" s="52" t="e">
        <v>#REF!</v>
      </c>
      <c r="G927" s="48" t="e">
        <v>#REF!</v>
      </c>
      <c r="H927" s="49">
        <v>1</v>
      </c>
      <c r="I927" s="49" t="e">
        <v>#REF!</v>
      </c>
      <c r="J927" s="50"/>
    </row>
    <row r="928" outlineLevel="1" spans="1:10">
      <c r="A928" s="50">
        <v>24</v>
      </c>
      <c r="B928" s="51" t="str">
        <v>对夹式蝶阀-DN65</v>
      </c>
      <c r="C928" s="51" t="e">
        <v>#REF!</v>
      </c>
      <c r="D928" s="51" t="str">
        <v/>
      </c>
      <c r="E928" s="51" t="str">
        <v/>
      </c>
      <c r="F928" s="52" t="e">
        <v>#REF!</v>
      </c>
      <c r="G928" s="48" t="e">
        <v>#REF!</v>
      </c>
      <c r="H928" s="49">
        <v>1</v>
      </c>
      <c r="I928" s="49" t="e">
        <v>#REF!</v>
      </c>
      <c r="J928" s="50"/>
    </row>
    <row r="929" outlineLevel="1" spans="1:10">
      <c r="A929" s="50">
        <v>25</v>
      </c>
      <c r="B929" s="51" t="str">
        <v>对夹式蝶阀-DN80</v>
      </c>
      <c r="C929" s="51" t="e">
        <v>#REF!</v>
      </c>
      <c r="D929" s="51" t="str">
        <v/>
      </c>
      <c r="E929" s="51" t="str">
        <v/>
      </c>
      <c r="F929" s="52" t="e">
        <v>#REF!</v>
      </c>
      <c r="G929" s="48" t="e">
        <v>#REF!</v>
      </c>
      <c r="H929" s="49">
        <v>0</v>
      </c>
      <c r="I929" s="49" t="e">
        <v>#REF!</v>
      </c>
      <c r="J929" s="50"/>
    </row>
    <row r="930" outlineLevel="1" spans="1:10">
      <c r="A930" s="50">
        <v>26</v>
      </c>
      <c r="B930" s="51" t="str">
        <v>对夹式蝶阀-DN100</v>
      </c>
      <c r="C930" s="51" t="e">
        <v>#REF!</v>
      </c>
      <c r="D930" s="51" t="str">
        <v/>
      </c>
      <c r="E930" s="51" t="str">
        <v/>
      </c>
      <c r="F930" s="52" t="e">
        <v>#REF!</v>
      </c>
      <c r="G930" s="48" t="e">
        <v>#REF!</v>
      </c>
      <c r="H930" s="49">
        <v>0</v>
      </c>
      <c r="I930" s="49" t="e">
        <v>#REF!</v>
      </c>
      <c r="J930" s="50"/>
    </row>
    <row r="931" outlineLevel="1" spans="1:10">
      <c r="A931" s="50">
        <v>27</v>
      </c>
      <c r="B931" s="51" t="str">
        <v>对夹式蝶阀-DN125</v>
      </c>
      <c r="C931" s="51" t="e">
        <v>#REF!</v>
      </c>
      <c r="D931" s="51" t="str">
        <v/>
      </c>
      <c r="E931" s="51" t="str">
        <v/>
      </c>
      <c r="F931" s="52" t="e">
        <v>#REF!</v>
      </c>
      <c r="G931" s="48" t="e">
        <v>#REF!</v>
      </c>
      <c r="H931" s="49">
        <v>0</v>
      </c>
      <c r="I931" s="49" t="e">
        <v>#REF!</v>
      </c>
      <c r="J931" s="50"/>
    </row>
    <row r="932" outlineLevel="1" spans="1:10">
      <c r="A932" s="50">
        <v>28</v>
      </c>
      <c r="B932" s="51" t="str">
        <v>对夹式蝶阀-DN150</v>
      </c>
      <c r="C932" s="51" t="e">
        <v>#REF!</v>
      </c>
      <c r="D932" s="51" t="str">
        <v/>
      </c>
      <c r="E932" s="51" t="str">
        <v/>
      </c>
      <c r="F932" s="52" t="e">
        <v>#REF!</v>
      </c>
      <c r="G932" s="48" t="e">
        <v>#REF!</v>
      </c>
      <c r="H932" s="49">
        <v>0</v>
      </c>
      <c r="I932" s="49" t="e">
        <v>#REF!</v>
      </c>
      <c r="J932" s="50"/>
    </row>
    <row r="933" outlineLevel="1" spans="1:10">
      <c r="A933" s="50">
        <v>29</v>
      </c>
      <c r="B933" s="51" t="str">
        <v>倒流防止器-De50</v>
      </c>
      <c r="C933" s="51" t="e">
        <v>#REF!</v>
      </c>
      <c r="D933" s="51" t="str">
        <v/>
      </c>
      <c r="E933" s="51" t="str">
        <v/>
      </c>
      <c r="F933" s="52" t="e">
        <v>#REF!</v>
      </c>
      <c r="G933" s="48" t="e">
        <v>#REF!</v>
      </c>
      <c r="H933" s="49">
        <v>0</v>
      </c>
      <c r="I933" s="49" t="e">
        <v>#REF!</v>
      </c>
      <c r="J933" s="50"/>
    </row>
    <row r="934" outlineLevel="1" spans="1:10">
      <c r="A934" s="50">
        <v>30</v>
      </c>
      <c r="B934" s="51" t="str">
        <v>浮球阀-DN40</v>
      </c>
      <c r="C934" s="51" t="e">
        <v>#REF!</v>
      </c>
      <c r="D934" s="51" t="str">
        <v/>
      </c>
      <c r="E934" s="51" t="str">
        <v/>
      </c>
      <c r="F934" s="52" t="e">
        <v>#REF!</v>
      </c>
      <c r="G934" s="48" t="e">
        <v>#REF!</v>
      </c>
      <c r="H934" s="49">
        <v>0</v>
      </c>
      <c r="I934" s="49" t="e">
        <v>#REF!</v>
      </c>
      <c r="J934" s="50"/>
    </row>
    <row r="935" outlineLevel="1" spans="1:10">
      <c r="A935" s="50">
        <v>31</v>
      </c>
      <c r="B935" s="51" t="str">
        <v>活塞式电动浮球阀-DN100</v>
      </c>
      <c r="C935" s="51" t="e">
        <v>#REF!</v>
      </c>
      <c r="D935" s="51" t="str">
        <v/>
      </c>
      <c r="E935" s="51" t="str">
        <v/>
      </c>
      <c r="F935" s="52" t="e">
        <v>#REF!</v>
      </c>
      <c r="G935" s="48" t="e">
        <v>#REF!</v>
      </c>
      <c r="H935" s="49">
        <v>0</v>
      </c>
      <c r="I935" s="49" t="e">
        <v>#REF!</v>
      </c>
      <c r="J935" s="50"/>
    </row>
    <row r="936" outlineLevel="1" spans="1:10">
      <c r="A936" s="50">
        <v>32</v>
      </c>
      <c r="B936" s="51" t="str">
        <v>水表安装-DN32</v>
      </c>
      <c r="C936" s="51" t="e">
        <v>#REF!</v>
      </c>
      <c r="D936" s="51" t="str">
        <v/>
      </c>
      <c r="E936" s="51" t="str">
        <v/>
      </c>
      <c r="F936" s="52" t="e">
        <v>#REF!</v>
      </c>
      <c r="G936" s="48" t="e">
        <v>#REF!</v>
      </c>
      <c r="H936" s="49">
        <v>0</v>
      </c>
      <c r="I936" s="49" t="e">
        <v>#REF!</v>
      </c>
      <c r="J936" s="50"/>
    </row>
    <row r="937" outlineLevel="1" spans="1:10">
      <c r="A937" s="50">
        <v>33</v>
      </c>
      <c r="B937" s="51" t="str">
        <v>水表安装-DN40</v>
      </c>
      <c r="C937" s="51" t="e">
        <v>#REF!</v>
      </c>
      <c r="D937" s="51" t="str">
        <v/>
      </c>
      <c r="E937" s="51" t="str">
        <v/>
      </c>
      <c r="F937" s="52" t="e">
        <v>#REF!</v>
      </c>
      <c r="G937" s="48" t="e">
        <v>#REF!</v>
      </c>
      <c r="H937" s="49">
        <v>0</v>
      </c>
      <c r="I937" s="49" t="e">
        <v>#REF!</v>
      </c>
      <c r="J937" s="50"/>
    </row>
    <row r="938" outlineLevel="1" spans="1:10">
      <c r="A938" s="50">
        <v>34</v>
      </c>
      <c r="B938" s="51" t="str">
        <v>水表安装-DN50</v>
      </c>
      <c r="C938" s="51" t="e">
        <v>#REF!</v>
      </c>
      <c r="D938" s="51" t="str">
        <v/>
      </c>
      <c r="E938" s="51" t="str">
        <v/>
      </c>
      <c r="F938" s="52" t="e">
        <v>#REF!</v>
      </c>
      <c r="G938" s="48" t="e">
        <v>#REF!</v>
      </c>
      <c r="H938" s="49">
        <v>0</v>
      </c>
      <c r="I938" s="49" t="e">
        <v>#REF!</v>
      </c>
      <c r="J938" s="50"/>
    </row>
    <row r="939" outlineLevel="1" spans="1:10">
      <c r="A939" s="50">
        <v>35</v>
      </c>
      <c r="B939" s="51" t="str">
        <v>水表安装-DN70</v>
      </c>
      <c r="C939" s="51" t="e">
        <v>#REF!</v>
      </c>
      <c r="D939" s="51" t="str">
        <v/>
      </c>
      <c r="E939" s="51" t="str">
        <v/>
      </c>
      <c r="F939" s="52" t="e">
        <v>#REF!</v>
      </c>
      <c r="G939" s="48" t="e">
        <v>#REF!</v>
      </c>
      <c r="H939" s="49">
        <v>0</v>
      </c>
      <c r="I939" s="49" t="e">
        <v>#REF!</v>
      </c>
      <c r="J939" s="50"/>
    </row>
    <row r="940" outlineLevel="1" spans="1:10">
      <c r="A940" s="50">
        <v>36</v>
      </c>
      <c r="B940" s="51" t="str">
        <v>水表安装-DN80</v>
      </c>
      <c r="C940" s="51" t="e">
        <v>#REF!</v>
      </c>
      <c r="D940" s="51" t="str">
        <v/>
      </c>
      <c r="E940" s="51" t="str">
        <v/>
      </c>
      <c r="F940" s="52" t="e">
        <v>#REF!</v>
      </c>
      <c r="G940" s="48" t="e">
        <v>#REF!</v>
      </c>
      <c r="H940" s="49">
        <v>0</v>
      </c>
      <c r="I940" s="49" t="e">
        <v>#REF!</v>
      </c>
      <c r="J940" s="50"/>
    </row>
    <row r="941" outlineLevel="1" spans="1:10">
      <c r="A941" s="50">
        <v>37</v>
      </c>
      <c r="B941" s="51" t="str">
        <v>水表安装-DN250</v>
      </c>
      <c r="C941" s="51" t="e">
        <v>#REF!</v>
      </c>
      <c r="D941" s="51" t="str">
        <v/>
      </c>
      <c r="E941" s="51" t="str">
        <v/>
      </c>
      <c r="F941" s="52" t="e">
        <v>#REF!</v>
      </c>
      <c r="G941" s="48" t="e">
        <v>#REF!</v>
      </c>
      <c r="H941" s="49">
        <v>0</v>
      </c>
      <c r="I941" s="49" t="e">
        <v>#REF!</v>
      </c>
      <c r="J941" s="50"/>
    </row>
    <row r="942" outlineLevel="1" spans="1:10">
      <c r="A942" s="50">
        <v>38</v>
      </c>
      <c r="B942" s="51" t="str">
        <v>水龙头-De20</v>
      </c>
      <c r="C942" s="51" t="e">
        <v>#REF!</v>
      </c>
      <c r="D942" s="51" t="str">
        <v/>
      </c>
      <c r="E942" s="51" t="str">
        <v/>
      </c>
      <c r="F942" s="52" t="e">
        <v>#REF!</v>
      </c>
      <c r="G942" s="48" t="e">
        <v>#REF!</v>
      </c>
      <c r="H942" s="49">
        <v>1</v>
      </c>
      <c r="I942" s="49" t="e">
        <v>#REF!</v>
      </c>
      <c r="J942" s="50"/>
    </row>
    <row r="943" outlineLevel="1" spans="1:10">
      <c r="A943" s="50">
        <v>39</v>
      </c>
      <c r="B943" s="51" t="str">
        <v>给排水压力仪表-DN15</v>
      </c>
      <c r="C943" s="51" t="e">
        <v>#REF!</v>
      </c>
      <c r="D943" s="51" t="str">
        <v/>
      </c>
      <c r="E943" s="51" t="str">
        <v/>
      </c>
      <c r="F943" s="52" t="e">
        <v>#REF!</v>
      </c>
      <c r="G943" s="48" t="e">
        <v>#REF!</v>
      </c>
      <c r="H943" s="49">
        <v>0</v>
      </c>
      <c r="I943" s="49" t="e">
        <v>#REF!</v>
      </c>
      <c r="J943" s="50"/>
    </row>
    <row r="944" outlineLevel="1" spans="1:10">
      <c r="A944" s="50" t="str">
        <v/>
      </c>
      <c r="B944" s="51" t="str">
        <v>B.01.2给水管道</v>
      </c>
      <c r="C944" s="51" t="str">
        <v/>
      </c>
      <c r="D944" s="51" t="str">
        <v/>
      </c>
      <c r="E944" s="51" t="str">
        <v/>
      </c>
      <c r="F944" s="52" t="str">
        <v/>
      </c>
      <c r="G944" s="48" t="str">
        <v/>
      </c>
      <c r="H944" s="49">
        <v>0</v>
      </c>
      <c r="I944" s="49" t="e">
        <v>#REF!</v>
      </c>
      <c r="J944" s="50"/>
    </row>
    <row r="945" ht="28.8" outlineLevel="1" spans="1:10">
      <c r="A945" s="50">
        <v>40</v>
      </c>
      <c r="B945" s="51" t="str">
        <v>室内给水内衬塑镀锌钢塑复合管-DN15</v>
      </c>
      <c r="C945" s="51" t="e">
        <v>#REF!</v>
      </c>
      <c r="D945" s="51" t="str">
        <v/>
      </c>
      <c r="E945" s="51" t="str">
        <v/>
      </c>
      <c r="F945" s="52" t="e">
        <v>#REF!</v>
      </c>
      <c r="G945" s="48" t="e">
        <v>#REF!</v>
      </c>
      <c r="H945" s="49">
        <v>0</v>
      </c>
      <c r="I945" s="49" t="e">
        <v>#REF!</v>
      </c>
      <c r="J945" s="50"/>
    </row>
    <row r="946" ht="28.8" outlineLevel="1" spans="1:10">
      <c r="A946" s="50">
        <v>41</v>
      </c>
      <c r="B946" s="51" t="str">
        <v>室内给水内衬塑镀锌钢塑复合管-DN20</v>
      </c>
      <c r="C946" s="51" t="e">
        <v>#REF!</v>
      </c>
      <c r="D946" s="51" t="str">
        <v/>
      </c>
      <c r="E946" s="51" t="str">
        <v/>
      </c>
      <c r="F946" s="52" t="e">
        <v>#REF!</v>
      </c>
      <c r="G946" s="48" t="e">
        <v>#REF!</v>
      </c>
      <c r="H946" s="49">
        <v>0</v>
      </c>
      <c r="I946" s="49" t="e">
        <v>#REF!</v>
      </c>
      <c r="J946" s="50"/>
    </row>
    <row r="947" ht="28.8" outlineLevel="1" spans="1:10">
      <c r="A947" s="50">
        <v>42</v>
      </c>
      <c r="B947" s="51" t="str">
        <v>室内给水内衬塑镀锌钢塑复合管-DN25</v>
      </c>
      <c r="C947" s="51" t="e">
        <v>#REF!</v>
      </c>
      <c r="D947" s="51" t="str">
        <v/>
      </c>
      <c r="E947" s="51" t="str">
        <v/>
      </c>
      <c r="F947" s="52" t="e">
        <v>#REF!</v>
      </c>
      <c r="G947" s="48" t="e">
        <v>#REF!</v>
      </c>
      <c r="H947" s="49">
        <v>0</v>
      </c>
      <c r="I947" s="49" t="e">
        <v>#REF!</v>
      </c>
      <c r="J947" s="50"/>
    </row>
    <row r="948" ht="28.8" outlineLevel="1" spans="1:10">
      <c r="A948" s="50">
        <v>43</v>
      </c>
      <c r="B948" s="51" t="str">
        <v>室内给水内衬塑镀锌钢塑复合管-DN32</v>
      </c>
      <c r="C948" s="51" t="e">
        <v>#REF!</v>
      </c>
      <c r="D948" s="51" t="str">
        <v/>
      </c>
      <c r="E948" s="51" t="str">
        <v/>
      </c>
      <c r="F948" s="52" t="e">
        <v>#REF!</v>
      </c>
      <c r="G948" s="48" t="e">
        <v>#REF!</v>
      </c>
      <c r="H948" s="49">
        <v>0</v>
      </c>
      <c r="I948" s="49" t="e">
        <v>#REF!</v>
      </c>
      <c r="J948" s="50"/>
    </row>
    <row r="949" ht="28.8" outlineLevel="1" spans="1:10">
      <c r="A949" s="50">
        <v>44</v>
      </c>
      <c r="B949" s="51" t="str">
        <v>室内给水内衬塑镀锌钢塑复合管-DN40</v>
      </c>
      <c r="C949" s="51" t="e">
        <v>#REF!</v>
      </c>
      <c r="D949" s="51" t="str">
        <v/>
      </c>
      <c r="E949" s="51" t="str">
        <v/>
      </c>
      <c r="F949" s="52" t="e">
        <v>#REF!</v>
      </c>
      <c r="G949" s="48" t="e">
        <v>#REF!</v>
      </c>
      <c r="H949" s="49">
        <v>0</v>
      </c>
      <c r="I949" s="49" t="e">
        <v>#REF!</v>
      </c>
      <c r="J949" s="50"/>
    </row>
    <row r="950" ht="28.8" outlineLevel="1" spans="1:10">
      <c r="A950" s="50">
        <v>45</v>
      </c>
      <c r="B950" s="51" t="str">
        <v>室内给水内衬塑镀锌钢塑复合管-DN50</v>
      </c>
      <c r="C950" s="51" t="e">
        <v>#REF!</v>
      </c>
      <c r="D950" s="51" t="str">
        <v/>
      </c>
      <c r="E950" s="51" t="str">
        <v/>
      </c>
      <c r="F950" s="52" t="e">
        <v>#REF!</v>
      </c>
      <c r="G950" s="48" t="e">
        <v>#REF!</v>
      </c>
      <c r="H950" s="49">
        <v>0</v>
      </c>
      <c r="I950" s="49" t="e">
        <v>#REF!</v>
      </c>
      <c r="J950" s="50"/>
    </row>
    <row r="951" ht="28.8" outlineLevel="1" spans="1:10">
      <c r="A951" s="50">
        <v>46</v>
      </c>
      <c r="B951" s="51" t="str">
        <v>室内给水内衬塑镀锌钢塑复合管-DN65</v>
      </c>
      <c r="C951" s="51" t="e">
        <v>#REF!</v>
      </c>
      <c r="D951" s="51" t="str">
        <v/>
      </c>
      <c r="E951" s="51" t="str">
        <v/>
      </c>
      <c r="F951" s="52" t="e">
        <v>#REF!</v>
      </c>
      <c r="G951" s="48" t="e">
        <v>#REF!</v>
      </c>
      <c r="H951" s="49">
        <v>6.37</v>
      </c>
      <c r="I951" s="49" t="e">
        <v>#REF!</v>
      </c>
      <c r="J951" s="50"/>
    </row>
    <row r="952" ht="28.8" outlineLevel="1" spans="1:10">
      <c r="A952" s="50">
        <v>47</v>
      </c>
      <c r="B952" s="51" t="str">
        <v>室内给水内衬塑镀锌钢塑复合管-DN80</v>
      </c>
      <c r="C952" s="51" t="e">
        <v>#REF!</v>
      </c>
      <c r="D952" s="51" t="str">
        <v/>
      </c>
      <c r="E952" s="51" t="str">
        <v/>
      </c>
      <c r="F952" s="52" t="e">
        <v>#REF!</v>
      </c>
      <c r="G952" s="48" t="e">
        <v>#REF!</v>
      </c>
      <c r="H952" s="49">
        <v>0</v>
      </c>
      <c r="I952" s="49" t="e">
        <v>#REF!</v>
      </c>
      <c r="J952" s="50"/>
    </row>
    <row r="953" ht="28.8" outlineLevel="1" spans="1:10">
      <c r="A953" s="50">
        <v>48</v>
      </c>
      <c r="B953" s="51" t="str">
        <v>室内给水内衬塑镀锌钢塑复合管-DN100</v>
      </c>
      <c r="C953" s="51" t="e">
        <v>#REF!</v>
      </c>
      <c r="D953" s="51" t="str">
        <v/>
      </c>
      <c r="E953" s="51" t="str">
        <v/>
      </c>
      <c r="F953" s="52" t="e">
        <v>#REF!</v>
      </c>
      <c r="G953" s="48" t="e">
        <v>#REF!</v>
      </c>
      <c r="H953" s="49">
        <v>0</v>
      </c>
      <c r="I953" s="49" t="e">
        <v>#REF!</v>
      </c>
      <c r="J953" s="50"/>
    </row>
    <row r="954" ht="28.8" outlineLevel="1" spans="1:10">
      <c r="A954" s="50">
        <v>49</v>
      </c>
      <c r="B954" s="51" t="str">
        <v>室内给水内衬塑镀锌钢塑复合管-DN125</v>
      </c>
      <c r="C954" s="51" t="e">
        <v>#REF!</v>
      </c>
      <c r="D954" s="51" t="str">
        <v/>
      </c>
      <c r="E954" s="51" t="str">
        <v/>
      </c>
      <c r="F954" s="52" t="e">
        <v>#REF!</v>
      </c>
      <c r="G954" s="48" t="e">
        <v>#REF!</v>
      </c>
      <c r="H954" s="49">
        <v>0</v>
      </c>
      <c r="I954" s="49" t="e">
        <v>#REF!</v>
      </c>
      <c r="J954" s="50"/>
    </row>
    <row r="955" ht="28.8" outlineLevel="1" spans="1:10">
      <c r="A955" s="50">
        <v>50</v>
      </c>
      <c r="B955" s="51" t="str">
        <v>室内给水内衬塑镀锌钢塑复合管-DN150</v>
      </c>
      <c r="C955" s="51" t="e">
        <v>#REF!</v>
      </c>
      <c r="D955" s="51" t="str">
        <v/>
      </c>
      <c r="E955" s="51" t="str">
        <v/>
      </c>
      <c r="F955" s="52" t="e">
        <v>#REF!</v>
      </c>
      <c r="G955" s="48" t="e">
        <v>#REF!</v>
      </c>
      <c r="H955" s="49">
        <v>0</v>
      </c>
      <c r="I955" s="49" t="e">
        <v>#REF!</v>
      </c>
      <c r="J955" s="50"/>
    </row>
    <row r="956" ht="28.8" outlineLevel="1" spans="1:10">
      <c r="A956" s="50">
        <v>51</v>
      </c>
      <c r="B956" s="51" t="str">
        <v>室内给水塑料管-PPR-De20-热熔</v>
      </c>
      <c r="C956" s="51" t="e">
        <v>#REF!</v>
      </c>
      <c r="D956" s="51" t="str">
        <v/>
      </c>
      <c r="E956" s="51" t="str">
        <v/>
      </c>
      <c r="F956" s="52" t="e">
        <v>#REF!</v>
      </c>
      <c r="G956" s="48" t="e">
        <v>#REF!</v>
      </c>
      <c r="H956" s="49">
        <v>15.771</v>
      </c>
      <c r="I956" s="49" t="e">
        <v>#REF!</v>
      </c>
      <c r="J956" s="50"/>
    </row>
    <row r="957" ht="28.8" outlineLevel="1" spans="1:10">
      <c r="A957" s="50">
        <v>52</v>
      </c>
      <c r="B957" s="51" t="str">
        <v>室内给水塑料管-PPR-De25-热熔</v>
      </c>
      <c r="C957" s="51" t="e">
        <v>#REF!</v>
      </c>
      <c r="D957" s="51" t="str">
        <v/>
      </c>
      <c r="E957" s="51" t="str">
        <v/>
      </c>
      <c r="F957" s="52" t="e">
        <v>#REF!</v>
      </c>
      <c r="G957" s="48" t="e">
        <v>#REF!</v>
      </c>
      <c r="H957" s="49">
        <v>0</v>
      </c>
      <c r="I957" s="49" t="e">
        <v>#REF!</v>
      </c>
      <c r="J957" s="50"/>
    </row>
    <row r="958" ht="28.8" outlineLevel="1" spans="1:10">
      <c r="A958" s="50">
        <v>53</v>
      </c>
      <c r="B958" s="51" t="str">
        <v>室内给水塑料管-PPR-De32-热熔</v>
      </c>
      <c r="C958" s="51" t="e">
        <v>#REF!</v>
      </c>
      <c r="D958" s="51" t="str">
        <v/>
      </c>
      <c r="E958" s="51" t="str">
        <v/>
      </c>
      <c r="F958" s="52" t="e">
        <v>#REF!</v>
      </c>
      <c r="G958" s="48" t="e">
        <v>#REF!</v>
      </c>
      <c r="H958" s="49">
        <v>0</v>
      </c>
      <c r="I958" s="49" t="e">
        <v>#REF!</v>
      </c>
      <c r="J958" s="50"/>
    </row>
    <row r="959" ht="28.8" outlineLevel="1" spans="1:10">
      <c r="A959" s="50">
        <v>54</v>
      </c>
      <c r="B959" s="51" t="str">
        <v>室内给水塑料管-PPR-De40-热熔</v>
      </c>
      <c r="C959" s="51" t="e">
        <v>#REF!</v>
      </c>
      <c r="D959" s="51" t="str">
        <v/>
      </c>
      <c r="E959" s="51" t="str">
        <v/>
      </c>
      <c r="F959" s="52" t="e">
        <v>#REF!</v>
      </c>
      <c r="G959" s="48" t="e">
        <v>#REF!</v>
      </c>
      <c r="H959" s="49">
        <v>0</v>
      </c>
      <c r="I959" s="49" t="e">
        <v>#REF!</v>
      </c>
      <c r="J959" s="50"/>
    </row>
    <row r="960" ht="28.8" outlineLevel="1" spans="1:10">
      <c r="A960" s="50">
        <v>55</v>
      </c>
      <c r="B960" s="51" t="str">
        <v>室内给水塑料管-PPR-De50-热熔</v>
      </c>
      <c r="C960" s="51" t="e">
        <v>#REF!</v>
      </c>
      <c r="D960" s="51" t="str">
        <v/>
      </c>
      <c r="E960" s="51" t="str">
        <v/>
      </c>
      <c r="F960" s="52" t="e">
        <v>#REF!</v>
      </c>
      <c r="G960" s="48" t="e">
        <v>#REF!</v>
      </c>
      <c r="H960" s="49">
        <v>0</v>
      </c>
      <c r="I960" s="49" t="e">
        <v>#REF!</v>
      </c>
      <c r="J960" s="50"/>
    </row>
    <row r="961" ht="28.8" outlineLevel="1" spans="1:10">
      <c r="A961" s="50">
        <v>56</v>
      </c>
      <c r="B961" s="51" t="str">
        <v>室内给水塑料管-PPR-De63-热熔</v>
      </c>
      <c r="C961" s="51" t="e">
        <v>#REF!</v>
      </c>
      <c r="D961" s="51" t="str">
        <v/>
      </c>
      <c r="E961" s="51" t="str">
        <v/>
      </c>
      <c r="F961" s="52" t="e">
        <v>#REF!</v>
      </c>
      <c r="G961" s="48" t="e">
        <v>#REF!</v>
      </c>
      <c r="H961" s="49">
        <v>7.286</v>
      </c>
      <c r="I961" s="49" t="e">
        <v>#REF!</v>
      </c>
      <c r="J961" s="50"/>
    </row>
    <row r="962" outlineLevel="1" spans="1:10">
      <c r="A962" s="50" t="str">
        <v/>
      </c>
      <c r="B962" s="51" t="str">
        <v>B.01.3绝热</v>
      </c>
      <c r="C962" s="51" t="str">
        <v/>
      </c>
      <c r="D962" s="51" t="str">
        <v/>
      </c>
      <c r="E962" s="51" t="str">
        <v/>
      </c>
      <c r="F962" s="52" t="str">
        <v/>
      </c>
      <c r="G962" s="48" t="str">
        <v/>
      </c>
      <c r="H962" s="49">
        <v>0</v>
      </c>
      <c r="I962" s="49" t="e">
        <v>#REF!</v>
      </c>
      <c r="J962" s="50"/>
    </row>
    <row r="963" outlineLevel="1" spans="1:10">
      <c r="A963" s="50">
        <v>57</v>
      </c>
      <c r="B963" s="51" t="str">
        <v>管道绝热</v>
      </c>
      <c r="C963" s="51" t="e">
        <v>#REF!</v>
      </c>
      <c r="D963" s="51" t="str">
        <v/>
      </c>
      <c r="E963" s="51" t="str">
        <v/>
      </c>
      <c r="F963" s="52" t="e">
        <v>#REF!</v>
      </c>
      <c r="G963" s="48" t="e">
        <v>#REF!</v>
      </c>
      <c r="H963" s="49">
        <v>0.054</v>
      </c>
      <c r="I963" s="49" t="e">
        <v>#REF!</v>
      </c>
      <c r="J963" s="50"/>
    </row>
    <row r="964" outlineLevel="1" spans="1:10">
      <c r="A964" s="50">
        <v>58</v>
      </c>
      <c r="B964" s="51" t="str">
        <v>玻璃丝布</v>
      </c>
      <c r="C964" s="51" t="e">
        <v>#REF!</v>
      </c>
      <c r="D964" s="51" t="str">
        <v/>
      </c>
      <c r="E964" s="51" t="str">
        <v/>
      </c>
      <c r="F964" s="52" t="e">
        <v>#REF!</v>
      </c>
      <c r="G964" s="48" t="e">
        <v>#REF!</v>
      </c>
      <c r="H964" s="49">
        <v>0</v>
      </c>
      <c r="I964" s="49" t="e">
        <v>#REF!</v>
      </c>
      <c r="J964" s="50"/>
    </row>
    <row r="965" outlineLevel="1" spans="1:10">
      <c r="A965" s="50">
        <v>59</v>
      </c>
      <c r="B965" s="51" t="str">
        <v>电伴热</v>
      </c>
      <c r="C965" s="51" t="e">
        <v>#REF!</v>
      </c>
      <c r="D965" s="51" t="str">
        <v/>
      </c>
      <c r="E965" s="51" t="str">
        <v/>
      </c>
      <c r="F965" s="52" t="e">
        <v>#REF!</v>
      </c>
      <c r="G965" s="48" t="e">
        <v>#REF!</v>
      </c>
      <c r="H965" s="49">
        <v>0</v>
      </c>
      <c r="I965" s="49" t="e">
        <v>#REF!</v>
      </c>
      <c r="J965" s="50"/>
    </row>
    <row r="966" outlineLevel="1" spans="1:10">
      <c r="A966" s="50">
        <v>60</v>
      </c>
      <c r="B966" s="51" t="str">
        <v>电伴热控制箱</v>
      </c>
      <c r="C966" s="51" t="e">
        <v>#REF!</v>
      </c>
      <c r="D966" s="51" t="str">
        <v/>
      </c>
      <c r="E966" s="51" t="str">
        <v/>
      </c>
      <c r="F966" s="52" t="e">
        <v>#REF!</v>
      </c>
      <c r="G966" s="48" t="e">
        <v>#REF!</v>
      </c>
      <c r="H966" s="49">
        <v>0</v>
      </c>
      <c r="I966" s="49" t="e">
        <v>#REF!</v>
      </c>
      <c r="J966" s="50"/>
    </row>
    <row r="967" outlineLevel="1" spans="1:10">
      <c r="A967" s="50">
        <v>61</v>
      </c>
      <c r="B967" s="51" t="str">
        <v>防火漆</v>
      </c>
      <c r="C967" s="51" t="e">
        <v>#REF!</v>
      </c>
      <c r="D967" s="51" t="str">
        <v/>
      </c>
      <c r="E967" s="51" t="str">
        <v/>
      </c>
      <c r="F967" s="52" t="e">
        <v>#REF!</v>
      </c>
      <c r="G967" s="48" t="e">
        <v>#REF!</v>
      </c>
      <c r="H967" s="49">
        <v>0</v>
      </c>
      <c r="I967" s="49" t="e">
        <v>#REF!</v>
      </c>
      <c r="J967" s="50"/>
    </row>
    <row r="968" outlineLevel="1" spans="1:10">
      <c r="A968" s="50">
        <v>62</v>
      </c>
      <c r="B968" s="51" t="str">
        <v>塑料带保护层</v>
      </c>
      <c r="C968" s="51" t="e">
        <v>#REF!</v>
      </c>
      <c r="D968" s="51" t="str">
        <v/>
      </c>
      <c r="E968" s="51" t="str">
        <v/>
      </c>
      <c r="F968" s="52" t="e">
        <v>#REF!</v>
      </c>
      <c r="G968" s="48" t="e">
        <v>#REF!</v>
      </c>
      <c r="H968" s="49">
        <v>0.371</v>
      </c>
      <c r="I968" s="49" t="e">
        <v>#REF!</v>
      </c>
      <c r="J968" s="50"/>
    </row>
    <row r="969" outlineLevel="1" spans="1:10">
      <c r="A969" s="50" t="str">
        <v/>
      </c>
      <c r="B969" s="51" t="str">
        <v>B.02地下排水</v>
      </c>
      <c r="C969" s="51" t="str">
        <v/>
      </c>
      <c r="D969" s="51" t="str">
        <v/>
      </c>
      <c r="E969" s="51" t="str">
        <v/>
      </c>
      <c r="F969" s="52" t="str">
        <v/>
      </c>
      <c r="G969" s="48" t="str">
        <v/>
      </c>
      <c r="H969" s="49">
        <v>0</v>
      </c>
      <c r="I969" s="49" t="e">
        <v>#REF!</v>
      </c>
      <c r="J969" s="50"/>
    </row>
    <row r="970" outlineLevel="1" spans="1:10">
      <c r="A970" s="50" t="str">
        <v/>
      </c>
      <c r="B970" s="51" t="str">
        <v>B.02.1阀部件</v>
      </c>
      <c r="C970" s="51" t="str">
        <v/>
      </c>
      <c r="D970" s="51" t="str">
        <v/>
      </c>
      <c r="E970" s="51" t="str">
        <v/>
      </c>
      <c r="F970" s="52" t="str">
        <v/>
      </c>
      <c r="G970" s="48" t="str">
        <v/>
      </c>
      <c r="H970" s="49">
        <v>0</v>
      </c>
      <c r="I970" s="49" t="e">
        <v>#REF!</v>
      </c>
      <c r="J970" s="50"/>
    </row>
    <row r="971" outlineLevel="1" spans="1:10">
      <c r="A971" s="50">
        <v>63</v>
      </c>
      <c r="B971" s="51" t="str">
        <v>法兰阀门-闸阀-DN50</v>
      </c>
      <c r="C971" s="51" t="e">
        <v>#REF!</v>
      </c>
      <c r="D971" s="51" t="str">
        <v/>
      </c>
      <c r="E971" s="51" t="str">
        <v/>
      </c>
      <c r="F971" s="52" t="e">
        <v>#REF!</v>
      </c>
      <c r="G971" s="48" t="e">
        <v>#REF!</v>
      </c>
      <c r="H971" s="49">
        <v>0</v>
      </c>
      <c r="I971" s="49" t="e">
        <v>#REF!</v>
      </c>
      <c r="J971" s="50"/>
    </row>
    <row r="972" outlineLevel="1" spans="1:10">
      <c r="A972" s="50">
        <v>64</v>
      </c>
      <c r="B972" s="51" t="str">
        <v>法兰阀门-闸阀-DN65</v>
      </c>
      <c r="C972" s="51" t="e">
        <v>#REF!</v>
      </c>
      <c r="D972" s="51" t="str">
        <v/>
      </c>
      <c r="E972" s="51" t="str">
        <v/>
      </c>
      <c r="F972" s="52" t="e">
        <v>#REF!</v>
      </c>
      <c r="G972" s="48" t="e">
        <v>#REF!</v>
      </c>
      <c r="H972" s="49">
        <v>2</v>
      </c>
      <c r="I972" s="49" t="e">
        <v>#REF!</v>
      </c>
      <c r="J972" s="50"/>
    </row>
    <row r="973" outlineLevel="1" spans="1:10">
      <c r="A973" s="50">
        <v>65</v>
      </c>
      <c r="B973" s="51" t="str">
        <v>法兰阀门-闸阀-DN80</v>
      </c>
      <c r="C973" s="51" t="e">
        <v>#REF!</v>
      </c>
      <c r="D973" s="51" t="str">
        <v/>
      </c>
      <c r="E973" s="51" t="str">
        <v/>
      </c>
      <c r="F973" s="52" t="e">
        <v>#REF!</v>
      </c>
      <c r="G973" s="48" t="e">
        <v>#REF!</v>
      </c>
      <c r="H973" s="49">
        <v>0</v>
      </c>
      <c r="I973" s="49" t="e">
        <v>#REF!</v>
      </c>
      <c r="J973" s="50"/>
    </row>
    <row r="974" outlineLevel="1" spans="1:10">
      <c r="A974" s="50">
        <v>66</v>
      </c>
      <c r="B974" s="51" t="str">
        <v>法兰阀门-闸阀-DN100</v>
      </c>
      <c r="C974" s="51" t="e">
        <v>#REF!</v>
      </c>
      <c r="D974" s="51" t="str">
        <v/>
      </c>
      <c r="E974" s="51" t="str">
        <v/>
      </c>
      <c r="F974" s="52" t="e">
        <v>#REF!</v>
      </c>
      <c r="G974" s="48" t="e">
        <v>#REF!</v>
      </c>
      <c r="H974" s="49">
        <v>0</v>
      </c>
      <c r="I974" s="49" t="e">
        <v>#REF!</v>
      </c>
      <c r="J974" s="50"/>
    </row>
    <row r="975" outlineLevel="1" spans="1:10">
      <c r="A975" s="50">
        <v>67</v>
      </c>
      <c r="B975" s="51" t="str">
        <v>法兰阀门-止回阀-DN50</v>
      </c>
      <c r="C975" s="51" t="e">
        <v>#REF!</v>
      </c>
      <c r="D975" s="51" t="str">
        <v/>
      </c>
      <c r="E975" s="51" t="str">
        <v/>
      </c>
      <c r="F975" s="52" t="e">
        <v>#REF!</v>
      </c>
      <c r="G975" s="48" t="e">
        <v>#REF!</v>
      </c>
      <c r="H975" s="49">
        <v>0</v>
      </c>
      <c r="I975" s="49" t="e">
        <v>#REF!</v>
      </c>
      <c r="J975" s="50"/>
    </row>
    <row r="976" outlineLevel="1" spans="1:10">
      <c r="A976" s="50">
        <v>68</v>
      </c>
      <c r="B976" s="51" t="str">
        <v>法兰阀门-止回阀-DN65</v>
      </c>
      <c r="C976" s="51" t="e">
        <v>#REF!</v>
      </c>
      <c r="D976" s="51" t="str">
        <v/>
      </c>
      <c r="E976" s="51" t="str">
        <v/>
      </c>
      <c r="F976" s="52" t="e">
        <v>#REF!</v>
      </c>
      <c r="G976" s="48" t="e">
        <v>#REF!</v>
      </c>
      <c r="H976" s="49">
        <v>2</v>
      </c>
      <c r="I976" s="49" t="e">
        <v>#REF!</v>
      </c>
      <c r="J976" s="50"/>
    </row>
    <row r="977" outlineLevel="1" spans="1:10">
      <c r="A977" s="50">
        <v>69</v>
      </c>
      <c r="B977" s="51" t="str">
        <v>法兰阀门-止回阀-DN80</v>
      </c>
      <c r="C977" s="51" t="e">
        <v>#REF!</v>
      </c>
      <c r="D977" s="51" t="str">
        <v/>
      </c>
      <c r="E977" s="51" t="str">
        <v/>
      </c>
      <c r="F977" s="52" t="e">
        <v>#REF!</v>
      </c>
      <c r="G977" s="48" t="e">
        <v>#REF!</v>
      </c>
      <c r="H977" s="49">
        <v>0</v>
      </c>
      <c r="I977" s="49" t="e">
        <v>#REF!</v>
      </c>
      <c r="J977" s="50"/>
    </row>
    <row r="978" outlineLevel="1" spans="1:10">
      <c r="A978" s="50">
        <v>70</v>
      </c>
      <c r="B978" s="51" t="str">
        <v>法兰阀门-止回阀-DN100</v>
      </c>
      <c r="C978" s="51" t="e">
        <v>#REF!</v>
      </c>
      <c r="D978" s="51" t="str">
        <v/>
      </c>
      <c r="E978" s="51" t="str">
        <v/>
      </c>
      <c r="F978" s="52" t="e">
        <v>#REF!</v>
      </c>
      <c r="G978" s="48" t="e">
        <v>#REF!</v>
      </c>
      <c r="H978" s="49">
        <v>0</v>
      </c>
      <c r="I978" s="49" t="e">
        <v>#REF!</v>
      </c>
      <c r="J978" s="50"/>
    </row>
    <row r="979" outlineLevel="1" spans="1:10">
      <c r="A979" s="50">
        <v>71</v>
      </c>
      <c r="B979" s="51" t="str">
        <v>法兰阀门-软接头-DN50</v>
      </c>
      <c r="C979" s="51" t="e">
        <v>#REF!</v>
      </c>
      <c r="D979" s="51" t="str">
        <v/>
      </c>
      <c r="E979" s="51" t="str">
        <v/>
      </c>
      <c r="F979" s="52" t="e">
        <v>#REF!</v>
      </c>
      <c r="G979" s="48" t="e">
        <v>#REF!</v>
      </c>
      <c r="H979" s="49">
        <v>0</v>
      </c>
      <c r="I979" s="49" t="e">
        <v>#REF!</v>
      </c>
      <c r="J979" s="50"/>
    </row>
    <row r="980" outlineLevel="1" spans="1:10">
      <c r="A980" s="50">
        <v>72</v>
      </c>
      <c r="B980" s="51" t="str">
        <v>法兰阀门-软接头-DN65</v>
      </c>
      <c r="C980" s="51" t="e">
        <v>#REF!</v>
      </c>
      <c r="D980" s="51" t="str">
        <v/>
      </c>
      <c r="E980" s="51" t="str">
        <v/>
      </c>
      <c r="F980" s="52" t="e">
        <v>#REF!</v>
      </c>
      <c r="G980" s="48" t="e">
        <v>#REF!</v>
      </c>
      <c r="H980" s="49">
        <v>4</v>
      </c>
      <c r="I980" s="49" t="e">
        <v>#REF!</v>
      </c>
      <c r="J980" s="50"/>
    </row>
    <row r="981" outlineLevel="1" spans="1:10">
      <c r="A981" s="50">
        <v>73</v>
      </c>
      <c r="B981" s="51" t="str">
        <v>法兰阀门-软接头-DN80</v>
      </c>
      <c r="C981" s="51" t="e">
        <v>#REF!</v>
      </c>
      <c r="D981" s="51" t="str">
        <v/>
      </c>
      <c r="E981" s="51" t="str">
        <v/>
      </c>
      <c r="F981" s="52" t="e">
        <v>#REF!</v>
      </c>
      <c r="G981" s="48" t="e">
        <v>#REF!</v>
      </c>
      <c r="H981" s="49">
        <v>0</v>
      </c>
      <c r="I981" s="49" t="e">
        <v>#REF!</v>
      </c>
      <c r="J981" s="50"/>
    </row>
    <row r="982" outlineLevel="1" spans="1:10">
      <c r="A982" s="50">
        <v>74</v>
      </c>
      <c r="B982" s="51" t="str">
        <v>可曲挠橡胶接头-DN100</v>
      </c>
      <c r="C982" s="51" t="e">
        <v>#REF!</v>
      </c>
      <c r="D982" s="51" t="str">
        <v/>
      </c>
      <c r="E982" s="51" t="str">
        <v/>
      </c>
      <c r="F982" s="52" t="e">
        <v>#REF!</v>
      </c>
      <c r="G982" s="48" t="e">
        <v>#REF!</v>
      </c>
      <c r="H982" s="49">
        <v>0</v>
      </c>
      <c r="I982" s="49" t="e">
        <v>#REF!</v>
      </c>
      <c r="J982" s="50"/>
    </row>
    <row r="983" outlineLevel="1" spans="1:10">
      <c r="A983" s="50">
        <v>75</v>
      </c>
      <c r="B983" s="51" t="str">
        <v>给排水压力仪表-DN15</v>
      </c>
      <c r="C983" s="51" t="e">
        <v>#REF!</v>
      </c>
      <c r="D983" s="51" t="str">
        <v/>
      </c>
      <c r="E983" s="51" t="str">
        <v/>
      </c>
      <c r="F983" s="52" t="e">
        <v>#REF!</v>
      </c>
      <c r="G983" s="48" t="e">
        <v>#REF!</v>
      </c>
      <c r="H983" s="49">
        <v>0</v>
      </c>
      <c r="I983" s="49" t="e">
        <v>#REF!</v>
      </c>
      <c r="J983" s="50"/>
    </row>
    <row r="984" outlineLevel="1" spans="1:10">
      <c r="A984" s="50" t="str">
        <v/>
      </c>
      <c r="B984" s="51" t="str">
        <v>B.02.2排水管道</v>
      </c>
      <c r="C984" s="51" t="str">
        <v/>
      </c>
      <c r="D984" s="51" t="str">
        <v/>
      </c>
      <c r="E984" s="51" t="str">
        <v/>
      </c>
      <c r="F984" s="52" t="str">
        <v/>
      </c>
      <c r="G984" s="48" t="str">
        <v/>
      </c>
      <c r="H984" s="49">
        <v>0</v>
      </c>
      <c r="I984" s="49" t="e">
        <v>#REF!</v>
      </c>
      <c r="J984" s="50"/>
    </row>
    <row r="985" ht="28.8" outlineLevel="1" spans="1:10">
      <c r="A985" s="50">
        <v>76</v>
      </c>
      <c r="B985" s="51" t="str">
        <v>室外排水塑料管-加厚UPVC-De160</v>
      </c>
      <c r="C985" s="51" t="e">
        <v>#REF!</v>
      </c>
      <c r="D985" s="51" t="str">
        <v/>
      </c>
      <c r="E985" s="51" t="str">
        <v/>
      </c>
      <c r="F985" s="52" t="e">
        <v>#REF!</v>
      </c>
      <c r="G985" s="48" t="e">
        <v>#REF!</v>
      </c>
      <c r="H985" s="49">
        <v>0</v>
      </c>
      <c r="I985" s="49" t="e">
        <v>#REF!</v>
      </c>
      <c r="J985" s="50"/>
    </row>
    <row r="986" ht="28.8" outlineLevel="1" spans="1:10">
      <c r="A986" s="50">
        <v>77</v>
      </c>
      <c r="B986" s="51" t="str">
        <v>室外排水塑料管-加厚UPVC-De110</v>
      </c>
      <c r="C986" s="51" t="e">
        <v>#REF!</v>
      </c>
      <c r="D986" s="51" t="str">
        <v/>
      </c>
      <c r="E986" s="51" t="str">
        <v/>
      </c>
      <c r="F986" s="52" t="e">
        <v>#REF!</v>
      </c>
      <c r="G986" s="48" t="e">
        <v>#REF!</v>
      </c>
      <c r="H986" s="49">
        <v>0</v>
      </c>
      <c r="I986" s="49" t="e">
        <v>#REF!</v>
      </c>
      <c r="J986" s="50"/>
    </row>
    <row r="987" ht="28.8" outlineLevel="1" spans="1:10">
      <c r="A987" s="50">
        <v>78</v>
      </c>
      <c r="B987" s="51" t="str">
        <v>室外排水塑料管-加厚UPVC-De75</v>
      </c>
      <c r="C987" s="51" t="e">
        <v>#REF!</v>
      </c>
      <c r="D987" s="51" t="str">
        <v/>
      </c>
      <c r="E987" s="51" t="str">
        <v/>
      </c>
      <c r="F987" s="52" t="e">
        <v>#REF!</v>
      </c>
      <c r="G987" s="48" t="e">
        <v>#REF!</v>
      </c>
      <c r="H987" s="49">
        <v>0</v>
      </c>
      <c r="I987" s="49" t="e">
        <v>#REF!</v>
      </c>
      <c r="J987" s="50"/>
    </row>
    <row r="988" outlineLevel="1" spans="1:10">
      <c r="A988" s="50">
        <v>79</v>
      </c>
      <c r="B988" s="51" t="str">
        <v>室外塑料管-UPVC-De50</v>
      </c>
      <c r="C988" s="51" t="e">
        <v>#REF!</v>
      </c>
      <c r="D988" s="51" t="str">
        <v/>
      </c>
      <c r="E988" s="51" t="str">
        <v/>
      </c>
      <c r="F988" s="52" t="e">
        <v>#REF!</v>
      </c>
      <c r="G988" s="48" t="e">
        <v>#REF!</v>
      </c>
      <c r="H988" s="49">
        <v>0</v>
      </c>
      <c r="I988" s="49" t="e">
        <v>#REF!</v>
      </c>
      <c r="J988" s="50"/>
    </row>
    <row r="989" outlineLevel="1" spans="1:10">
      <c r="A989" s="50">
        <v>80</v>
      </c>
      <c r="B989" s="51" t="str">
        <v>室外排水镀锌钢管-DN50</v>
      </c>
      <c r="C989" s="51" t="e">
        <v>#REF!</v>
      </c>
      <c r="D989" s="51" t="str">
        <v/>
      </c>
      <c r="E989" s="51" t="str">
        <v/>
      </c>
      <c r="F989" s="52" t="e">
        <v>#REF!</v>
      </c>
      <c r="G989" s="48" t="e">
        <v>#REF!</v>
      </c>
      <c r="H989" s="49">
        <v>0</v>
      </c>
      <c r="I989" s="49" t="e">
        <v>#REF!</v>
      </c>
      <c r="J989" s="50"/>
    </row>
    <row r="990" outlineLevel="1" spans="1:10">
      <c r="A990" s="50">
        <v>81</v>
      </c>
      <c r="B990" s="51" t="str">
        <v>室外排水镀锌钢管-DN65</v>
      </c>
      <c r="C990" s="51" t="e">
        <v>#REF!</v>
      </c>
      <c r="D990" s="51" t="str">
        <v/>
      </c>
      <c r="E990" s="51" t="str">
        <v/>
      </c>
      <c r="F990" s="52" t="e">
        <v>#REF!</v>
      </c>
      <c r="G990" s="48" t="e">
        <v>#REF!</v>
      </c>
      <c r="H990" s="49">
        <v>0</v>
      </c>
      <c r="I990" s="49" t="e">
        <v>#REF!</v>
      </c>
      <c r="J990" s="50"/>
    </row>
    <row r="991" outlineLevel="1" spans="1:10">
      <c r="A991" s="50">
        <v>82</v>
      </c>
      <c r="B991" s="51" t="str">
        <v>室外排水镀锌钢管-DN80</v>
      </c>
      <c r="C991" s="51" t="e">
        <v>#REF!</v>
      </c>
      <c r="D991" s="51" t="str">
        <v/>
      </c>
      <c r="E991" s="51" t="str">
        <v/>
      </c>
      <c r="F991" s="52" t="e">
        <v>#REF!</v>
      </c>
      <c r="G991" s="48" t="e">
        <v>#REF!</v>
      </c>
      <c r="H991" s="49">
        <v>0</v>
      </c>
      <c r="I991" s="49" t="e">
        <v>#REF!</v>
      </c>
      <c r="J991" s="50"/>
    </row>
    <row r="992" outlineLevel="1" spans="1:10">
      <c r="A992" s="50">
        <v>83</v>
      </c>
      <c r="B992" s="51" t="str">
        <v>室外排水镀锌钢管-DN100</v>
      </c>
      <c r="C992" s="51" t="e">
        <v>#REF!</v>
      </c>
      <c r="D992" s="51" t="str">
        <v/>
      </c>
      <c r="E992" s="51" t="str">
        <v/>
      </c>
      <c r="F992" s="52" t="e">
        <v>#REF!</v>
      </c>
      <c r="G992" s="48" t="e">
        <v>#REF!</v>
      </c>
      <c r="H992" s="49">
        <v>0</v>
      </c>
      <c r="I992" s="49" t="e">
        <v>#REF!</v>
      </c>
      <c r="J992" s="50"/>
    </row>
    <row r="993" outlineLevel="1" spans="1:10">
      <c r="A993" s="50">
        <v>84</v>
      </c>
      <c r="B993" s="51" t="str">
        <v>室外排水镀锌钢管-DN125</v>
      </c>
      <c r="C993" s="51" t="e">
        <v>#REF!</v>
      </c>
      <c r="D993" s="51" t="str">
        <v/>
      </c>
      <c r="E993" s="51" t="str">
        <v/>
      </c>
      <c r="F993" s="52" t="e">
        <v>#REF!</v>
      </c>
      <c r="G993" s="48" t="e">
        <v>#REF!</v>
      </c>
      <c r="H993" s="49">
        <v>0</v>
      </c>
      <c r="I993" s="49" t="e">
        <v>#REF!</v>
      </c>
      <c r="J993" s="50"/>
    </row>
    <row r="994" outlineLevel="1" spans="1:10">
      <c r="A994" s="50">
        <v>85</v>
      </c>
      <c r="B994" s="51" t="str">
        <v>室外排水镀锌钢管-DN150</v>
      </c>
      <c r="C994" s="51" t="e">
        <v>#REF!</v>
      </c>
      <c r="D994" s="51" t="str">
        <v/>
      </c>
      <c r="E994" s="51" t="str">
        <v/>
      </c>
      <c r="F994" s="52" t="e">
        <v>#REF!</v>
      </c>
      <c r="G994" s="48" t="e">
        <v>#REF!</v>
      </c>
      <c r="H994" s="49">
        <v>0</v>
      </c>
      <c r="I994" s="49" t="e">
        <v>#REF!</v>
      </c>
      <c r="J994" s="50"/>
    </row>
    <row r="995" ht="28.8" outlineLevel="1" spans="1:10">
      <c r="A995" s="50">
        <v>86</v>
      </c>
      <c r="B995" s="51" t="str">
        <v>室外或埋地排水管-铸铁管-DN50</v>
      </c>
      <c r="C995" s="51" t="e">
        <v>#REF!</v>
      </c>
      <c r="D995" s="51" t="str">
        <v/>
      </c>
      <c r="E995" s="51" t="str">
        <v/>
      </c>
      <c r="F995" s="52" t="e">
        <v>#REF!</v>
      </c>
      <c r="G995" s="48" t="e">
        <v>#REF!</v>
      </c>
      <c r="H995" s="49">
        <v>0</v>
      </c>
      <c r="I995" s="49" t="e">
        <v>#REF!</v>
      </c>
      <c r="J995" s="50"/>
    </row>
    <row r="996" ht="28.8" outlineLevel="1" spans="1:10">
      <c r="A996" s="50">
        <v>87</v>
      </c>
      <c r="B996" s="51" t="str">
        <v>室外或埋地排水管-铸铁管-DN75</v>
      </c>
      <c r="C996" s="51" t="e">
        <v>#REF!</v>
      </c>
      <c r="D996" s="51" t="str">
        <v/>
      </c>
      <c r="E996" s="51" t="str">
        <v/>
      </c>
      <c r="F996" s="52" t="e">
        <v>#REF!</v>
      </c>
      <c r="G996" s="48" t="e">
        <v>#REF!</v>
      </c>
      <c r="H996" s="49">
        <v>0</v>
      </c>
      <c r="I996" s="49" t="e">
        <v>#REF!</v>
      </c>
      <c r="J996" s="50"/>
    </row>
    <row r="997" ht="28.8" outlineLevel="1" spans="1:10">
      <c r="A997" s="50">
        <v>88</v>
      </c>
      <c r="B997" s="51" t="str">
        <v>室外或埋地排水管-铸铁管-DN100</v>
      </c>
      <c r="C997" s="51" t="e">
        <v>#REF!</v>
      </c>
      <c r="D997" s="51" t="str">
        <v/>
      </c>
      <c r="E997" s="51" t="str">
        <v/>
      </c>
      <c r="F997" s="52" t="e">
        <v>#REF!</v>
      </c>
      <c r="G997" s="48" t="e">
        <v>#REF!</v>
      </c>
      <c r="H997" s="49">
        <v>0</v>
      </c>
      <c r="I997" s="49" t="e">
        <v>#REF!</v>
      </c>
      <c r="J997" s="50"/>
    </row>
    <row r="998" ht="28.8" outlineLevel="1" spans="1:10">
      <c r="A998" s="50">
        <v>89</v>
      </c>
      <c r="B998" s="51" t="str">
        <v>室外或埋地排水管-铸铁管-DN150</v>
      </c>
      <c r="C998" s="51" t="e">
        <v>#REF!</v>
      </c>
      <c r="D998" s="51" t="str">
        <v/>
      </c>
      <c r="E998" s="51" t="str">
        <v/>
      </c>
      <c r="F998" s="52" t="e">
        <v>#REF!</v>
      </c>
      <c r="G998" s="48" t="e">
        <v>#REF!</v>
      </c>
      <c r="H998" s="49">
        <v>0</v>
      </c>
      <c r="I998" s="49" t="e">
        <v>#REF!</v>
      </c>
      <c r="J998" s="50"/>
    </row>
    <row r="999" ht="28.8" outlineLevel="1" spans="1:10">
      <c r="A999" s="50">
        <v>90</v>
      </c>
      <c r="B999" s="51" t="str">
        <v>室内排水塑料管-加厚UPVC-De160</v>
      </c>
      <c r="C999" s="51" t="e">
        <v>#REF!</v>
      </c>
      <c r="D999" s="51" t="str">
        <v/>
      </c>
      <c r="E999" s="51" t="str">
        <v/>
      </c>
      <c r="F999" s="52" t="e">
        <v>#REF!</v>
      </c>
      <c r="G999" s="48" t="e">
        <v>#REF!</v>
      </c>
      <c r="H999" s="49">
        <v>0</v>
      </c>
      <c r="I999" s="49" t="e">
        <v>#REF!</v>
      </c>
      <c r="J999" s="50"/>
    </row>
    <row r="1000" ht="28.8" outlineLevel="1" spans="1:10">
      <c r="A1000" s="50">
        <v>91</v>
      </c>
      <c r="B1000" s="51" t="str">
        <v>室内排水塑料管-加厚UPVC-De110</v>
      </c>
      <c r="C1000" s="51" t="e">
        <v>#REF!</v>
      </c>
      <c r="D1000" s="51" t="str">
        <v/>
      </c>
      <c r="E1000" s="51" t="str">
        <v/>
      </c>
      <c r="F1000" s="52" t="e">
        <v>#REF!</v>
      </c>
      <c r="G1000" s="48" t="e">
        <v>#REF!</v>
      </c>
      <c r="H1000" s="49">
        <v>0</v>
      </c>
      <c r="I1000" s="49" t="e">
        <v>#REF!</v>
      </c>
      <c r="J1000" s="50"/>
    </row>
    <row r="1001" ht="28.8" outlineLevel="1" spans="1:10">
      <c r="A1001" s="50">
        <v>92</v>
      </c>
      <c r="B1001" s="51" t="str">
        <v>室内排水塑料管-加厚UPVC-De75</v>
      </c>
      <c r="C1001" s="51" t="e">
        <v>#REF!</v>
      </c>
      <c r="D1001" s="51" t="str">
        <v/>
      </c>
      <c r="E1001" s="51" t="str">
        <v/>
      </c>
      <c r="F1001" s="52" t="e">
        <v>#REF!</v>
      </c>
      <c r="G1001" s="48" t="e">
        <v>#REF!</v>
      </c>
      <c r="H1001" s="49">
        <v>0</v>
      </c>
      <c r="I1001" s="49" t="e">
        <v>#REF!</v>
      </c>
      <c r="J1001" s="50"/>
    </row>
    <row r="1002" ht="28.8" outlineLevel="1" spans="1:10">
      <c r="A1002" s="50">
        <v>93</v>
      </c>
      <c r="B1002" s="51" t="str">
        <v>室内排水塑料管-消音UPVC-De110</v>
      </c>
      <c r="C1002" s="51" t="e">
        <v>#REF!</v>
      </c>
      <c r="D1002" s="51" t="str">
        <v/>
      </c>
      <c r="E1002" s="51" t="str">
        <v/>
      </c>
      <c r="F1002" s="52" t="e">
        <v>#REF!</v>
      </c>
      <c r="G1002" s="48" t="e">
        <v>#REF!</v>
      </c>
      <c r="H1002" s="49">
        <v>7.6</v>
      </c>
      <c r="I1002" s="49" t="e">
        <v>#REF!</v>
      </c>
      <c r="J1002" s="50"/>
    </row>
    <row r="1003" ht="28.8" outlineLevel="1" spans="1:10">
      <c r="A1003" s="50">
        <v>94</v>
      </c>
      <c r="B1003" s="51" t="str">
        <v>室内排水塑料管-消音UPVC-De75</v>
      </c>
      <c r="C1003" s="51" t="e">
        <v>#REF!</v>
      </c>
      <c r="D1003" s="51" t="str">
        <v/>
      </c>
      <c r="E1003" s="51" t="str">
        <v/>
      </c>
      <c r="F1003" s="52" t="e">
        <v>#REF!</v>
      </c>
      <c r="G1003" s="48" t="e">
        <v>#REF!</v>
      </c>
      <c r="H1003" s="49">
        <v>0</v>
      </c>
      <c r="I1003" s="49" t="e">
        <v>#REF!</v>
      </c>
      <c r="J1003" s="50"/>
    </row>
    <row r="1004" ht="28.8" outlineLevel="1" spans="1:10">
      <c r="A1004" s="50">
        <v>95</v>
      </c>
      <c r="B1004" s="51" t="str">
        <v>室内排水塑料管-UPVC-De110</v>
      </c>
      <c r="C1004" s="51" t="e">
        <v>#REF!</v>
      </c>
      <c r="D1004" s="51" t="str">
        <v/>
      </c>
      <c r="E1004" s="51" t="str">
        <v/>
      </c>
      <c r="F1004" s="52" t="e">
        <v>#REF!</v>
      </c>
      <c r="G1004" s="48" t="e">
        <v>#REF!</v>
      </c>
      <c r="H1004" s="49">
        <v>59.062</v>
      </c>
      <c r="I1004" s="49" t="e">
        <v>#REF!</v>
      </c>
      <c r="J1004" s="50"/>
    </row>
    <row r="1005" ht="28.8" outlineLevel="1" spans="1:10">
      <c r="A1005" s="50">
        <v>96</v>
      </c>
      <c r="B1005" s="51" t="str">
        <v>室内排水塑料管-UPVC-De75</v>
      </c>
      <c r="C1005" s="51" t="e">
        <v>#REF!</v>
      </c>
      <c r="D1005" s="51" t="str">
        <v/>
      </c>
      <c r="E1005" s="51" t="str">
        <v/>
      </c>
      <c r="F1005" s="52" t="e">
        <v>#REF!</v>
      </c>
      <c r="G1005" s="48" t="e">
        <v>#REF!</v>
      </c>
      <c r="H1005" s="49">
        <v>18.953</v>
      </c>
      <c r="I1005" s="49" t="e">
        <v>#REF!</v>
      </c>
      <c r="J1005" s="50"/>
    </row>
    <row r="1006" ht="28.8" outlineLevel="1" spans="1:10">
      <c r="A1006" s="50">
        <v>97</v>
      </c>
      <c r="B1006" s="51" t="str">
        <v>室内排水塑料管-UPVC-De50</v>
      </c>
      <c r="C1006" s="51" t="e">
        <v>#REF!</v>
      </c>
      <c r="D1006" s="51" t="str">
        <v/>
      </c>
      <c r="E1006" s="51" t="str">
        <v/>
      </c>
      <c r="F1006" s="52" t="e">
        <v>#REF!</v>
      </c>
      <c r="G1006" s="48" t="e">
        <v>#REF!</v>
      </c>
      <c r="H1006" s="49">
        <v>58.445</v>
      </c>
      <c r="I1006" s="49" t="e">
        <v>#REF!</v>
      </c>
      <c r="J1006" s="50"/>
    </row>
    <row r="1007" outlineLevel="1" spans="1:10">
      <c r="A1007" s="50">
        <v>98</v>
      </c>
      <c r="B1007" s="51" t="str">
        <v>室内排水镀锌钢管-DN100</v>
      </c>
      <c r="C1007" s="51" t="e">
        <v>#REF!</v>
      </c>
      <c r="D1007" s="51" t="str">
        <v/>
      </c>
      <c r="E1007" s="51" t="str">
        <v/>
      </c>
      <c r="F1007" s="52" t="e">
        <v>#REF!</v>
      </c>
      <c r="G1007" s="48" t="e">
        <v>#REF!</v>
      </c>
      <c r="H1007" s="49">
        <v>0</v>
      </c>
      <c r="I1007" s="49" t="e">
        <v>#REF!</v>
      </c>
      <c r="J1007" s="50"/>
    </row>
    <row r="1008" outlineLevel="1" spans="1:10">
      <c r="A1008" s="50">
        <v>99</v>
      </c>
      <c r="B1008" s="51" t="str">
        <v>室内排水镀锌钢管-DN80</v>
      </c>
      <c r="C1008" s="51" t="e">
        <v>#REF!</v>
      </c>
      <c r="D1008" s="51" t="str">
        <v/>
      </c>
      <c r="E1008" s="51" t="str">
        <v/>
      </c>
      <c r="F1008" s="52" t="e">
        <v>#REF!</v>
      </c>
      <c r="G1008" s="48" t="e">
        <v>#REF!</v>
      </c>
      <c r="H1008" s="49">
        <v>12.09</v>
      </c>
      <c r="I1008" s="49" t="e">
        <v>#REF!</v>
      </c>
      <c r="J1008" s="50"/>
    </row>
    <row r="1009" outlineLevel="1" spans="1:10">
      <c r="A1009" s="50">
        <v>100</v>
      </c>
      <c r="B1009" s="51" t="str">
        <v>室内排水镀锌钢管-DN65</v>
      </c>
      <c r="C1009" s="51" t="e">
        <v>#REF!</v>
      </c>
      <c r="D1009" s="51" t="str">
        <v/>
      </c>
      <c r="E1009" s="51" t="str">
        <v/>
      </c>
      <c r="F1009" s="52" t="e">
        <v>#REF!</v>
      </c>
      <c r="G1009" s="48" t="e">
        <v>#REF!</v>
      </c>
      <c r="H1009" s="49">
        <v>11.25</v>
      </c>
      <c r="I1009" s="49" t="e">
        <v>#REF!</v>
      </c>
      <c r="J1009" s="50"/>
    </row>
    <row r="1010" outlineLevel="1" spans="1:10">
      <c r="A1010" s="50">
        <v>101</v>
      </c>
      <c r="B1010" s="51" t="str">
        <v>室内排水镀锌钢管-DN50</v>
      </c>
      <c r="C1010" s="51" t="e">
        <v>#REF!</v>
      </c>
      <c r="D1010" s="51" t="str">
        <v/>
      </c>
      <c r="E1010" s="51" t="str">
        <v/>
      </c>
      <c r="F1010" s="52" t="e">
        <v>#REF!</v>
      </c>
      <c r="G1010" s="48" t="e">
        <v>#REF!</v>
      </c>
      <c r="H1010" s="49">
        <v>2.585</v>
      </c>
      <c r="I1010" s="49" t="e">
        <v>#REF!</v>
      </c>
      <c r="J1010" s="50"/>
    </row>
    <row r="1011" outlineLevel="1" spans="1:10">
      <c r="A1011" s="50">
        <v>102</v>
      </c>
      <c r="B1011" s="51" t="str">
        <v>室内排水管-铸铁管-DN50</v>
      </c>
      <c r="C1011" s="51" t="e">
        <v>#REF!</v>
      </c>
      <c r="D1011" s="51" t="str">
        <v/>
      </c>
      <c r="E1011" s="51" t="str">
        <v/>
      </c>
      <c r="F1011" s="52" t="e">
        <v>#REF!</v>
      </c>
      <c r="G1011" s="48" t="e">
        <v>#REF!</v>
      </c>
      <c r="H1011" s="49">
        <v>0</v>
      </c>
      <c r="I1011" s="49" t="e">
        <v>#REF!</v>
      </c>
      <c r="J1011" s="50"/>
    </row>
    <row r="1012" outlineLevel="1" spans="1:10">
      <c r="A1012" s="50">
        <v>103</v>
      </c>
      <c r="B1012" s="51" t="str">
        <v>室内排水管-铸铁管-DN75</v>
      </c>
      <c r="C1012" s="51" t="e">
        <v>#REF!</v>
      </c>
      <c r="D1012" s="51" t="str">
        <v/>
      </c>
      <c r="E1012" s="51" t="str">
        <v/>
      </c>
      <c r="F1012" s="52" t="e">
        <v>#REF!</v>
      </c>
      <c r="G1012" s="48" t="e">
        <v>#REF!</v>
      </c>
      <c r="H1012" s="49">
        <v>0</v>
      </c>
      <c r="I1012" s="49" t="e">
        <v>#REF!</v>
      </c>
      <c r="J1012" s="50"/>
    </row>
    <row r="1013" ht="28.8" outlineLevel="1" spans="1:10">
      <c r="A1013" s="50">
        <v>104</v>
      </c>
      <c r="B1013" s="51" t="str">
        <v>室内排水管-铸铁管-DN100</v>
      </c>
      <c r="C1013" s="51" t="e">
        <v>#REF!</v>
      </c>
      <c r="D1013" s="51" t="str">
        <v/>
      </c>
      <c r="E1013" s="51" t="str">
        <v/>
      </c>
      <c r="F1013" s="52" t="e">
        <v>#REF!</v>
      </c>
      <c r="G1013" s="48" t="e">
        <v>#REF!</v>
      </c>
      <c r="H1013" s="49">
        <v>0</v>
      </c>
      <c r="I1013" s="49" t="e">
        <v>#REF!</v>
      </c>
      <c r="J1013" s="50"/>
    </row>
    <row r="1014" ht="28.8" outlineLevel="1" spans="1:10">
      <c r="A1014" s="50">
        <v>105</v>
      </c>
      <c r="B1014" s="51" t="str">
        <v>室内排水管-铸铁管-DN150</v>
      </c>
      <c r="C1014" s="51" t="e">
        <v>#REF!</v>
      </c>
      <c r="D1014" s="51" t="str">
        <v/>
      </c>
      <c r="E1014" s="51" t="str">
        <v/>
      </c>
      <c r="F1014" s="52" t="e">
        <v>#REF!</v>
      </c>
      <c r="G1014" s="48" t="e">
        <v>#REF!</v>
      </c>
      <c r="H1014" s="49">
        <v>0</v>
      </c>
      <c r="I1014" s="49" t="e">
        <v>#REF!</v>
      </c>
      <c r="J1014" s="50"/>
    </row>
    <row r="1015" ht="28.8" outlineLevel="1" spans="1:10">
      <c r="A1015" s="50">
        <v>106</v>
      </c>
      <c r="B1015" s="51" t="str">
        <v>室内排水管-铸铁管-DN200</v>
      </c>
      <c r="C1015" s="51" t="e">
        <v>#REF!</v>
      </c>
      <c r="D1015" s="51" t="str">
        <v/>
      </c>
      <c r="E1015" s="51" t="str">
        <v/>
      </c>
      <c r="F1015" s="52" t="e">
        <v>#REF!</v>
      </c>
      <c r="G1015" s="48" t="e">
        <v>#REF!</v>
      </c>
      <c r="H1015" s="49">
        <v>0</v>
      </c>
      <c r="I1015" s="49" t="e">
        <v>#REF!</v>
      </c>
      <c r="J1015" s="50"/>
    </row>
    <row r="1016" ht="28.8" outlineLevel="1" spans="1:10">
      <c r="A1016" s="50">
        <v>107</v>
      </c>
      <c r="B1016" s="51" t="str">
        <v>车库内埋地排水管-铸铁管-DN200</v>
      </c>
      <c r="C1016" s="51" t="e">
        <v>#REF!</v>
      </c>
      <c r="D1016" s="51" t="str">
        <v/>
      </c>
      <c r="E1016" s="51" t="str">
        <v/>
      </c>
      <c r="F1016" s="52" t="e">
        <v>#REF!</v>
      </c>
      <c r="G1016" s="48" t="e">
        <v>#REF!</v>
      </c>
      <c r="H1016" s="49">
        <v>0</v>
      </c>
      <c r="I1016" s="49" t="e">
        <v>#REF!</v>
      </c>
      <c r="J1016" s="50"/>
    </row>
    <row r="1017" outlineLevel="1" spans="1:10">
      <c r="A1017" s="50">
        <v>108</v>
      </c>
      <c r="B1017" s="51" t="str">
        <v>土方开挖回填</v>
      </c>
      <c r="C1017" s="51" t="e">
        <v>#REF!</v>
      </c>
      <c r="D1017" s="51" t="str">
        <v/>
      </c>
      <c r="E1017" s="51" t="str">
        <v/>
      </c>
      <c r="F1017" s="52" t="e">
        <v>#REF!</v>
      </c>
      <c r="G1017" s="48" t="e">
        <v>#REF!</v>
      </c>
      <c r="H1017" s="49">
        <v>0</v>
      </c>
      <c r="I1017" s="49" t="e">
        <v>#REF!</v>
      </c>
      <c r="J1017" s="50"/>
    </row>
    <row r="1018" outlineLevel="1" spans="1:10">
      <c r="A1018" s="50" t="str">
        <v/>
      </c>
      <c r="B1018" s="51" t="str">
        <v>B.02.3绝热</v>
      </c>
      <c r="C1018" s="51" t="str">
        <v/>
      </c>
      <c r="D1018" s="51" t="str">
        <v/>
      </c>
      <c r="E1018" s="51" t="str">
        <v/>
      </c>
      <c r="F1018" s="52" t="str">
        <v/>
      </c>
      <c r="G1018" s="48" t="str">
        <v/>
      </c>
      <c r="H1018" s="49">
        <v>0</v>
      </c>
      <c r="I1018" s="49" t="e">
        <v>#REF!</v>
      </c>
      <c r="J1018" s="50"/>
    </row>
    <row r="1019" outlineLevel="1" spans="1:10">
      <c r="A1019" s="50">
        <v>109</v>
      </c>
      <c r="B1019" s="51" t="str">
        <v>塑料带保护层</v>
      </c>
      <c r="C1019" s="51" t="e">
        <v>#REF!</v>
      </c>
      <c r="D1019" s="51" t="str">
        <v/>
      </c>
      <c r="E1019" s="51" t="str">
        <v/>
      </c>
      <c r="F1019" s="52" t="e">
        <v>#REF!</v>
      </c>
      <c r="G1019" s="48" t="e">
        <v>#REF!</v>
      </c>
      <c r="H1019" s="49">
        <v>0</v>
      </c>
      <c r="I1019" s="49" t="e">
        <v>#REF!</v>
      </c>
      <c r="J1019" s="50"/>
    </row>
    <row r="1020" outlineLevel="1" spans="1:10">
      <c r="A1020" s="50">
        <v>110</v>
      </c>
      <c r="B1020" s="51" t="str">
        <v>管道绝热</v>
      </c>
      <c r="C1020" s="51" t="e">
        <v>#REF!</v>
      </c>
      <c r="D1020" s="51" t="str">
        <v/>
      </c>
      <c r="E1020" s="51" t="str">
        <v/>
      </c>
      <c r="F1020" s="52" t="e">
        <v>#REF!</v>
      </c>
      <c r="G1020" s="48" t="e">
        <v>#REF!</v>
      </c>
      <c r="H1020" s="49">
        <v>0.354</v>
      </c>
      <c r="I1020" s="49" t="e">
        <v>#REF!</v>
      </c>
      <c r="J1020" s="50"/>
    </row>
    <row r="1021" outlineLevel="1" spans="1:10">
      <c r="A1021" s="50" t="str">
        <v/>
      </c>
      <c r="B1021" s="51" t="str">
        <v>B.02.4设备</v>
      </c>
      <c r="C1021" s="51" t="str">
        <v/>
      </c>
      <c r="D1021" s="51" t="str">
        <v/>
      </c>
      <c r="E1021" s="51" t="str">
        <v/>
      </c>
      <c r="F1021" s="52" t="str">
        <v/>
      </c>
      <c r="G1021" s="48" t="str">
        <v/>
      </c>
      <c r="H1021" s="49">
        <v>0</v>
      </c>
      <c r="I1021" s="49" t="e">
        <v>#REF!</v>
      </c>
      <c r="J1021" s="50"/>
    </row>
    <row r="1022" outlineLevel="1" spans="1:10">
      <c r="A1022" s="50">
        <v>111</v>
      </c>
      <c r="B1022" s="51" t="str">
        <v>潜水排污泵1</v>
      </c>
      <c r="C1022" s="51" t="e">
        <v>#REF!</v>
      </c>
      <c r="D1022" s="51" t="str">
        <v/>
      </c>
      <c r="E1022" s="51" t="str">
        <v/>
      </c>
      <c r="F1022" s="52" t="e">
        <v>#REF!</v>
      </c>
      <c r="G1022" s="48" t="e">
        <v>#REF!</v>
      </c>
      <c r="H1022" s="49">
        <v>0</v>
      </c>
      <c r="I1022" s="49" t="e">
        <v>#REF!</v>
      </c>
      <c r="J1022" s="50"/>
    </row>
    <row r="1023" outlineLevel="1" spans="1:10">
      <c r="A1023" s="50">
        <v>112</v>
      </c>
      <c r="B1023" s="51" t="str">
        <v>潜水排污泵2</v>
      </c>
      <c r="C1023" s="51" t="e">
        <v>#REF!</v>
      </c>
      <c r="D1023" s="51" t="str">
        <v/>
      </c>
      <c r="E1023" s="51" t="str">
        <v/>
      </c>
      <c r="F1023" s="52" t="e">
        <v>#REF!</v>
      </c>
      <c r="G1023" s="48" t="e">
        <v>#REF!</v>
      </c>
      <c r="H1023" s="49">
        <v>2</v>
      </c>
      <c r="I1023" s="49" t="e">
        <v>#REF!</v>
      </c>
      <c r="J1023" s="50"/>
    </row>
    <row r="1024" outlineLevel="1" spans="1:10">
      <c r="A1024" s="50">
        <v>113</v>
      </c>
      <c r="B1024" s="51" t="str">
        <v>潜水排污泵3</v>
      </c>
      <c r="C1024" s="51" t="e">
        <v>#REF!</v>
      </c>
      <c r="D1024" s="51" t="str">
        <v/>
      </c>
      <c r="E1024" s="51" t="str">
        <v/>
      </c>
      <c r="F1024" s="52" t="e">
        <v>#REF!</v>
      </c>
      <c r="G1024" s="48" t="e">
        <v>#REF!</v>
      </c>
      <c r="H1024" s="49">
        <v>0</v>
      </c>
      <c r="I1024" s="49" t="e">
        <v>#REF!</v>
      </c>
      <c r="J1024" s="50"/>
    </row>
    <row r="1025" outlineLevel="1" spans="1:10">
      <c r="A1025" s="50">
        <v>114</v>
      </c>
      <c r="B1025" s="51" t="str">
        <v>潜水排污泵4</v>
      </c>
      <c r="C1025" s="51" t="e">
        <v>#REF!</v>
      </c>
      <c r="D1025" s="51" t="str">
        <v/>
      </c>
      <c r="E1025" s="51" t="str">
        <v/>
      </c>
      <c r="F1025" s="52" t="e">
        <v>#REF!</v>
      </c>
      <c r="G1025" s="48" t="e">
        <v>#REF!</v>
      </c>
      <c r="H1025" s="49">
        <v>0</v>
      </c>
      <c r="I1025" s="49" t="e">
        <v>#REF!</v>
      </c>
      <c r="J1025" s="50"/>
    </row>
    <row r="1026" outlineLevel="1" spans="1:10">
      <c r="A1026" s="50">
        <v>115</v>
      </c>
      <c r="B1026" s="51" t="str">
        <v>潜水排污泵5</v>
      </c>
      <c r="C1026" s="51" t="e">
        <v>#REF!</v>
      </c>
      <c r="D1026" s="51" t="str">
        <v/>
      </c>
      <c r="E1026" s="51" t="str">
        <v/>
      </c>
      <c r="F1026" s="52" t="e">
        <v>#REF!</v>
      </c>
      <c r="G1026" s="48" t="e">
        <v>#REF!</v>
      </c>
      <c r="H1026" s="49">
        <v>0</v>
      </c>
      <c r="I1026" s="49" t="e">
        <v>#REF!</v>
      </c>
      <c r="J1026" s="50"/>
    </row>
    <row r="1027" outlineLevel="1" spans="1:10">
      <c r="A1027" s="50">
        <v>116</v>
      </c>
      <c r="B1027" s="51" t="str">
        <v>潜水排污泵6</v>
      </c>
      <c r="C1027" s="51" t="e">
        <v>#REF!</v>
      </c>
      <c r="D1027" s="51" t="str">
        <v/>
      </c>
      <c r="E1027" s="51" t="str">
        <v/>
      </c>
      <c r="F1027" s="52" t="e">
        <v>#REF!</v>
      </c>
      <c r="G1027" s="48" t="e">
        <v>#REF!</v>
      </c>
      <c r="H1027" s="49">
        <v>0</v>
      </c>
      <c r="I1027" s="49" t="e">
        <v>#REF!</v>
      </c>
      <c r="J1027" s="50"/>
    </row>
    <row r="1028" outlineLevel="1" spans="1:10">
      <c r="A1028" s="50">
        <v>117</v>
      </c>
      <c r="B1028" s="51" t="str">
        <v>潜水排污泵7</v>
      </c>
      <c r="C1028" s="51" t="e">
        <v>#REF!</v>
      </c>
      <c r="D1028" s="51" t="str">
        <v/>
      </c>
      <c r="E1028" s="51" t="str">
        <v/>
      </c>
      <c r="F1028" s="52" t="e">
        <v>#REF!</v>
      </c>
      <c r="G1028" s="48" t="e">
        <v>#REF!</v>
      </c>
      <c r="H1028" s="49">
        <v>0</v>
      </c>
      <c r="I1028" s="49" t="e">
        <v>#REF!</v>
      </c>
      <c r="J1028" s="50"/>
    </row>
    <row r="1029" outlineLevel="1" spans="1:10">
      <c r="A1029" s="50">
        <v>118</v>
      </c>
      <c r="B1029" s="51" t="str">
        <v>潜水排污泵8</v>
      </c>
      <c r="C1029" s="51" t="e">
        <v>#REF!</v>
      </c>
      <c r="D1029" s="51" t="str">
        <v/>
      </c>
      <c r="E1029" s="51" t="str">
        <v/>
      </c>
      <c r="F1029" s="52" t="e">
        <v>#REF!</v>
      </c>
      <c r="G1029" s="48" t="e">
        <v>#REF!</v>
      </c>
      <c r="H1029" s="49">
        <v>0</v>
      </c>
      <c r="I1029" s="49" t="e">
        <v>#REF!</v>
      </c>
      <c r="J1029" s="50"/>
    </row>
    <row r="1030" outlineLevel="1" spans="1:10">
      <c r="A1030" s="50">
        <v>119</v>
      </c>
      <c r="B1030" s="51" t="str">
        <v>潜水排污泵9</v>
      </c>
      <c r="C1030" s="51" t="e">
        <v>#REF!</v>
      </c>
      <c r="D1030" s="51" t="str">
        <v/>
      </c>
      <c r="E1030" s="51" t="str">
        <v/>
      </c>
      <c r="F1030" s="52" t="e">
        <v>#REF!</v>
      </c>
      <c r="G1030" s="48" t="e">
        <v>#REF!</v>
      </c>
      <c r="H1030" s="49">
        <v>0</v>
      </c>
      <c r="I1030" s="49" t="e">
        <v>#REF!</v>
      </c>
      <c r="J1030" s="50"/>
    </row>
    <row r="1031" outlineLevel="1" spans="1:10">
      <c r="A1031" s="50">
        <v>120</v>
      </c>
      <c r="B1031" s="51" t="str">
        <v>潜水排污泵10</v>
      </c>
      <c r="C1031" s="51" t="e">
        <v>#REF!</v>
      </c>
      <c r="D1031" s="51" t="str">
        <v/>
      </c>
      <c r="E1031" s="51" t="str">
        <v/>
      </c>
      <c r="F1031" s="52" t="e">
        <v>#REF!</v>
      </c>
      <c r="G1031" s="48" t="e">
        <v>#REF!</v>
      </c>
      <c r="H1031" s="49">
        <v>0</v>
      </c>
      <c r="I1031" s="49" t="e">
        <v>#REF!</v>
      </c>
      <c r="J1031" s="50"/>
    </row>
    <row r="1032" outlineLevel="1" spans="1:10">
      <c r="A1032" s="50">
        <v>121</v>
      </c>
      <c r="B1032" s="51" t="str">
        <v>潜水排污泵11</v>
      </c>
      <c r="C1032" s="51" t="e">
        <v>#REF!</v>
      </c>
      <c r="D1032" s="51" t="str">
        <v/>
      </c>
      <c r="E1032" s="51" t="str">
        <v/>
      </c>
      <c r="F1032" s="52" t="e">
        <v>#REF!</v>
      </c>
      <c r="G1032" s="48" t="e">
        <v>#REF!</v>
      </c>
      <c r="H1032" s="49">
        <v>0</v>
      </c>
      <c r="I1032" s="49" t="e">
        <v>#REF!</v>
      </c>
      <c r="J1032" s="50"/>
    </row>
    <row r="1033" outlineLevel="1" spans="1:10">
      <c r="A1033" s="50">
        <v>122</v>
      </c>
      <c r="B1033" s="51" t="str">
        <v>自耦装置</v>
      </c>
      <c r="C1033" s="51" t="e">
        <v>#REF!</v>
      </c>
      <c r="D1033" s="51" t="str">
        <v/>
      </c>
      <c r="E1033" s="51" t="str">
        <v/>
      </c>
      <c r="F1033" s="52" t="e">
        <v>#REF!</v>
      </c>
      <c r="G1033" s="48" t="e">
        <v>#REF!</v>
      </c>
      <c r="H1033" s="49">
        <v>0</v>
      </c>
      <c r="I1033" s="49" t="e">
        <v>#REF!</v>
      </c>
      <c r="J1033" s="50"/>
    </row>
    <row r="1034" outlineLevel="1" spans="1:10">
      <c r="A1034" s="50" t="str">
        <v/>
      </c>
      <c r="B1034" s="51" t="str">
        <v>B.02.5卫生器具</v>
      </c>
      <c r="C1034" s="51" t="str">
        <v/>
      </c>
      <c r="D1034" s="51" t="str">
        <v/>
      </c>
      <c r="E1034" s="51" t="str">
        <v/>
      </c>
      <c r="F1034" s="52" t="str">
        <v/>
      </c>
      <c r="G1034" s="48" t="str">
        <v/>
      </c>
      <c r="H1034" s="49">
        <v>0</v>
      </c>
      <c r="I1034" s="49" t="e">
        <v>#REF!</v>
      </c>
      <c r="J1034" s="50"/>
    </row>
    <row r="1035" outlineLevel="1" spans="1:10">
      <c r="A1035" s="50">
        <v>123</v>
      </c>
      <c r="B1035" s="51" t="str">
        <v>铸铁地漏-DN100</v>
      </c>
      <c r="C1035" s="51" t="e">
        <v>#REF!</v>
      </c>
      <c r="D1035" s="51" t="str">
        <v/>
      </c>
      <c r="E1035" s="51" t="str">
        <v/>
      </c>
      <c r="F1035" s="52" t="e">
        <v>#REF!</v>
      </c>
      <c r="G1035" s="48" t="e">
        <v>#REF!</v>
      </c>
      <c r="H1035" s="49">
        <v>0</v>
      </c>
      <c r="I1035" s="49" t="e">
        <v>#REF!</v>
      </c>
      <c r="J1035" s="50"/>
    </row>
    <row r="1036" outlineLevel="1" spans="1:10">
      <c r="A1036" s="50">
        <v>124</v>
      </c>
      <c r="B1036" s="51" t="str">
        <v>铸铁地漏-DN75</v>
      </c>
      <c r="C1036" s="51" t="e">
        <v>#REF!</v>
      </c>
      <c r="D1036" s="51" t="str">
        <v/>
      </c>
      <c r="E1036" s="51" t="str">
        <v/>
      </c>
      <c r="F1036" s="52" t="e">
        <v>#REF!</v>
      </c>
      <c r="G1036" s="48" t="e">
        <v>#REF!</v>
      </c>
      <c r="H1036" s="49">
        <v>1</v>
      </c>
      <c r="I1036" s="49" t="e">
        <v>#REF!</v>
      </c>
      <c r="J1036" s="50"/>
    </row>
    <row r="1037" outlineLevel="1" spans="1:10">
      <c r="A1037" s="50">
        <v>125</v>
      </c>
      <c r="B1037" s="51" t="str">
        <v>铸铁地漏-DN50</v>
      </c>
      <c r="C1037" s="51" t="e">
        <v>#REF!</v>
      </c>
      <c r="D1037" s="51" t="str">
        <v/>
      </c>
      <c r="E1037" s="51" t="str">
        <v/>
      </c>
      <c r="F1037" s="52" t="e">
        <v>#REF!</v>
      </c>
      <c r="G1037" s="48" t="e">
        <v>#REF!</v>
      </c>
      <c r="H1037" s="49">
        <v>0</v>
      </c>
      <c r="I1037" s="49" t="e">
        <v>#REF!</v>
      </c>
      <c r="J1037" s="50"/>
    </row>
    <row r="1038" outlineLevel="1" spans="1:10">
      <c r="A1038" s="50">
        <v>126</v>
      </c>
      <c r="B1038" s="51" t="str">
        <v>防爆地漏-DN80</v>
      </c>
      <c r="C1038" s="51" t="e">
        <v>#REF!</v>
      </c>
      <c r="D1038" s="51" t="str">
        <v/>
      </c>
      <c r="E1038" s="51" t="str">
        <v/>
      </c>
      <c r="F1038" s="52" t="e">
        <v>#REF!</v>
      </c>
      <c r="G1038" s="48" t="e">
        <v>#REF!</v>
      </c>
      <c r="H1038" s="49">
        <v>0</v>
      </c>
      <c r="I1038" s="49" t="e">
        <v>#REF!</v>
      </c>
      <c r="J1038" s="50"/>
    </row>
    <row r="1039" outlineLevel="1" spans="1:10">
      <c r="A1039" s="50">
        <v>127</v>
      </c>
      <c r="B1039" s="51" t="str">
        <v>地面铸铁扫除口-DN80</v>
      </c>
      <c r="C1039" s="51" t="e">
        <v>#REF!</v>
      </c>
      <c r="D1039" s="51" t="str">
        <v/>
      </c>
      <c r="E1039" s="51" t="str">
        <v/>
      </c>
      <c r="F1039" s="52" t="e">
        <v>#REF!</v>
      </c>
      <c r="G1039" s="48" t="e">
        <v>#REF!</v>
      </c>
      <c r="H1039" s="49">
        <v>0</v>
      </c>
      <c r="I1039" s="49" t="e">
        <v>#REF!</v>
      </c>
      <c r="J1039" s="50"/>
    </row>
    <row r="1040" outlineLevel="1" spans="1:10">
      <c r="A1040" s="50" t="str">
        <v/>
      </c>
      <c r="B1040" s="51" t="str">
        <v>B.03地下预留预埋</v>
      </c>
      <c r="C1040" s="51" t="str">
        <v/>
      </c>
      <c r="D1040" s="51" t="str">
        <v/>
      </c>
      <c r="E1040" s="51" t="str">
        <v/>
      </c>
      <c r="F1040" s="52" t="str">
        <v/>
      </c>
      <c r="G1040" s="48" t="str">
        <v/>
      </c>
      <c r="H1040" s="49">
        <v>0</v>
      </c>
      <c r="I1040" s="49" t="e">
        <v>#REF!</v>
      </c>
      <c r="J1040" s="50"/>
    </row>
    <row r="1041" outlineLevel="1" spans="1:10">
      <c r="A1041" s="50" t="str">
        <v/>
      </c>
      <c r="B1041" s="51" t="str">
        <v>B.03.1给排水预留预埋</v>
      </c>
      <c r="C1041" s="51" t="str">
        <v/>
      </c>
      <c r="D1041" s="51" t="str">
        <v/>
      </c>
      <c r="E1041" s="51" t="str">
        <v/>
      </c>
      <c r="F1041" s="52" t="str">
        <v/>
      </c>
      <c r="G1041" s="48" t="str">
        <v/>
      </c>
      <c r="H1041" s="49">
        <v>0</v>
      </c>
      <c r="I1041" s="49" t="e">
        <v>#REF!</v>
      </c>
      <c r="J1041" s="50"/>
    </row>
    <row r="1042" outlineLevel="1" spans="1:10">
      <c r="A1042" s="50">
        <v>128</v>
      </c>
      <c r="B1042" s="51" t="str">
        <v>刚性防水套管-DN20</v>
      </c>
      <c r="C1042" s="51" t="e">
        <v>#REF!</v>
      </c>
      <c r="D1042" s="51" t="str">
        <v/>
      </c>
      <c r="E1042" s="51" t="str">
        <v/>
      </c>
      <c r="F1042" s="52" t="e">
        <v>#REF!</v>
      </c>
      <c r="G1042" s="48" t="e">
        <v>#REF!</v>
      </c>
      <c r="H1042" s="49">
        <v>0</v>
      </c>
      <c r="I1042" s="49" t="e">
        <v>#REF!</v>
      </c>
      <c r="J1042" s="50"/>
    </row>
    <row r="1043" outlineLevel="1" spans="1:10">
      <c r="A1043" s="50">
        <v>129</v>
      </c>
      <c r="B1043" s="51" t="str">
        <v>刚性防水套管-DN50</v>
      </c>
      <c r="C1043" s="51" t="e">
        <v>#REF!</v>
      </c>
      <c r="D1043" s="51" t="str">
        <v/>
      </c>
      <c r="E1043" s="51" t="str">
        <v/>
      </c>
      <c r="F1043" s="52" t="e">
        <v>#REF!</v>
      </c>
      <c r="G1043" s="48" t="e">
        <v>#REF!</v>
      </c>
      <c r="H1043" s="49">
        <v>0</v>
      </c>
      <c r="I1043" s="49" t="e">
        <v>#REF!</v>
      </c>
      <c r="J1043" s="50"/>
    </row>
    <row r="1044" outlineLevel="1" spans="1:10">
      <c r="A1044" s="50">
        <v>130</v>
      </c>
      <c r="B1044" s="51" t="str">
        <v>刚性防水套管-De63</v>
      </c>
      <c r="C1044" s="51" t="e">
        <v>#REF!</v>
      </c>
      <c r="D1044" s="51" t="str">
        <v/>
      </c>
      <c r="E1044" s="51" t="str">
        <v/>
      </c>
      <c r="F1044" s="52" t="e">
        <v>#REF!</v>
      </c>
      <c r="G1044" s="48" t="e">
        <v>#REF!</v>
      </c>
      <c r="H1044" s="49">
        <v>0</v>
      </c>
      <c r="I1044" s="49" t="e">
        <v>#REF!</v>
      </c>
      <c r="J1044" s="50"/>
    </row>
    <row r="1045" outlineLevel="1" spans="1:10">
      <c r="A1045" s="50">
        <v>131</v>
      </c>
      <c r="B1045" s="51" t="str">
        <v>刚性防水套管-De75</v>
      </c>
      <c r="C1045" s="51" t="e">
        <v>#REF!</v>
      </c>
      <c r="D1045" s="51" t="str">
        <v/>
      </c>
      <c r="E1045" s="51" t="str">
        <v/>
      </c>
      <c r="F1045" s="52" t="e">
        <v>#REF!</v>
      </c>
      <c r="G1045" s="48" t="e">
        <v>#REF!</v>
      </c>
      <c r="H1045" s="49">
        <v>5</v>
      </c>
      <c r="I1045" s="49" t="e">
        <v>#REF!</v>
      </c>
      <c r="J1045" s="50"/>
    </row>
    <row r="1046" outlineLevel="1" spans="1:10">
      <c r="A1046" s="50">
        <v>132</v>
      </c>
      <c r="B1046" s="51" t="str">
        <v>刚性防水套管-DN80</v>
      </c>
      <c r="C1046" s="51" t="e">
        <v>#REF!</v>
      </c>
      <c r="D1046" s="51" t="str">
        <v/>
      </c>
      <c r="E1046" s="51" t="str">
        <v/>
      </c>
      <c r="F1046" s="52" t="e">
        <v>#REF!</v>
      </c>
      <c r="G1046" s="48" t="e">
        <v>#REF!</v>
      </c>
      <c r="H1046" s="49">
        <v>1</v>
      </c>
      <c r="I1046" s="49" t="e">
        <v>#REF!</v>
      </c>
      <c r="J1046" s="50"/>
    </row>
    <row r="1047" outlineLevel="1" spans="1:10">
      <c r="A1047" s="50">
        <v>133</v>
      </c>
      <c r="B1047" s="51" t="str">
        <v>刚性防水套管-De110</v>
      </c>
      <c r="C1047" s="51" t="e">
        <v>#REF!</v>
      </c>
      <c r="D1047" s="51" t="str">
        <v/>
      </c>
      <c r="E1047" s="51" t="str">
        <v/>
      </c>
      <c r="F1047" s="52" t="e">
        <v>#REF!</v>
      </c>
      <c r="G1047" s="48" t="e">
        <v>#REF!</v>
      </c>
      <c r="H1047" s="49">
        <v>10</v>
      </c>
      <c r="I1047" s="49" t="e">
        <v>#REF!</v>
      </c>
      <c r="J1047" s="50"/>
    </row>
    <row r="1048" outlineLevel="1" spans="1:10">
      <c r="A1048" s="50">
        <v>134</v>
      </c>
      <c r="B1048" s="51" t="str">
        <v>刚性防水套管-DN100</v>
      </c>
      <c r="C1048" s="51" t="e">
        <v>#REF!</v>
      </c>
      <c r="D1048" s="51" t="str">
        <v/>
      </c>
      <c r="E1048" s="51" t="str">
        <v/>
      </c>
      <c r="F1048" s="52" t="e">
        <v>#REF!</v>
      </c>
      <c r="G1048" s="48" t="e">
        <v>#REF!</v>
      </c>
      <c r="H1048" s="49">
        <v>0</v>
      </c>
      <c r="I1048" s="49" t="e">
        <v>#REF!</v>
      </c>
      <c r="J1048" s="50"/>
    </row>
    <row r="1049" outlineLevel="1" spans="1:10">
      <c r="A1049" s="50">
        <v>135</v>
      </c>
      <c r="B1049" s="51" t="str">
        <v>刚性防水套管-De160</v>
      </c>
      <c r="C1049" s="51" t="e">
        <v>#REF!</v>
      </c>
      <c r="D1049" s="51" t="str">
        <v/>
      </c>
      <c r="E1049" s="51" t="str">
        <v/>
      </c>
      <c r="F1049" s="52" t="e">
        <v>#REF!</v>
      </c>
      <c r="G1049" s="48" t="e">
        <v>#REF!</v>
      </c>
      <c r="H1049" s="49">
        <v>0</v>
      </c>
      <c r="I1049" s="49" t="e">
        <v>#REF!</v>
      </c>
      <c r="J1049" s="50"/>
    </row>
    <row r="1050" outlineLevel="1" spans="1:10">
      <c r="A1050" s="50">
        <v>136</v>
      </c>
      <c r="B1050" s="51" t="str">
        <v>刚性防水套管-DN125</v>
      </c>
      <c r="C1050" s="51" t="e">
        <v>#REF!</v>
      </c>
      <c r="D1050" s="51" t="str">
        <v/>
      </c>
      <c r="E1050" s="51" t="str">
        <v/>
      </c>
      <c r="F1050" s="52" t="e">
        <v>#REF!</v>
      </c>
      <c r="G1050" s="48" t="e">
        <v>#REF!</v>
      </c>
      <c r="H1050" s="49">
        <v>0</v>
      </c>
      <c r="I1050" s="49" t="e">
        <v>#REF!</v>
      </c>
      <c r="J1050" s="50"/>
    </row>
    <row r="1051" outlineLevel="1" spans="1:10">
      <c r="A1051" s="50">
        <v>137</v>
      </c>
      <c r="B1051" s="51" t="str">
        <v>刚性防水套管-DN150</v>
      </c>
      <c r="C1051" s="51" t="e">
        <v>#REF!</v>
      </c>
      <c r="D1051" s="51" t="str">
        <v/>
      </c>
      <c r="E1051" s="51" t="str">
        <v/>
      </c>
      <c r="F1051" s="52" t="e">
        <v>#REF!</v>
      </c>
      <c r="G1051" s="48" t="e">
        <v>#REF!</v>
      </c>
      <c r="H1051" s="49">
        <v>0</v>
      </c>
      <c r="I1051" s="49" t="e">
        <v>#REF!</v>
      </c>
      <c r="J1051" s="50"/>
    </row>
    <row r="1052" outlineLevel="1" spans="1:10">
      <c r="A1052" s="50">
        <v>138</v>
      </c>
      <c r="B1052" s="51" t="str">
        <v>刚性防水套管-DN200</v>
      </c>
      <c r="C1052" s="51" t="e">
        <v>#REF!</v>
      </c>
      <c r="D1052" s="51" t="str">
        <v/>
      </c>
      <c r="E1052" s="51" t="str">
        <v/>
      </c>
      <c r="F1052" s="52" t="e">
        <v>#REF!</v>
      </c>
      <c r="G1052" s="48" t="e">
        <v>#REF!</v>
      </c>
      <c r="H1052" s="49">
        <v>0</v>
      </c>
      <c r="I1052" s="49" t="e">
        <v>#REF!</v>
      </c>
      <c r="J1052" s="50"/>
    </row>
    <row r="1053" outlineLevel="1" spans="1:10">
      <c r="A1053" s="50">
        <v>139</v>
      </c>
      <c r="B1053" s="51" t="str">
        <v>刚性防水套管-DN250</v>
      </c>
      <c r="C1053" s="51" t="e">
        <v>#REF!</v>
      </c>
      <c r="D1053" s="51" t="str">
        <v/>
      </c>
      <c r="E1053" s="51" t="str">
        <v/>
      </c>
      <c r="F1053" s="52" t="e">
        <v>#REF!</v>
      </c>
      <c r="G1053" s="48" t="e">
        <v>#REF!</v>
      </c>
      <c r="H1053" s="49">
        <v>0</v>
      </c>
      <c r="I1053" s="49" t="e">
        <v>#REF!</v>
      </c>
      <c r="J1053" s="50"/>
    </row>
    <row r="1054" outlineLevel="1" spans="1:10">
      <c r="A1054" s="50">
        <v>140</v>
      </c>
      <c r="B1054" s="51" t="str">
        <v>刚性防水套管-DN300</v>
      </c>
      <c r="C1054" s="51" t="e">
        <v>#REF!</v>
      </c>
      <c r="D1054" s="51" t="str">
        <v/>
      </c>
      <c r="E1054" s="51" t="str">
        <v/>
      </c>
      <c r="F1054" s="52" t="e">
        <v>#REF!</v>
      </c>
      <c r="G1054" s="48" t="e">
        <v>#REF!</v>
      </c>
      <c r="H1054" s="49">
        <v>0</v>
      </c>
      <c r="I1054" s="49" t="e">
        <v>#REF!</v>
      </c>
      <c r="J1054" s="50"/>
    </row>
    <row r="1055" outlineLevel="1" spans="1:10">
      <c r="A1055" s="50" t="str">
        <v/>
      </c>
      <c r="B1055" s="51" t="str">
        <v>B.03.2消防预留预埋</v>
      </c>
      <c r="C1055" s="51" t="str">
        <v/>
      </c>
      <c r="D1055" s="51" t="str">
        <v/>
      </c>
      <c r="E1055" s="51" t="str">
        <v/>
      </c>
      <c r="F1055" s="52" t="str">
        <v/>
      </c>
      <c r="G1055" s="48" t="str">
        <v/>
      </c>
      <c r="H1055" s="49">
        <v>0</v>
      </c>
      <c r="I1055" s="49" t="e">
        <v>#REF!</v>
      </c>
      <c r="J1055" s="50"/>
    </row>
    <row r="1056" outlineLevel="1" spans="1:10">
      <c r="A1056" s="50">
        <v>141</v>
      </c>
      <c r="B1056" s="51" t="str">
        <v>刚性防水套管-DN100</v>
      </c>
      <c r="C1056" s="51" t="e">
        <v>#REF!</v>
      </c>
      <c r="D1056" s="51" t="str">
        <v/>
      </c>
      <c r="E1056" s="51" t="str">
        <v/>
      </c>
      <c r="F1056" s="52" t="e">
        <v>#REF!</v>
      </c>
      <c r="G1056" s="48" t="e">
        <v>#REF!</v>
      </c>
      <c r="H1056" s="49">
        <v>0</v>
      </c>
      <c r="I1056" s="49" t="e">
        <v>#REF!</v>
      </c>
      <c r="J1056" s="50"/>
    </row>
    <row r="1057" outlineLevel="1" spans="1:10">
      <c r="A1057" s="50">
        <v>142</v>
      </c>
      <c r="B1057" s="51" t="str">
        <v>刚性防水套管-DN150</v>
      </c>
      <c r="C1057" s="51" t="e">
        <v>#REF!</v>
      </c>
      <c r="D1057" s="51" t="str">
        <v/>
      </c>
      <c r="E1057" s="51" t="str">
        <v/>
      </c>
      <c r="F1057" s="52" t="e">
        <v>#REF!</v>
      </c>
      <c r="G1057" s="48" t="e">
        <v>#REF!</v>
      </c>
      <c r="H1057" s="49">
        <v>0</v>
      </c>
      <c r="I1057" s="49" t="e">
        <v>#REF!</v>
      </c>
      <c r="J1057" s="50"/>
    </row>
    <row r="1058" outlineLevel="1" spans="1:10">
      <c r="A1058" s="50">
        <v>143</v>
      </c>
      <c r="B1058" s="51" t="str">
        <v>柔性防水套管-DN50</v>
      </c>
      <c r="C1058" s="51" t="e">
        <v>#REF!</v>
      </c>
      <c r="D1058" s="51" t="str">
        <v/>
      </c>
      <c r="E1058" s="51" t="str">
        <v/>
      </c>
      <c r="F1058" s="52" t="e">
        <v>#REF!</v>
      </c>
      <c r="G1058" s="48" t="e">
        <v>#REF!</v>
      </c>
      <c r="H1058" s="49">
        <v>0</v>
      </c>
      <c r="I1058" s="49" t="e">
        <v>#REF!</v>
      </c>
      <c r="J1058" s="50"/>
    </row>
    <row r="1059" outlineLevel="1" spans="1:10">
      <c r="A1059" s="50">
        <v>144</v>
      </c>
      <c r="B1059" s="51" t="str">
        <v>柔性防水套管-DN65</v>
      </c>
      <c r="C1059" s="51" t="e">
        <v>#REF!</v>
      </c>
      <c r="D1059" s="51" t="str">
        <v/>
      </c>
      <c r="E1059" s="51" t="str">
        <v/>
      </c>
      <c r="F1059" s="52" t="e">
        <v>#REF!</v>
      </c>
      <c r="G1059" s="48" t="e">
        <v>#REF!</v>
      </c>
      <c r="H1059" s="49">
        <v>0</v>
      </c>
      <c r="I1059" s="49" t="e">
        <v>#REF!</v>
      </c>
      <c r="J1059" s="50"/>
    </row>
    <row r="1060" outlineLevel="1" spans="1:10">
      <c r="A1060" s="50">
        <v>145</v>
      </c>
      <c r="B1060" s="51" t="str">
        <v>柔性防水套管-DN80</v>
      </c>
      <c r="C1060" s="51" t="e">
        <v>#REF!</v>
      </c>
      <c r="D1060" s="51" t="str">
        <v/>
      </c>
      <c r="E1060" s="51" t="str">
        <v/>
      </c>
      <c r="F1060" s="52" t="e">
        <v>#REF!</v>
      </c>
      <c r="G1060" s="48" t="e">
        <v>#REF!</v>
      </c>
      <c r="H1060" s="49">
        <v>0</v>
      </c>
      <c r="I1060" s="49" t="e">
        <v>#REF!</v>
      </c>
      <c r="J1060" s="50"/>
    </row>
    <row r="1061" outlineLevel="1" spans="1:10">
      <c r="A1061" s="50">
        <v>146</v>
      </c>
      <c r="B1061" s="51" t="str">
        <v>柔性防水套管-DN100</v>
      </c>
      <c r="C1061" s="51" t="e">
        <v>#REF!</v>
      </c>
      <c r="D1061" s="51" t="str">
        <v/>
      </c>
      <c r="E1061" s="51" t="str">
        <v/>
      </c>
      <c r="F1061" s="52" t="e">
        <v>#REF!</v>
      </c>
      <c r="G1061" s="48" t="e">
        <v>#REF!</v>
      </c>
      <c r="H1061" s="49">
        <v>0</v>
      </c>
      <c r="I1061" s="49" t="e">
        <v>#REF!</v>
      </c>
      <c r="J1061" s="50"/>
    </row>
    <row r="1062" outlineLevel="1" spans="1:10">
      <c r="A1062" s="50">
        <v>147</v>
      </c>
      <c r="B1062" s="51" t="str">
        <v>柔性防水套管-DN125</v>
      </c>
      <c r="C1062" s="51" t="e">
        <v>#REF!</v>
      </c>
      <c r="D1062" s="51" t="str">
        <v/>
      </c>
      <c r="E1062" s="51" t="str">
        <v/>
      </c>
      <c r="F1062" s="52" t="e">
        <v>#REF!</v>
      </c>
      <c r="G1062" s="48" t="e">
        <v>#REF!</v>
      </c>
      <c r="H1062" s="49">
        <v>0</v>
      </c>
      <c r="I1062" s="49" t="e">
        <v>#REF!</v>
      </c>
      <c r="J1062" s="50"/>
    </row>
    <row r="1063" outlineLevel="1" spans="1:10">
      <c r="A1063" s="50">
        <v>148</v>
      </c>
      <c r="B1063" s="51" t="str">
        <v>柔性防水套管-DN150</v>
      </c>
      <c r="C1063" s="51" t="e">
        <v>#REF!</v>
      </c>
      <c r="D1063" s="51" t="str">
        <v/>
      </c>
      <c r="E1063" s="51" t="str">
        <v/>
      </c>
      <c r="F1063" s="52" t="e">
        <v>#REF!</v>
      </c>
      <c r="G1063" s="48" t="e">
        <v>#REF!</v>
      </c>
      <c r="H1063" s="49">
        <v>0</v>
      </c>
      <c r="I1063" s="49" t="e">
        <v>#REF!</v>
      </c>
      <c r="J1063" s="50"/>
    </row>
    <row r="1064" outlineLevel="1" spans="1:10">
      <c r="A1064" s="50">
        <v>149</v>
      </c>
      <c r="B1064" s="51" t="str">
        <v>柔性防水套管-DN200</v>
      </c>
      <c r="C1064" s="51" t="e">
        <v>#REF!</v>
      </c>
      <c r="D1064" s="51" t="str">
        <v/>
      </c>
      <c r="E1064" s="51" t="str">
        <v/>
      </c>
      <c r="F1064" s="52" t="e">
        <v>#REF!</v>
      </c>
      <c r="G1064" s="48" t="e">
        <v>#REF!</v>
      </c>
      <c r="H1064" s="49">
        <v>0</v>
      </c>
      <c r="I1064" s="49" t="e">
        <v>#REF!</v>
      </c>
      <c r="J1064" s="50"/>
    </row>
    <row r="1065" outlineLevel="1" spans="1:10">
      <c r="A1065" s="50">
        <v>150</v>
      </c>
      <c r="B1065" s="51" t="str">
        <v>柔性防水套管-DN250</v>
      </c>
      <c r="C1065" s="51" t="e">
        <v>#REF!</v>
      </c>
      <c r="D1065" s="51" t="str">
        <v/>
      </c>
      <c r="E1065" s="51" t="str">
        <v/>
      </c>
      <c r="F1065" s="52" t="e">
        <v>#REF!</v>
      </c>
      <c r="G1065" s="48" t="e">
        <v>#REF!</v>
      </c>
      <c r="H1065" s="49">
        <v>0</v>
      </c>
      <c r="I1065" s="49" t="e">
        <v>#REF!</v>
      </c>
      <c r="J1065" s="50"/>
    </row>
    <row r="1066" outlineLevel="1" spans="1:10">
      <c r="A1066" s="50">
        <v>151</v>
      </c>
      <c r="B1066" s="51" t="str">
        <v>柔性防水套管-DN300</v>
      </c>
      <c r="C1066" s="51" t="e">
        <v>#REF!</v>
      </c>
      <c r="D1066" s="51" t="str">
        <v/>
      </c>
      <c r="E1066" s="51" t="str">
        <v/>
      </c>
      <c r="F1066" s="52" t="e">
        <v>#REF!</v>
      </c>
      <c r="G1066" s="48" t="e">
        <v>#REF!</v>
      </c>
      <c r="H1066" s="49">
        <v>0</v>
      </c>
      <c r="I1066" s="49" t="e">
        <v>#REF!</v>
      </c>
      <c r="J1066" s="50"/>
    </row>
    <row r="1067" outlineLevel="1" spans="1:10">
      <c r="A1067" s="50">
        <v>152</v>
      </c>
      <c r="B1067" s="51" t="str">
        <v>柔性防水套管-DN350</v>
      </c>
      <c r="C1067" s="51" t="e">
        <v>#REF!</v>
      </c>
      <c r="D1067" s="51" t="str">
        <v/>
      </c>
      <c r="E1067" s="51" t="str">
        <v/>
      </c>
      <c r="F1067" s="52" t="e">
        <v>#REF!</v>
      </c>
      <c r="G1067" s="48" t="e">
        <v>#REF!</v>
      </c>
      <c r="H1067" s="49">
        <v>0</v>
      </c>
      <c r="I1067" s="49" t="e">
        <v>#REF!</v>
      </c>
      <c r="J1067" s="50"/>
    </row>
    <row r="1068" outlineLevel="1" spans="1:10">
      <c r="A1068" s="50">
        <v>153</v>
      </c>
      <c r="B1068" s="51" t="str">
        <v>柔性防水套管-DN400</v>
      </c>
      <c r="C1068" s="51" t="e">
        <v>#REF!</v>
      </c>
      <c r="D1068" s="51" t="str">
        <v/>
      </c>
      <c r="E1068" s="51" t="str">
        <v/>
      </c>
      <c r="F1068" s="52" t="e">
        <v>#REF!</v>
      </c>
      <c r="G1068" s="48" t="e">
        <v>#REF!</v>
      </c>
      <c r="H1068" s="49">
        <v>0</v>
      </c>
      <c r="I1068" s="49" t="e">
        <v>#REF!</v>
      </c>
      <c r="J1068" s="50"/>
    </row>
    <row r="1069" outlineLevel="1" spans="1:10">
      <c r="A1069" s="50">
        <v>154</v>
      </c>
      <c r="B1069" s="51" t="str">
        <v>消防钢套管-DN65</v>
      </c>
      <c r="C1069" s="51" t="e">
        <v>#REF!</v>
      </c>
      <c r="D1069" s="51" t="str">
        <v/>
      </c>
      <c r="E1069" s="51" t="str">
        <v/>
      </c>
      <c r="F1069" s="52" t="e">
        <v>#REF!</v>
      </c>
      <c r="G1069" s="48" t="e">
        <v>#REF!</v>
      </c>
      <c r="H1069" s="49">
        <v>0</v>
      </c>
      <c r="I1069" s="49" t="e">
        <v>#REF!</v>
      </c>
      <c r="J1069" s="50"/>
    </row>
    <row r="1070" outlineLevel="1" spans="1:10">
      <c r="A1070" s="50">
        <v>155</v>
      </c>
      <c r="B1070" s="51" t="str">
        <v>消防钢套管-DN150</v>
      </c>
      <c r="C1070" s="51" t="e">
        <v>#REF!</v>
      </c>
      <c r="D1070" s="51" t="str">
        <v/>
      </c>
      <c r="E1070" s="51" t="str">
        <v/>
      </c>
      <c r="F1070" s="52" t="e">
        <v>#REF!</v>
      </c>
      <c r="G1070" s="48" t="e">
        <v>#REF!</v>
      </c>
      <c r="H1070" s="49">
        <v>4</v>
      </c>
      <c r="I1070" s="49" t="e">
        <v>#REF!</v>
      </c>
      <c r="J1070" s="50"/>
    </row>
    <row r="1071" outlineLevel="1" spans="1:10">
      <c r="A1071" s="50">
        <v>156</v>
      </c>
      <c r="B1071" s="51" t="str">
        <v>消防钢套管-DN250</v>
      </c>
      <c r="C1071" s="51" t="e">
        <v>#REF!</v>
      </c>
      <c r="D1071" s="51" t="str">
        <v/>
      </c>
      <c r="E1071" s="51" t="str">
        <v/>
      </c>
      <c r="F1071" s="52" t="e">
        <v>#REF!</v>
      </c>
      <c r="G1071" s="48" t="e">
        <v>#REF!</v>
      </c>
      <c r="H1071" s="49">
        <v>0</v>
      </c>
      <c r="I1071" s="49" t="e">
        <v>#REF!</v>
      </c>
      <c r="J1071" s="50"/>
    </row>
    <row r="1072" outlineLevel="1" spans="1:10">
      <c r="A1072" s="50" t="str">
        <v/>
      </c>
      <c r="B1072" s="51" t="str">
        <v>地上给排水</v>
      </c>
      <c r="C1072" s="51" t="str">
        <v/>
      </c>
      <c r="D1072" s="51" t="str">
        <v/>
      </c>
      <c r="E1072" s="51" t="str">
        <v/>
      </c>
      <c r="F1072" s="52" t="str">
        <v/>
      </c>
      <c r="G1072" s="48" t="str">
        <v/>
      </c>
      <c r="H1072" s="49">
        <v>0</v>
      </c>
      <c r="I1072" s="49" t="e">
        <v>#REF!</v>
      </c>
      <c r="J1072" s="50"/>
    </row>
    <row r="1073" outlineLevel="1" spans="1:10">
      <c r="A1073" s="50" t="str">
        <v/>
      </c>
      <c r="B1073" s="51" t="str">
        <v>B.04地上户内给水</v>
      </c>
      <c r="C1073" s="51" t="str">
        <v/>
      </c>
      <c r="D1073" s="51" t="str">
        <v/>
      </c>
      <c r="E1073" s="51" t="str">
        <v/>
      </c>
      <c r="F1073" s="52" t="str">
        <v/>
      </c>
      <c r="G1073" s="48" t="str">
        <v/>
      </c>
      <c r="H1073" s="49">
        <v>0</v>
      </c>
      <c r="I1073" s="49" t="e">
        <v>#REF!</v>
      </c>
      <c r="J1073" s="50"/>
    </row>
    <row r="1074" outlineLevel="1" spans="1:10">
      <c r="A1074" s="50" t="str">
        <v/>
      </c>
      <c r="B1074" s="51" t="str">
        <v>B.04.1阀部件</v>
      </c>
      <c r="C1074" s="51" t="str">
        <v/>
      </c>
      <c r="D1074" s="51" t="str">
        <v/>
      </c>
      <c r="E1074" s="51" t="str">
        <v/>
      </c>
      <c r="F1074" s="52" t="str">
        <v/>
      </c>
      <c r="G1074" s="48" t="str">
        <v/>
      </c>
      <c r="H1074" s="49">
        <v>0</v>
      </c>
      <c r="I1074" s="49" t="e">
        <v>#REF!</v>
      </c>
      <c r="J1074" s="50"/>
    </row>
    <row r="1075" outlineLevel="1" spans="1:10">
      <c r="A1075" s="50">
        <v>157</v>
      </c>
      <c r="B1075" s="51" t="str">
        <v>螺纹阀门-截止阀-De32</v>
      </c>
      <c r="C1075" s="51" t="e">
        <v>#REF!</v>
      </c>
      <c r="D1075" s="51" t="str">
        <v/>
      </c>
      <c r="E1075" s="51" t="str">
        <v/>
      </c>
      <c r="F1075" s="52" t="e">
        <v>#REF!</v>
      </c>
      <c r="G1075" s="48" t="e">
        <v>#REF!</v>
      </c>
      <c r="H1075" s="49">
        <v>18</v>
      </c>
      <c r="I1075" s="49" t="e">
        <v>#REF!</v>
      </c>
      <c r="J1075" s="50"/>
    </row>
    <row r="1076" outlineLevel="1" spans="1:10">
      <c r="A1076" s="50">
        <v>158</v>
      </c>
      <c r="B1076" s="51" t="str">
        <v>螺纹阀门-截止阀-De25</v>
      </c>
      <c r="C1076" s="51" t="e">
        <v>#REF!</v>
      </c>
      <c r="D1076" s="51" t="str">
        <v/>
      </c>
      <c r="E1076" s="51" t="str">
        <v/>
      </c>
      <c r="F1076" s="52" t="e">
        <v>#REF!</v>
      </c>
      <c r="G1076" s="48" t="e">
        <v>#REF!</v>
      </c>
      <c r="H1076" s="49">
        <v>39</v>
      </c>
      <c r="I1076" s="49" t="e">
        <v>#REF!</v>
      </c>
      <c r="J1076" s="50"/>
    </row>
    <row r="1077" outlineLevel="1" spans="1:10">
      <c r="A1077" s="50">
        <v>159</v>
      </c>
      <c r="B1077" s="51" t="str">
        <v>螺纹阀门-截止阀-De20</v>
      </c>
      <c r="C1077" s="51" t="e">
        <v>#REF!</v>
      </c>
      <c r="D1077" s="51" t="str">
        <v/>
      </c>
      <c r="E1077" s="51" t="str">
        <v/>
      </c>
      <c r="F1077" s="52" t="e">
        <v>#REF!</v>
      </c>
      <c r="G1077" s="48" t="e">
        <v>#REF!</v>
      </c>
      <c r="H1077" s="49">
        <v>2</v>
      </c>
      <c r="I1077" s="49" t="e">
        <v>#REF!</v>
      </c>
      <c r="J1077" s="50"/>
    </row>
    <row r="1078" outlineLevel="1" spans="1:10">
      <c r="A1078" s="50">
        <v>160</v>
      </c>
      <c r="B1078" s="51" t="str">
        <v>倒流防止器-De25</v>
      </c>
      <c r="C1078" s="51" t="e">
        <v>#REF!</v>
      </c>
      <c r="D1078" s="51" t="str">
        <v/>
      </c>
      <c r="E1078" s="51" t="str">
        <v/>
      </c>
      <c r="F1078" s="52" t="e">
        <v>#REF!</v>
      </c>
      <c r="G1078" s="48" t="e">
        <v>#REF!</v>
      </c>
      <c r="H1078" s="49">
        <v>19</v>
      </c>
      <c r="I1078" s="49" t="e">
        <v>#REF!</v>
      </c>
      <c r="J1078" s="50"/>
    </row>
    <row r="1079" outlineLevel="1" spans="1:10">
      <c r="A1079" s="50">
        <v>161</v>
      </c>
      <c r="B1079" s="51" t="str">
        <v>螺纹阀门-止回阀-De20</v>
      </c>
      <c r="C1079" s="51" t="e">
        <v>#REF!</v>
      </c>
      <c r="D1079" s="51" t="str">
        <v/>
      </c>
      <c r="E1079" s="51" t="str">
        <v/>
      </c>
      <c r="F1079" s="52" t="e">
        <v>#REF!</v>
      </c>
      <c r="G1079" s="48" t="e">
        <v>#REF!</v>
      </c>
      <c r="H1079" s="49">
        <v>0</v>
      </c>
      <c r="I1079" s="49" t="e">
        <v>#REF!</v>
      </c>
      <c r="J1079" s="50"/>
    </row>
    <row r="1080" outlineLevel="1" spans="1:10">
      <c r="A1080" s="50" t="str">
        <v/>
      </c>
      <c r="B1080" s="51" t="str">
        <v>B.04.2给水管道</v>
      </c>
      <c r="C1080" s="51" t="str">
        <v/>
      </c>
      <c r="D1080" s="51" t="str">
        <v/>
      </c>
      <c r="E1080" s="51" t="str">
        <v/>
      </c>
      <c r="F1080" s="52" t="str">
        <v/>
      </c>
      <c r="G1080" s="48" t="str">
        <v/>
      </c>
      <c r="H1080" s="49">
        <v>0</v>
      </c>
      <c r="I1080" s="49" t="e">
        <v>#REF!</v>
      </c>
      <c r="J1080" s="50"/>
    </row>
    <row r="1081" ht="28.8" outlineLevel="1" spans="1:10">
      <c r="A1081" s="50">
        <v>162</v>
      </c>
      <c r="B1081" s="51" t="str">
        <v>室内给水塑料管-PPR-De20-热熔</v>
      </c>
      <c r="C1081" s="51" t="e">
        <v>#REF!</v>
      </c>
      <c r="D1081" s="51" t="str">
        <v/>
      </c>
      <c r="E1081" s="51" t="str">
        <v/>
      </c>
      <c r="F1081" s="52" t="e">
        <v>#REF!</v>
      </c>
      <c r="G1081" s="48" t="e">
        <v>#REF!</v>
      </c>
      <c r="H1081" s="49">
        <v>847.34</v>
      </c>
      <c r="I1081" s="49" t="e">
        <v>#REF!</v>
      </c>
      <c r="J1081" s="50"/>
    </row>
    <row r="1082" ht="28.8" outlineLevel="1" spans="1:10">
      <c r="A1082" s="50">
        <v>163</v>
      </c>
      <c r="B1082" s="51" t="str">
        <v>室内给水塑料管-PPR-De25-热熔</v>
      </c>
      <c r="C1082" s="51" t="e">
        <v>#REF!</v>
      </c>
      <c r="D1082" s="51" t="str">
        <v/>
      </c>
      <c r="E1082" s="51" t="str">
        <v/>
      </c>
      <c r="F1082" s="52" t="e">
        <v>#REF!</v>
      </c>
      <c r="G1082" s="48" t="e">
        <v>#REF!</v>
      </c>
      <c r="H1082" s="49">
        <v>847.44</v>
      </c>
      <c r="I1082" s="49" t="e">
        <v>#REF!</v>
      </c>
      <c r="J1082" s="50"/>
    </row>
    <row r="1083" ht="28.8" outlineLevel="1" spans="1:10">
      <c r="A1083" s="50">
        <v>164</v>
      </c>
      <c r="B1083" s="51" t="str">
        <v>室内给水塑料管-PPR-De32-热熔</v>
      </c>
      <c r="C1083" s="51" t="e">
        <v>#REF!</v>
      </c>
      <c r="D1083" s="51" t="str">
        <v/>
      </c>
      <c r="E1083" s="51" t="str">
        <v/>
      </c>
      <c r="F1083" s="52" t="e">
        <v>#REF!</v>
      </c>
      <c r="G1083" s="48" t="e">
        <v>#REF!</v>
      </c>
      <c r="H1083" s="49">
        <v>133.569</v>
      </c>
      <c r="I1083" s="49" t="e">
        <v>#REF!</v>
      </c>
      <c r="J1083" s="50"/>
    </row>
    <row r="1084" ht="28.8" outlineLevel="1" spans="1:10">
      <c r="A1084" s="50">
        <v>165</v>
      </c>
      <c r="B1084" s="51" t="str">
        <v>室内给水塑料管-PPR-De40-热熔</v>
      </c>
      <c r="C1084" s="51" t="e">
        <v>#REF!</v>
      </c>
      <c r="D1084" s="51" t="str">
        <v/>
      </c>
      <c r="E1084" s="51" t="str">
        <v/>
      </c>
      <c r="F1084" s="52" t="e">
        <v>#REF!</v>
      </c>
      <c r="G1084" s="48" t="e">
        <v>#REF!</v>
      </c>
      <c r="H1084" s="49">
        <v>0</v>
      </c>
      <c r="I1084" s="49" t="e">
        <v>#REF!</v>
      </c>
      <c r="J1084" s="50"/>
    </row>
    <row r="1085" ht="28.8" outlineLevel="1" spans="1:10">
      <c r="A1085" s="50">
        <v>166</v>
      </c>
      <c r="B1085" s="51" t="str">
        <v>室内给水塑料管-PPR-De50-热熔</v>
      </c>
      <c r="C1085" s="51" t="e">
        <v>#REF!</v>
      </c>
      <c r="D1085" s="51" t="str">
        <v/>
      </c>
      <c r="E1085" s="51" t="str">
        <v/>
      </c>
      <c r="F1085" s="52" t="e">
        <v>#REF!</v>
      </c>
      <c r="G1085" s="48" t="e">
        <v>#REF!</v>
      </c>
      <c r="H1085" s="49">
        <v>0</v>
      </c>
      <c r="I1085" s="49" t="e">
        <v>#REF!</v>
      </c>
      <c r="J1085" s="50"/>
    </row>
    <row r="1086" ht="28.8" outlineLevel="1" spans="1:10">
      <c r="A1086" s="50">
        <v>167</v>
      </c>
      <c r="B1086" s="51" t="str">
        <v>室内给水塑料管-PPR-De63-热熔</v>
      </c>
      <c r="C1086" s="51" t="e">
        <v>#REF!</v>
      </c>
      <c r="D1086" s="51" t="str">
        <v/>
      </c>
      <c r="E1086" s="51" t="str">
        <v/>
      </c>
      <c r="F1086" s="52" t="e">
        <v>#REF!</v>
      </c>
      <c r="G1086" s="48" t="e">
        <v>#REF!</v>
      </c>
      <c r="H1086" s="49">
        <v>0</v>
      </c>
      <c r="I1086" s="49" t="e">
        <v>#REF!</v>
      </c>
      <c r="J1086" s="50"/>
    </row>
    <row r="1087" ht="28.8" outlineLevel="1" spans="1:10">
      <c r="A1087" s="50">
        <v>168</v>
      </c>
      <c r="B1087" s="51" t="str">
        <v>室内给水塑料管-PPR-De20（S3.2）-热熔</v>
      </c>
      <c r="C1087" s="51" t="e">
        <v>#REF!</v>
      </c>
      <c r="D1087" s="51" t="str">
        <v/>
      </c>
      <c r="E1087" s="51" t="str">
        <v/>
      </c>
      <c r="F1087" s="52" t="e">
        <v>#REF!</v>
      </c>
      <c r="G1087" s="48" t="e">
        <v>#REF!</v>
      </c>
      <c r="H1087" s="49">
        <v>1251.386</v>
      </c>
      <c r="I1087" s="49" t="e">
        <v>#REF!</v>
      </c>
      <c r="J1087" s="50"/>
    </row>
    <row r="1088" ht="28.8" outlineLevel="1" spans="1:10">
      <c r="A1088" s="50">
        <v>169</v>
      </c>
      <c r="B1088" s="51" t="str">
        <v>室内给水塑料管-PPR-De25（S3.2）-热熔</v>
      </c>
      <c r="C1088" s="51" t="e">
        <v>#REF!</v>
      </c>
      <c r="D1088" s="51" t="str">
        <v/>
      </c>
      <c r="E1088" s="51" t="str">
        <v/>
      </c>
      <c r="F1088" s="52" t="e">
        <v>#REF!</v>
      </c>
      <c r="G1088" s="48" t="e">
        <v>#REF!</v>
      </c>
      <c r="H1088" s="49">
        <v>1745.34</v>
      </c>
      <c r="I1088" s="49" t="e">
        <v>#REF!</v>
      </c>
      <c r="J1088" s="50"/>
    </row>
    <row r="1089" ht="28.8" outlineLevel="1" spans="1:10">
      <c r="A1089" s="50">
        <v>170</v>
      </c>
      <c r="B1089" s="51" t="str">
        <v>室内给水塑料管-PPR-De32（S3.2）-热熔</v>
      </c>
      <c r="C1089" s="51" t="e">
        <v>#REF!</v>
      </c>
      <c r="D1089" s="51" t="str">
        <v/>
      </c>
      <c r="E1089" s="51" t="str">
        <v/>
      </c>
      <c r="F1089" s="52" t="e">
        <v>#REF!</v>
      </c>
      <c r="G1089" s="48" t="e">
        <v>#REF!</v>
      </c>
      <c r="H1089" s="49">
        <v>0</v>
      </c>
      <c r="I1089" s="49" t="e">
        <v>#REF!</v>
      </c>
      <c r="J1089" s="50"/>
    </row>
    <row r="1090" outlineLevel="1" spans="1:10">
      <c r="A1090" s="50" t="str">
        <v/>
      </c>
      <c r="B1090" s="51" t="str">
        <v>B.05地上户内排水</v>
      </c>
      <c r="C1090" s="51" t="str">
        <v/>
      </c>
      <c r="D1090" s="51" t="str">
        <v/>
      </c>
      <c r="E1090" s="51" t="str">
        <v/>
      </c>
      <c r="F1090" s="52" t="str">
        <v/>
      </c>
      <c r="G1090" s="48" t="str">
        <v/>
      </c>
      <c r="H1090" s="49">
        <v>0</v>
      </c>
      <c r="I1090" s="49" t="e">
        <v>#REF!</v>
      </c>
      <c r="J1090" s="50"/>
    </row>
    <row r="1091" outlineLevel="1" spans="1:10">
      <c r="A1091" s="50" t="str">
        <v/>
      </c>
      <c r="B1091" s="51" t="str">
        <v>B.05.1排水管道</v>
      </c>
      <c r="C1091" s="51" t="str">
        <v/>
      </c>
      <c r="D1091" s="51" t="str">
        <v/>
      </c>
      <c r="E1091" s="51" t="str">
        <v/>
      </c>
      <c r="F1091" s="52" t="str">
        <v/>
      </c>
      <c r="G1091" s="48" t="str">
        <v/>
      </c>
      <c r="H1091" s="49">
        <v>0</v>
      </c>
      <c r="I1091" s="49" t="e">
        <v>#REF!</v>
      </c>
      <c r="J1091" s="50"/>
    </row>
    <row r="1092" ht="28.8" outlineLevel="1" spans="1:10">
      <c r="A1092" s="50">
        <v>171</v>
      </c>
      <c r="B1092" s="51" t="str">
        <v>室外排水塑料管-UPVC-De110</v>
      </c>
      <c r="C1092" s="51" t="e">
        <v>#REF!</v>
      </c>
      <c r="D1092" s="51" t="str">
        <v/>
      </c>
      <c r="E1092" s="51" t="str">
        <v/>
      </c>
      <c r="F1092" s="52" t="e">
        <v>#REF!</v>
      </c>
      <c r="G1092" s="48" t="e">
        <v>#REF!</v>
      </c>
      <c r="H1092" s="49">
        <v>0</v>
      </c>
      <c r="I1092" s="49" t="e">
        <v>#REF!</v>
      </c>
      <c r="J1092" s="50"/>
    </row>
    <row r="1093" ht="28.8" outlineLevel="1" spans="1:10">
      <c r="A1093" s="50">
        <v>172</v>
      </c>
      <c r="B1093" s="51" t="str">
        <v>室外排水塑料管-UPVC-De75</v>
      </c>
      <c r="C1093" s="51" t="e">
        <v>#REF!</v>
      </c>
      <c r="D1093" s="51" t="str">
        <v/>
      </c>
      <c r="E1093" s="51" t="str">
        <v/>
      </c>
      <c r="F1093" s="52" t="e">
        <v>#REF!</v>
      </c>
      <c r="G1093" s="48" t="e">
        <v>#REF!</v>
      </c>
      <c r="H1093" s="49">
        <v>0</v>
      </c>
      <c r="I1093" s="49" t="e">
        <v>#REF!</v>
      </c>
      <c r="J1093" s="50"/>
    </row>
    <row r="1094" outlineLevel="1" spans="1:10">
      <c r="A1094" s="50">
        <v>173</v>
      </c>
      <c r="B1094" s="51" t="str">
        <v>室外塑料管-UPVC-De50</v>
      </c>
      <c r="C1094" s="51" t="e">
        <v>#REF!</v>
      </c>
      <c r="D1094" s="51" t="str">
        <v/>
      </c>
      <c r="E1094" s="51" t="str">
        <v/>
      </c>
      <c r="F1094" s="52" t="e">
        <v>#REF!</v>
      </c>
      <c r="G1094" s="48" t="e">
        <v>#REF!</v>
      </c>
      <c r="H1094" s="49">
        <v>0</v>
      </c>
      <c r="I1094" s="49" t="e">
        <v>#REF!</v>
      </c>
      <c r="J1094" s="50"/>
    </row>
    <row r="1095" ht="28.8" outlineLevel="1" spans="1:10">
      <c r="A1095" s="50">
        <v>174</v>
      </c>
      <c r="B1095" s="51" t="str">
        <v>室内排水塑料管-消音UPVC-De110</v>
      </c>
      <c r="C1095" s="51" t="e">
        <v>#REF!</v>
      </c>
      <c r="D1095" s="51" t="str">
        <v/>
      </c>
      <c r="E1095" s="51" t="str">
        <v/>
      </c>
      <c r="F1095" s="52" t="e">
        <v>#REF!</v>
      </c>
      <c r="G1095" s="48" t="e">
        <v>#REF!</v>
      </c>
      <c r="H1095" s="49">
        <v>261.3</v>
      </c>
      <c r="I1095" s="49" t="e">
        <v>#REF!</v>
      </c>
      <c r="J1095" s="50"/>
    </row>
    <row r="1096" ht="28.8" outlineLevel="1" spans="1:10">
      <c r="A1096" s="50">
        <v>175</v>
      </c>
      <c r="B1096" s="51" t="str">
        <v>室内透气塑料立管-UPVC-De110</v>
      </c>
      <c r="C1096" s="51" t="e">
        <v>#REF!</v>
      </c>
      <c r="D1096" s="51" t="str">
        <v/>
      </c>
      <c r="E1096" s="51" t="str">
        <v/>
      </c>
      <c r="F1096" s="52" t="e">
        <v>#REF!</v>
      </c>
      <c r="G1096" s="48" t="e">
        <v>#REF!</v>
      </c>
      <c r="H1096" s="49">
        <v>0</v>
      </c>
      <c r="I1096" s="49" t="e">
        <v>#REF!</v>
      </c>
      <c r="J1096" s="50"/>
    </row>
    <row r="1097" ht="28.8" outlineLevel="1" spans="1:10">
      <c r="A1097" s="50">
        <v>176</v>
      </c>
      <c r="B1097" s="51" t="str">
        <v>室内排水塑料管-UPVC-De110</v>
      </c>
      <c r="C1097" s="51" t="e">
        <v>#REF!</v>
      </c>
      <c r="D1097" s="51" t="str">
        <v/>
      </c>
      <c r="E1097" s="51" t="str">
        <v/>
      </c>
      <c r="F1097" s="52" t="e">
        <v>#REF!</v>
      </c>
      <c r="G1097" s="48" t="e">
        <v>#REF!</v>
      </c>
      <c r="H1097" s="49">
        <v>84.429</v>
      </c>
      <c r="I1097" s="49" t="e">
        <v>#REF!</v>
      </c>
      <c r="J1097" s="50"/>
    </row>
    <row r="1098" ht="28.8" outlineLevel="1" spans="1:10">
      <c r="A1098" s="50">
        <v>177</v>
      </c>
      <c r="B1098" s="51" t="str">
        <v>室内排水塑料管-UPVC-De75</v>
      </c>
      <c r="C1098" s="51" t="e">
        <v>#REF!</v>
      </c>
      <c r="D1098" s="51" t="str">
        <v/>
      </c>
      <c r="E1098" s="51" t="str">
        <v/>
      </c>
      <c r="F1098" s="52" t="e">
        <v>#REF!</v>
      </c>
      <c r="G1098" s="48" t="e">
        <v>#REF!</v>
      </c>
      <c r="H1098" s="49">
        <v>0</v>
      </c>
      <c r="I1098" s="49" t="e">
        <v>#REF!</v>
      </c>
      <c r="J1098" s="50"/>
    </row>
    <row r="1099" ht="28.8" outlineLevel="1" spans="1:10">
      <c r="A1099" s="50">
        <v>178</v>
      </c>
      <c r="B1099" s="51" t="str">
        <v>室内排水塑料管-UPVC-De50</v>
      </c>
      <c r="C1099" s="51" t="e">
        <v>#REF!</v>
      </c>
      <c r="D1099" s="51" t="str">
        <v/>
      </c>
      <c r="E1099" s="51" t="str">
        <v/>
      </c>
      <c r="F1099" s="52" t="e">
        <v>#REF!</v>
      </c>
      <c r="G1099" s="48" t="e">
        <v>#REF!</v>
      </c>
      <c r="H1099" s="49">
        <v>404.24</v>
      </c>
      <c r="I1099" s="49" t="e">
        <v>#REF!</v>
      </c>
      <c r="J1099" s="50"/>
    </row>
    <row r="1100" outlineLevel="1" spans="1:10">
      <c r="A1100" s="50" t="str">
        <v/>
      </c>
      <c r="B1100" s="51" t="str">
        <v>B.05.2卫生器具</v>
      </c>
      <c r="C1100" s="51" t="str">
        <v/>
      </c>
      <c r="D1100" s="51" t="str">
        <v/>
      </c>
      <c r="E1100" s="51" t="str">
        <v/>
      </c>
      <c r="F1100" s="52" t="str">
        <v/>
      </c>
      <c r="G1100" s="48" t="str">
        <v/>
      </c>
      <c r="H1100" s="49">
        <v>0</v>
      </c>
      <c r="I1100" s="49" t="e">
        <v>#REF!</v>
      </c>
      <c r="J1100" s="50"/>
    </row>
    <row r="1101" outlineLevel="1" spans="1:10">
      <c r="A1101" s="50">
        <v>179</v>
      </c>
      <c r="B1101" s="51" t="str">
        <v>卫生间防臭地漏-De50</v>
      </c>
      <c r="C1101" s="51" t="e">
        <v>#REF!</v>
      </c>
      <c r="D1101" s="51" t="str">
        <v/>
      </c>
      <c r="E1101" s="51" t="str">
        <v/>
      </c>
      <c r="F1101" s="52" t="e">
        <v>#REF!</v>
      </c>
      <c r="G1101" s="48" t="e">
        <v>#REF!</v>
      </c>
      <c r="H1101" s="49">
        <v>135</v>
      </c>
      <c r="I1101" s="49" t="e">
        <v>#REF!</v>
      </c>
      <c r="J1101" s="50"/>
    </row>
    <row r="1102" outlineLevel="1" spans="1:10">
      <c r="A1102" s="50">
        <v>180</v>
      </c>
      <c r="B1102" s="51" t="str">
        <v>洗衣机防臭地漏-De50</v>
      </c>
      <c r="C1102" s="51" t="e">
        <v>#REF!</v>
      </c>
      <c r="D1102" s="51" t="str">
        <v/>
      </c>
      <c r="E1102" s="51" t="str">
        <v/>
      </c>
      <c r="F1102" s="52" t="e">
        <v>#REF!</v>
      </c>
      <c r="G1102" s="48" t="e">
        <v>#REF!</v>
      </c>
      <c r="H1102" s="49">
        <v>19</v>
      </c>
      <c r="I1102" s="49" t="e">
        <v>#REF!</v>
      </c>
      <c r="J1102" s="50"/>
    </row>
    <row r="1103" outlineLevel="1" spans="1:10">
      <c r="A1103" s="50">
        <v>181</v>
      </c>
      <c r="B1103" s="51" t="str">
        <v>雨水地漏-DN75</v>
      </c>
      <c r="C1103" s="51" t="e">
        <v>#REF!</v>
      </c>
      <c r="D1103" s="51" t="str">
        <v/>
      </c>
      <c r="E1103" s="51" t="str">
        <v/>
      </c>
      <c r="F1103" s="52" t="e">
        <v>#REF!</v>
      </c>
      <c r="G1103" s="48" t="e">
        <v>#REF!</v>
      </c>
      <c r="H1103" s="49">
        <v>0</v>
      </c>
      <c r="I1103" s="49" t="e">
        <v>#REF!</v>
      </c>
      <c r="J1103" s="50"/>
    </row>
    <row r="1104" outlineLevel="1" spans="1:10">
      <c r="A1104" s="50">
        <v>181</v>
      </c>
      <c r="B1104" s="51" t="str">
        <v>清扫口-De110</v>
      </c>
      <c r="C1104" s="51" t="e">
        <v>#REF!</v>
      </c>
      <c r="D1104" s="51" t="str">
        <v/>
      </c>
      <c r="E1104" s="51" t="str">
        <v/>
      </c>
      <c r="F1104" s="52" t="e">
        <v>#REF!</v>
      </c>
      <c r="G1104" s="48" t="e">
        <v>#REF!</v>
      </c>
      <c r="H1104" s="49">
        <v>0</v>
      </c>
      <c r="I1104" s="49" t="e">
        <v>#REF!</v>
      </c>
      <c r="J1104" s="50"/>
    </row>
    <row r="1105" outlineLevel="1" spans="1:10">
      <c r="A1105" s="50">
        <v>182</v>
      </c>
      <c r="B1105" s="51" t="str">
        <v>阳台水龙头-DN20</v>
      </c>
      <c r="C1105" s="51" t="e">
        <v>#REF!</v>
      </c>
      <c r="D1105" s="51" t="str">
        <v/>
      </c>
      <c r="E1105" s="51" t="str">
        <v/>
      </c>
      <c r="F1105" s="52" t="e">
        <v>#REF!</v>
      </c>
      <c r="G1105" s="48" t="e">
        <v>#REF!</v>
      </c>
      <c r="H1105" s="49">
        <v>2</v>
      </c>
      <c r="I1105" s="49" t="e">
        <v>#REF!</v>
      </c>
      <c r="J1105" s="50"/>
    </row>
    <row r="1106" outlineLevel="1" spans="1:10">
      <c r="A1106" s="50">
        <v>183</v>
      </c>
      <c r="B1106" s="51" t="str">
        <v>洗衣机龙头-DN20</v>
      </c>
      <c r="C1106" s="51" t="e">
        <v>#REF!</v>
      </c>
      <c r="D1106" s="51" t="str">
        <v/>
      </c>
      <c r="E1106" s="51" t="str">
        <v/>
      </c>
      <c r="F1106" s="52" t="e">
        <v>#REF!</v>
      </c>
      <c r="G1106" s="48" t="e">
        <v>#REF!</v>
      </c>
      <c r="H1106" s="49">
        <v>19</v>
      </c>
      <c r="I1106" s="49" t="e">
        <v>#REF!</v>
      </c>
      <c r="J1106" s="50"/>
    </row>
    <row r="1107" outlineLevel="1" spans="1:10">
      <c r="A1107" s="50" t="str">
        <v/>
      </c>
      <c r="B1107" s="51" t="str">
        <v>B.06地上公区给水</v>
      </c>
      <c r="C1107" s="51" t="str">
        <v/>
      </c>
      <c r="D1107" s="51" t="str">
        <v/>
      </c>
      <c r="E1107" s="51" t="str">
        <v/>
      </c>
      <c r="F1107" s="52" t="str">
        <v/>
      </c>
      <c r="G1107" s="48" t="str">
        <v/>
      </c>
      <c r="H1107" s="49">
        <v>0</v>
      </c>
      <c r="I1107" s="49" t="e">
        <v>#REF!</v>
      </c>
      <c r="J1107" s="50"/>
    </row>
    <row r="1108" outlineLevel="1" spans="1:10">
      <c r="A1108" s="50" t="str">
        <v/>
      </c>
      <c r="B1108" s="51" t="str">
        <v>B.06.1阀部件</v>
      </c>
      <c r="C1108" s="51" t="str">
        <v/>
      </c>
      <c r="D1108" s="51" t="str">
        <v/>
      </c>
      <c r="E1108" s="51" t="str">
        <v/>
      </c>
      <c r="F1108" s="52" t="str">
        <v/>
      </c>
      <c r="G1108" s="48" t="str">
        <v/>
      </c>
      <c r="H1108" s="49">
        <v>0</v>
      </c>
      <c r="I1108" s="49" t="e">
        <v>#REF!</v>
      </c>
      <c r="J1108" s="50"/>
    </row>
    <row r="1109" ht="28.8" outlineLevel="1" spans="1:10">
      <c r="A1109" s="50">
        <v>184</v>
      </c>
      <c r="B1109" s="51" t="str">
        <v>螺纹阀门-减压稳压阀-DN25</v>
      </c>
      <c r="C1109" s="51" t="e">
        <v>#REF!</v>
      </c>
      <c r="D1109" s="51" t="str">
        <v/>
      </c>
      <c r="E1109" s="51" t="str">
        <v/>
      </c>
      <c r="F1109" s="52" t="e">
        <v>#REF!</v>
      </c>
      <c r="G1109" s="48" t="e">
        <v>#REF!</v>
      </c>
      <c r="H1109" s="49">
        <v>0</v>
      </c>
      <c r="I1109" s="49" t="e">
        <v>#REF!</v>
      </c>
      <c r="J1109" s="50"/>
    </row>
    <row r="1110" ht="28.8" outlineLevel="1" spans="1:10">
      <c r="A1110" s="50">
        <v>185</v>
      </c>
      <c r="B1110" s="51" t="str">
        <v>螺纹阀门-减压稳压阀-DN32</v>
      </c>
      <c r="C1110" s="51" t="e">
        <v>#REF!</v>
      </c>
      <c r="D1110" s="51" t="str">
        <v/>
      </c>
      <c r="E1110" s="51" t="str">
        <v/>
      </c>
      <c r="F1110" s="52" t="e">
        <v>#REF!</v>
      </c>
      <c r="G1110" s="48" t="e">
        <v>#REF!</v>
      </c>
      <c r="H1110" s="49">
        <v>5</v>
      </c>
      <c r="I1110" s="49" t="e">
        <v>#REF!</v>
      </c>
      <c r="J1110" s="50"/>
    </row>
    <row r="1111" ht="28.8" outlineLevel="1" spans="1:10">
      <c r="A1111" s="50">
        <v>186</v>
      </c>
      <c r="B1111" s="51" t="str">
        <v>螺纹阀门-减压稳压阀-DN20</v>
      </c>
      <c r="C1111" s="51" t="e">
        <v>#REF!</v>
      </c>
      <c r="D1111" s="51" t="str">
        <v/>
      </c>
      <c r="E1111" s="51" t="str">
        <v/>
      </c>
      <c r="F1111" s="52" t="e">
        <v>#REF!</v>
      </c>
      <c r="G1111" s="48" t="e">
        <v>#REF!</v>
      </c>
      <c r="H1111" s="49">
        <v>7</v>
      </c>
      <c r="I1111" s="49" t="e">
        <v>#REF!</v>
      </c>
      <c r="J1111" s="50"/>
    </row>
    <row r="1112" ht="28.8" outlineLevel="1" spans="1:10">
      <c r="A1112" s="50">
        <v>187</v>
      </c>
      <c r="B1112" s="51" t="str">
        <v>螺纹阀门-自动放气阀-DN15</v>
      </c>
      <c r="C1112" s="51" t="e">
        <v>#REF!</v>
      </c>
      <c r="D1112" s="51" t="str">
        <v/>
      </c>
      <c r="E1112" s="51" t="str">
        <v/>
      </c>
      <c r="F1112" s="52" t="e">
        <v>#REF!</v>
      </c>
      <c r="G1112" s="48" t="e">
        <v>#REF!</v>
      </c>
      <c r="H1112" s="49">
        <v>1</v>
      </c>
      <c r="I1112" s="49" t="e">
        <v>#REF!</v>
      </c>
      <c r="J1112" s="50"/>
    </row>
    <row r="1113" outlineLevel="1" spans="1:10">
      <c r="A1113" s="50">
        <v>188</v>
      </c>
      <c r="B1113" s="51" t="str">
        <v>螺纹阀门-截止阀-DN15</v>
      </c>
      <c r="C1113" s="51" t="e">
        <v>#REF!</v>
      </c>
      <c r="D1113" s="51" t="str">
        <v/>
      </c>
      <c r="E1113" s="51" t="str">
        <v/>
      </c>
      <c r="F1113" s="52" t="e">
        <v>#REF!</v>
      </c>
      <c r="G1113" s="48" t="e">
        <v>#REF!</v>
      </c>
      <c r="H1113" s="49">
        <v>1</v>
      </c>
      <c r="I1113" s="49" t="e">
        <v>#REF!</v>
      </c>
      <c r="J1113" s="50"/>
    </row>
    <row r="1114" outlineLevel="1" spans="1:10">
      <c r="A1114" s="50">
        <v>189</v>
      </c>
      <c r="B1114" s="51" t="str">
        <v>螺纹阀门-截止阀-DN20</v>
      </c>
      <c r="C1114" s="51" t="e">
        <v>#REF!</v>
      </c>
      <c r="D1114" s="51" t="str">
        <v/>
      </c>
      <c r="E1114" s="51" t="str">
        <v/>
      </c>
      <c r="F1114" s="52" t="e">
        <v>#REF!</v>
      </c>
      <c r="G1114" s="48" t="e">
        <v>#REF!</v>
      </c>
      <c r="H1114" s="49">
        <v>33</v>
      </c>
      <c r="I1114" s="49" t="e">
        <v>#REF!</v>
      </c>
      <c r="J1114" s="50"/>
    </row>
    <row r="1115" outlineLevel="1" spans="1:10">
      <c r="A1115" s="50">
        <v>190</v>
      </c>
      <c r="B1115" s="51" t="str">
        <v>螺纹阀门-截止阀-De25</v>
      </c>
      <c r="C1115" s="51" t="e">
        <v>#REF!</v>
      </c>
      <c r="D1115" s="51" t="str">
        <v/>
      </c>
      <c r="E1115" s="51" t="str">
        <v/>
      </c>
      <c r="F1115" s="52" t="e">
        <v>#REF!</v>
      </c>
      <c r="G1115" s="48" t="e">
        <v>#REF!</v>
      </c>
      <c r="H1115" s="49">
        <v>0</v>
      </c>
      <c r="I1115" s="49" t="e">
        <v>#REF!</v>
      </c>
      <c r="J1115" s="50"/>
    </row>
    <row r="1116" outlineLevel="1" spans="1:10">
      <c r="A1116" s="50">
        <v>191</v>
      </c>
      <c r="B1116" s="51" t="str">
        <v>螺纹阀门-截止阀-DN25</v>
      </c>
      <c r="C1116" s="51" t="e">
        <v>#REF!</v>
      </c>
      <c r="D1116" s="51" t="str">
        <v/>
      </c>
      <c r="E1116" s="51" t="str">
        <v/>
      </c>
      <c r="F1116" s="52" t="e">
        <v>#REF!</v>
      </c>
      <c r="G1116" s="48" t="e">
        <v>#REF!</v>
      </c>
      <c r="H1116" s="49">
        <v>0</v>
      </c>
      <c r="I1116" s="49" t="e">
        <v>#REF!</v>
      </c>
      <c r="J1116" s="50"/>
    </row>
    <row r="1117" outlineLevel="1" spans="1:10">
      <c r="A1117" s="50">
        <v>192</v>
      </c>
      <c r="B1117" s="51" t="str">
        <v>螺纹阀门-截止阀-De32</v>
      </c>
      <c r="C1117" s="51" t="e">
        <v>#REF!</v>
      </c>
      <c r="D1117" s="51" t="str">
        <v/>
      </c>
      <c r="E1117" s="51" t="str">
        <v/>
      </c>
      <c r="F1117" s="52" t="e">
        <v>#REF!</v>
      </c>
      <c r="G1117" s="48" t="e">
        <v>#REF!</v>
      </c>
      <c r="H1117" s="49">
        <v>2</v>
      </c>
      <c r="I1117" s="49" t="e">
        <v>#REF!</v>
      </c>
      <c r="J1117" s="50"/>
    </row>
    <row r="1118" outlineLevel="1" spans="1:10">
      <c r="A1118" s="50">
        <v>193</v>
      </c>
      <c r="B1118" s="51" t="str">
        <v>螺纹阀门-截止阀-DN32</v>
      </c>
      <c r="C1118" s="51" t="e">
        <v>#REF!</v>
      </c>
      <c r="D1118" s="51" t="str">
        <v/>
      </c>
      <c r="E1118" s="51" t="str">
        <v/>
      </c>
      <c r="F1118" s="52" t="e">
        <v>#REF!</v>
      </c>
      <c r="G1118" s="48" t="e">
        <v>#REF!</v>
      </c>
      <c r="H1118" s="49">
        <v>11</v>
      </c>
      <c r="I1118" s="49" t="e">
        <v>#REF!</v>
      </c>
      <c r="J1118" s="50"/>
    </row>
    <row r="1119" outlineLevel="1" spans="1:10">
      <c r="A1119" s="50">
        <v>194</v>
      </c>
      <c r="B1119" s="51" t="str">
        <v>螺纹阀门-截止阀-DN50</v>
      </c>
      <c r="C1119" s="51" t="e">
        <v>#REF!</v>
      </c>
      <c r="D1119" s="51" t="str">
        <v/>
      </c>
      <c r="E1119" s="51" t="str">
        <v/>
      </c>
      <c r="F1119" s="52" t="e">
        <v>#REF!</v>
      </c>
      <c r="G1119" s="48" t="e">
        <v>#REF!</v>
      </c>
      <c r="H1119" s="49">
        <v>0</v>
      </c>
      <c r="I1119" s="49" t="e">
        <v>#REF!</v>
      </c>
      <c r="J1119" s="50"/>
    </row>
    <row r="1120" outlineLevel="1" spans="1:10">
      <c r="A1120" s="50">
        <v>195</v>
      </c>
      <c r="B1120" s="51" t="str">
        <v>螺纹阀门-截止阀-De63</v>
      </c>
      <c r="C1120" s="51" t="e">
        <v>#REF!</v>
      </c>
      <c r="D1120" s="51" t="str">
        <v/>
      </c>
      <c r="E1120" s="51" t="str">
        <v/>
      </c>
      <c r="F1120" s="52" t="e">
        <v>#REF!</v>
      </c>
      <c r="G1120" s="48" t="e">
        <v>#REF!</v>
      </c>
      <c r="H1120" s="49">
        <v>1</v>
      </c>
      <c r="I1120" s="49" t="e">
        <v>#REF!</v>
      </c>
      <c r="J1120" s="50"/>
    </row>
    <row r="1121" outlineLevel="1" spans="1:10">
      <c r="A1121" s="50">
        <v>196</v>
      </c>
      <c r="B1121" s="51" t="str">
        <v>螺纹阀门-止回阀-De20</v>
      </c>
      <c r="C1121" s="51" t="e">
        <v>#REF!</v>
      </c>
      <c r="D1121" s="51" t="str">
        <v/>
      </c>
      <c r="E1121" s="51" t="str">
        <v/>
      </c>
      <c r="F1121" s="52" t="e">
        <v>#REF!</v>
      </c>
      <c r="G1121" s="48" t="e">
        <v>#REF!</v>
      </c>
      <c r="H1121" s="49">
        <v>0</v>
      </c>
      <c r="I1121" s="49" t="e">
        <v>#REF!</v>
      </c>
      <c r="J1121" s="50"/>
    </row>
    <row r="1122" outlineLevel="1" spans="1:10">
      <c r="A1122" s="50">
        <v>197</v>
      </c>
      <c r="B1122" s="51" t="str">
        <v>螺纹阀门-止回阀-De25</v>
      </c>
      <c r="C1122" s="51" t="e">
        <v>#REF!</v>
      </c>
      <c r="D1122" s="51" t="str">
        <v/>
      </c>
      <c r="E1122" s="51" t="str">
        <v/>
      </c>
      <c r="F1122" s="52" t="e">
        <v>#REF!</v>
      </c>
      <c r="G1122" s="48" t="e">
        <v>#REF!</v>
      </c>
      <c r="H1122" s="49">
        <v>19</v>
      </c>
      <c r="I1122" s="49" t="e">
        <v>#REF!</v>
      </c>
      <c r="J1122" s="50"/>
    </row>
    <row r="1123" outlineLevel="1" spans="1:10">
      <c r="A1123" s="50">
        <v>198</v>
      </c>
      <c r="B1123" s="51" t="str">
        <v>螺纹阀门-锁闭阀-DN20</v>
      </c>
      <c r="C1123" s="51" t="e">
        <v>#REF!</v>
      </c>
      <c r="D1123" s="51" t="str">
        <v/>
      </c>
      <c r="E1123" s="51" t="str">
        <v/>
      </c>
      <c r="F1123" s="52" t="e">
        <v>#REF!</v>
      </c>
      <c r="G1123" s="48" t="e">
        <v>#REF!</v>
      </c>
      <c r="H1123" s="49">
        <v>19</v>
      </c>
      <c r="I1123" s="49" t="e">
        <v>#REF!</v>
      </c>
      <c r="J1123" s="50"/>
    </row>
    <row r="1124" outlineLevel="1" spans="1:10">
      <c r="A1124" s="50">
        <v>199</v>
      </c>
      <c r="B1124" s="51" t="str">
        <v>螺纹阀门-锁闭阀-DN25</v>
      </c>
      <c r="C1124" s="51" t="e">
        <v>#REF!</v>
      </c>
      <c r="D1124" s="51" t="str">
        <v/>
      </c>
      <c r="E1124" s="51" t="str">
        <v/>
      </c>
      <c r="F1124" s="52" t="e">
        <v>#REF!</v>
      </c>
      <c r="G1124" s="48" t="e">
        <v>#REF!</v>
      </c>
      <c r="H1124" s="49">
        <v>0</v>
      </c>
      <c r="I1124" s="49" t="e">
        <v>#REF!</v>
      </c>
      <c r="J1124" s="50"/>
    </row>
    <row r="1125" outlineLevel="1" spans="1:10">
      <c r="A1125" s="50">
        <v>200</v>
      </c>
      <c r="B1125" s="51" t="str">
        <v>螺纹阀门-锁闭阀-DN50</v>
      </c>
      <c r="C1125" s="51" t="e">
        <v>#REF!</v>
      </c>
      <c r="D1125" s="51" t="str">
        <v/>
      </c>
      <c r="E1125" s="51" t="str">
        <v/>
      </c>
      <c r="F1125" s="52" t="e">
        <v>#REF!</v>
      </c>
      <c r="G1125" s="48" t="e">
        <v>#REF!</v>
      </c>
      <c r="H1125" s="49">
        <v>0</v>
      </c>
      <c r="I1125" s="49" t="e">
        <v>#REF!</v>
      </c>
      <c r="J1125" s="50"/>
    </row>
    <row r="1126" outlineLevel="1" spans="1:10">
      <c r="A1126" s="50">
        <v>201</v>
      </c>
      <c r="B1126" s="51" t="str">
        <v>螺纹阀门-锁闭阀-De63</v>
      </c>
      <c r="C1126" s="51" t="e">
        <v>#REF!</v>
      </c>
      <c r="D1126" s="51" t="str">
        <v/>
      </c>
      <c r="E1126" s="51" t="str">
        <v/>
      </c>
      <c r="F1126" s="52" t="e">
        <v>#REF!</v>
      </c>
      <c r="G1126" s="48" t="e">
        <v>#REF!</v>
      </c>
      <c r="H1126" s="49">
        <v>0</v>
      </c>
      <c r="I1126" s="49" t="e">
        <v>#REF!</v>
      </c>
      <c r="J1126" s="50"/>
    </row>
    <row r="1127" ht="28.8" outlineLevel="1" spans="1:10">
      <c r="A1127" s="50">
        <v>202</v>
      </c>
      <c r="B1127" s="51" t="str">
        <v>螺纹阀门-Y型过滤器-DN20</v>
      </c>
      <c r="C1127" s="51" t="e">
        <v>#REF!</v>
      </c>
      <c r="D1127" s="51" t="str">
        <v/>
      </c>
      <c r="E1127" s="51" t="str">
        <v/>
      </c>
      <c r="F1127" s="52" t="e">
        <v>#REF!</v>
      </c>
      <c r="G1127" s="48" t="e">
        <v>#REF!</v>
      </c>
      <c r="H1127" s="49">
        <v>7</v>
      </c>
      <c r="I1127" s="49" t="e">
        <v>#REF!</v>
      </c>
      <c r="J1127" s="50"/>
    </row>
    <row r="1128" ht="28.8" outlineLevel="1" spans="1:10">
      <c r="A1128" s="50">
        <v>203</v>
      </c>
      <c r="B1128" s="51" t="str">
        <v>螺纹阀门-Y型过滤器-DN25</v>
      </c>
      <c r="C1128" s="51" t="e">
        <v>#REF!</v>
      </c>
      <c r="D1128" s="51" t="str">
        <v/>
      </c>
      <c r="E1128" s="51" t="str">
        <v/>
      </c>
      <c r="F1128" s="52" t="e">
        <v>#REF!</v>
      </c>
      <c r="G1128" s="48" t="e">
        <v>#REF!</v>
      </c>
      <c r="H1128" s="49">
        <v>0</v>
      </c>
      <c r="I1128" s="49" t="e">
        <v>#REF!</v>
      </c>
      <c r="J1128" s="50"/>
    </row>
    <row r="1129" ht="28.8" outlineLevel="1" spans="1:10">
      <c r="A1129" s="50">
        <v>204</v>
      </c>
      <c r="B1129" s="51" t="str">
        <v>螺纹阀门-Y型过滤器-DN32</v>
      </c>
      <c r="C1129" s="51" t="e">
        <v>#REF!</v>
      </c>
      <c r="D1129" s="51" t="str">
        <v/>
      </c>
      <c r="E1129" s="51" t="str">
        <v/>
      </c>
      <c r="F1129" s="52" t="e">
        <v>#REF!</v>
      </c>
      <c r="G1129" s="48" t="e">
        <v>#REF!</v>
      </c>
      <c r="H1129" s="49">
        <v>5</v>
      </c>
      <c r="I1129" s="49" t="e">
        <v>#REF!</v>
      </c>
      <c r="J1129" s="50"/>
    </row>
    <row r="1130" outlineLevel="1" spans="1:10">
      <c r="A1130" s="50">
        <v>205</v>
      </c>
      <c r="B1130" s="51" t="str">
        <v>可曲挠橡胶接头-DN25</v>
      </c>
      <c r="C1130" s="51" t="e">
        <v>#REF!</v>
      </c>
      <c r="D1130" s="51" t="str">
        <v/>
      </c>
      <c r="E1130" s="51" t="str">
        <v/>
      </c>
      <c r="F1130" s="52" t="e">
        <v>#REF!</v>
      </c>
      <c r="G1130" s="48" t="e">
        <v>#REF!</v>
      </c>
      <c r="H1130" s="49">
        <v>0</v>
      </c>
      <c r="I1130" s="49" t="e">
        <v>#REF!</v>
      </c>
      <c r="J1130" s="50"/>
    </row>
    <row r="1131" outlineLevel="1" spans="1:10">
      <c r="A1131" s="50">
        <v>206</v>
      </c>
      <c r="B1131" s="51" t="str">
        <v>水表安装-DN20</v>
      </c>
      <c r="C1131" s="51" t="e">
        <v>#REF!</v>
      </c>
      <c r="D1131" s="51" t="str">
        <v/>
      </c>
      <c r="E1131" s="51" t="str">
        <v/>
      </c>
      <c r="F1131" s="52" t="e">
        <v>#REF!</v>
      </c>
      <c r="G1131" s="48" t="e">
        <v>#REF!</v>
      </c>
      <c r="H1131" s="49">
        <v>19</v>
      </c>
      <c r="I1131" s="49" t="e">
        <v>#REF!</v>
      </c>
      <c r="J1131" s="50"/>
    </row>
    <row r="1132" outlineLevel="1" spans="1:10">
      <c r="A1132" s="50">
        <v>207</v>
      </c>
      <c r="B1132" s="51" t="str">
        <v>水表安装-DN32</v>
      </c>
      <c r="C1132" s="51" t="e">
        <v>#REF!</v>
      </c>
      <c r="D1132" s="51" t="str">
        <v/>
      </c>
      <c r="E1132" s="51" t="str">
        <v/>
      </c>
      <c r="F1132" s="52" t="e">
        <v>#REF!</v>
      </c>
      <c r="G1132" s="48" t="e">
        <v>#REF!</v>
      </c>
      <c r="H1132" s="49">
        <v>0</v>
      </c>
      <c r="I1132" s="49" t="e">
        <v>#REF!</v>
      </c>
      <c r="J1132" s="50"/>
    </row>
    <row r="1133" outlineLevel="1" spans="1:10">
      <c r="A1133" s="50">
        <v>208</v>
      </c>
      <c r="B1133" s="51" t="str">
        <v>水表安装-DN40</v>
      </c>
      <c r="C1133" s="51" t="e">
        <v>#REF!</v>
      </c>
      <c r="D1133" s="51" t="str">
        <v/>
      </c>
      <c r="E1133" s="51" t="str">
        <v/>
      </c>
      <c r="F1133" s="52" t="e">
        <v>#REF!</v>
      </c>
      <c r="G1133" s="48" t="e">
        <v>#REF!</v>
      </c>
      <c r="H1133" s="49">
        <v>3</v>
      </c>
      <c r="I1133" s="49" t="e">
        <v>#REF!</v>
      </c>
      <c r="J1133" s="50"/>
    </row>
    <row r="1134" outlineLevel="1" spans="1:10">
      <c r="A1134" s="50">
        <v>209</v>
      </c>
      <c r="B1134" s="51" t="str">
        <v>水表安装-DN50</v>
      </c>
      <c r="C1134" s="51" t="e">
        <v>#REF!</v>
      </c>
      <c r="D1134" s="51" t="str">
        <v/>
      </c>
      <c r="E1134" s="51" t="str">
        <v/>
      </c>
      <c r="F1134" s="52" t="e">
        <v>#REF!</v>
      </c>
      <c r="G1134" s="48" t="e">
        <v>#REF!</v>
      </c>
      <c r="H1134" s="49">
        <v>0</v>
      </c>
      <c r="I1134" s="49" t="e">
        <v>#REF!</v>
      </c>
      <c r="J1134" s="50"/>
    </row>
    <row r="1135" outlineLevel="1" spans="1:10">
      <c r="A1135" s="50">
        <v>210</v>
      </c>
      <c r="B1135" s="51" t="str">
        <v>IC卡热水表(DN15)</v>
      </c>
      <c r="C1135" s="51" t="e">
        <v>#REF!</v>
      </c>
      <c r="D1135" s="51" t="str">
        <v/>
      </c>
      <c r="E1135" s="51" t="str">
        <v/>
      </c>
      <c r="F1135" s="52" t="e">
        <v>#REF!</v>
      </c>
      <c r="G1135" s="48" t="e">
        <v>#REF!</v>
      </c>
      <c r="H1135" s="49">
        <v>0</v>
      </c>
      <c r="I1135" s="49" t="e">
        <v>#REF!</v>
      </c>
      <c r="J1135" s="50"/>
    </row>
    <row r="1136" outlineLevel="1" spans="1:10">
      <c r="A1136" s="50">
        <v>211</v>
      </c>
      <c r="B1136" s="51" t="str">
        <v>IC卡热水表(DN20)</v>
      </c>
      <c r="C1136" s="51" t="e">
        <v>#REF!</v>
      </c>
      <c r="D1136" s="51" t="str">
        <v/>
      </c>
      <c r="E1136" s="51" t="str">
        <v/>
      </c>
      <c r="F1136" s="52" t="e">
        <v>#REF!</v>
      </c>
      <c r="G1136" s="48" t="e">
        <v>#REF!</v>
      </c>
      <c r="H1136" s="49">
        <v>0</v>
      </c>
      <c r="I1136" s="49" t="e">
        <v>#REF!</v>
      </c>
      <c r="J1136" s="50"/>
    </row>
    <row r="1137" outlineLevel="1" spans="1:10">
      <c r="A1137" s="50">
        <v>212</v>
      </c>
      <c r="B1137" s="51" t="str">
        <v>减压阀组压力表-DN15</v>
      </c>
      <c r="C1137" s="51" t="e">
        <v>#REF!</v>
      </c>
      <c r="D1137" s="51" t="str">
        <v/>
      </c>
      <c r="E1137" s="51" t="str">
        <v/>
      </c>
      <c r="F1137" s="52" t="e">
        <v>#REF!</v>
      </c>
      <c r="G1137" s="48" t="e">
        <v>#REF!</v>
      </c>
      <c r="H1137" s="49">
        <v>12</v>
      </c>
      <c r="I1137" s="49" t="e">
        <v>#REF!</v>
      </c>
      <c r="J1137" s="50"/>
    </row>
    <row r="1138" ht="28.8" outlineLevel="1" spans="1:10">
      <c r="A1138" s="50">
        <v>213</v>
      </c>
      <c r="B1138" s="51" t="str">
        <v>螺纹阀门-波纹补偿器-DN32</v>
      </c>
      <c r="C1138" s="51" t="e">
        <v>#REF!</v>
      </c>
      <c r="D1138" s="51" t="str">
        <v/>
      </c>
      <c r="E1138" s="51" t="str">
        <v/>
      </c>
      <c r="F1138" s="52" t="e">
        <v>#REF!</v>
      </c>
      <c r="G1138" s="48" t="e">
        <v>#REF!</v>
      </c>
      <c r="H1138" s="49">
        <v>0</v>
      </c>
      <c r="I1138" s="49" t="e">
        <v>#REF!</v>
      </c>
      <c r="J1138" s="50"/>
    </row>
    <row r="1139" ht="28.8" outlineLevel="1" spans="1:10">
      <c r="A1139" s="50">
        <v>214</v>
      </c>
      <c r="B1139" s="51" t="str">
        <v>螺纹阀门-波纹补偿器-DN40</v>
      </c>
      <c r="C1139" s="51" t="e">
        <v>#REF!</v>
      </c>
      <c r="D1139" s="51" t="str">
        <v/>
      </c>
      <c r="E1139" s="51" t="str">
        <v/>
      </c>
      <c r="F1139" s="52" t="e">
        <v>#REF!</v>
      </c>
      <c r="G1139" s="48" t="e">
        <v>#REF!</v>
      </c>
      <c r="H1139" s="49">
        <v>0</v>
      </c>
      <c r="I1139" s="49" t="e">
        <v>#REF!</v>
      </c>
      <c r="J1139" s="50"/>
    </row>
    <row r="1140" ht="28.8" outlineLevel="1" spans="1:10">
      <c r="A1140" s="50">
        <v>215</v>
      </c>
      <c r="B1140" s="51" t="str">
        <v>螺纹阀门-波纹补偿器-DN50</v>
      </c>
      <c r="C1140" s="51" t="e">
        <v>#REF!</v>
      </c>
      <c r="D1140" s="51" t="str">
        <v/>
      </c>
      <c r="E1140" s="51" t="str">
        <v/>
      </c>
      <c r="F1140" s="52" t="e">
        <v>#REF!</v>
      </c>
      <c r="G1140" s="48" t="e">
        <v>#REF!</v>
      </c>
      <c r="H1140" s="49">
        <v>0</v>
      </c>
      <c r="I1140" s="49" t="e">
        <v>#REF!</v>
      </c>
      <c r="J1140" s="50"/>
    </row>
    <row r="1141" outlineLevel="1" spans="1:10">
      <c r="A1141" s="50" t="str">
        <v/>
      </c>
      <c r="B1141" s="51" t="str">
        <v>B.06.2给水管道</v>
      </c>
      <c r="C1141" s="51" t="str">
        <v/>
      </c>
      <c r="D1141" s="51" t="str">
        <v/>
      </c>
      <c r="E1141" s="51" t="str">
        <v/>
      </c>
      <c r="F1141" s="52" t="str">
        <v/>
      </c>
      <c r="G1141" s="48" t="str">
        <v/>
      </c>
      <c r="H1141" s="49">
        <v>0</v>
      </c>
      <c r="I1141" s="49" t="e">
        <v>#REF!</v>
      </c>
      <c r="J1141" s="50"/>
    </row>
    <row r="1142" ht="28.8" outlineLevel="1" spans="1:10">
      <c r="A1142" s="50">
        <v>216</v>
      </c>
      <c r="B1142" s="51" t="str">
        <v>室内给水塑料管-PPR-De20-热熔</v>
      </c>
      <c r="C1142" s="51" t="e">
        <v>#REF!</v>
      </c>
      <c r="D1142" s="51" t="str">
        <v/>
      </c>
      <c r="E1142" s="51" t="str">
        <v/>
      </c>
      <c r="F1142" s="52" t="e">
        <v>#REF!</v>
      </c>
      <c r="G1142" s="48" t="e">
        <v>#REF!</v>
      </c>
      <c r="H1142" s="49">
        <v>0</v>
      </c>
      <c r="I1142" s="49" t="e">
        <v>#REF!</v>
      </c>
      <c r="J1142" s="50"/>
    </row>
    <row r="1143" ht="28.8" outlineLevel="1" spans="1:10">
      <c r="A1143" s="50">
        <v>217</v>
      </c>
      <c r="B1143" s="51" t="str">
        <v>室内给水塑料管-PPR-De25-热熔</v>
      </c>
      <c r="C1143" s="51" t="e">
        <v>#REF!</v>
      </c>
      <c r="D1143" s="51" t="str">
        <v/>
      </c>
      <c r="E1143" s="51" t="str">
        <v/>
      </c>
      <c r="F1143" s="52" t="e">
        <v>#REF!</v>
      </c>
      <c r="G1143" s="48" t="e">
        <v>#REF!</v>
      </c>
      <c r="H1143" s="49">
        <v>61.239</v>
      </c>
      <c r="I1143" s="49" t="e">
        <v>#REF!</v>
      </c>
      <c r="J1143" s="50"/>
    </row>
    <row r="1144" ht="28.8" outlineLevel="1" spans="1:10">
      <c r="A1144" s="50">
        <v>218</v>
      </c>
      <c r="B1144" s="51" t="str">
        <v>室内给水塑料管-PPR-De32-热熔</v>
      </c>
      <c r="C1144" s="51" t="e">
        <v>#REF!</v>
      </c>
      <c r="D1144" s="51" t="str">
        <v/>
      </c>
      <c r="E1144" s="51" t="str">
        <v/>
      </c>
      <c r="F1144" s="52" t="e">
        <v>#REF!</v>
      </c>
      <c r="G1144" s="48" t="e">
        <v>#REF!</v>
      </c>
      <c r="H1144" s="49">
        <v>67.975</v>
      </c>
      <c r="I1144" s="49" t="e">
        <v>#REF!</v>
      </c>
      <c r="J1144" s="50"/>
    </row>
    <row r="1145" ht="28.8" outlineLevel="1" spans="1:10">
      <c r="A1145" s="50">
        <v>219</v>
      </c>
      <c r="B1145" s="51" t="str">
        <v>室内给水塑料管-PPR-De40-热熔</v>
      </c>
      <c r="C1145" s="51" t="e">
        <v>#REF!</v>
      </c>
      <c r="D1145" s="51" t="str">
        <v/>
      </c>
      <c r="E1145" s="51" t="str">
        <v/>
      </c>
      <c r="F1145" s="52" t="e">
        <v>#REF!</v>
      </c>
      <c r="G1145" s="48" t="e">
        <v>#REF!</v>
      </c>
      <c r="H1145" s="49">
        <v>3.15</v>
      </c>
      <c r="I1145" s="49" t="e">
        <v>#REF!</v>
      </c>
      <c r="J1145" s="50"/>
    </row>
    <row r="1146" ht="28.8" outlineLevel="1" spans="1:10">
      <c r="A1146" s="50">
        <v>220</v>
      </c>
      <c r="B1146" s="51" t="str">
        <v>室内给水塑料管-PPR-De50-热熔</v>
      </c>
      <c r="C1146" s="51" t="e">
        <v>#REF!</v>
      </c>
      <c r="D1146" s="51" t="str">
        <v/>
      </c>
      <c r="E1146" s="51" t="str">
        <v/>
      </c>
      <c r="F1146" s="52" t="e">
        <v>#REF!</v>
      </c>
      <c r="G1146" s="48" t="e">
        <v>#REF!</v>
      </c>
      <c r="H1146" s="49">
        <v>0</v>
      </c>
      <c r="I1146" s="49" t="e">
        <v>#REF!</v>
      </c>
      <c r="J1146" s="50"/>
    </row>
    <row r="1147" ht="28.8" outlineLevel="1" spans="1:10">
      <c r="A1147" s="50">
        <v>221</v>
      </c>
      <c r="B1147" s="51" t="str">
        <v>室内给水塑料管-PPR-De63-热熔</v>
      </c>
      <c r="C1147" s="51" t="e">
        <v>#REF!</v>
      </c>
      <c r="D1147" s="51" t="str">
        <v/>
      </c>
      <c r="E1147" s="51" t="str">
        <v/>
      </c>
      <c r="F1147" s="52" t="e">
        <v>#REF!</v>
      </c>
      <c r="G1147" s="48" t="e">
        <v>#REF!</v>
      </c>
      <c r="H1147" s="49">
        <v>2.83</v>
      </c>
      <c r="I1147" s="49" t="e">
        <v>#REF!</v>
      </c>
      <c r="J1147" s="50"/>
    </row>
    <row r="1148" outlineLevel="1" spans="1:10">
      <c r="A1148" s="50">
        <v>222</v>
      </c>
      <c r="B1148" s="51" t="str">
        <v>室内薄壁不锈钢管-DN15</v>
      </c>
      <c r="C1148" s="51" t="e">
        <v>#REF!</v>
      </c>
      <c r="D1148" s="51" t="str">
        <v/>
      </c>
      <c r="E1148" s="51" t="str">
        <v/>
      </c>
      <c r="F1148" s="52" t="e">
        <v>#REF!</v>
      </c>
      <c r="G1148" s="48" t="e">
        <v>#REF!</v>
      </c>
      <c r="H1148" s="49">
        <v>11.8</v>
      </c>
      <c r="I1148" s="49" t="e">
        <v>#REF!</v>
      </c>
      <c r="J1148" s="50"/>
    </row>
    <row r="1149" outlineLevel="1" spans="1:10">
      <c r="A1149" s="50">
        <v>223</v>
      </c>
      <c r="B1149" s="51" t="str">
        <v>室内薄壁不锈钢管-DN20</v>
      </c>
      <c r="C1149" s="51" t="e">
        <v>#REF!</v>
      </c>
      <c r="D1149" s="51" t="str">
        <v/>
      </c>
      <c r="E1149" s="51" t="str">
        <v/>
      </c>
      <c r="F1149" s="52" t="e">
        <v>#REF!</v>
      </c>
      <c r="G1149" s="48" t="e">
        <v>#REF!</v>
      </c>
      <c r="H1149" s="49">
        <v>16.35</v>
      </c>
      <c r="I1149" s="49" t="e">
        <v>#REF!</v>
      </c>
      <c r="J1149" s="50"/>
    </row>
    <row r="1150" outlineLevel="1" spans="1:10">
      <c r="A1150" s="50">
        <v>224</v>
      </c>
      <c r="B1150" s="51" t="str">
        <v>室内薄壁不锈钢管-DN25</v>
      </c>
      <c r="C1150" s="51" t="e">
        <v>#REF!</v>
      </c>
      <c r="D1150" s="51" t="str">
        <v/>
      </c>
      <c r="E1150" s="51" t="str">
        <v/>
      </c>
      <c r="F1150" s="52" t="e">
        <v>#REF!</v>
      </c>
      <c r="G1150" s="48" t="e">
        <v>#REF!</v>
      </c>
      <c r="H1150" s="49">
        <v>0</v>
      </c>
      <c r="I1150" s="49" t="e">
        <v>#REF!</v>
      </c>
      <c r="J1150" s="50"/>
    </row>
    <row r="1151" outlineLevel="1" spans="1:10">
      <c r="A1151" s="50">
        <v>225</v>
      </c>
      <c r="B1151" s="51" t="str">
        <v>室内薄壁不锈钢管-DN32</v>
      </c>
      <c r="C1151" s="51" t="e">
        <v>#REF!</v>
      </c>
      <c r="D1151" s="51" t="str">
        <v/>
      </c>
      <c r="E1151" s="51" t="str">
        <v/>
      </c>
      <c r="F1151" s="52" t="e">
        <v>#REF!</v>
      </c>
      <c r="G1151" s="48" t="e">
        <v>#REF!</v>
      </c>
      <c r="H1151" s="49">
        <v>34.104</v>
      </c>
      <c r="I1151" s="49" t="e">
        <v>#REF!</v>
      </c>
      <c r="J1151" s="50"/>
    </row>
    <row r="1152" outlineLevel="1" spans="1:10">
      <c r="A1152" s="50">
        <v>226</v>
      </c>
      <c r="B1152" s="51" t="str">
        <v>室内薄壁不锈钢管-DN40</v>
      </c>
      <c r="C1152" s="51" t="e">
        <v>#REF!</v>
      </c>
      <c r="D1152" s="51" t="str">
        <v/>
      </c>
      <c r="E1152" s="51" t="str">
        <v/>
      </c>
      <c r="F1152" s="52" t="e">
        <v>#REF!</v>
      </c>
      <c r="G1152" s="48" t="e">
        <v>#REF!</v>
      </c>
      <c r="H1152" s="49">
        <v>0</v>
      </c>
      <c r="I1152" s="49" t="e">
        <v>#REF!</v>
      </c>
      <c r="J1152" s="50"/>
    </row>
    <row r="1153" outlineLevel="1" spans="1:10">
      <c r="A1153" s="50">
        <v>227</v>
      </c>
      <c r="B1153" s="51" t="str">
        <v>室内薄壁不锈钢管-DN50</v>
      </c>
      <c r="C1153" s="51" t="e">
        <v>#REF!</v>
      </c>
      <c r="D1153" s="51" t="str">
        <v/>
      </c>
      <c r="E1153" s="51" t="str">
        <v/>
      </c>
      <c r="F1153" s="52" t="e">
        <v>#REF!</v>
      </c>
      <c r="G1153" s="48" t="e">
        <v>#REF!</v>
      </c>
      <c r="H1153" s="49">
        <v>12.6</v>
      </c>
      <c r="I1153" s="49" t="e">
        <v>#REF!</v>
      </c>
      <c r="J1153" s="50"/>
    </row>
    <row r="1154" outlineLevel="1" spans="1:10">
      <c r="A1154" s="50">
        <v>228</v>
      </c>
      <c r="B1154" s="51" t="str">
        <v>室内薄壁不锈钢管-DN65</v>
      </c>
      <c r="C1154" s="51" t="e">
        <v>#REF!</v>
      </c>
      <c r="D1154" s="51" t="str">
        <v/>
      </c>
      <c r="E1154" s="51" t="str">
        <v/>
      </c>
      <c r="F1154" s="52" t="e">
        <v>#REF!</v>
      </c>
      <c r="G1154" s="48" t="e">
        <v>#REF!</v>
      </c>
      <c r="H1154" s="49">
        <v>17.7</v>
      </c>
      <c r="I1154" s="49" t="e">
        <v>#REF!</v>
      </c>
      <c r="J1154" s="50"/>
    </row>
    <row r="1155" ht="28.8" outlineLevel="1" spans="1:10">
      <c r="A1155" s="50">
        <v>229</v>
      </c>
      <c r="B1155" s="51" t="str">
        <v>室内给水内衬塑镀锌钢塑复合管-DN15</v>
      </c>
      <c r="C1155" s="51" t="e">
        <v>#REF!</v>
      </c>
      <c r="D1155" s="51" t="str">
        <v/>
      </c>
      <c r="E1155" s="51" t="str">
        <v/>
      </c>
      <c r="F1155" s="52" t="e">
        <v>#REF!</v>
      </c>
      <c r="G1155" s="48" t="e">
        <v>#REF!</v>
      </c>
      <c r="H1155" s="49">
        <v>0</v>
      </c>
      <c r="I1155" s="49" t="e">
        <v>#REF!</v>
      </c>
      <c r="J1155" s="50"/>
    </row>
    <row r="1156" ht="28.8" outlineLevel="1" spans="1:10">
      <c r="A1156" s="50">
        <v>230</v>
      </c>
      <c r="B1156" s="51" t="str">
        <v>室内给水内衬塑镀锌钢塑复合管-DN20</v>
      </c>
      <c r="C1156" s="51" t="e">
        <v>#REF!</v>
      </c>
      <c r="D1156" s="51" t="str">
        <v/>
      </c>
      <c r="E1156" s="51" t="str">
        <v/>
      </c>
      <c r="F1156" s="52" t="e">
        <v>#REF!</v>
      </c>
      <c r="G1156" s="48" t="e">
        <v>#REF!</v>
      </c>
      <c r="H1156" s="49">
        <v>0</v>
      </c>
      <c r="I1156" s="49" t="e">
        <v>#REF!</v>
      </c>
      <c r="J1156" s="50"/>
    </row>
    <row r="1157" ht="28.8" outlineLevel="1" spans="1:10">
      <c r="A1157" s="50">
        <v>231</v>
      </c>
      <c r="B1157" s="51" t="str">
        <v>室内给水内衬塑镀锌钢塑复合管-DN25</v>
      </c>
      <c r="C1157" s="51" t="e">
        <v>#REF!</v>
      </c>
      <c r="D1157" s="51" t="str">
        <v/>
      </c>
      <c r="E1157" s="51" t="str">
        <v/>
      </c>
      <c r="F1157" s="52" t="e">
        <v>#REF!</v>
      </c>
      <c r="G1157" s="48" t="e">
        <v>#REF!</v>
      </c>
      <c r="H1157" s="49">
        <v>7.612</v>
      </c>
      <c r="I1157" s="49" t="e">
        <v>#REF!</v>
      </c>
      <c r="J1157" s="50"/>
    </row>
    <row r="1158" ht="28.8" outlineLevel="1" spans="1:10">
      <c r="A1158" s="50">
        <v>232</v>
      </c>
      <c r="B1158" s="51" t="str">
        <v>室内给水内衬塑镀锌钢塑复合管-DN32</v>
      </c>
      <c r="C1158" s="51" t="e">
        <v>#REF!</v>
      </c>
      <c r="D1158" s="51" t="str">
        <v/>
      </c>
      <c r="E1158" s="51" t="str">
        <v/>
      </c>
      <c r="F1158" s="52" t="e">
        <v>#REF!</v>
      </c>
      <c r="G1158" s="48" t="e">
        <v>#REF!</v>
      </c>
      <c r="H1158" s="49">
        <v>8.633</v>
      </c>
      <c r="I1158" s="49" t="e">
        <v>#REF!</v>
      </c>
      <c r="J1158" s="50"/>
    </row>
    <row r="1159" ht="28.8" outlineLevel="1" spans="1:10">
      <c r="A1159" s="50">
        <v>233</v>
      </c>
      <c r="B1159" s="51" t="str">
        <v>室内给水内衬塑镀锌钢塑复合管-DN40</v>
      </c>
      <c r="C1159" s="51" t="e">
        <v>#REF!</v>
      </c>
      <c r="D1159" s="51" t="str">
        <v/>
      </c>
      <c r="E1159" s="51" t="str">
        <v/>
      </c>
      <c r="F1159" s="52" t="e">
        <v>#REF!</v>
      </c>
      <c r="G1159" s="48" t="e">
        <v>#REF!</v>
      </c>
      <c r="H1159" s="49">
        <v>0</v>
      </c>
      <c r="I1159" s="49" t="e">
        <v>#REF!</v>
      </c>
      <c r="J1159" s="50"/>
    </row>
    <row r="1160" ht="28.8" outlineLevel="1" spans="1:10">
      <c r="A1160" s="50">
        <v>234</v>
      </c>
      <c r="B1160" s="51" t="str">
        <v>室内给水内衬塑镀锌钢塑复合管-DN50</v>
      </c>
      <c r="C1160" s="51" t="e">
        <v>#REF!</v>
      </c>
      <c r="D1160" s="51" t="str">
        <v/>
      </c>
      <c r="E1160" s="51" t="str">
        <v/>
      </c>
      <c r="F1160" s="52" t="e">
        <v>#REF!</v>
      </c>
      <c r="G1160" s="48" t="e">
        <v>#REF!</v>
      </c>
      <c r="H1160" s="49">
        <v>14.05</v>
      </c>
      <c r="I1160" s="49" t="e">
        <v>#REF!</v>
      </c>
      <c r="J1160" s="50"/>
    </row>
    <row r="1161" ht="28.8" outlineLevel="1" spans="1:10">
      <c r="A1161" s="50">
        <v>235</v>
      </c>
      <c r="B1161" s="51" t="str">
        <v>室内给水内衬塑镀锌钢塑复合管-DN65</v>
      </c>
      <c r="C1161" s="51" t="e">
        <v>#REF!</v>
      </c>
      <c r="D1161" s="51" t="str">
        <v/>
      </c>
      <c r="E1161" s="51" t="str">
        <v/>
      </c>
      <c r="F1161" s="52" t="e">
        <v>#REF!</v>
      </c>
      <c r="G1161" s="48" t="e">
        <v>#REF!</v>
      </c>
      <c r="H1161" s="49">
        <v>18.281</v>
      </c>
      <c r="I1161" s="49" t="e">
        <v>#REF!</v>
      </c>
      <c r="J1161" s="50"/>
    </row>
    <row r="1162" outlineLevel="1" spans="1:10">
      <c r="A1162" s="50" t="str">
        <v/>
      </c>
      <c r="B1162" s="51" t="str">
        <v>B.06.3绝热</v>
      </c>
      <c r="C1162" s="51" t="str">
        <v/>
      </c>
      <c r="D1162" s="51" t="str">
        <v/>
      </c>
      <c r="E1162" s="51" t="str">
        <v/>
      </c>
      <c r="F1162" s="52" t="str">
        <v/>
      </c>
      <c r="G1162" s="48" t="str">
        <v/>
      </c>
      <c r="H1162" s="49">
        <v>0</v>
      </c>
      <c r="I1162" s="49" t="e">
        <v>#REF!</v>
      </c>
      <c r="J1162" s="50"/>
    </row>
    <row r="1163" outlineLevel="1" spans="1:10">
      <c r="A1163" s="50">
        <v>236</v>
      </c>
      <c r="B1163" s="51" t="str">
        <v>管道绝热</v>
      </c>
      <c r="C1163" s="51" t="e">
        <v>#REF!</v>
      </c>
      <c r="D1163" s="51" t="str">
        <v/>
      </c>
      <c r="E1163" s="51" t="str">
        <v/>
      </c>
      <c r="F1163" s="52" t="e">
        <v>#REF!</v>
      </c>
      <c r="G1163" s="48" t="e">
        <v>#REF!</v>
      </c>
      <c r="H1163" s="49">
        <v>5.547</v>
      </c>
      <c r="I1163" s="49" t="e">
        <v>#REF!</v>
      </c>
      <c r="J1163" s="50"/>
    </row>
    <row r="1164" outlineLevel="1" spans="1:10">
      <c r="A1164" s="50">
        <v>237</v>
      </c>
      <c r="B1164" s="51" t="str">
        <v>塑料带保护层</v>
      </c>
      <c r="C1164" s="51" t="e">
        <v>#REF!</v>
      </c>
      <c r="D1164" s="51" t="str">
        <v/>
      </c>
      <c r="E1164" s="51" t="str">
        <v/>
      </c>
      <c r="F1164" s="52" t="e">
        <v>#REF!</v>
      </c>
      <c r="G1164" s="48" t="e">
        <v>#REF!</v>
      </c>
      <c r="H1164" s="49">
        <v>81.058</v>
      </c>
      <c r="I1164" s="49" t="e">
        <v>#REF!</v>
      </c>
      <c r="J1164" s="50"/>
    </row>
    <row r="1165" outlineLevel="1" spans="1:10">
      <c r="A1165" s="50" t="str">
        <v/>
      </c>
      <c r="B1165" s="51" t="str">
        <v>B.07地上公区排水</v>
      </c>
      <c r="C1165" s="51" t="str">
        <v/>
      </c>
      <c r="D1165" s="51" t="str">
        <v/>
      </c>
      <c r="E1165" s="51" t="str">
        <v/>
      </c>
      <c r="F1165" s="52" t="str">
        <v/>
      </c>
      <c r="G1165" s="48" t="str">
        <v/>
      </c>
      <c r="H1165" s="49">
        <v>0</v>
      </c>
      <c r="I1165" s="49" t="e">
        <v>#REF!</v>
      </c>
      <c r="J1165" s="50"/>
    </row>
    <row r="1166" outlineLevel="1" spans="1:10">
      <c r="A1166" s="50" t="str">
        <v/>
      </c>
      <c r="B1166" s="51" t="str">
        <v>B.07.1排水管道</v>
      </c>
      <c r="C1166" s="51" t="str">
        <v/>
      </c>
      <c r="D1166" s="51" t="str">
        <v/>
      </c>
      <c r="E1166" s="51" t="str">
        <v/>
      </c>
      <c r="F1166" s="52" t="str">
        <v/>
      </c>
      <c r="G1166" s="48" t="str">
        <v/>
      </c>
      <c r="H1166" s="49">
        <v>0</v>
      </c>
      <c r="I1166" s="49" t="e">
        <v>#REF!</v>
      </c>
      <c r="J1166" s="50"/>
    </row>
    <row r="1167" ht="28.8" outlineLevel="1" spans="1:10">
      <c r="A1167" s="50">
        <v>238</v>
      </c>
      <c r="B1167" s="51" t="str">
        <v>室内排水塑料管-UPVC-De50</v>
      </c>
      <c r="C1167" s="51" t="e">
        <v>#REF!</v>
      </c>
      <c r="D1167" s="51" t="str">
        <v/>
      </c>
      <c r="E1167" s="51" t="str">
        <v/>
      </c>
      <c r="F1167" s="52" t="e">
        <v>#REF!</v>
      </c>
      <c r="G1167" s="48" t="e">
        <v>#REF!</v>
      </c>
      <c r="H1167" s="49">
        <v>6.312</v>
      </c>
      <c r="I1167" s="49" t="e">
        <v>#REF!</v>
      </c>
      <c r="J1167" s="50"/>
    </row>
    <row r="1168" ht="28.8" outlineLevel="1" spans="1:10">
      <c r="A1168" s="50">
        <v>239</v>
      </c>
      <c r="B1168" s="51" t="str">
        <v>室内排水塑料管-UPVC-De75</v>
      </c>
      <c r="C1168" s="51" t="e">
        <v>#REF!</v>
      </c>
      <c r="D1168" s="51" t="str">
        <v/>
      </c>
      <c r="E1168" s="51" t="str">
        <v/>
      </c>
      <c r="F1168" s="52" t="e">
        <v>#REF!</v>
      </c>
      <c r="G1168" s="48" t="e">
        <v>#REF!</v>
      </c>
      <c r="H1168" s="49">
        <v>0</v>
      </c>
      <c r="I1168" s="49" t="e">
        <v>#REF!</v>
      </c>
      <c r="J1168" s="50"/>
    </row>
    <row r="1169" ht="28.8" outlineLevel="1" spans="1:10">
      <c r="A1169" s="50">
        <v>240</v>
      </c>
      <c r="B1169" s="51" t="str">
        <v>室内排水塑料管-UPVC-De110</v>
      </c>
      <c r="C1169" s="51" t="e">
        <v>#REF!</v>
      </c>
      <c r="D1169" s="51" t="str">
        <v/>
      </c>
      <c r="E1169" s="51" t="str">
        <v/>
      </c>
      <c r="F1169" s="52" t="e">
        <v>#REF!</v>
      </c>
      <c r="G1169" s="48" t="e">
        <v>#REF!</v>
      </c>
      <c r="H1169" s="49">
        <v>0</v>
      </c>
      <c r="I1169" s="49" t="e">
        <v>#REF!</v>
      </c>
      <c r="J1169" s="50"/>
    </row>
    <row r="1170" ht="28.8" outlineLevel="1" spans="1:10">
      <c r="A1170" s="50">
        <v>241</v>
      </c>
      <c r="B1170" s="51" t="str">
        <v>室内排水塑料管-消音UPVC-De75</v>
      </c>
      <c r="C1170" s="51" t="e">
        <v>#REF!</v>
      </c>
      <c r="D1170" s="51" t="str">
        <v/>
      </c>
      <c r="E1170" s="51" t="str">
        <v/>
      </c>
      <c r="F1170" s="52" t="e">
        <v>#REF!</v>
      </c>
      <c r="G1170" s="48" t="e">
        <v>#REF!</v>
      </c>
      <c r="H1170" s="49">
        <v>28.7</v>
      </c>
      <c r="I1170" s="49" t="e">
        <v>#REF!</v>
      </c>
      <c r="J1170" s="50"/>
    </row>
    <row r="1171" ht="28.8" outlineLevel="1" spans="1:10">
      <c r="A1171" s="50">
        <v>242</v>
      </c>
      <c r="B1171" s="51" t="str">
        <v>室内排水塑料管-消音UPVC-De110</v>
      </c>
      <c r="C1171" s="51" t="e">
        <v>#REF!</v>
      </c>
      <c r="D1171" s="51" t="str">
        <v/>
      </c>
      <c r="E1171" s="51" t="str">
        <v/>
      </c>
      <c r="F1171" s="52" t="e">
        <v>#REF!</v>
      </c>
      <c r="G1171" s="48" t="e">
        <v>#REF!</v>
      </c>
      <c r="H1171" s="49">
        <v>0</v>
      </c>
      <c r="I1171" s="49" t="e">
        <v>#REF!</v>
      </c>
      <c r="J1171" s="50"/>
    </row>
    <row r="1172" ht="28.8" outlineLevel="1" spans="1:10">
      <c r="A1172" s="50">
        <v>243</v>
      </c>
      <c r="B1172" s="51" t="str">
        <v>室内冷凝水塑料管-UPVC-De75</v>
      </c>
      <c r="C1172" s="51" t="e">
        <v>#REF!</v>
      </c>
      <c r="D1172" s="51" t="str">
        <v/>
      </c>
      <c r="E1172" s="51" t="str">
        <v/>
      </c>
      <c r="F1172" s="52" t="e">
        <v>#REF!</v>
      </c>
      <c r="G1172" s="48" t="e">
        <v>#REF!</v>
      </c>
      <c r="H1172" s="49">
        <v>0</v>
      </c>
      <c r="I1172" s="49" t="e">
        <v>#REF!</v>
      </c>
      <c r="J1172" s="50"/>
    </row>
    <row r="1173" ht="28.8" outlineLevel="1" spans="1:10">
      <c r="A1173" s="50">
        <v>244</v>
      </c>
      <c r="B1173" s="51" t="str">
        <v>室内冷凝水塑料管-UPVC-De50</v>
      </c>
      <c r="C1173" s="51" t="e">
        <v>#REF!</v>
      </c>
      <c r="D1173" s="51" t="str">
        <v/>
      </c>
      <c r="E1173" s="51" t="str">
        <v/>
      </c>
      <c r="F1173" s="52" t="e">
        <v>#REF!</v>
      </c>
      <c r="G1173" s="48" t="e">
        <v>#REF!</v>
      </c>
      <c r="H1173" s="49">
        <v>0</v>
      </c>
      <c r="I1173" s="49" t="e">
        <v>#REF!</v>
      </c>
      <c r="J1173" s="50"/>
    </row>
    <row r="1174" outlineLevel="1" spans="1:10">
      <c r="A1174" s="50" t="str">
        <v/>
      </c>
      <c r="B1174" s="51" t="str">
        <v>B.07.1卫生器具</v>
      </c>
      <c r="C1174" s="51" t="str">
        <v/>
      </c>
      <c r="D1174" s="51" t="str">
        <v/>
      </c>
      <c r="E1174" s="51" t="str">
        <v/>
      </c>
      <c r="F1174" s="52" t="str">
        <v/>
      </c>
      <c r="G1174" s="48" t="str">
        <v/>
      </c>
      <c r="H1174" s="49">
        <v>0</v>
      </c>
      <c r="I1174" s="49" t="e">
        <v>#REF!</v>
      </c>
      <c r="J1174" s="50"/>
    </row>
    <row r="1175" outlineLevel="1" spans="1:10">
      <c r="A1175" s="50">
        <v>245</v>
      </c>
      <c r="B1175" s="51" t="str">
        <v>水龙头DN15</v>
      </c>
      <c r="C1175" s="51" t="e">
        <v>#REF!</v>
      </c>
      <c r="D1175" s="51" t="str">
        <v/>
      </c>
      <c r="E1175" s="51" t="str">
        <v/>
      </c>
      <c r="F1175" s="52" t="e">
        <v>#REF!</v>
      </c>
      <c r="G1175" s="48" t="e">
        <v>#REF!</v>
      </c>
      <c r="H1175" s="49">
        <v>0</v>
      </c>
      <c r="I1175" s="49" t="e">
        <v>#REF!</v>
      </c>
      <c r="J1175" s="50"/>
    </row>
    <row r="1176" outlineLevel="1" spans="1:10">
      <c r="A1176" s="50">
        <v>246</v>
      </c>
      <c r="B1176" s="51" t="str">
        <v>铸铁地漏-DN50</v>
      </c>
      <c r="C1176" s="51" t="e">
        <v>#REF!</v>
      </c>
      <c r="D1176" s="51" t="str">
        <v/>
      </c>
      <c r="E1176" s="51" t="str">
        <v/>
      </c>
      <c r="F1176" s="52" t="e">
        <v>#REF!</v>
      </c>
      <c r="G1176" s="48" t="e">
        <v>#REF!</v>
      </c>
      <c r="H1176" s="49">
        <v>10</v>
      </c>
      <c r="I1176" s="49" t="e">
        <v>#REF!</v>
      </c>
      <c r="J1176" s="50"/>
    </row>
    <row r="1177" outlineLevel="1" spans="1:10">
      <c r="A1177" s="50">
        <v>247</v>
      </c>
      <c r="B1177" s="51" t="str">
        <v>公区塑料地漏-De50</v>
      </c>
      <c r="C1177" s="51" t="e">
        <v>#REF!</v>
      </c>
      <c r="D1177" s="51" t="str">
        <v/>
      </c>
      <c r="E1177" s="51" t="str">
        <v/>
      </c>
      <c r="F1177" s="52" t="e">
        <v>#REF!</v>
      </c>
      <c r="G1177" s="48" t="e">
        <v>#REF!</v>
      </c>
      <c r="H1177" s="49">
        <v>0</v>
      </c>
      <c r="I1177" s="49" t="e">
        <v>#REF!</v>
      </c>
      <c r="J1177" s="50"/>
    </row>
    <row r="1178" outlineLevel="1" spans="1:10">
      <c r="A1178" s="50">
        <v>248</v>
      </c>
      <c r="B1178" s="51" t="str">
        <v>地漏-De110</v>
      </c>
      <c r="C1178" s="51" t="e">
        <v>#REF!</v>
      </c>
      <c r="D1178" s="51" t="str">
        <v/>
      </c>
      <c r="E1178" s="51" t="str">
        <v/>
      </c>
      <c r="F1178" s="52" t="e">
        <v>#REF!</v>
      </c>
      <c r="G1178" s="48" t="e">
        <v>#REF!</v>
      </c>
      <c r="H1178" s="49">
        <v>0</v>
      </c>
      <c r="I1178" s="49" t="e">
        <v>#REF!</v>
      </c>
      <c r="J1178" s="50"/>
    </row>
    <row r="1179" outlineLevel="1" spans="1:10">
      <c r="A1179" s="50">
        <v>249</v>
      </c>
      <c r="B1179" s="51" t="str">
        <v>清扫口-De110</v>
      </c>
      <c r="C1179" s="51" t="e">
        <v>#REF!</v>
      </c>
      <c r="D1179" s="51" t="str">
        <v/>
      </c>
      <c r="E1179" s="51" t="str">
        <v/>
      </c>
      <c r="F1179" s="52" t="e">
        <v>#REF!</v>
      </c>
      <c r="G1179" s="48" t="e">
        <v>#REF!</v>
      </c>
      <c r="H1179" s="49">
        <v>0</v>
      </c>
      <c r="I1179" s="49" t="e">
        <v>#REF!</v>
      </c>
      <c r="J1179" s="50"/>
    </row>
    <row r="1180" outlineLevel="1" spans="1:10">
      <c r="A1180" s="50">
        <v>250</v>
      </c>
      <c r="B1180" s="51" t="str">
        <v>雨水地漏-DN75</v>
      </c>
      <c r="C1180" s="51" t="e">
        <v>#REF!</v>
      </c>
      <c r="D1180" s="51" t="str">
        <v/>
      </c>
      <c r="E1180" s="51" t="str">
        <v/>
      </c>
      <c r="F1180" s="52" t="e">
        <v>#REF!</v>
      </c>
      <c r="G1180" s="48" t="e">
        <v>#REF!</v>
      </c>
      <c r="H1180" s="49">
        <v>0</v>
      </c>
      <c r="I1180" s="49" t="e">
        <v>#REF!</v>
      </c>
      <c r="J1180" s="50"/>
    </row>
    <row r="1181" outlineLevel="1" spans="1:10">
      <c r="A1181" s="50" t="str">
        <v/>
      </c>
      <c r="B1181" s="51" t="str">
        <v>B.08地上预留预埋</v>
      </c>
      <c r="C1181" s="51" t="str">
        <v/>
      </c>
      <c r="D1181" s="51" t="str">
        <v/>
      </c>
      <c r="E1181" s="51" t="str">
        <v/>
      </c>
      <c r="F1181" s="52" t="str">
        <v/>
      </c>
      <c r="G1181" s="48" t="str">
        <v/>
      </c>
      <c r="H1181" s="49">
        <v>0</v>
      </c>
      <c r="I1181" s="49" t="e">
        <v>#REF!</v>
      </c>
      <c r="J1181" s="50"/>
    </row>
    <row r="1182" outlineLevel="1" spans="1:10">
      <c r="A1182" s="50" t="str">
        <v/>
      </c>
      <c r="B1182" s="51" t="str">
        <v>B.08.1给排水预留预埋</v>
      </c>
      <c r="C1182" s="51" t="str">
        <v/>
      </c>
      <c r="D1182" s="51" t="str">
        <v/>
      </c>
      <c r="E1182" s="51" t="str">
        <v/>
      </c>
      <c r="F1182" s="52" t="str">
        <v/>
      </c>
      <c r="G1182" s="48" t="str">
        <v/>
      </c>
      <c r="H1182" s="49">
        <v>0</v>
      </c>
      <c r="I1182" s="49" t="e">
        <v>#REF!</v>
      </c>
      <c r="J1182" s="50"/>
    </row>
    <row r="1183" outlineLevel="1" spans="1:10">
      <c r="A1183" s="50">
        <v>251</v>
      </c>
      <c r="B1183" s="51" t="str">
        <v>空调套管DN80</v>
      </c>
      <c r="C1183" s="51" t="e">
        <v>#REF!</v>
      </c>
      <c r="D1183" s="51" t="str">
        <v/>
      </c>
      <c r="E1183" s="51" t="str">
        <v/>
      </c>
      <c r="F1183" s="52" t="e">
        <v>#REF!</v>
      </c>
      <c r="G1183" s="48" t="e">
        <v>#REF!</v>
      </c>
      <c r="H1183" s="49">
        <v>192</v>
      </c>
      <c r="I1183" s="49" t="e">
        <v>#REF!</v>
      </c>
      <c r="J1183" s="50"/>
    </row>
    <row r="1184" outlineLevel="1" spans="1:10">
      <c r="A1184" s="50">
        <v>252</v>
      </c>
      <c r="B1184" s="51" t="str">
        <v>燃气套管DN100</v>
      </c>
      <c r="C1184" s="51" t="e">
        <v>#REF!</v>
      </c>
      <c r="D1184" s="51" t="str">
        <v/>
      </c>
      <c r="E1184" s="51" t="str">
        <v/>
      </c>
      <c r="F1184" s="52" t="e">
        <v>#REF!</v>
      </c>
      <c r="G1184" s="48" t="e">
        <v>#REF!</v>
      </c>
      <c r="H1184" s="49">
        <v>19</v>
      </c>
      <c r="I1184" s="49" t="e">
        <v>#REF!</v>
      </c>
      <c r="J1184" s="50"/>
    </row>
    <row r="1185" outlineLevel="1" spans="1:10">
      <c r="A1185" s="50">
        <v>253</v>
      </c>
      <c r="B1185" s="51" t="str">
        <v>刚性防水套管-DN50</v>
      </c>
      <c r="C1185" s="51" t="e">
        <v>#REF!</v>
      </c>
      <c r="D1185" s="51" t="str">
        <v/>
      </c>
      <c r="E1185" s="51" t="str">
        <v/>
      </c>
      <c r="F1185" s="52" t="e">
        <v>#REF!</v>
      </c>
      <c r="G1185" s="48" t="e">
        <v>#REF!</v>
      </c>
      <c r="H1185" s="49">
        <v>2</v>
      </c>
      <c r="I1185" s="49" t="e">
        <v>#REF!</v>
      </c>
      <c r="J1185" s="50"/>
    </row>
    <row r="1186" outlineLevel="1" spans="1:10">
      <c r="A1186" s="50">
        <v>254</v>
      </c>
      <c r="B1186" s="51" t="str">
        <v>刚性防水套管-DN65</v>
      </c>
      <c r="C1186" s="51" t="e">
        <v>#REF!</v>
      </c>
      <c r="D1186" s="51" t="str">
        <v/>
      </c>
      <c r="E1186" s="51" t="str">
        <v/>
      </c>
      <c r="F1186" s="52" t="e">
        <v>#REF!</v>
      </c>
      <c r="G1186" s="48" t="e">
        <v>#REF!</v>
      </c>
      <c r="H1186" s="49">
        <v>2</v>
      </c>
      <c r="I1186" s="49" t="e">
        <v>#REF!</v>
      </c>
      <c r="J1186" s="50"/>
    </row>
    <row r="1187" outlineLevel="1" spans="1:10">
      <c r="A1187" s="50">
        <v>255</v>
      </c>
      <c r="B1187" s="51" t="str">
        <v>刚性防水套管-DN80</v>
      </c>
      <c r="C1187" s="51" t="e">
        <v>#REF!</v>
      </c>
      <c r="D1187" s="51" t="str">
        <v/>
      </c>
      <c r="E1187" s="51" t="str">
        <v/>
      </c>
      <c r="F1187" s="52" t="e">
        <v>#REF!</v>
      </c>
      <c r="G1187" s="48" t="e">
        <v>#REF!</v>
      </c>
      <c r="H1187" s="49">
        <v>0</v>
      </c>
      <c r="I1187" s="49" t="e">
        <v>#REF!</v>
      </c>
      <c r="J1187" s="50"/>
    </row>
    <row r="1188" outlineLevel="1" spans="1:10">
      <c r="A1188" s="50">
        <v>256</v>
      </c>
      <c r="B1188" s="51" t="str">
        <v>刚性防水套管-De110</v>
      </c>
      <c r="C1188" s="51" t="e">
        <v>#REF!</v>
      </c>
      <c r="D1188" s="51" t="str">
        <v/>
      </c>
      <c r="E1188" s="51" t="str">
        <v/>
      </c>
      <c r="F1188" s="52" t="e">
        <v>#REF!</v>
      </c>
      <c r="G1188" s="48" t="e">
        <v>#REF!</v>
      </c>
      <c r="H1188" s="49">
        <v>7</v>
      </c>
      <c r="I1188" s="49" t="e">
        <v>#REF!</v>
      </c>
      <c r="J1188" s="50"/>
    </row>
    <row r="1189" outlineLevel="1" spans="1:10">
      <c r="A1189" s="50" t="str">
        <v/>
      </c>
      <c r="B1189" s="51" t="str">
        <v>B.08.1消防预留预埋</v>
      </c>
      <c r="C1189" s="51" t="str">
        <v/>
      </c>
      <c r="D1189" s="51" t="str">
        <v/>
      </c>
      <c r="E1189" s="51" t="str">
        <v/>
      </c>
      <c r="F1189" s="52" t="str">
        <v/>
      </c>
      <c r="G1189" s="48" t="str">
        <v/>
      </c>
      <c r="H1189" s="49">
        <v>0</v>
      </c>
      <c r="I1189" s="49" t="e">
        <v>#REF!</v>
      </c>
      <c r="J1189" s="50"/>
    </row>
    <row r="1190" outlineLevel="1" spans="1:10">
      <c r="A1190" s="50">
        <v>257</v>
      </c>
      <c r="B1190" s="51" t="str">
        <v>消防钢套管-DN65</v>
      </c>
      <c r="C1190" s="51" t="e">
        <v>#REF!</v>
      </c>
      <c r="D1190" s="51" t="str">
        <v/>
      </c>
      <c r="E1190" s="51" t="str">
        <v/>
      </c>
      <c r="F1190" s="52" t="e">
        <v>#REF!</v>
      </c>
      <c r="G1190" s="48" t="e">
        <v>#REF!</v>
      </c>
      <c r="H1190" s="49">
        <v>0</v>
      </c>
      <c r="I1190" s="49" t="e">
        <v>#REF!</v>
      </c>
      <c r="J1190" s="50"/>
    </row>
    <row r="1191" outlineLevel="1" spans="1:10">
      <c r="A1191" s="50">
        <v>258</v>
      </c>
      <c r="B1191" s="51" t="str">
        <v>消防钢套管-DN100</v>
      </c>
      <c r="C1191" s="51" t="e">
        <v>#REF!</v>
      </c>
      <c r="D1191" s="51" t="str">
        <v/>
      </c>
      <c r="E1191" s="51" t="str">
        <v/>
      </c>
      <c r="F1191" s="52" t="e">
        <v>#REF!</v>
      </c>
      <c r="G1191" s="48" t="e">
        <v>#REF!</v>
      </c>
      <c r="H1191" s="49">
        <v>18</v>
      </c>
      <c r="I1191" s="49" t="e">
        <v>#REF!</v>
      </c>
      <c r="J1191" s="50"/>
    </row>
    <row r="1192" outlineLevel="1" spans="1:10">
      <c r="A1192" s="50">
        <v>259</v>
      </c>
      <c r="B1192" s="51" t="str">
        <v>刚性防水套管-DN100</v>
      </c>
      <c r="C1192" s="51" t="e">
        <v>#REF!</v>
      </c>
      <c r="D1192" s="51" t="str">
        <v/>
      </c>
      <c r="E1192" s="51" t="str">
        <v/>
      </c>
      <c r="F1192" s="52" t="e">
        <v>#REF!</v>
      </c>
      <c r="G1192" s="48" t="e">
        <v>#REF!</v>
      </c>
      <c r="H1192" s="49">
        <v>0</v>
      </c>
      <c r="I1192" s="49" t="e">
        <v>#REF!</v>
      </c>
      <c r="J1192" s="50"/>
    </row>
    <row r="1193" outlineLevel="1" spans="1:10">
      <c r="A1193" s="50" t="str">
        <v/>
      </c>
      <c r="B1193" s="51" t="str">
        <v>地下采暖</v>
      </c>
      <c r="C1193" s="51" t="str">
        <v/>
      </c>
      <c r="D1193" s="51" t="str">
        <v/>
      </c>
      <c r="E1193" s="51" t="str">
        <v/>
      </c>
      <c r="F1193" s="52" t="str">
        <v/>
      </c>
      <c r="G1193" s="48" t="str">
        <v/>
      </c>
      <c r="H1193" s="49">
        <v>0</v>
      </c>
      <c r="I1193" s="49" t="e">
        <v>#REF!</v>
      </c>
      <c r="J1193" s="50"/>
    </row>
    <row r="1194" outlineLevel="1" spans="1:10">
      <c r="A1194" s="50" t="str">
        <v/>
      </c>
      <c r="B1194" s="51" t="str">
        <v>B.09采暖入口装置</v>
      </c>
      <c r="C1194" s="51" t="str">
        <v/>
      </c>
      <c r="D1194" s="51" t="str">
        <v/>
      </c>
      <c r="E1194" s="51" t="str">
        <v/>
      </c>
      <c r="F1194" s="52" t="str">
        <v/>
      </c>
      <c r="G1194" s="48" t="str">
        <v/>
      </c>
      <c r="H1194" s="49">
        <v>0</v>
      </c>
      <c r="I1194" s="49" t="e">
        <v>#REF!</v>
      </c>
      <c r="J1194" s="50"/>
    </row>
    <row r="1195" outlineLevel="1" spans="1:10">
      <c r="A1195" s="50">
        <v>260</v>
      </c>
      <c r="B1195" s="51" t="str">
        <v>采暖入口装置-DN25</v>
      </c>
      <c r="C1195" s="51" t="e">
        <v>#REF!</v>
      </c>
      <c r="D1195" s="51" t="str">
        <v/>
      </c>
      <c r="E1195" s="51" t="str">
        <v/>
      </c>
      <c r="F1195" s="52" t="e">
        <v>#REF!</v>
      </c>
      <c r="G1195" s="48" t="e">
        <v>#REF!</v>
      </c>
      <c r="H1195" s="49">
        <v>0</v>
      </c>
      <c r="I1195" s="49" t="e">
        <v>#REF!</v>
      </c>
      <c r="J1195" s="50"/>
    </row>
    <row r="1196" outlineLevel="1" spans="1:10">
      <c r="A1196" s="50">
        <v>261</v>
      </c>
      <c r="B1196" s="51" t="str">
        <v>采暖入口装置-DN32</v>
      </c>
      <c r="C1196" s="51" t="e">
        <v>#REF!</v>
      </c>
      <c r="D1196" s="51" t="str">
        <v/>
      </c>
      <c r="E1196" s="51" t="str">
        <v/>
      </c>
      <c r="F1196" s="52" t="e">
        <v>#REF!</v>
      </c>
      <c r="G1196" s="48" t="e">
        <v>#REF!</v>
      </c>
      <c r="H1196" s="49">
        <v>0</v>
      </c>
      <c r="I1196" s="49" t="e">
        <v>#REF!</v>
      </c>
      <c r="J1196" s="50"/>
    </row>
    <row r="1197" outlineLevel="1" spans="1:10">
      <c r="A1197" s="50">
        <v>262</v>
      </c>
      <c r="B1197" s="51" t="str">
        <v>采暖入口装置-DN40</v>
      </c>
      <c r="C1197" s="51" t="e">
        <v>#REF!</v>
      </c>
      <c r="D1197" s="51" t="str">
        <v/>
      </c>
      <c r="E1197" s="51" t="str">
        <v/>
      </c>
      <c r="F1197" s="52" t="e">
        <v>#REF!</v>
      </c>
      <c r="G1197" s="48" t="e">
        <v>#REF!</v>
      </c>
      <c r="H1197" s="49">
        <v>0</v>
      </c>
      <c r="I1197" s="49" t="e">
        <v>#REF!</v>
      </c>
      <c r="J1197" s="50"/>
    </row>
    <row r="1198" outlineLevel="1" spans="1:10">
      <c r="A1198" s="50">
        <v>263</v>
      </c>
      <c r="B1198" s="51" t="str">
        <v>采暖入口装置-DN50</v>
      </c>
      <c r="C1198" s="51" t="e">
        <v>#REF!</v>
      </c>
      <c r="D1198" s="51" t="str">
        <v/>
      </c>
      <c r="E1198" s="51" t="str">
        <v/>
      </c>
      <c r="F1198" s="52" t="e">
        <v>#REF!</v>
      </c>
      <c r="G1198" s="48" t="e">
        <v>#REF!</v>
      </c>
      <c r="H1198" s="49">
        <v>0</v>
      </c>
      <c r="I1198" s="49" t="e">
        <v>#REF!</v>
      </c>
      <c r="J1198" s="50"/>
    </row>
    <row r="1199" outlineLevel="1" spans="1:10">
      <c r="A1199" s="50">
        <v>264</v>
      </c>
      <c r="B1199" s="51" t="str">
        <v>采暖入口装置-DN65</v>
      </c>
      <c r="C1199" s="51" t="e">
        <v>#REF!</v>
      </c>
      <c r="D1199" s="51" t="str">
        <v/>
      </c>
      <c r="E1199" s="51" t="str">
        <v/>
      </c>
      <c r="F1199" s="52" t="e">
        <v>#REF!</v>
      </c>
      <c r="G1199" s="48" t="e">
        <v>#REF!</v>
      </c>
      <c r="H1199" s="49">
        <v>0</v>
      </c>
      <c r="I1199" s="49" t="e">
        <v>#REF!</v>
      </c>
      <c r="J1199" s="50"/>
    </row>
    <row r="1200" outlineLevel="1" spans="1:10">
      <c r="A1200" s="50">
        <v>265</v>
      </c>
      <c r="B1200" s="51" t="str">
        <v>采暖入口装置-DN80</v>
      </c>
      <c r="C1200" s="51" t="e">
        <v>#REF!</v>
      </c>
      <c r="D1200" s="51" t="str">
        <v/>
      </c>
      <c r="E1200" s="51" t="str">
        <v/>
      </c>
      <c r="F1200" s="52" t="e">
        <v>#REF!</v>
      </c>
      <c r="G1200" s="48" t="e">
        <v>#REF!</v>
      </c>
      <c r="H1200" s="49">
        <v>1</v>
      </c>
      <c r="I1200" s="49" t="e">
        <v>#REF!</v>
      </c>
      <c r="J1200" s="50"/>
    </row>
    <row r="1201" outlineLevel="1" spans="1:10">
      <c r="A1201" s="50">
        <v>266</v>
      </c>
      <c r="B1201" s="51" t="str">
        <v>采暖入口装置-DN100</v>
      </c>
      <c r="C1201" s="51" t="e">
        <v>#REF!</v>
      </c>
      <c r="D1201" s="51" t="str">
        <v/>
      </c>
      <c r="E1201" s="51" t="str">
        <v/>
      </c>
      <c r="F1201" s="52" t="e">
        <v>#REF!</v>
      </c>
      <c r="G1201" s="48" t="e">
        <v>#REF!</v>
      </c>
      <c r="H1201" s="49">
        <v>0</v>
      </c>
      <c r="I1201" s="49" t="e">
        <v>#REF!</v>
      </c>
      <c r="J1201" s="50"/>
    </row>
    <row r="1202" outlineLevel="1" spans="1:10">
      <c r="A1202" s="50" t="str">
        <v/>
      </c>
      <c r="B1202" s="51" t="str">
        <v>B.10采暖管道</v>
      </c>
      <c r="C1202" s="51" t="str">
        <v/>
      </c>
      <c r="D1202" s="51" t="str">
        <v/>
      </c>
      <c r="E1202" s="51" t="str">
        <v/>
      </c>
      <c r="F1202" s="52" t="str">
        <v/>
      </c>
      <c r="G1202" s="48" t="str">
        <v/>
      </c>
      <c r="H1202" s="49">
        <v>0</v>
      </c>
      <c r="I1202" s="49" t="e">
        <v>#REF!</v>
      </c>
      <c r="J1202" s="50"/>
    </row>
    <row r="1203" outlineLevel="1" spans="1:10">
      <c r="A1203" s="50">
        <v>267</v>
      </c>
      <c r="B1203" s="51" t="str">
        <v>室内供暖镀锌钢管-DN15</v>
      </c>
      <c r="C1203" s="51" t="e">
        <v>#REF!</v>
      </c>
      <c r="D1203" s="51" t="str">
        <v/>
      </c>
      <c r="E1203" s="51" t="str">
        <v/>
      </c>
      <c r="F1203" s="52" t="e">
        <v>#REF!</v>
      </c>
      <c r="G1203" s="48" t="e">
        <v>#REF!</v>
      </c>
      <c r="H1203" s="49">
        <v>0</v>
      </c>
      <c r="I1203" s="49" t="e">
        <v>#REF!</v>
      </c>
      <c r="J1203" s="50"/>
    </row>
    <row r="1204" outlineLevel="1" spans="1:10">
      <c r="A1204" s="50">
        <v>268</v>
      </c>
      <c r="B1204" s="51" t="str">
        <v>室内供暖镀锌钢管-DN20</v>
      </c>
      <c r="C1204" s="51" t="e">
        <v>#REF!</v>
      </c>
      <c r="D1204" s="51" t="str">
        <v/>
      </c>
      <c r="E1204" s="51" t="str">
        <v/>
      </c>
      <c r="F1204" s="52" t="e">
        <v>#REF!</v>
      </c>
      <c r="G1204" s="48" t="e">
        <v>#REF!</v>
      </c>
      <c r="H1204" s="49">
        <v>0</v>
      </c>
      <c r="I1204" s="49" t="e">
        <v>#REF!</v>
      </c>
      <c r="J1204" s="50"/>
    </row>
    <row r="1205" outlineLevel="1" spans="1:10">
      <c r="A1205" s="50">
        <v>269</v>
      </c>
      <c r="B1205" s="51" t="str">
        <v>室内供暖镀锌钢管-DN25</v>
      </c>
      <c r="C1205" s="51" t="e">
        <v>#REF!</v>
      </c>
      <c r="D1205" s="51" t="str">
        <v/>
      </c>
      <c r="E1205" s="51" t="str">
        <v/>
      </c>
      <c r="F1205" s="52" t="e">
        <v>#REF!</v>
      </c>
      <c r="G1205" s="48" t="e">
        <v>#REF!</v>
      </c>
      <c r="H1205" s="49">
        <v>0</v>
      </c>
      <c r="I1205" s="49" t="e">
        <v>#REF!</v>
      </c>
      <c r="J1205" s="50"/>
    </row>
    <row r="1206" outlineLevel="1" spans="1:10">
      <c r="A1206" s="50">
        <v>270</v>
      </c>
      <c r="B1206" s="51" t="str">
        <v>室内供暖镀锌钢管-DN32</v>
      </c>
      <c r="C1206" s="51" t="e">
        <v>#REF!</v>
      </c>
      <c r="D1206" s="51" t="str">
        <v/>
      </c>
      <c r="E1206" s="51" t="str">
        <v/>
      </c>
      <c r="F1206" s="52" t="e">
        <v>#REF!</v>
      </c>
      <c r="G1206" s="48" t="e">
        <v>#REF!</v>
      </c>
      <c r="H1206" s="49">
        <v>1</v>
      </c>
      <c r="I1206" s="49" t="e">
        <v>#REF!</v>
      </c>
      <c r="J1206" s="50"/>
    </row>
    <row r="1207" outlineLevel="1" spans="1:10">
      <c r="A1207" s="50">
        <v>271</v>
      </c>
      <c r="B1207" s="51" t="str">
        <v>室内供暖镀锌钢管-DN40</v>
      </c>
      <c r="C1207" s="51" t="e">
        <v>#REF!</v>
      </c>
      <c r="D1207" s="51" t="str">
        <v/>
      </c>
      <c r="E1207" s="51" t="str">
        <v/>
      </c>
      <c r="F1207" s="52" t="e">
        <v>#REF!</v>
      </c>
      <c r="G1207" s="48" t="e">
        <v>#REF!</v>
      </c>
      <c r="H1207" s="49">
        <v>0</v>
      </c>
      <c r="I1207" s="49" t="e">
        <v>#REF!</v>
      </c>
      <c r="J1207" s="50"/>
    </row>
    <row r="1208" outlineLevel="1" spans="1:10">
      <c r="A1208" s="50">
        <v>272</v>
      </c>
      <c r="B1208" s="51" t="str">
        <v>室内供暖镀锌钢管-DN50</v>
      </c>
      <c r="C1208" s="51" t="e">
        <v>#REF!</v>
      </c>
      <c r="D1208" s="51" t="str">
        <v/>
      </c>
      <c r="E1208" s="51" t="str">
        <v/>
      </c>
      <c r="F1208" s="52" t="e">
        <v>#REF!</v>
      </c>
      <c r="G1208" s="48" t="e">
        <v>#REF!</v>
      </c>
      <c r="H1208" s="49">
        <v>0</v>
      </c>
      <c r="I1208" s="49" t="e">
        <v>#REF!</v>
      </c>
      <c r="J1208" s="50"/>
    </row>
    <row r="1209" outlineLevel="1" spans="1:10">
      <c r="A1209" s="50">
        <v>273</v>
      </c>
      <c r="B1209" s="51" t="str">
        <v>室内供暖镀锌钢管-DN65</v>
      </c>
      <c r="C1209" s="51" t="e">
        <v>#REF!</v>
      </c>
      <c r="D1209" s="51" t="str">
        <v/>
      </c>
      <c r="E1209" s="51" t="str">
        <v/>
      </c>
      <c r="F1209" s="52" t="e">
        <v>#REF!</v>
      </c>
      <c r="G1209" s="48" t="e">
        <v>#REF!</v>
      </c>
      <c r="H1209" s="49">
        <v>0</v>
      </c>
      <c r="I1209" s="49" t="e">
        <v>#REF!</v>
      </c>
      <c r="J1209" s="50"/>
    </row>
    <row r="1210" outlineLevel="1" spans="1:10">
      <c r="A1210" s="50">
        <v>274</v>
      </c>
      <c r="B1210" s="51" t="str">
        <v>室内供暖镀锌钢管-DN80</v>
      </c>
      <c r="C1210" s="51" t="e">
        <v>#REF!</v>
      </c>
      <c r="D1210" s="51" t="str">
        <v/>
      </c>
      <c r="E1210" s="51" t="str">
        <v/>
      </c>
      <c r="F1210" s="52" t="e">
        <v>#REF!</v>
      </c>
      <c r="G1210" s="48" t="e">
        <v>#REF!</v>
      </c>
      <c r="H1210" s="49">
        <v>39.321</v>
      </c>
      <c r="I1210" s="49" t="e">
        <v>#REF!</v>
      </c>
      <c r="J1210" s="50"/>
    </row>
    <row r="1211" ht="28.8" outlineLevel="1" spans="1:10">
      <c r="A1211" s="50">
        <v>275</v>
      </c>
      <c r="B1211" s="51" t="str">
        <v>室内供暖无缝镀锌钢管-DN100</v>
      </c>
      <c r="C1211" s="51" t="e">
        <v>#REF!</v>
      </c>
      <c r="D1211" s="51" t="str">
        <v/>
      </c>
      <c r="E1211" s="51" t="str">
        <v/>
      </c>
      <c r="F1211" s="52" t="e">
        <v>#REF!</v>
      </c>
      <c r="G1211" s="48" t="e">
        <v>#REF!</v>
      </c>
      <c r="H1211" s="49">
        <v>0</v>
      </c>
      <c r="I1211" s="49" t="e">
        <v>#REF!</v>
      </c>
      <c r="J1211" s="50"/>
    </row>
    <row r="1212" ht="28.8" outlineLevel="1" spans="1:10">
      <c r="A1212" s="50">
        <v>276</v>
      </c>
      <c r="B1212" s="51" t="str">
        <v>室内供暖无缝镀锌钢管-DN125</v>
      </c>
      <c r="C1212" s="51" t="e">
        <v>#REF!</v>
      </c>
      <c r="D1212" s="51" t="str">
        <v/>
      </c>
      <c r="E1212" s="51" t="str">
        <v/>
      </c>
      <c r="F1212" s="52" t="e">
        <v>#REF!</v>
      </c>
      <c r="G1212" s="48" t="e">
        <v>#REF!</v>
      </c>
      <c r="H1212" s="49">
        <v>0</v>
      </c>
      <c r="I1212" s="49" t="e">
        <v>#REF!</v>
      </c>
      <c r="J1212" s="50"/>
    </row>
    <row r="1213" ht="28.8" outlineLevel="1" spans="1:10">
      <c r="A1213" s="50">
        <v>277</v>
      </c>
      <c r="B1213" s="51" t="str">
        <v>室内供暖无缝镀锌钢管-DN150</v>
      </c>
      <c r="C1213" s="51" t="e">
        <v>#REF!</v>
      </c>
      <c r="D1213" s="51" t="str">
        <v/>
      </c>
      <c r="E1213" s="51" t="str">
        <v/>
      </c>
      <c r="F1213" s="52" t="e">
        <v>#REF!</v>
      </c>
      <c r="G1213" s="48" t="e">
        <v>#REF!</v>
      </c>
      <c r="H1213" s="49">
        <v>0</v>
      </c>
      <c r="I1213" s="49" t="e">
        <v>#REF!</v>
      </c>
      <c r="J1213" s="50"/>
    </row>
    <row r="1214" ht="28.8" outlineLevel="1" spans="1:10">
      <c r="A1214" s="50">
        <v>278</v>
      </c>
      <c r="B1214" s="51" t="str">
        <v>室内供暖无缝镀锌钢管-DN200</v>
      </c>
      <c r="C1214" s="51" t="e">
        <v>#REF!</v>
      </c>
      <c r="D1214" s="51" t="str">
        <v/>
      </c>
      <c r="E1214" s="51" t="str">
        <v/>
      </c>
      <c r="F1214" s="52" t="e">
        <v>#REF!</v>
      </c>
      <c r="G1214" s="48" t="e">
        <v>#REF!</v>
      </c>
      <c r="H1214" s="49">
        <v>0</v>
      </c>
      <c r="I1214" s="49" t="e">
        <v>#REF!</v>
      </c>
      <c r="J1214" s="50"/>
    </row>
    <row r="1215" ht="28.8" outlineLevel="1" spans="1:10">
      <c r="A1215" s="50">
        <v>279</v>
      </c>
      <c r="B1215" s="51" t="str">
        <v>室内供暖无缝镀锌钢管-DN250</v>
      </c>
      <c r="C1215" s="51" t="e">
        <v>#REF!</v>
      </c>
      <c r="D1215" s="51" t="str">
        <v/>
      </c>
      <c r="E1215" s="51" t="str">
        <v/>
      </c>
      <c r="F1215" s="52" t="e">
        <v>#REF!</v>
      </c>
      <c r="G1215" s="48" t="e">
        <v>#REF!</v>
      </c>
      <c r="H1215" s="49">
        <v>0</v>
      </c>
      <c r="I1215" s="49" t="e">
        <v>#REF!</v>
      </c>
      <c r="J1215" s="50"/>
    </row>
    <row r="1216" outlineLevel="1" spans="1:10">
      <c r="A1216" s="50" t="str">
        <v/>
      </c>
      <c r="B1216" s="51" t="str">
        <v>B.11采暖套管及阀部件</v>
      </c>
      <c r="C1216" s="51" t="str">
        <v/>
      </c>
      <c r="D1216" s="51" t="str">
        <v/>
      </c>
      <c r="E1216" s="51" t="str">
        <v/>
      </c>
      <c r="F1216" s="52" t="str">
        <v/>
      </c>
      <c r="G1216" s="48" t="str">
        <v/>
      </c>
      <c r="H1216" s="49">
        <v>0</v>
      </c>
      <c r="I1216" s="49" t="e">
        <v>#REF!</v>
      </c>
      <c r="J1216" s="50"/>
    </row>
    <row r="1217" outlineLevel="1" spans="1:10">
      <c r="A1217" s="50">
        <v>280</v>
      </c>
      <c r="B1217" s="51" t="str">
        <v>刚性防水套管-DN50</v>
      </c>
      <c r="C1217" s="51" t="e">
        <v>#REF!</v>
      </c>
      <c r="D1217" s="51" t="str">
        <v/>
      </c>
      <c r="E1217" s="51" t="str">
        <v/>
      </c>
      <c r="F1217" s="52" t="e">
        <v>#REF!</v>
      </c>
      <c r="G1217" s="48" t="e">
        <v>#REF!</v>
      </c>
      <c r="H1217" s="49">
        <v>0</v>
      </c>
      <c r="I1217" s="49" t="e">
        <v>#REF!</v>
      </c>
      <c r="J1217" s="50"/>
    </row>
    <row r="1218" outlineLevel="1" spans="1:10">
      <c r="A1218" s="50">
        <v>281</v>
      </c>
      <c r="B1218" s="51" t="str">
        <v>刚性防水套管-DN65</v>
      </c>
      <c r="C1218" s="51" t="e">
        <v>#REF!</v>
      </c>
      <c r="D1218" s="51" t="str">
        <v/>
      </c>
      <c r="E1218" s="51" t="str">
        <v/>
      </c>
      <c r="F1218" s="52" t="e">
        <v>#REF!</v>
      </c>
      <c r="G1218" s="48" t="e">
        <v>#REF!</v>
      </c>
      <c r="H1218" s="49">
        <v>0</v>
      </c>
      <c r="I1218" s="49" t="e">
        <v>#REF!</v>
      </c>
      <c r="J1218" s="50"/>
    </row>
    <row r="1219" outlineLevel="1" spans="1:10">
      <c r="A1219" s="50">
        <v>282</v>
      </c>
      <c r="B1219" s="51" t="str">
        <v>刚性防水套管-DN80</v>
      </c>
      <c r="C1219" s="51" t="e">
        <v>#REF!</v>
      </c>
      <c r="D1219" s="51" t="str">
        <v/>
      </c>
      <c r="E1219" s="51" t="str">
        <v/>
      </c>
      <c r="F1219" s="52" t="e">
        <v>#REF!</v>
      </c>
      <c r="G1219" s="48" t="e">
        <v>#REF!</v>
      </c>
      <c r="H1219" s="49">
        <v>0</v>
      </c>
      <c r="I1219" s="49" t="e">
        <v>#REF!</v>
      </c>
      <c r="J1219" s="50"/>
    </row>
    <row r="1220" outlineLevel="1" spans="1:10">
      <c r="A1220" s="50">
        <v>283</v>
      </c>
      <c r="B1220" s="51" t="str">
        <v>刚性防水套管-DN150</v>
      </c>
      <c r="C1220" s="51" t="e">
        <v>#REF!</v>
      </c>
      <c r="D1220" s="51" t="str">
        <v/>
      </c>
      <c r="E1220" s="51" t="str">
        <v/>
      </c>
      <c r="F1220" s="52" t="e">
        <v>#REF!</v>
      </c>
      <c r="G1220" s="48" t="e">
        <v>#REF!</v>
      </c>
      <c r="H1220" s="49">
        <v>0</v>
      </c>
      <c r="I1220" s="49" t="e">
        <v>#REF!</v>
      </c>
      <c r="J1220" s="50"/>
    </row>
    <row r="1221" outlineLevel="1" spans="1:10">
      <c r="A1221" s="50">
        <v>284</v>
      </c>
      <c r="B1221" s="51" t="str">
        <v>刚性防水套管-DN125</v>
      </c>
      <c r="C1221" s="51" t="e">
        <v>#REF!</v>
      </c>
      <c r="D1221" s="51" t="str">
        <v/>
      </c>
      <c r="E1221" s="51" t="str">
        <v/>
      </c>
      <c r="F1221" s="52" t="e">
        <v>#REF!</v>
      </c>
      <c r="G1221" s="48" t="e">
        <v>#REF!</v>
      </c>
      <c r="H1221" s="49">
        <v>0</v>
      </c>
      <c r="I1221" s="49" t="e">
        <v>#REF!</v>
      </c>
      <c r="J1221" s="50"/>
    </row>
    <row r="1222" outlineLevel="1" spans="1:10">
      <c r="A1222" s="50">
        <v>285</v>
      </c>
      <c r="B1222" s="51" t="str">
        <v>刚性防水套管-DN100</v>
      </c>
      <c r="C1222" s="51" t="e">
        <v>#REF!</v>
      </c>
      <c r="D1222" s="51" t="str">
        <v/>
      </c>
      <c r="E1222" s="51" t="str">
        <v/>
      </c>
      <c r="F1222" s="52" t="e">
        <v>#REF!</v>
      </c>
      <c r="G1222" s="48" t="e">
        <v>#REF!</v>
      </c>
      <c r="H1222" s="49">
        <v>0</v>
      </c>
      <c r="I1222" s="49" t="e">
        <v>#REF!</v>
      </c>
      <c r="J1222" s="50"/>
    </row>
    <row r="1223" outlineLevel="1" spans="1:10">
      <c r="A1223" s="50">
        <v>286</v>
      </c>
      <c r="B1223" s="51" t="str">
        <v>刚性防水套管-DN300</v>
      </c>
      <c r="C1223" s="51" t="e">
        <v>#REF!</v>
      </c>
      <c r="D1223" s="51" t="str">
        <v/>
      </c>
      <c r="E1223" s="51" t="str">
        <v/>
      </c>
      <c r="F1223" s="52" t="e">
        <v>#REF!</v>
      </c>
      <c r="G1223" s="48" t="e">
        <v>#REF!</v>
      </c>
      <c r="H1223" s="49">
        <v>0</v>
      </c>
      <c r="I1223" s="49" t="e">
        <v>#REF!</v>
      </c>
      <c r="J1223" s="50"/>
    </row>
    <row r="1224" outlineLevel="1" spans="1:10">
      <c r="A1224" s="50">
        <v>287</v>
      </c>
      <c r="B1224" s="51" t="str">
        <v>刚性防水套管-DN250</v>
      </c>
      <c r="C1224" s="51" t="e">
        <v>#REF!</v>
      </c>
      <c r="D1224" s="51" t="str">
        <v/>
      </c>
      <c r="E1224" s="51" t="str">
        <v/>
      </c>
      <c r="F1224" s="52" t="e">
        <v>#REF!</v>
      </c>
      <c r="G1224" s="48" t="e">
        <v>#REF!</v>
      </c>
      <c r="H1224" s="49">
        <v>0</v>
      </c>
      <c r="I1224" s="49" t="e">
        <v>#REF!</v>
      </c>
      <c r="J1224" s="50"/>
    </row>
    <row r="1225" outlineLevel="1" spans="1:10">
      <c r="A1225" s="50">
        <v>288</v>
      </c>
      <c r="B1225" s="51" t="str">
        <v>人防通风密闭套管-D250</v>
      </c>
      <c r="C1225" s="51" t="e">
        <v>#REF!</v>
      </c>
      <c r="D1225" s="51" t="str">
        <v/>
      </c>
      <c r="E1225" s="51" t="str">
        <v/>
      </c>
      <c r="F1225" s="52" t="e">
        <v>#REF!</v>
      </c>
      <c r="G1225" s="48" t="e">
        <v>#REF!</v>
      </c>
      <c r="H1225" s="49">
        <v>0</v>
      </c>
      <c r="I1225" s="49" t="e">
        <v>#REF!</v>
      </c>
      <c r="J1225" s="50"/>
    </row>
    <row r="1226" outlineLevel="1" spans="1:10">
      <c r="A1226" s="50">
        <v>289</v>
      </c>
      <c r="B1226" s="51" t="str">
        <v>人防通风密闭套管-D310</v>
      </c>
      <c r="C1226" s="51" t="e">
        <v>#REF!</v>
      </c>
      <c r="D1226" s="51" t="str">
        <v/>
      </c>
      <c r="E1226" s="51" t="str">
        <v/>
      </c>
      <c r="F1226" s="52" t="e">
        <v>#REF!</v>
      </c>
      <c r="G1226" s="48" t="e">
        <v>#REF!</v>
      </c>
      <c r="H1226" s="49">
        <v>0</v>
      </c>
      <c r="I1226" s="49" t="e">
        <v>#REF!</v>
      </c>
      <c r="J1226" s="50"/>
    </row>
    <row r="1227" outlineLevel="1" spans="1:10">
      <c r="A1227" s="50">
        <v>290</v>
      </c>
      <c r="B1227" s="51" t="str">
        <v>人防通风密闭套管-D450</v>
      </c>
      <c r="C1227" s="51" t="e">
        <v>#REF!</v>
      </c>
      <c r="D1227" s="51" t="str">
        <v/>
      </c>
      <c r="E1227" s="51" t="str">
        <v/>
      </c>
      <c r="F1227" s="52" t="e">
        <v>#REF!</v>
      </c>
      <c r="G1227" s="48" t="e">
        <v>#REF!</v>
      </c>
      <c r="H1227" s="49">
        <v>0</v>
      </c>
      <c r="I1227" s="49" t="e">
        <v>#REF!</v>
      </c>
      <c r="J1227" s="50"/>
    </row>
    <row r="1228" outlineLevel="1" spans="1:10">
      <c r="A1228" s="50">
        <v>291</v>
      </c>
      <c r="B1228" s="51" t="str">
        <v>人防通风密闭套管-D570</v>
      </c>
      <c r="C1228" s="51" t="e">
        <v>#REF!</v>
      </c>
      <c r="D1228" s="51" t="str">
        <v/>
      </c>
      <c r="E1228" s="51" t="str">
        <v/>
      </c>
      <c r="F1228" s="52" t="e">
        <v>#REF!</v>
      </c>
      <c r="G1228" s="48" t="e">
        <v>#REF!</v>
      </c>
      <c r="H1228" s="49">
        <v>0</v>
      </c>
      <c r="I1228" s="49" t="e">
        <v>#REF!</v>
      </c>
      <c r="J1228" s="50"/>
    </row>
    <row r="1229" outlineLevel="1" spans="1:10">
      <c r="A1229" s="50">
        <v>292</v>
      </c>
      <c r="B1229" s="51" t="str">
        <v>人防通风密闭套管-D680</v>
      </c>
      <c r="C1229" s="51" t="e">
        <v>#REF!</v>
      </c>
      <c r="D1229" s="51" t="str">
        <v/>
      </c>
      <c r="E1229" s="51" t="str">
        <v/>
      </c>
      <c r="F1229" s="52" t="e">
        <v>#REF!</v>
      </c>
      <c r="G1229" s="48" t="e">
        <v>#REF!</v>
      </c>
      <c r="H1229" s="49">
        <v>0</v>
      </c>
      <c r="I1229" s="49" t="e">
        <v>#REF!</v>
      </c>
      <c r="J1229" s="50"/>
    </row>
    <row r="1230" outlineLevel="1" spans="1:10">
      <c r="A1230" s="50">
        <v>293</v>
      </c>
      <c r="B1230" s="51" t="str">
        <v>人防通风密闭套管-D820</v>
      </c>
      <c r="C1230" s="51" t="e">
        <v>#REF!</v>
      </c>
      <c r="D1230" s="51" t="str">
        <v/>
      </c>
      <c r="E1230" s="51" t="str">
        <v/>
      </c>
      <c r="F1230" s="52" t="e">
        <v>#REF!</v>
      </c>
      <c r="G1230" s="48" t="e">
        <v>#REF!</v>
      </c>
      <c r="H1230" s="49">
        <v>0</v>
      </c>
      <c r="I1230" s="49" t="e">
        <v>#REF!</v>
      </c>
      <c r="J1230" s="50"/>
    </row>
    <row r="1231" outlineLevel="1" spans="1:10">
      <c r="A1231" s="50">
        <v>294</v>
      </c>
      <c r="B1231" s="51" t="str">
        <v>人防通风密闭套管-D1100</v>
      </c>
      <c r="C1231" s="51" t="e">
        <v>#REF!</v>
      </c>
      <c r="D1231" s="51" t="str">
        <v/>
      </c>
      <c r="E1231" s="51" t="str">
        <v/>
      </c>
      <c r="F1231" s="52" t="e">
        <v>#REF!</v>
      </c>
      <c r="G1231" s="48" t="e">
        <v>#REF!</v>
      </c>
      <c r="H1231" s="49">
        <v>0</v>
      </c>
      <c r="I1231" s="49" t="e">
        <v>#REF!</v>
      </c>
      <c r="J1231" s="50"/>
    </row>
    <row r="1232" outlineLevel="1" spans="1:10">
      <c r="A1232" s="50">
        <v>295</v>
      </c>
      <c r="B1232" s="51" t="str">
        <v>钢制散热器（20片/组）</v>
      </c>
      <c r="C1232" s="51" t="e">
        <v>#REF!</v>
      </c>
      <c r="D1232" s="51" t="str">
        <v/>
      </c>
      <c r="E1232" s="51" t="str">
        <v/>
      </c>
      <c r="F1232" s="52" t="e">
        <v>#REF!</v>
      </c>
      <c r="G1232" s="48" t="e">
        <v>#REF!</v>
      </c>
      <c r="H1232" s="49">
        <v>0</v>
      </c>
      <c r="I1232" s="49" t="e">
        <v>#REF!</v>
      </c>
      <c r="J1232" s="50"/>
    </row>
    <row r="1233" outlineLevel="1" spans="1:10">
      <c r="A1233" s="50">
        <v>296</v>
      </c>
      <c r="B1233" s="51" t="str">
        <v>钢制散热器（10片/组）</v>
      </c>
      <c r="C1233" s="51" t="e">
        <v>#REF!</v>
      </c>
      <c r="D1233" s="51" t="str">
        <v/>
      </c>
      <c r="E1233" s="51" t="str">
        <v/>
      </c>
      <c r="F1233" s="52" t="e">
        <v>#REF!</v>
      </c>
      <c r="G1233" s="48" t="e">
        <v>#REF!</v>
      </c>
      <c r="H1233" s="49">
        <v>0</v>
      </c>
      <c r="I1233" s="49" t="e">
        <v>#REF!</v>
      </c>
      <c r="J1233" s="50"/>
    </row>
    <row r="1234" ht="28.8" outlineLevel="1" spans="1:10">
      <c r="A1234" s="50">
        <v>297</v>
      </c>
      <c r="B1234" s="51" t="str">
        <v>螺纹阀门-自动放气阀-DN15</v>
      </c>
      <c r="C1234" s="51" t="e">
        <v>#REF!</v>
      </c>
      <c r="D1234" s="51" t="str">
        <v/>
      </c>
      <c r="E1234" s="51" t="str">
        <v/>
      </c>
      <c r="F1234" s="52" t="e">
        <v>#REF!</v>
      </c>
      <c r="G1234" s="48" t="e">
        <v>#REF!</v>
      </c>
      <c r="H1234" s="49">
        <v>2</v>
      </c>
      <c r="I1234" s="49" t="e">
        <v>#REF!</v>
      </c>
      <c r="J1234" s="50"/>
    </row>
    <row r="1235" ht="28.8" outlineLevel="1" spans="1:10">
      <c r="A1235" s="50">
        <v>298</v>
      </c>
      <c r="B1235" s="51" t="str">
        <v>螺纹阀门-自动放气阀-DN20</v>
      </c>
      <c r="C1235" s="51" t="e">
        <v>#REF!</v>
      </c>
      <c r="D1235" s="51" t="str">
        <v/>
      </c>
      <c r="E1235" s="51" t="str">
        <v/>
      </c>
      <c r="F1235" s="52" t="e">
        <v>#REF!</v>
      </c>
      <c r="G1235" s="48" t="e">
        <v>#REF!</v>
      </c>
      <c r="H1235" s="49">
        <v>0</v>
      </c>
      <c r="I1235" s="49" t="e">
        <v>#REF!</v>
      </c>
      <c r="J1235" s="50"/>
    </row>
    <row r="1236" ht="28.8" outlineLevel="1" spans="1:10">
      <c r="A1236" s="50">
        <v>299</v>
      </c>
      <c r="B1236" s="51" t="str">
        <v>自动放气阀下截止阀-DN15</v>
      </c>
      <c r="C1236" s="51" t="e">
        <v>#REF!</v>
      </c>
      <c r="D1236" s="51" t="str">
        <v/>
      </c>
      <c r="E1236" s="51" t="str">
        <v/>
      </c>
      <c r="F1236" s="52" t="e">
        <v>#REF!</v>
      </c>
      <c r="G1236" s="48" t="e">
        <v>#REF!</v>
      </c>
      <c r="H1236" s="49">
        <v>2</v>
      </c>
      <c r="I1236" s="49" t="e">
        <v>#REF!</v>
      </c>
      <c r="J1236" s="50"/>
    </row>
    <row r="1237" ht="28.8" outlineLevel="1" spans="1:10">
      <c r="A1237" s="50">
        <v>300</v>
      </c>
      <c r="B1237" s="51" t="str">
        <v>自动放气阀下截止阀-DN20</v>
      </c>
      <c r="C1237" s="51" t="e">
        <v>#REF!</v>
      </c>
      <c r="D1237" s="51" t="str">
        <v/>
      </c>
      <c r="E1237" s="51" t="str">
        <v/>
      </c>
      <c r="F1237" s="52" t="e">
        <v>#REF!</v>
      </c>
      <c r="G1237" s="48" t="e">
        <v>#REF!</v>
      </c>
      <c r="H1237" s="49">
        <v>0</v>
      </c>
      <c r="I1237" s="49" t="e">
        <v>#REF!</v>
      </c>
      <c r="J1237" s="50"/>
    </row>
    <row r="1238" outlineLevel="1" spans="1:10">
      <c r="A1238" s="50">
        <v>301</v>
      </c>
      <c r="B1238" s="51" t="str">
        <v>螺纹阀门-球阀-DN25</v>
      </c>
      <c r="C1238" s="51" t="e">
        <v>#REF!</v>
      </c>
      <c r="D1238" s="51" t="str">
        <v/>
      </c>
      <c r="E1238" s="51" t="str">
        <v/>
      </c>
      <c r="F1238" s="52" t="e">
        <v>#REF!</v>
      </c>
      <c r="G1238" s="48" t="e">
        <v>#REF!</v>
      </c>
      <c r="H1238" s="49">
        <v>0</v>
      </c>
      <c r="I1238" s="49" t="e">
        <v>#REF!</v>
      </c>
      <c r="J1238" s="50"/>
    </row>
    <row r="1239" outlineLevel="1" spans="1:10">
      <c r="A1239" s="50">
        <v>302</v>
      </c>
      <c r="B1239" s="51" t="str">
        <v>螺纹阀门-球阀-DN32</v>
      </c>
      <c r="C1239" s="51" t="e">
        <v>#REF!</v>
      </c>
      <c r="D1239" s="51" t="str">
        <v/>
      </c>
      <c r="E1239" s="51" t="str">
        <v/>
      </c>
      <c r="F1239" s="52" t="e">
        <v>#REF!</v>
      </c>
      <c r="G1239" s="48" t="e">
        <v>#REF!</v>
      </c>
      <c r="H1239" s="49">
        <v>0</v>
      </c>
      <c r="I1239" s="49" t="e">
        <v>#REF!</v>
      </c>
      <c r="J1239" s="50"/>
    </row>
    <row r="1240" outlineLevel="1" spans="1:10">
      <c r="A1240" s="50">
        <v>303</v>
      </c>
      <c r="B1240" s="51" t="str">
        <v>螺纹阀门-截止阀-DN40</v>
      </c>
      <c r="C1240" s="51" t="e">
        <v>#REF!</v>
      </c>
      <c r="D1240" s="51" t="str">
        <v/>
      </c>
      <c r="E1240" s="51" t="str">
        <v/>
      </c>
      <c r="F1240" s="52" t="e">
        <v>#REF!</v>
      </c>
      <c r="G1240" s="48" t="e">
        <v>#REF!</v>
      </c>
      <c r="H1240" s="49">
        <v>0</v>
      </c>
      <c r="I1240" s="49" t="e">
        <v>#REF!</v>
      </c>
      <c r="J1240" s="50"/>
    </row>
    <row r="1241" outlineLevel="1" spans="1:10">
      <c r="A1241" s="50">
        <v>304</v>
      </c>
      <c r="B1241" s="51" t="str">
        <v>螺纹阀门-截止阀-DN50</v>
      </c>
      <c r="C1241" s="51" t="e">
        <v>#REF!</v>
      </c>
      <c r="D1241" s="51" t="str">
        <v/>
      </c>
      <c r="E1241" s="51" t="str">
        <v/>
      </c>
      <c r="F1241" s="52" t="e">
        <v>#REF!</v>
      </c>
      <c r="G1241" s="48" t="e">
        <v>#REF!</v>
      </c>
      <c r="H1241" s="49">
        <v>0</v>
      </c>
      <c r="I1241" s="49" t="e">
        <v>#REF!</v>
      </c>
      <c r="J1241" s="50"/>
    </row>
    <row r="1242" outlineLevel="1" spans="1:10">
      <c r="A1242" s="50">
        <v>305</v>
      </c>
      <c r="B1242" s="51" t="str">
        <v>螺纹阀门-锁闭阀-DN20</v>
      </c>
      <c r="C1242" s="51" t="e">
        <v>#REF!</v>
      </c>
      <c r="D1242" s="51" t="str">
        <v/>
      </c>
      <c r="E1242" s="51" t="str">
        <v/>
      </c>
      <c r="F1242" s="52" t="e">
        <v>#REF!</v>
      </c>
      <c r="G1242" s="48" t="e">
        <v>#REF!</v>
      </c>
      <c r="H1242" s="49">
        <v>0</v>
      </c>
      <c r="I1242" s="49" t="e">
        <v>#REF!</v>
      </c>
      <c r="J1242" s="50"/>
    </row>
    <row r="1243" ht="28.8" outlineLevel="1" spans="1:10">
      <c r="A1243" s="50">
        <v>306</v>
      </c>
      <c r="B1243" s="51" t="str">
        <v>螺纹阀门-静态水力平衡阀-DN20</v>
      </c>
      <c r="C1243" s="51" t="e">
        <v>#REF!</v>
      </c>
      <c r="D1243" s="51" t="str">
        <v/>
      </c>
      <c r="E1243" s="51" t="str">
        <v/>
      </c>
      <c r="F1243" s="52" t="e">
        <v>#REF!</v>
      </c>
      <c r="G1243" s="48" t="e">
        <v>#REF!</v>
      </c>
      <c r="H1243" s="49">
        <v>0</v>
      </c>
      <c r="I1243" s="49" t="e">
        <v>#REF!</v>
      </c>
      <c r="J1243" s="50"/>
    </row>
    <row r="1244" ht="28.8" outlineLevel="1" spans="1:10">
      <c r="A1244" s="50">
        <v>307</v>
      </c>
      <c r="B1244" s="51" t="str">
        <v>螺纹阀门-静态水力平衡阀-DN40</v>
      </c>
      <c r="C1244" s="51" t="e">
        <v>#REF!</v>
      </c>
      <c r="D1244" s="51" t="str">
        <v/>
      </c>
      <c r="E1244" s="51" t="str">
        <v/>
      </c>
      <c r="F1244" s="52" t="e">
        <v>#REF!</v>
      </c>
      <c r="G1244" s="48" t="e">
        <v>#REF!</v>
      </c>
      <c r="H1244" s="49">
        <v>0</v>
      </c>
      <c r="I1244" s="49" t="e">
        <v>#REF!</v>
      </c>
      <c r="J1244" s="50"/>
    </row>
    <row r="1245" ht="28.8" outlineLevel="1" spans="1:10">
      <c r="A1245" s="50">
        <v>308</v>
      </c>
      <c r="B1245" s="51" t="str">
        <v>螺纹阀门-静态水力平衡阀-DN50</v>
      </c>
      <c r="C1245" s="51" t="e">
        <v>#REF!</v>
      </c>
      <c r="D1245" s="51" t="str">
        <v/>
      </c>
      <c r="E1245" s="51" t="str">
        <v/>
      </c>
      <c r="F1245" s="52" t="e">
        <v>#REF!</v>
      </c>
      <c r="G1245" s="48" t="e">
        <v>#REF!</v>
      </c>
      <c r="H1245" s="49">
        <v>0</v>
      </c>
      <c r="I1245" s="49" t="e">
        <v>#REF!</v>
      </c>
      <c r="J1245" s="50"/>
    </row>
    <row r="1246" ht="28.8" outlineLevel="1" spans="1:10">
      <c r="A1246" s="50">
        <v>309</v>
      </c>
      <c r="B1246" s="51" t="str">
        <v>法兰阀门-静态水力平衡阀-DN65</v>
      </c>
      <c r="C1246" s="51" t="e">
        <v>#REF!</v>
      </c>
      <c r="D1246" s="51" t="str">
        <v/>
      </c>
      <c r="E1246" s="51" t="str">
        <v/>
      </c>
      <c r="F1246" s="52" t="e">
        <v>#REF!</v>
      </c>
      <c r="G1246" s="48" t="e">
        <v>#REF!</v>
      </c>
      <c r="H1246" s="49">
        <v>0</v>
      </c>
      <c r="I1246" s="49" t="e">
        <v>#REF!</v>
      </c>
      <c r="J1246" s="50"/>
    </row>
    <row r="1247" ht="28.8" outlineLevel="1" spans="1:10">
      <c r="A1247" s="50">
        <v>310</v>
      </c>
      <c r="B1247" s="51" t="str">
        <v>法兰阀门-静态水力平衡阀-DN80</v>
      </c>
      <c r="C1247" s="51" t="e">
        <v>#REF!</v>
      </c>
      <c r="D1247" s="51" t="str">
        <v/>
      </c>
      <c r="E1247" s="51" t="str">
        <v/>
      </c>
      <c r="F1247" s="52" t="e">
        <v>#REF!</v>
      </c>
      <c r="G1247" s="48" t="e">
        <v>#REF!</v>
      </c>
      <c r="H1247" s="49">
        <v>0</v>
      </c>
      <c r="I1247" s="49" t="e">
        <v>#REF!</v>
      </c>
      <c r="J1247" s="50"/>
    </row>
    <row r="1248" outlineLevel="1" spans="1:10">
      <c r="A1248" s="50">
        <v>311</v>
      </c>
      <c r="B1248" s="51" t="str">
        <v>法兰阀门-闸阀-DN65</v>
      </c>
      <c r="C1248" s="51" t="e">
        <v>#REF!</v>
      </c>
      <c r="D1248" s="51" t="str">
        <v/>
      </c>
      <c r="E1248" s="51" t="str">
        <v/>
      </c>
      <c r="F1248" s="52" t="e">
        <v>#REF!</v>
      </c>
      <c r="G1248" s="48" t="e">
        <v>#REF!</v>
      </c>
      <c r="H1248" s="49">
        <v>0</v>
      </c>
      <c r="I1248" s="49" t="e">
        <v>#REF!</v>
      </c>
      <c r="J1248" s="50"/>
    </row>
    <row r="1249" outlineLevel="1" spans="1:10">
      <c r="A1249" s="50">
        <v>312</v>
      </c>
      <c r="B1249" s="51" t="str">
        <v>法兰阀门-闸阀-DN80</v>
      </c>
      <c r="C1249" s="51" t="e">
        <v>#REF!</v>
      </c>
      <c r="D1249" s="51" t="str">
        <v/>
      </c>
      <c r="E1249" s="51" t="str">
        <v/>
      </c>
      <c r="F1249" s="52" t="e">
        <v>#REF!</v>
      </c>
      <c r="G1249" s="48" t="e">
        <v>#REF!</v>
      </c>
      <c r="H1249" s="49">
        <v>0</v>
      </c>
      <c r="I1249" s="49" t="e">
        <v>#REF!</v>
      </c>
      <c r="J1249" s="50"/>
    </row>
    <row r="1250" outlineLevel="1" spans="1:10">
      <c r="A1250" s="50">
        <v>313</v>
      </c>
      <c r="B1250" s="51" t="str">
        <v>法兰阀门-闸阀-DN100</v>
      </c>
      <c r="C1250" s="51" t="e">
        <v>#REF!</v>
      </c>
      <c r="D1250" s="51" t="str">
        <v/>
      </c>
      <c r="E1250" s="51" t="str">
        <v/>
      </c>
      <c r="F1250" s="52" t="e">
        <v>#REF!</v>
      </c>
      <c r="G1250" s="48" t="e">
        <v>#REF!</v>
      </c>
      <c r="H1250" s="49">
        <v>0</v>
      </c>
      <c r="I1250" s="49" t="e">
        <v>#REF!</v>
      </c>
      <c r="J1250" s="50"/>
    </row>
    <row r="1251" ht="28.8" outlineLevel="1" spans="1:10">
      <c r="A1251" s="50">
        <v>314</v>
      </c>
      <c r="B1251" s="51" t="str">
        <v>法兰阀门-Y型过滤器-DN65</v>
      </c>
      <c r="C1251" s="51" t="e">
        <v>#REF!</v>
      </c>
      <c r="D1251" s="51" t="str">
        <v/>
      </c>
      <c r="E1251" s="51" t="str">
        <v/>
      </c>
      <c r="F1251" s="52" t="e">
        <v>#REF!</v>
      </c>
      <c r="G1251" s="48" t="e">
        <v>#REF!</v>
      </c>
      <c r="H1251" s="49">
        <v>0</v>
      </c>
      <c r="I1251" s="49" t="e">
        <v>#REF!</v>
      </c>
      <c r="J1251" s="50"/>
    </row>
    <row r="1252" ht="28.8" outlineLevel="1" spans="1:10">
      <c r="A1252" s="50">
        <v>315</v>
      </c>
      <c r="B1252" s="51" t="str">
        <v>法兰阀门-Y型过滤器-DN80</v>
      </c>
      <c r="C1252" s="51" t="e">
        <v>#REF!</v>
      </c>
      <c r="D1252" s="51" t="str">
        <v/>
      </c>
      <c r="E1252" s="51" t="str">
        <v/>
      </c>
      <c r="F1252" s="52" t="e">
        <v>#REF!</v>
      </c>
      <c r="G1252" s="48" t="e">
        <v>#REF!</v>
      </c>
      <c r="H1252" s="49">
        <v>0</v>
      </c>
      <c r="I1252" s="49" t="e">
        <v>#REF!</v>
      </c>
      <c r="J1252" s="50"/>
    </row>
    <row r="1253" outlineLevel="1" spans="1:10">
      <c r="A1253" s="50">
        <v>316</v>
      </c>
      <c r="B1253" s="51" t="str">
        <v>对夹式蝶阀-DN100</v>
      </c>
      <c r="C1253" s="51" t="e">
        <v>#REF!</v>
      </c>
      <c r="D1253" s="51" t="str">
        <v/>
      </c>
      <c r="E1253" s="51" t="str">
        <v/>
      </c>
      <c r="F1253" s="52" t="e">
        <v>#REF!</v>
      </c>
      <c r="G1253" s="48" t="e">
        <v>#REF!</v>
      </c>
      <c r="H1253" s="49">
        <v>0</v>
      </c>
      <c r="I1253" s="49" t="e">
        <v>#REF!</v>
      </c>
      <c r="J1253" s="50"/>
    </row>
    <row r="1254" outlineLevel="1" spans="1:10">
      <c r="A1254" s="50">
        <v>317</v>
      </c>
      <c r="B1254" s="51" t="str">
        <v>对夹式蝶阀-DN125</v>
      </c>
      <c r="C1254" s="51" t="e">
        <v>#REF!</v>
      </c>
      <c r="D1254" s="51" t="str">
        <v/>
      </c>
      <c r="E1254" s="51" t="str">
        <v/>
      </c>
      <c r="F1254" s="52" t="e">
        <v>#REF!</v>
      </c>
      <c r="G1254" s="48" t="e">
        <v>#REF!</v>
      </c>
      <c r="H1254" s="49">
        <v>0</v>
      </c>
      <c r="I1254" s="49" t="e">
        <v>#REF!</v>
      </c>
      <c r="J1254" s="50"/>
    </row>
    <row r="1255" outlineLevel="1" spans="1:10">
      <c r="A1255" s="50">
        <v>318</v>
      </c>
      <c r="B1255" s="51" t="str">
        <v>对夹式蝶阀-DN150</v>
      </c>
      <c r="C1255" s="51" t="e">
        <v>#REF!</v>
      </c>
      <c r="D1255" s="51" t="str">
        <v/>
      </c>
      <c r="E1255" s="51" t="str">
        <v/>
      </c>
      <c r="F1255" s="52" t="e">
        <v>#REF!</v>
      </c>
      <c r="G1255" s="48" t="e">
        <v>#REF!</v>
      </c>
      <c r="H1255" s="49">
        <v>0</v>
      </c>
      <c r="I1255" s="49" t="e">
        <v>#REF!</v>
      </c>
      <c r="J1255" s="50"/>
    </row>
    <row r="1256" outlineLevel="1" spans="1:10">
      <c r="A1256" s="50">
        <v>319</v>
      </c>
      <c r="B1256" s="51" t="str">
        <v>对夹式蝶阀-DN200</v>
      </c>
      <c r="C1256" s="51" t="e">
        <v>#REF!</v>
      </c>
      <c r="D1256" s="51" t="str">
        <v/>
      </c>
      <c r="E1256" s="51" t="str">
        <v/>
      </c>
      <c r="F1256" s="52" t="e">
        <v>#REF!</v>
      </c>
      <c r="G1256" s="48" t="e">
        <v>#REF!</v>
      </c>
      <c r="H1256" s="49">
        <v>0</v>
      </c>
      <c r="I1256" s="49" t="e">
        <v>#REF!</v>
      </c>
      <c r="J1256" s="50"/>
    </row>
    <row r="1257" outlineLevel="1" spans="1:10">
      <c r="A1257" s="50">
        <v>320</v>
      </c>
      <c r="B1257" s="51" t="str">
        <v>对夹式蝶阀-DN250</v>
      </c>
      <c r="C1257" s="51" t="e">
        <v>#REF!</v>
      </c>
      <c r="D1257" s="51" t="str">
        <v/>
      </c>
      <c r="E1257" s="51" t="str">
        <v/>
      </c>
      <c r="F1257" s="52" t="e">
        <v>#REF!</v>
      </c>
      <c r="G1257" s="48" t="e">
        <v>#REF!</v>
      </c>
      <c r="H1257" s="49">
        <v>0</v>
      </c>
      <c r="I1257" s="49" t="e">
        <v>#REF!</v>
      </c>
      <c r="J1257" s="50"/>
    </row>
    <row r="1258" outlineLevel="1" spans="1:10">
      <c r="A1258" s="50">
        <v>321</v>
      </c>
      <c r="B1258" s="51" t="str">
        <v>波纹补偿器-DN65</v>
      </c>
      <c r="C1258" s="51" t="e">
        <v>#REF!</v>
      </c>
      <c r="D1258" s="51" t="str">
        <v/>
      </c>
      <c r="E1258" s="51" t="str">
        <v/>
      </c>
      <c r="F1258" s="52" t="e">
        <v>#REF!</v>
      </c>
      <c r="G1258" s="48" t="e">
        <v>#REF!</v>
      </c>
      <c r="H1258" s="49">
        <v>0</v>
      </c>
      <c r="I1258" s="49" t="e">
        <v>#REF!</v>
      </c>
      <c r="J1258" s="50"/>
    </row>
    <row r="1259" outlineLevel="1" spans="1:10">
      <c r="A1259" s="50">
        <v>322</v>
      </c>
      <c r="B1259" s="51" t="str">
        <v>波纹补偿器-DN80</v>
      </c>
      <c r="C1259" s="51" t="e">
        <v>#REF!</v>
      </c>
      <c r="D1259" s="51" t="str">
        <v/>
      </c>
      <c r="E1259" s="51" t="str">
        <v/>
      </c>
      <c r="F1259" s="52" t="e">
        <v>#REF!</v>
      </c>
      <c r="G1259" s="48" t="e">
        <v>#REF!</v>
      </c>
      <c r="H1259" s="49">
        <v>0</v>
      </c>
      <c r="I1259" s="49" t="e">
        <v>#REF!</v>
      </c>
      <c r="J1259" s="50"/>
    </row>
    <row r="1260" outlineLevel="1" spans="1:10">
      <c r="A1260" s="50">
        <v>323</v>
      </c>
      <c r="B1260" s="51" t="str">
        <v>波纹补偿器-DN100</v>
      </c>
      <c r="C1260" s="51" t="e">
        <v>#REF!</v>
      </c>
      <c r="D1260" s="51" t="str">
        <v/>
      </c>
      <c r="E1260" s="51" t="str">
        <v/>
      </c>
      <c r="F1260" s="52" t="e">
        <v>#REF!</v>
      </c>
      <c r="G1260" s="48" t="e">
        <v>#REF!</v>
      </c>
      <c r="H1260" s="49">
        <v>0</v>
      </c>
      <c r="I1260" s="49" t="e">
        <v>#REF!</v>
      </c>
      <c r="J1260" s="50"/>
    </row>
    <row r="1261" outlineLevel="1" spans="1:10">
      <c r="A1261" s="50">
        <v>324</v>
      </c>
      <c r="B1261" s="51" t="str">
        <v>波纹补偿器-DN125</v>
      </c>
      <c r="C1261" s="51" t="e">
        <v>#REF!</v>
      </c>
      <c r="D1261" s="51" t="str">
        <v/>
      </c>
      <c r="E1261" s="51" t="str">
        <v/>
      </c>
      <c r="F1261" s="52" t="e">
        <v>#REF!</v>
      </c>
      <c r="G1261" s="48" t="e">
        <v>#REF!</v>
      </c>
      <c r="H1261" s="49">
        <v>0</v>
      </c>
      <c r="I1261" s="49" t="e">
        <v>#REF!</v>
      </c>
      <c r="J1261" s="50"/>
    </row>
    <row r="1262" outlineLevel="1" spans="1:10">
      <c r="A1262" s="50">
        <v>325</v>
      </c>
      <c r="B1262" s="51" t="str">
        <v>波纹补偿器-DN150</v>
      </c>
      <c r="C1262" s="51" t="e">
        <v>#REF!</v>
      </c>
      <c r="D1262" s="51" t="str">
        <v/>
      </c>
      <c r="E1262" s="51" t="str">
        <v/>
      </c>
      <c r="F1262" s="52" t="e">
        <v>#REF!</v>
      </c>
      <c r="G1262" s="48" t="e">
        <v>#REF!</v>
      </c>
      <c r="H1262" s="49">
        <v>0</v>
      </c>
      <c r="I1262" s="49" t="e">
        <v>#REF!</v>
      </c>
      <c r="J1262" s="50"/>
    </row>
    <row r="1263" outlineLevel="1" spans="1:10">
      <c r="A1263" s="50">
        <v>326</v>
      </c>
      <c r="B1263" s="51" t="str">
        <v>波纹补偿器-DN200</v>
      </c>
      <c r="C1263" s="51" t="e">
        <v>#REF!</v>
      </c>
      <c r="D1263" s="51" t="str">
        <v/>
      </c>
      <c r="E1263" s="51" t="str">
        <v/>
      </c>
      <c r="F1263" s="52" t="e">
        <v>#REF!</v>
      </c>
      <c r="G1263" s="48" t="e">
        <v>#REF!</v>
      </c>
      <c r="H1263" s="49">
        <v>0</v>
      </c>
      <c r="I1263" s="49" t="e">
        <v>#REF!</v>
      </c>
      <c r="J1263" s="50"/>
    </row>
    <row r="1264" outlineLevel="1" spans="1:10">
      <c r="A1264" s="50">
        <v>327</v>
      </c>
      <c r="B1264" s="51" t="str">
        <v>温度仪表</v>
      </c>
      <c r="C1264" s="51" t="e">
        <v>#REF!</v>
      </c>
      <c r="D1264" s="51" t="str">
        <v/>
      </c>
      <c r="E1264" s="51" t="str">
        <v/>
      </c>
      <c r="F1264" s="52" t="e">
        <v>#REF!</v>
      </c>
      <c r="G1264" s="48" t="e">
        <v>#REF!</v>
      </c>
      <c r="H1264" s="49">
        <v>0</v>
      </c>
      <c r="I1264" s="49" t="e">
        <v>#REF!</v>
      </c>
      <c r="J1264" s="50"/>
    </row>
    <row r="1265" outlineLevel="1" spans="1:10">
      <c r="A1265" s="50">
        <v>328</v>
      </c>
      <c r="B1265" s="51" t="str">
        <v>采暖压力仪表</v>
      </c>
      <c r="C1265" s="51" t="e">
        <v>#REF!</v>
      </c>
      <c r="D1265" s="51" t="str">
        <v/>
      </c>
      <c r="E1265" s="51" t="str">
        <v/>
      </c>
      <c r="F1265" s="52" t="e">
        <v>#REF!</v>
      </c>
      <c r="G1265" s="48" t="e">
        <v>#REF!</v>
      </c>
      <c r="H1265" s="49">
        <v>0</v>
      </c>
      <c r="I1265" s="49" t="e">
        <v>#REF!</v>
      </c>
      <c r="J1265" s="50"/>
    </row>
    <row r="1266" outlineLevel="1" spans="1:10">
      <c r="A1266" s="50" t="str">
        <v/>
      </c>
      <c r="B1266" s="51" t="str">
        <v>B.12绝热</v>
      </c>
      <c r="C1266" s="51" t="str">
        <v/>
      </c>
      <c r="D1266" s="51" t="str">
        <v/>
      </c>
      <c r="E1266" s="51" t="str">
        <v/>
      </c>
      <c r="F1266" s="52" t="str">
        <v/>
      </c>
      <c r="G1266" s="48" t="str">
        <v/>
      </c>
      <c r="H1266" s="49">
        <v>0</v>
      </c>
      <c r="I1266" s="49" t="e">
        <v>#REF!</v>
      </c>
      <c r="J1266" s="50"/>
    </row>
    <row r="1267" outlineLevel="1" spans="1:10">
      <c r="A1267" s="50">
        <v>329</v>
      </c>
      <c r="B1267" s="51" t="str">
        <v>管道绝热</v>
      </c>
      <c r="C1267" s="51" t="e">
        <v>#REF!</v>
      </c>
      <c r="D1267" s="51" t="str">
        <v/>
      </c>
      <c r="E1267" s="51" t="str">
        <v/>
      </c>
      <c r="F1267" s="52" t="e">
        <v>#REF!</v>
      </c>
      <c r="G1267" s="48" t="e">
        <v>#REF!</v>
      </c>
      <c r="H1267" s="49">
        <v>0.587</v>
      </c>
      <c r="I1267" s="49" t="e">
        <v>#REF!</v>
      </c>
      <c r="J1267" s="50"/>
    </row>
    <row r="1268" outlineLevel="1" spans="1:10">
      <c r="A1268" s="50">
        <v>330</v>
      </c>
      <c r="B1268" s="51" t="str">
        <v>防火胶带保护层</v>
      </c>
      <c r="C1268" s="51" t="e">
        <v>#REF!</v>
      </c>
      <c r="D1268" s="51" t="str">
        <v/>
      </c>
      <c r="E1268" s="51" t="str">
        <v/>
      </c>
      <c r="F1268" s="52" t="e">
        <v>#REF!</v>
      </c>
      <c r="G1268" s="48" t="e">
        <v>#REF!</v>
      </c>
      <c r="H1268" s="49">
        <v>21.765</v>
      </c>
      <c r="I1268" s="49" t="e">
        <v>#REF!</v>
      </c>
      <c r="J1268" s="50"/>
    </row>
    <row r="1269" outlineLevel="1" spans="1:10">
      <c r="A1269" s="50" t="str">
        <v/>
      </c>
      <c r="B1269" s="51" t="str">
        <v>地上采暖</v>
      </c>
      <c r="C1269" s="51" t="str">
        <v/>
      </c>
      <c r="D1269" s="51" t="str">
        <v/>
      </c>
      <c r="E1269" s="51" t="str">
        <v/>
      </c>
      <c r="F1269" s="52" t="str">
        <v/>
      </c>
      <c r="G1269" s="48" t="str">
        <v/>
      </c>
      <c r="H1269" s="49">
        <v>0</v>
      </c>
      <c r="I1269" s="49" t="e">
        <v>#REF!</v>
      </c>
      <c r="J1269" s="50"/>
    </row>
    <row r="1270" outlineLevel="1" spans="1:10">
      <c r="A1270" s="50" t="str">
        <v/>
      </c>
      <c r="B1270" s="51" t="str">
        <v>B.13户内采暖</v>
      </c>
      <c r="C1270" s="51" t="str">
        <v/>
      </c>
      <c r="D1270" s="51" t="str">
        <v/>
      </c>
      <c r="E1270" s="51" t="str">
        <v/>
      </c>
      <c r="F1270" s="52" t="str">
        <v/>
      </c>
      <c r="G1270" s="48" t="str">
        <v/>
      </c>
      <c r="H1270" s="49">
        <v>0</v>
      </c>
      <c r="I1270" s="49" t="e">
        <v>#REF!</v>
      </c>
      <c r="J1270" s="50"/>
    </row>
    <row r="1271" ht="28.8" outlineLevel="1" spans="1:10">
      <c r="A1271" s="50">
        <v>331</v>
      </c>
      <c r="B1271" s="51" t="str">
        <v>室内采暖塑料管-PPR-De32</v>
      </c>
      <c r="C1271" s="51" t="e">
        <v>#REF!</v>
      </c>
      <c r="D1271" s="51" t="str">
        <v/>
      </c>
      <c r="E1271" s="51" t="str">
        <v/>
      </c>
      <c r="F1271" s="52" t="e">
        <v>#REF!</v>
      </c>
      <c r="G1271" s="48" t="e">
        <v>#REF!</v>
      </c>
      <c r="H1271" s="49">
        <v>692.793</v>
      </c>
      <c r="I1271" s="49" t="e">
        <v>#REF!</v>
      </c>
      <c r="J1271" s="50"/>
    </row>
    <row r="1272" ht="28.8" outlineLevel="1" spans="1:10">
      <c r="A1272" s="50">
        <v>332</v>
      </c>
      <c r="B1272" s="51" t="str">
        <v>户内湿式地暖塑料管-PERT-De20(S5）</v>
      </c>
      <c r="C1272" s="51" t="e">
        <v>#REF!</v>
      </c>
      <c r="D1272" s="51" t="str">
        <v/>
      </c>
      <c r="E1272" s="51" t="str">
        <v/>
      </c>
      <c r="F1272" s="52" t="e">
        <v>#REF!</v>
      </c>
      <c r="G1272" s="48" t="e">
        <v>#REF!</v>
      </c>
      <c r="H1272" s="49">
        <v>435.49</v>
      </c>
      <c r="I1272" s="49" t="e">
        <v>#REF!</v>
      </c>
      <c r="J1272" s="50"/>
    </row>
    <row r="1273" ht="28.8" outlineLevel="1" spans="1:10">
      <c r="A1273" s="50">
        <v>333</v>
      </c>
      <c r="B1273" s="51" t="str">
        <v>户内湿式地暖塑料管-PERT-De20(S4）</v>
      </c>
      <c r="C1273" s="51" t="e">
        <v>#REF!</v>
      </c>
      <c r="D1273" s="51" t="str">
        <v/>
      </c>
      <c r="E1273" s="51" t="str">
        <v/>
      </c>
      <c r="F1273" s="52" t="e">
        <v>#REF!</v>
      </c>
      <c r="G1273" s="48" t="e">
        <v>#REF!</v>
      </c>
      <c r="H1273" s="49">
        <v>0</v>
      </c>
      <c r="I1273" s="49" t="e">
        <v>#REF!</v>
      </c>
      <c r="J1273" s="50"/>
    </row>
    <row r="1274" outlineLevel="1" spans="1:10">
      <c r="A1274" s="50">
        <v>334</v>
      </c>
      <c r="B1274" s="51" t="str">
        <v>户内湿法-玻纤网格布</v>
      </c>
      <c r="C1274" s="51" t="e">
        <v>#REF!</v>
      </c>
      <c r="D1274" s="51" t="str">
        <v/>
      </c>
      <c r="E1274" s="51" t="str">
        <v/>
      </c>
      <c r="F1274" s="52" t="e">
        <v>#REF!</v>
      </c>
      <c r="G1274" s="48" t="e">
        <v>#REF!</v>
      </c>
      <c r="H1274" s="49">
        <v>435.49</v>
      </c>
      <c r="I1274" s="49" t="e">
        <v>#REF!</v>
      </c>
      <c r="J1274" s="50"/>
    </row>
    <row r="1275" outlineLevel="1" spans="1:10">
      <c r="A1275" s="50">
        <v>335</v>
      </c>
      <c r="B1275" s="51" t="str">
        <v>户内湿法-单层钢丝网</v>
      </c>
      <c r="C1275" s="51" t="e">
        <v>#REF!</v>
      </c>
      <c r="D1275" s="51" t="str">
        <v/>
      </c>
      <c r="E1275" s="51" t="str">
        <v/>
      </c>
      <c r="F1275" s="52" t="e">
        <v>#REF!</v>
      </c>
      <c r="G1275" s="48" t="e">
        <v>#REF!</v>
      </c>
      <c r="H1275" s="49">
        <v>435.49</v>
      </c>
      <c r="I1275" s="49" t="e">
        <v>#REF!</v>
      </c>
      <c r="J1275" s="50"/>
    </row>
    <row r="1276" outlineLevel="1" spans="1:10">
      <c r="A1276" s="50">
        <v>336</v>
      </c>
      <c r="B1276" s="51" t="str">
        <v>户内湿法-双层钢丝网</v>
      </c>
      <c r="C1276" s="51" t="e">
        <v>#REF!</v>
      </c>
      <c r="D1276" s="51" t="str">
        <v/>
      </c>
      <c r="E1276" s="51" t="str">
        <v/>
      </c>
      <c r="F1276" s="52" t="e">
        <v>#REF!</v>
      </c>
      <c r="G1276" s="48" t="e">
        <v>#REF!</v>
      </c>
      <c r="H1276" s="49">
        <v>0</v>
      </c>
      <c r="I1276" s="49" t="e">
        <v>#REF!</v>
      </c>
      <c r="J1276" s="50"/>
    </row>
    <row r="1277" outlineLevel="1" spans="1:10">
      <c r="A1277" s="50">
        <v>337</v>
      </c>
      <c r="B1277" s="51" t="str">
        <v>户内湿法-铝箔纸</v>
      </c>
      <c r="C1277" s="51" t="e">
        <v>#REF!</v>
      </c>
      <c r="D1277" s="51" t="str">
        <v/>
      </c>
      <c r="E1277" s="51" t="str">
        <v/>
      </c>
      <c r="F1277" s="52" t="e">
        <v>#REF!</v>
      </c>
      <c r="G1277" s="48" t="e">
        <v>#REF!</v>
      </c>
      <c r="H1277" s="49">
        <v>435.49</v>
      </c>
      <c r="I1277" s="49" t="e">
        <v>#REF!</v>
      </c>
      <c r="J1277" s="50"/>
    </row>
    <row r="1278" outlineLevel="1" spans="1:10">
      <c r="A1278" s="50">
        <v>338</v>
      </c>
      <c r="B1278" s="51" t="str">
        <v>户内湿法-挤塑板</v>
      </c>
      <c r="C1278" s="51" t="e">
        <v>#REF!</v>
      </c>
      <c r="D1278" s="51" t="str">
        <v/>
      </c>
      <c r="E1278" s="51" t="str">
        <v/>
      </c>
      <c r="F1278" s="52" t="e">
        <v>#REF!</v>
      </c>
      <c r="G1278" s="48" t="e">
        <v>#REF!</v>
      </c>
      <c r="H1278" s="49">
        <v>435.49</v>
      </c>
      <c r="I1278" s="49" t="e">
        <v>#REF!</v>
      </c>
      <c r="J1278" s="50"/>
    </row>
    <row r="1279" ht="28.8" outlineLevel="1" spans="1:10">
      <c r="A1279" s="50">
        <v>339</v>
      </c>
      <c r="B1279" s="51" t="str">
        <v>户内干法采暖塑料管-PERT-De20(S5）</v>
      </c>
      <c r="C1279" s="51" t="e">
        <v>#REF!</v>
      </c>
      <c r="D1279" s="51" t="str">
        <v/>
      </c>
      <c r="E1279" s="51" t="str">
        <v/>
      </c>
      <c r="F1279" s="52" t="e">
        <v>#REF!</v>
      </c>
      <c r="G1279" s="48" t="e">
        <v>#REF!</v>
      </c>
      <c r="H1279" s="49">
        <v>3394.275</v>
      </c>
      <c r="I1279" s="49" t="e">
        <v>#REF!</v>
      </c>
      <c r="J1279" s="50"/>
    </row>
    <row r="1280" ht="28.8" outlineLevel="1" spans="1:10">
      <c r="A1280" s="50">
        <v>340</v>
      </c>
      <c r="B1280" s="51" t="str">
        <v>户内干法采暖塑料管-PERT-De20(S4）</v>
      </c>
      <c r="C1280" s="51" t="e">
        <v>#REF!</v>
      </c>
      <c r="D1280" s="51" t="str">
        <v/>
      </c>
      <c r="E1280" s="51" t="str">
        <v/>
      </c>
      <c r="F1280" s="52" t="e">
        <v>#REF!</v>
      </c>
      <c r="G1280" s="48" t="e">
        <v>#REF!</v>
      </c>
      <c r="H1280" s="49">
        <v>0</v>
      </c>
      <c r="I1280" s="49" t="e">
        <v>#REF!</v>
      </c>
      <c r="J1280" s="50"/>
    </row>
    <row r="1281" outlineLevel="1" spans="1:10">
      <c r="A1281" s="50">
        <v>341</v>
      </c>
      <c r="B1281" s="51" t="str">
        <v>户内干法-地面砂浆</v>
      </c>
      <c r="C1281" s="51" t="e">
        <v>#REF!</v>
      </c>
      <c r="D1281" s="51" t="str">
        <v/>
      </c>
      <c r="E1281" s="51" t="str">
        <v/>
      </c>
      <c r="F1281" s="52" t="e">
        <v>#REF!</v>
      </c>
      <c r="G1281" s="48" t="e">
        <v>#REF!</v>
      </c>
      <c r="H1281" s="49">
        <v>0</v>
      </c>
      <c r="I1281" s="49" t="e">
        <v>#REF!</v>
      </c>
      <c r="J1281" s="50"/>
    </row>
    <row r="1282" outlineLevel="1" spans="1:10">
      <c r="A1282" s="50">
        <v>342</v>
      </c>
      <c r="B1282" s="51" t="str">
        <v>户内干法-沟槽板</v>
      </c>
      <c r="C1282" s="51" t="e">
        <v>#REF!</v>
      </c>
      <c r="D1282" s="51" t="str">
        <v/>
      </c>
      <c r="E1282" s="51" t="str">
        <v/>
      </c>
      <c r="F1282" s="52" t="e">
        <v>#REF!</v>
      </c>
      <c r="G1282" s="48" t="e">
        <v>#REF!</v>
      </c>
      <c r="H1282" s="49">
        <v>3394.275</v>
      </c>
      <c r="I1282" s="49" t="e">
        <v>#REF!</v>
      </c>
      <c r="J1282" s="50"/>
    </row>
    <row r="1283" outlineLevel="1" spans="1:10">
      <c r="A1283" s="50">
        <v>343</v>
      </c>
      <c r="B1283" s="51" t="str">
        <v>户内干法-粘接砂浆</v>
      </c>
      <c r="C1283" s="51" t="e">
        <v>#REF!</v>
      </c>
      <c r="D1283" s="51" t="str">
        <v/>
      </c>
      <c r="E1283" s="51" t="str">
        <v/>
      </c>
      <c r="F1283" s="52" t="e">
        <v>#REF!</v>
      </c>
      <c r="G1283" s="48" t="e">
        <v>#REF!</v>
      </c>
      <c r="H1283" s="49">
        <v>3394.275</v>
      </c>
      <c r="I1283" s="49" t="e">
        <v>#REF!</v>
      </c>
      <c r="J1283" s="50"/>
    </row>
    <row r="1284" outlineLevel="1" spans="1:10">
      <c r="A1284" s="50">
        <v>344</v>
      </c>
      <c r="B1284" s="51" t="str">
        <v>户内干法-石膏自流平</v>
      </c>
      <c r="C1284" s="51" t="e">
        <v>#REF!</v>
      </c>
      <c r="D1284" s="51" t="str">
        <v/>
      </c>
      <c r="E1284" s="51" t="str">
        <v/>
      </c>
      <c r="F1284" s="52" t="e">
        <v>#REF!</v>
      </c>
      <c r="G1284" s="48" t="e">
        <v>#REF!</v>
      </c>
      <c r="H1284" s="49">
        <v>0</v>
      </c>
      <c r="I1284" s="49" t="e">
        <v>#REF!</v>
      </c>
      <c r="J1284" s="50"/>
    </row>
    <row r="1285" outlineLevel="1" spans="1:10">
      <c r="A1285" s="50">
        <v>345</v>
      </c>
      <c r="B1285" s="51" t="str">
        <v>户内干法-基层处理</v>
      </c>
      <c r="C1285" s="51" t="e">
        <v>#REF!</v>
      </c>
      <c r="D1285" s="51" t="str">
        <v/>
      </c>
      <c r="E1285" s="51" t="str">
        <v/>
      </c>
      <c r="F1285" s="52" t="e">
        <v>#REF!</v>
      </c>
      <c r="G1285" s="48" t="e">
        <v>#REF!</v>
      </c>
      <c r="H1285" s="49">
        <v>3394.275</v>
      </c>
      <c r="I1285" s="49" t="e">
        <v>#REF!</v>
      </c>
      <c r="J1285" s="50"/>
    </row>
    <row r="1286" outlineLevel="1" spans="1:10">
      <c r="A1286" s="50">
        <v>346</v>
      </c>
      <c r="B1286" s="51" t="str">
        <v>30mm厚1000Kpa压缩强度</v>
      </c>
      <c r="C1286" s="51" t="e">
        <v>#REF!</v>
      </c>
      <c r="D1286" s="51" t="str">
        <v/>
      </c>
      <c r="E1286" s="51" t="str">
        <v/>
      </c>
      <c r="F1286" s="52" t="e">
        <v>#REF!</v>
      </c>
      <c r="G1286" s="48" t="e">
        <v>#REF!</v>
      </c>
      <c r="H1286" s="49">
        <v>0</v>
      </c>
      <c r="I1286" s="49" t="e">
        <v>#REF!</v>
      </c>
      <c r="J1286" s="50"/>
    </row>
    <row r="1287" outlineLevel="1" spans="1:10">
      <c r="A1287" s="50">
        <v>347</v>
      </c>
      <c r="B1287" s="51" t="str">
        <v>30mm厚1200Kpa压缩强度</v>
      </c>
      <c r="C1287" s="51" t="e">
        <v>#REF!</v>
      </c>
      <c r="D1287" s="51" t="str">
        <v/>
      </c>
      <c r="E1287" s="51" t="str">
        <v/>
      </c>
      <c r="F1287" s="52" t="e">
        <v>#REF!</v>
      </c>
      <c r="G1287" s="48" t="e">
        <v>#REF!</v>
      </c>
      <c r="H1287" s="49">
        <v>0</v>
      </c>
      <c r="I1287" s="49" t="e">
        <v>#REF!</v>
      </c>
      <c r="J1287" s="50"/>
    </row>
    <row r="1288" outlineLevel="1" spans="1:10">
      <c r="A1288" s="50">
        <v>348</v>
      </c>
      <c r="B1288" s="51" t="str">
        <v>30mm厚1250Kpa压缩强度</v>
      </c>
      <c r="C1288" s="51" t="e">
        <v>#REF!</v>
      </c>
      <c r="D1288" s="51" t="str">
        <v/>
      </c>
      <c r="E1288" s="51" t="str">
        <v/>
      </c>
      <c r="F1288" s="52" t="e">
        <v>#REF!</v>
      </c>
      <c r="G1288" s="48" t="e">
        <v>#REF!</v>
      </c>
      <c r="H1288" s="49">
        <v>0</v>
      </c>
      <c r="I1288" s="49" t="e">
        <v>#REF!</v>
      </c>
      <c r="J1288" s="50"/>
    </row>
    <row r="1289" ht="28.8" outlineLevel="1" spans="1:10">
      <c r="A1289" s="50">
        <v>349</v>
      </c>
      <c r="B1289" s="51" t="str">
        <v>橡胶减震垫-5厚单面凹发泡</v>
      </c>
      <c r="C1289" s="51" t="e">
        <v>#REF!</v>
      </c>
      <c r="D1289" s="51" t="str">
        <v/>
      </c>
      <c r="E1289" s="51" t="str">
        <v/>
      </c>
      <c r="F1289" s="52" t="e">
        <v>#REF!</v>
      </c>
      <c r="G1289" s="48" t="e">
        <v>#REF!</v>
      </c>
      <c r="H1289" s="49">
        <v>0</v>
      </c>
      <c r="I1289" s="49" t="e">
        <v>#REF!</v>
      </c>
      <c r="J1289" s="50"/>
    </row>
    <row r="1290" ht="28.8" outlineLevel="1" spans="1:10">
      <c r="A1290" s="50">
        <v>350</v>
      </c>
      <c r="B1290" s="51" t="str">
        <v>聚乙烯减震垫-5厚单面凹发泡</v>
      </c>
      <c r="C1290" s="51" t="e">
        <v>#REF!</v>
      </c>
      <c r="D1290" s="51" t="str">
        <v/>
      </c>
      <c r="E1290" s="51" t="str">
        <v/>
      </c>
      <c r="F1290" s="52" t="e">
        <v>#REF!</v>
      </c>
      <c r="G1290" s="48" t="e">
        <v>#REF!</v>
      </c>
      <c r="H1290" s="49">
        <v>0</v>
      </c>
      <c r="I1290" s="49" t="e">
        <v>#REF!</v>
      </c>
      <c r="J1290" s="50"/>
    </row>
    <row r="1291" ht="28.8" outlineLevel="1" spans="1:10">
      <c r="A1291" s="50">
        <v>351</v>
      </c>
      <c r="B1291" s="51" t="str">
        <v>聚乙烯减震垫-5厚单面平发泡</v>
      </c>
      <c r="C1291" s="51" t="e">
        <v>#REF!</v>
      </c>
      <c r="D1291" s="51" t="str">
        <v/>
      </c>
      <c r="E1291" s="51" t="str">
        <v/>
      </c>
      <c r="F1291" s="52" t="e">
        <v>#REF!</v>
      </c>
      <c r="G1291" s="48" t="e">
        <v>#REF!</v>
      </c>
      <c r="H1291" s="49">
        <v>0</v>
      </c>
      <c r="I1291" s="49" t="e">
        <v>#REF!</v>
      </c>
      <c r="J1291" s="50"/>
    </row>
    <row r="1292" outlineLevel="1" spans="1:10">
      <c r="A1292" s="50">
        <v>352</v>
      </c>
      <c r="B1292" s="51" t="str">
        <v>2回路分/集水器</v>
      </c>
      <c r="C1292" s="51" t="e">
        <v>#REF!</v>
      </c>
      <c r="D1292" s="51" t="str">
        <v/>
      </c>
      <c r="E1292" s="51" t="str">
        <v/>
      </c>
      <c r="F1292" s="52" t="e">
        <v>#REF!</v>
      </c>
      <c r="G1292" s="48" t="e">
        <v>#REF!</v>
      </c>
      <c r="H1292" s="49">
        <v>0</v>
      </c>
      <c r="I1292" s="49" t="e">
        <v>#REF!</v>
      </c>
      <c r="J1292" s="50"/>
    </row>
    <row r="1293" outlineLevel="1" spans="1:10">
      <c r="A1293" s="50">
        <v>353</v>
      </c>
      <c r="B1293" s="51" t="str">
        <v>3回路分/集水器</v>
      </c>
      <c r="C1293" s="51" t="e">
        <v>#REF!</v>
      </c>
      <c r="D1293" s="51" t="str">
        <v/>
      </c>
      <c r="E1293" s="51" t="str">
        <v/>
      </c>
      <c r="F1293" s="52" t="e">
        <v>#REF!</v>
      </c>
      <c r="G1293" s="48" t="e">
        <v>#REF!</v>
      </c>
      <c r="H1293" s="49">
        <v>0</v>
      </c>
      <c r="I1293" s="49" t="e">
        <v>#REF!</v>
      </c>
      <c r="J1293" s="50"/>
    </row>
    <row r="1294" outlineLevel="1" spans="1:10">
      <c r="A1294" s="50">
        <v>354</v>
      </c>
      <c r="B1294" s="51" t="str">
        <v>4回路分/集水器</v>
      </c>
      <c r="C1294" s="51" t="e">
        <v>#REF!</v>
      </c>
      <c r="D1294" s="51" t="str">
        <v/>
      </c>
      <c r="E1294" s="51" t="str">
        <v/>
      </c>
      <c r="F1294" s="52" t="e">
        <v>#REF!</v>
      </c>
      <c r="G1294" s="48" t="e">
        <v>#REF!</v>
      </c>
      <c r="H1294" s="49">
        <v>0</v>
      </c>
      <c r="I1294" s="49" t="e">
        <v>#REF!</v>
      </c>
      <c r="J1294" s="50"/>
    </row>
    <row r="1295" outlineLevel="1" spans="1:10">
      <c r="A1295" s="50">
        <v>355</v>
      </c>
      <c r="B1295" s="51" t="str">
        <v>5回路分/集水器</v>
      </c>
      <c r="C1295" s="51" t="e">
        <v>#REF!</v>
      </c>
      <c r="D1295" s="51" t="str">
        <v/>
      </c>
      <c r="E1295" s="51" t="str">
        <v/>
      </c>
      <c r="F1295" s="52" t="e">
        <v>#REF!</v>
      </c>
      <c r="G1295" s="48" t="e">
        <v>#REF!</v>
      </c>
      <c r="H1295" s="49">
        <v>0</v>
      </c>
      <c r="I1295" s="49" t="e">
        <v>#REF!</v>
      </c>
      <c r="J1295" s="50"/>
    </row>
    <row r="1296" outlineLevel="1" spans="1:10">
      <c r="A1296" s="50">
        <v>356</v>
      </c>
      <c r="B1296" s="51" t="str">
        <v>6回路分/集水器</v>
      </c>
      <c r="C1296" s="51" t="e">
        <v>#REF!</v>
      </c>
      <c r="D1296" s="51" t="str">
        <v/>
      </c>
      <c r="E1296" s="51" t="str">
        <v/>
      </c>
      <c r="F1296" s="52" t="e">
        <v>#REF!</v>
      </c>
      <c r="G1296" s="48" t="e">
        <v>#REF!</v>
      </c>
      <c r="H1296" s="49">
        <v>1</v>
      </c>
      <c r="I1296" s="49" t="e">
        <v>#REF!</v>
      </c>
      <c r="J1296" s="50"/>
    </row>
    <row r="1297" outlineLevel="1" spans="1:10">
      <c r="A1297" s="50">
        <v>357</v>
      </c>
      <c r="B1297" s="51" t="str">
        <v>7回路分/集水器</v>
      </c>
      <c r="C1297" s="51" t="e">
        <v>#REF!</v>
      </c>
      <c r="D1297" s="51" t="str">
        <v/>
      </c>
      <c r="E1297" s="51" t="str">
        <v/>
      </c>
      <c r="F1297" s="52" t="e">
        <v>#REF!</v>
      </c>
      <c r="G1297" s="48" t="e">
        <v>#REF!</v>
      </c>
      <c r="H1297" s="49">
        <v>18</v>
      </c>
      <c r="I1297" s="49" t="e">
        <v>#REF!</v>
      </c>
      <c r="J1297" s="50"/>
    </row>
    <row r="1298" outlineLevel="1" spans="1:10">
      <c r="A1298" s="50">
        <v>358</v>
      </c>
      <c r="B1298" s="51" t="str">
        <v>8回路分/集水器</v>
      </c>
      <c r="C1298" s="51" t="e">
        <v>#REF!</v>
      </c>
      <c r="D1298" s="51" t="str">
        <v/>
      </c>
      <c r="E1298" s="51" t="str">
        <v/>
      </c>
      <c r="F1298" s="52" t="e">
        <v>#REF!</v>
      </c>
      <c r="G1298" s="48" t="e">
        <v>#REF!</v>
      </c>
      <c r="H1298" s="49">
        <v>0</v>
      </c>
      <c r="I1298" s="49" t="e">
        <v>#REF!</v>
      </c>
      <c r="J1298" s="50"/>
    </row>
    <row r="1299" ht="28.8" outlineLevel="1" spans="1:10">
      <c r="A1299" s="50">
        <v>359</v>
      </c>
      <c r="B1299" s="51" t="str">
        <v>螺纹阀门-全铜截止阀-De32</v>
      </c>
      <c r="C1299" s="51" t="e">
        <v>#REF!</v>
      </c>
      <c r="D1299" s="51" t="str">
        <v/>
      </c>
      <c r="E1299" s="51" t="str">
        <v/>
      </c>
      <c r="F1299" s="52" t="e">
        <v>#REF!</v>
      </c>
      <c r="G1299" s="48" t="e">
        <v>#REF!</v>
      </c>
      <c r="H1299" s="49">
        <v>56</v>
      </c>
      <c r="I1299" s="49" t="e">
        <v>#REF!</v>
      </c>
      <c r="J1299" s="50"/>
    </row>
    <row r="1300" outlineLevel="1" spans="1:10">
      <c r="A1300" s="50" t="str">
        <v/>
      </c>
      <c r="B1300" s="51" t="str">
        <v>B.14采暖管道</v>
      </c>
      <c r="C1300" s="51" t="str">
        <v/>
      </c>
      <c r="D1300" s="51" t="str">
        <v/>
      </c>
      <c r="E1300" s="51" t="str">
        <v/>
      </c>
      <c r="F1300" s="52" t="str">
        <v/>
      </c>
      <c r="G1300" s="48" t="str">
        <v/>
      </c>
      <c r="H1300" s="49">
        <v>0</v>
      </c>
      <c r="I1300" s="49" t="e">
        <v>#REF!</v>
      </c>
      <c r="J1300" s="50"/>
    </row>
    <row r="1301" outlineLevel="1" spans="1:10">
      <c r="A1301" s="50">
        <v>360</v>
      </c>
      <c r="B1301" s="51" t="str">
        <v>室内供暖镀锌钢管-DN15</v>
      </c>
      <c r="C1301" s="51" t="e">
        <v>#REF!</v>
      </c>
      <c r="D1301" s="51" t="str">
        <v/>
      </c>
      <c r="E1301" s="51" t="str">
        <v/>
      </c>
      <c r="F1301" s="52" t="e">
        <v>#REF!</v>
      </c>
      <c r="G1301" s="48" t="e">
        <v>#REF!</v>
      </c>
      <c r="H1301" s="49">
        <v>0</v>
      </c>
      <c r="I1301" s="49" t="e">
        <v>#REF!</v>
      </c>
      <c r="J1301" s="50"/>
    </row>
    <row r="1302" outlineLevel="1" spans="1:10">
      <c r="A1302" s="50">
        <v>361</v>
      </c>
      <c r="B1302" s="51" t="str">
        <v>室内供暖镀锌钢管-DN20</v>
      </c>
      <c r="C1302" s="51" t="e">
        <v>#REF!</v>
      </c>
      <c r="D1302" s="51" t="str">
        <v/>
      </c>
      <c r="E1302" s="51" t="str">
        <v/>
      </c>
      <c r="F1302" s="52" t="e">
        <v>#REF!</v>
      </c>
      <c r="G1302" s="48" t="e">
        <v>#REF!</v>
      </c>
      <c r="H1302" s="49">
        <v>0</v>
      </c>
      <c r="I1302" s="49" t="e">
        <v>#REF!</v>
      </c>
      <c r="J1302" s="50"/>
    </row>
    <row r="1303" outlineLevel="1" spans="1:10">
      <c r="A1303" s="50">
        <v>362</v>
      </c>
      <c r="B1303" s="51" t="str">
        <v>室内供暖镀锌钢管-DN25</v>
      </c>
      <c r="C1303" s="51" t="e">
        <v>#REF!</v>
      </c>
      <c r="D1303" s="51" t="str">
        <v/>
      </c>
      <c r="E1303" s="51" t="str">
        <v/>
      </c>
      <c r="F1303" s="52" t="e">
        <v>#REF!</v>
      </c>
      <c r="G1303" s="48" t="e">
        <v>#REF!</v>
      </c>
      <c r="H1303" s="49">
        <v>0</v>
      </c>
      <c r="I1303" s="49" t="e">
        <v>#REF!</v>
      </c>
      <c r="J1303" s="50"/>
    </row>
    <row r="1304" outlineLevel="1" spans="1:10">
      <c r="A1304" s="50">
        <v>363</v>
      </c>
      <c r="B1304" s="51" t="str">
        <v>室内供暖镀锌钢管-DN32</v>
      </c>
      <c r="C1304" s="51" t="e">
        <v>#REF!</v>
      </c>
      <c r="D1304" s="51" t="str">
        <v/>
      </c>
      <c r="E1304" s="51" t="str">
        <v/>
      </c>
      <c r="F1304" s="52" t="e">
        <v>#REF!</v>
      </c>
      <c r="G1304" s="48" t="e">
        <v>#REF!</v>
      </c>
      <c r="H1304" s="49">
        <v>44.257</v>
      </c>
      <c r="I1304" s="49" t="e">
        <v>#REF!</v>
      </c>
      <c r="J1304" s="50"/>
    </row>
    <row r="1305" outlineLevel="1" spans="1:10">
      <c r="A1305" s="50">
        <v>364</v>
      </c>
      <c r="B1305" s="51" t="str">
        <v>室内供暖镀锌钢管-DN40</v>
      </c>
      <c r="C1305" s="51" t="e">
        <v>#REF!</v>
      </c>
      <c r="D1305" s="51" t="str">
        <v/>
      </c>
      <c r="E1305" s="51" t="str">
        <v/>
      </c>
      <c r="F1305" s="52" t="e">
        <v>#REF!</v>
      </c>
      <c r="G1305" s="48" t="e">
        <v>#REF!</v>
      </c>
      <c r="H1305" s="49">
        <v>0</v>
      </c>
      <c r="I1305" s="49" t="e">
        <v>#REF!</v>
      </c>
      <c r="J1305" s="50"/>
    </row>
    <row r="1306" outlineLevel="1" spans="1:10">
      <c r="A1306" s="50">
        <v>365</v>
      </c>
      <c r="B1306" s="51" t="str">
        <v>室内供暖镀锌钢管-DN50</v>
      </c>
      <c r="C1306" s="51" t="e">
        <v>#REF!</v>
      </c>
      <c r="D1306" s="51" t="str">
        <v/>
      </c>
      <c r="E1306" s="51" t="str">
        <v/>
      </c>
      <c r="F1306" s="52" t="e">
        <v>#REF!</v>
      </c>
      <c r="G1306" s="48" t="e">
        <v>#REF!</v>
      </c>
      <c r="H1306" s="49">
        <v>6.3</v>
      </c>
      <c r="I1306" s="49" t="e">
        <v>#REF!</v>
      </c>
      <c r="J1306" s="50"/>
    </row>
    <row r="1307" outlineLevel="1" spans="1:10">
      <c r="A1307" s="50">
        <v>366</v>
      </c>
      <c r="B1307" s="51" t="str">
        <v>室内供暖镀锌钢管-DN65</v>
      </c>
      <c r="C1307" s="51" t="e">
        <v>#REF!</v>
      </c>
      <c r="D1307" s="51" t="str">
        <v/>
      </c>
      <c r="E1307" s="51" t="str">
        <v/>
      </c>
      <c r="F1307" s="52" t="e">
        <v>#REF!</v>
      </c>
      <c r="G1307" s="48" t="e">
        <v>#REF!</v>
      </c>
      <c r="H1307" s="49">
        <v>18.9</v>
      </c>
      <c r="I1307" s="49" t="e">
        <v>#REF!</v>
      </c>
      <c r="J1307" s="50"/>
    </row>
    <row r="1308" outlineLevel="1" spans="1:10">
      <c r="A1308" s="50">
        <v>367</v>
      </c>
      <c r="B1308" s="51" t="str">
        <v>室内供暖镀锌钢管-DN80</v>
      </c>
      <c r="C1308" s="51" t="e">
        <v>#REF!</v>
      </c>
      <c r="D1308" s="51" t="str">
        <v/>
      </c>
      <c r="E1308" s="51" t="str">
        <v/>
      </c>
      <c r="F1308" s="52" t="e">
        <v>#REF!</v>
      </c>
      <c r="G1308" s="48" t="e">
        <v>#REF!</v>
      </c>
      <c r="H1308" s="49">
        <v>28.8</v>
      </c>
      <c r="I1308" s="49" t="e">
        <v>#REF!</v>
      </c>
      <c r="J1308" s="50"/>
    </row>
    <row r="1309" ht="28.8" outlineLevel="1" spans="1:10">
      <c r="A1309" s="50">
        <v>368</v>
      </c>
      <c r="B1309" s="51" t="str">
        <v>室内供暖无缝镀锌钢管-DN100</v>
      </c>
      <c r="C1309" s="51" t="e">
        <v>#REF!</v>
      </c>
      <c r="D1309" s="51" t="str">
        <v/>
      </c>
      <c r="E1309" s="51" t="str">
        <v/>
      </c>
      <c r="F1309" s="52" t="e">
        <v>#REF!</v>
      </c>
      <c r="G1309" s="48" t="e">
        <v>#REF!</v>
      </c>
      <c r="H1309" s="49">
        <v>0</v>
      </c>
      <c r="I1309" s="49" t="e">
        <v>#REF!</v>
      </c>
      <c r="J1309" s="50"/>
    </row>
    <row r="1310" ht="28.8" outlineLevel="1" spans="1:10">
      <c r="A1310" s="50">
        <v>369</v>
      </c>
      <c r="B1310" s="51" t="str">
        <v>室内采暖塑料管-PPR-De25</v>
      </c>
      <c r="C1310" s="51" t="e">
        <v>#REF!</v>
      </c>
      <c r="D1310" s="51" t="str">
        <v/>
      </c>
      <c r="E1310" s="51" t="str">
        <v/>
      </c>
      <c r="F1310" s="52" t="e">
        <v>#REF!</v>
      </c>
      <c r="G1310" s="48" t="e">
        <v>#REF!</v>
      </c>
      <c r="H1310" s="49">
        <v>0</v>
      </c>
      <c r="I1310" s="49" t="e">
        <v>#REF!</v>
      </c>
      <c r="J1310" s="50"/>
    </row>
    <row r="1311" ht="28.8" outlineLevel="1" spans="1:10">
      <c r="A1311" s="50">
        <v>370</v>
      </c>
      <c r="B1311" s="51" t="str">
        <v>室内采暖塑料管-PPR-De32</v>
      </c>
      <c r="C1311" s="51" t="e">
        <v>#REF!</v>
      </c>
      <c r="D1311" s="51" t="str">
        <v/>
      </c>
      <c r="E1311" s="51" t="str">
        <v/>
      </c>
      <c r="F1311" s="52" t="e">
        <v>#REF!</v>
      </c>
      <c r="G1311" s="48" t="e">
        <v>#REF!</v>
      </c>
      <c r="H1311" s="49">
        <v>61.319</v>
      </c>
      <c r="I1311" s="49" t="e">
        <v>#REF!</v>
      </c>
      <c r="J1311" s="50"/>
    </row>
    <row r="1312" outlineLevel="1" spans="1:10">
      <c r="A1312" s="50" t="str">
        <v/>
      </c>
      <c r="B1312" s="51" t="str">
        <v>B.15阀部件</v>
      </c>
      <c r="C1312" s="51" t="str">
        <v/>
      </c>
      <c r="D1312" s="51" t="str">
        <v/>
      </c>
      <c r="E1312" s="51" t="str">
        <v/>
      </c>
      <c r="F1312" s="52" t="str">
        <v/>
      </c>
      <c r="G1312" s="48" t="str">
        <v/>
      </c>
      <c r="H1312" s="49">
        <v>0</v>
      </c>
      <c r="I1312" s="49" t="e">
        <v>#REF!</v>
      </c>
      <c r="J1312" s="50"/>
    </row>
    <row r="1313" ht="28.8" outlineLevel="1" spans="1:10">
      <c r="A1313" s="50">
        <v>371</v>
      </c>
      <c r="B1313" s="51" t="str">
        <v>螺纹阀门-自动放气阀-DN15</v>
      </c>
      <c r="C1313" s="51" t="e">
        <v>#REF!</v>
      </c>
      <c r="D1313" s="51" t="str">
        <v/>
      </c>
      <c r="E1313" s="51" t="str">
        <v/>
      </c>
      <c r="F1313" s="52" t="e">
        <v>#REF!</v>
      </c>
      <c r="G1313" s="48" t="e">
        <v>#REF!</v>
      </c>
      <c r="H1313" s="49">
        <v>2</v>
      </c>
      <c r="I1313" s="49" t="e">
        <v>#REF!</v>
      </c>
      <c r="J1313" s="50"/>
    </row>
    <row r="1314" ht="28.8" outlineLevel="1" spans="1:10">
      <c r="A1314" s="50">
        <v>372</v>
      </c>
      <c r="B1314" s="51" t="str">
        <v>自动放气阀下截止阀-DN15</v>
      </c>
      <c r="C1314" s="51" t="e">
        <v>#REF!</v>
      </c>
      <c r="D1314" s="51" t="str">
        <v/>
      </c>
      <c r="E1314" s="51" t="str">
        <v/>
      </c>
      <c r="F1314" s="52" t="e">
        <v>#REF!</v>
      </c>
      <c r="G1314" s="48" t="e">
        <v>#REF!</v>
      </c>
      <c r="H1314" s="49">
        <v>2</v>
      </c>
      <c r="I1314" s="49" t="e">
        <v>#REF!</v>
      </c>
      <c r="J1314" s="50"/>
    </row>
    <row r="1315" ht="28.8" outlineLevel="1" spans="1:10">
      <c r="A1315" s="50">
        <v>373</v>
      </c>
      <c r="B1315" s="51" t="str">
        <v>螺纹阀门-手动调节阀-DN25</v>
      </c>
      <c r="C1315" s="51" t="e">
        <v>#REF!</v>
      </c>
      <c r="D1315" s="51" t="str">
        <v/>
      </c>
      <c r="E1315" s="51" t="str">
        <v/>
      </c>
      <c r="F1315" s="52" t="e">
        <v>#REF!</v>
      </c>
      <c r="G1315" s="48" t="e">
        <v>#REF!</v>
      </c>
      <c r="H1315" s="49">
        <v>19</v>
      </c>
      <c r="I1315" s="49" t="e">
        <v>#REF!</v>
      </c>
      <c r="J1315" s="50"/>
    </row>
    <row r="1316" ht="28.8" outlineLevel="1" spans="1:10">
      <c r="A1316" s="50">
        <v>374</v>
      </c>
      <c r="B1316" s="51" t="str">
        <v>螺纹阀门-手动调节阀-DN32</v>
      </c>
      <c r="C1316" s="51" t="e">
        <v>#REF!</v>
      </c>
      <c r="D1316" s="51" t="str">
        <v/>
      </c>
      <c r="E1316" s="51" t="str">
        <v/>
      </c>
      <c r="F1316" s="52" t="e">
        <v>#REF!</v>
      </c>
      <c r="G1316" s="48" t="e">
        <v>#REF!</v>
      </c>
      <c r="H1316" s="49">
        <v>0</v>
      </c>
      <c r="I1316" s="49" t="e">
        <v>#REF!</v>
      </c>
      <c r="J1316" s="50"/>
    </row>
    <row r="1317" ht="28.8" outlineLevel="1" spans="1:10">
      <c r="A1317" s="50">
        <v>375</v>
      </c>
      <c r="B1317" s="51" t="str">
        <v>螺纹阀门-手动调节阀-DN50</v>
      </c>
      <c r="C1317" s="51" t="e">
        <v>#REF!</v>
      </c>
      <c r="D1317" s="51" t="str">
        <v/>
      </c>
      <c r="E1317" s="51" t="str">
        <v/>
      </c>
      <c r="F1317" s="52" t="e">
        <v>#REF!</v>
      </c>
      <c r="G1317" s="48" t="e">
        <v>#REF!</v>
      </c>
      <c r="H1317" s="49">
        <v>0</v>
      </c>
      <c r="I1317" s="49" t="e">
        <v>#REF!</v>
      </c>
      <c r="J1317" s="50"/>
    </row>
    <row r="1318" outlineLevel="1" spans="1:10">
      <c r="A1318" s="50">
        <v>376</v>
      </c>
      <c r="B1318" s="51" t="str">
        <v>螺纹阀门-截止阀-DN20</v>
      </c>
      <c r="C1318" s="51" t="e">
        <v>#REF!</v>
      </c>
      <c r="D1318" s="51" t="str">
        <v/>
      </c>
      <c r="E1318" s="51" t="str">
        <v/>
      </c>
      <c r="F1318" s="52" t="e">
        <v>#REF!</v>
      </c>
      <c r="G1318" s="48" t="e">
        <v>#REF!</v>
      </c>
      <c r="H1318" s="49">
        <v>0</v>
      </c>
      <c r="I1318" s="49" t="e">
        <v>#REF!</v>
      </c>
      <c r="J1318" s="50"/>
    </row>
    <row r="1319" outlineLevel="1" spans="1:10">
      <c r="A1319" s="50">
        <v>377</v>
      </c>
      <c r="B1319" s="51" t="str">
        <v>螺纹阀门-截止阀-DN32</v>
      </c>
      <c r="C1319" s="51" t="e">
        <v>#REF!</v>
      </c>
      <c r="D1319" s="51" t="str">
        <v/>
      </c>
      <c r="E1319" s="51" t="str">
        <v/>
      </c>
      <c r="F1319" s="52" t="e">
        <v>#REF!</v>
      </c>
      <c r="G1319" s="48" t="e">
        <v>#REF!</v>
      </c>
      <c r="H1319" s="49">
        <v>0</v>
      </c>
      <c r="I1319" s="49" t="e">
        <v>#REF!</v>
      </c>
      <c r="J1319" s="50"/>
    </row>
    <row r="1320" outlineLevel="1" spans="1:10">
      <c r="A1320" s="50">
        <v>378</v>
      </c>
      <c r="B1320" s="51" t="str">
        <v>螺纹阀门-截止阀-DN50</v>
      </c>
      <c r="C1320" s="51" t="e">
        <v>#REF!</v>
      </c>
      <c r="D1320" s="51" t="str">
        <v/>
      </c>
      <c r="E1320" s="51" t="str">
        <v/>
      </c>
      <c r="F1320" s="52" t="e">
        <v>#REF!</v>
      </c>
      <c r="G1320" s="48" t="e">
        <v>#REF!</v>
      </c>
      <c r="H1320" s="49">
        <v>0</v>
      </c>
      <c r="I1320" s="49" t="e">
        <v>#REF!</v>
      </c>
      <c r="J1320" s="50"/>
    </row>
    <row r="1321" outlineLevel="1" spans="1:10">
      <c r="A1321" s="50">
        <v>379</v>
      </c>
      <c r="B1321" s="51" t="str">
        <v>螺纹阀门-锁闭阀-DN20</v>
      </c>
      <c r="C1321" s="51" t="e">
        <v>#REF!</v>
      </c>
      <c r="D1321" s="51" t="str">
        <v/>
      </c>
      <c r="E1321" s="51" t="str">
        <v/>
      </c>
      <c r="F1321" s="52" t="e">
        <v>#REF!</v>
      </c>
      <c r="G1321" s="48" t="e">
        <v>#REF!</v>
      </c>
      <c r="H1321" s="49">
        <v>0</v>
      </c>
      <c r="I1321" s="49" t="e">
        <v>#REF!</v>
      </c>
      <c r="J1321" s="50"/>
    </row>
    <row r="1322" outlineLevel="1" spans="1:10">
      <c r="A1322" s="50">
        <v>380</v>
      </c>
      <c r="B1322" s="51" t="str">
        <v>螺纹阀门-锁闭阀-DN25</v>
      </c>
      <c r="C1322" s="51" t="e">
        <v>#REF!</v>
      </c>
      <c r="D1322" s="51" t="str">
        <v/>
      </c>
      <c r="E1322" s="51" t="str">
        <v/>
      </c>
      <c r="F1322" s="52" t="e">
        <v>#REF!</v>
      </c>
      <c r="G1322" s="48" t="e">
        <v>#REF!</v>
      </c>
      <c r="H1322" s="49">
        <v>19</v>
      </c>
      <c r="I1322" s="49" t="e">
        <v>#REF!</v>
      </c>
      <c r="J1322" s="50"/>
    </row>
    <row r="1323" ht="28.8" outlineLevel="1" spans="1:10">
      <c r="A1323" s="50">
        <v>381</v>
      </c>
      <c r="B1323" s="51" t="str">
        <v>螺纹阀门-铜测温球阀-DN20</v>
      </c>
      <c r="C1323" s="51" t="e">
        <v>#REF!</v>
      </c>
      <c r="D1323" s="51" t="str">
        <v/>
      </c>
      <c r="E1323" s="51" t="str">
        <v/>
      </c>
      <c r="F1323" s="52" t="e">
        <v>#REF!</v>
      </c>
      <c r="G1323" s="48" t="e">
        <v>#REF!</v>
      </c>
      <c r="H1323" s="49">
        <v>0</v>
      </c>
      <c r="I1323" s="49" t="e">
        <v>#REF!</v>
      </c>
      <c r="J1323" s="50"/>
    </row>
    <row r="1324" ht="28.8" outlineLevel="1" spans="1:10">
      <c r="A1324" s="50">
        <v>382</v>
      </c>
      <c r="B1324" s="51" t="str">
        <v>螺纹阀门-铜测温球阀-DN25</v>
      </c>
      <c r="C1324" s="51" t="e">
        <v>#REF!</v>
      </c>
      <c r="D1324" s="51" t="str">
        <v/>
      </c>
      <c r="E1324" s="51" t="str">
        <v/>
      </c>
      <c r="F1324" s="52" t="e">
        <v>#REF!</v>
      </c>
      <c r="G1324" s="48" t="e">
        <v>#REF!</v>
      </c>
      <c r="H1324" s="49">
        <v>38</v>
      </c>
      <c r="I1324" s="49" t="e">
        <v>#REF!</v>
      </c>
      <c r="J1324" s="50"/>
    </row>
    <row r="1325" ht="28.8" outlineLevel="1" spans="1:10">
      <c r="A1325" s="50">
        <v>383</v>
      </c>
      <c r="B1325" s="51" t="str">
        <v>螺纹阀门-Y型过滤器-DN20</v>
      </c>
      <c r="C1325" s="51" t="e">
        <v>#REF!</v>
      </c>
      <c r="D1325" s="51" t="str">
        <v/>
      </c>
      <c r="E1325" s="51" t="str">
        <v/>
      </c>
      <c r="F1325" s="52" t="e">
        <v>#REF!</v>
      </c>
      <c r="G1325" s="48" t="e">
        <v>#REF!</v>
      </c>
      <c r="H1325" s="49">
        <v>0</v>
      </c>
      <c r="I1325" s="49" t="e">
        <v>#REF!</v>
      </c>
      <c r="J1325" s="50"/>
    </row>
    <row r="1326" ht="28.8" outlineLevel="1" spans="1:10">
      <c r="A1326" s="50">
        <v>384</v>
      </c>
      <c r="B1326" s="51" t="str">
        <v>螺纹阀门-Y型过滤器-DN25</v>
      </c>
      <c r="C1326" s="51" t="e">
        <v>#REF!</v>
      </c>
      <c r="D1326" s="51" t="str">
        <v/>
      </c>
      <c r="E1326" s="51" t="str">
        <v/>
      </c>
      <c r="F1326" s="52" t="e">
        <v>#REF!</v>
      </c>
      <c r="G1326" s="48" t="e">
        <v>#REF!</v>
      </c>
      <c r="H1326" s="49">
        <v>19</v>
      </c>
      <c r="I1326" s="49" t="e">
        <v>#REF!</v>
      </c>
      <c r="J1326" s="50"/>
    </row>
    <row r="1327" ht="28.8" outlineLevel="1" spans="1:10">
      <c r="A1327" s="50">
        <v>385</v>
      </c>
      <c r="B1327" s="51" t="str">
        <v>法兰阀门-Y型过滤器-DN65</v>
      </c>
      <c r="C1327" s="51" t="e">
        <v>#REF!</v>
      </c>
      <c r="D1327" s="51" t="str">
        <v/>
      </c>
      <c r="E1327" s="51" t="str">
        <v/>
      </c>
      <c r="F1327" s="52" t="e">
        <v>#REF!</v>
      </c>
      <c r="G1327" s="48" t="e">
        <v>#REF!</v>
      </c>
      <c r="H1327" s="49">
        <v>0</v>
      </c>
      <c r="I1327" s="49" t="e">
        <v>#REF!</v>
      </c>
      <c r="J1327" s="50"/>
    </row>
    <row r="1328" ht="28.8" outlineLevel="1" spans="1:10">
      <c r="A1328" s="50">
        <v>386</v>
      </c>
      <c r="B1328" s="51" t="str">
        <v>螺纹阀门-静态水力平衡阀-DN20</v>
      </c>
      <c r="C1328" s="51" t="e">
        <v>#REF!</v>
      </c>
      <c r="D1328" s="51" t="str">
        <v/>
      </c>
      <c r="E1328" s="51" t="str">
        <v/>
      </c>
      <c r="F1328" s="52" t="e">
        <v>#REF!</v>
      </c>
      <c r="G1328" s="48" t="e">
        <v>#REF!</v>
      </c>
      <c r="H1328" s="49">
        <v>0</v>
      </c>
      <c r="I1328" s="49" t="e">
        <v>#REF!</v>
      </c>
      <c r="J1328" s="50"/>
    </row>
    <row r="1329" ht="28.8" outlineLevel="1" spans="1:10">
      <c r="A1329" s="50">
        <v>387</v>
      </c>
      <c r="B1329" s="51" t="str">
        <v>螺纹阀门-静态水力平衡阀-DN25</v>
      </c>
      <c r="C1329" s="51" t="e">
        <v>#REF!</v>
      </c>
      <c r="D1329" s="51" t="str">
        <v/>
      </c>
      <c r="E1329" s="51" t="str">
        <v/>
      </c>
      <c r="F1329" s="52" t="e">
        <v>#REF!</v>
      </c>
      <c r="G1329" s="48" t="e">
        <v>#REF!</v>
      </c>
      <c r="H1329" s="49">
        <v>19</v>
      </c>
      <c r="I1329" s="49" t="e">
        <v>#REF!</v>
      </c>
      <c r="J1329" s="50"/>
    </row>
    <row r="1330" ht="28.8" outlineLevel="1" spans="1:10">
      <c r="A1330" s="50">
        <v>388</v>
      </c>
      <c r="B1330" s="51" t="str">
        <v>法兰阀门-静态水力平衡阀-DN65</v>
      </c>
      <c r="C1330" s="51" t="e">
        <v>#REF!</v>
      </c>
      <c r="D1330" s="51" t="str">
        <v/>
      </c>
      <c r="E1330" s="51" t="str">
        <v/>
      </c>
      <c r="F1330" s="52" t="e">
        <v>#REF!</v>
      </c>
      <c r="G1330" s="48" t="e">
        <v>#REF!</v>
      </c>
      <c r="H1330" s="49">
        <v>0</v>
      </c>
      <c r="I1330" s="49" t="e">
        <v>#REF!</v>
      </c>
      <c r="J1330" s="50"/>
    </row>
    <row r="1331" ht="28.8" outlineLevel="1" spans="1:10">
      <c r="A1331" s="50">
        <v>389</v>
      </c>
      <c r="B1331" s="51" t="str">
        <v>螺纹阀门-电动温控阀-DN20</v>
      </c>
      <c r="C1331" s="51" t="e">
        <v>#REF!</v>
      </c>
      <c r="D1331" s="51" t="str">
        <v/>
      </c>
      <c r="E1331" s="51" t="str">
        <v/>
      </c>
      <c r="F1331" s="52" t="e">
        <v>#REF!</v>
      </c>
      <c r="G1331" s="48" t="e">
        <v>#REF!</v>
      </c>
      <c r="H1331" s="49">
        <v>0</v>
      </c>
      <c r="I1331" s="49" t="e">
        <v>#REF!</v>
      </c>
      <c r="J1331" s="50"/>
    </row>
    <row r="1332" ht="28.8" outlineLevel="1" spans="1:10">
      <c r="A1332" s="50">
        <v>390</v>
      </c>
      <c r="B1332" s="51" t="str">
        <v>螺纹阀门-电动温控阀-DN25</v>
      </c>
      <c r="C1332" s="51" t="e">
        <v>#REF!</v>
      </c>
      <c r="D1332" s="51" t="str">
        <v/>
      </c>
      <c r="E1332" s="51" t="str">
        <v/>
      </c>
      <c r="F1332" s="52" t="e">
        <v>#REF!</v>
      </c>
      <c r="G1332" s="48" t="e">
        <v>#REF!</v>
      </c>
      <c r="H1332" s="49">
        <v>19</v>
      </c>
      <c r="I1332" s="49" t="e">
        <v>#REF!</v>
      </c>
      <c r="J1332" s="50"/>
    </row>
    <row r="1333" outlineLevel="1" spans="1:10">
      <c r="A1333" s="50">
        <v>391</v>
      </c>
      <c r="B1333" s="51" t="str">
        <v>螺纹阀门-泄水球阀-DN25</v>
      </c>
      <c r="C1333" s="51" t="e">
        <v>#REF!</v>
      </c>
      <c r="D1333" s="51" t="str">
        <v/>
      </c>
      <c r="E1333" s="51" t="str">
        <v/>
      </c>
      <c r="F1333" s="52" t="e">
        <v>#REF!</v>
      </c>
      <c r="G1333" s="48" t="e">
        <v>#REF!</v>
      </c>
      <c r="H1333" s="49">
        <v>0</v>
      </c>
      <c r="I1333" s="49" t="e">
        <v>#REF!</v>
      </c>
      <c r="J1333" s="50"/>
    </row>
    <row r="1334" outlineLevel="1" spans="1:10">
      <c r="A1334" s="50">
        <v>392</v>
      </c>
      <c r="B1334" s="51" t="str">
        <v>螺纹阀门-连通阀-DN25</v>
      </c>
      <c r="C1334" s="51" t="e">
        <v>#REF!</v>
      </c>
      <c r="D1334" s="51" t="str">
        <v/>
      </c>
      <c r="E1334" s="51" t="str">
        <v/>
      </c>
      <c r="F1334" s="52" t="e">
        <v>#REF!</v>
      </c>
      <c r="G1334" s="48" t="e">
        <v>#REF!</v>
      </c>
      <c r="H1334" s="49">
        <v>0</v>
      </c>
      <c r="I1334" s="49" t="e">
        <v>#REF!</v>
      </c>
      <c r="J1334" s="50"/>
    </row>
    <row r="1335" outlineLevel="1" spans="1:10">
      <c r="A1335" s="50">
        <v>393</v>
      </c>
      <c r="B1335" s="51" t="str">
        <v>波纹补偿器-DN65</v>
      </c>
      <c r="C1335" s="51" t="e">
        <v>#REF!</v>
      </c>
      <c r="D1335" s="51" t="str">
        <v/>
      </c>
      <c r="E1335" s="51" t="str">
        <v/>
      </c>
      <c r="F1335" s="52" t="e">
        <v>#REF!</v>
      </c>
      <c r="G1335" s="48" t="e">
        <v>#REF!</v>
      </c>
      <c r="H1335" s="49">
        <v>0</v>
      </c>
      <c r="I1335" s="49" t="e">
        <v>#REF!</v>
      </c>
      <c r="J1335" s="50"/>
    </row>
    <row r="1336" outlineLevel="1" spans="1:10">
      <c r="A1336" s="50">
        <v>394</v>
      </c>
      <c r="B1336" s="51" t="str">
        <v>波纹补偿器-DN80</v>
      </c>
      <c r="C1336" s="51" t="e">
        <v>#REF!</v>
      </c>
      <c r="D1336" s="51" t="str">
        <v/>
      </c>
      <c r="E1336" s="51" t="str">
        <v/>
      </c>
      <c r="F1336" s="52" t="e">
        <v>#REF!</v>
      </c>
      <c r="G1336" s="48" t="e">
        <v>#REF!</v>
      </c>
      <c r="H1336" s="49">
        <v>0</v>
      </c>
      <c r="I1336" s="49" t="e">
        <v>#REF!</v>
      </c>
      <c r="J1336" s="50"/>
    </row>
    <row r="1337" outlineLevel="1" spans="1:10">
      <c r="A1337" s="50">
        <v>395</v>
      </c>
      <c r="B1337" s="51" t="str">
        <v>波纹补偿器-DN100</v>
      </c>
      <c r="C1337" s="51" t="e">
        <v>#REF!</v>
      </c>
      <c r="D1337" s="51" t="str">
        <v/>
      </c>
      <c r="E1337" s="51" t="str">
        <v/>
      </c>
      <c r="F1337" s="52" t="e">
        <v>#REF!</v>
      </c>
      <c r="G1337" s="48" t="e">
        <v>#REF!</v>
      </c>
      <c r="H1337" s="49">
        <v>0</v>
      </c>
      <c r="I1337" s="49" t="e">
        <v>#REF!</v>
      </c>
      <c r="J1337" s="50"/>
    </row>
    <row r="1338" outlineLevel="1" spans="1:10">
      <c r="A1338" s="50">
        <v>396</v>
      </c>
      <c r="B1338" s="51" t="str">
        <v>法兰阀门-闸阀-DN65</v>
      </c>
      <c r="C1338" s="51" t="e">
        <v>#REF!</v>
      </c>
      <c r="D1338" s="51" t="str">
        <v/>
      </c>
      <c r="E1338" s="51" t="str">
        <v/>
      </c>
      <c r="F1338" s="52" t="e">
        <v>#REF!</v>
      </c>
      <c r="G1338" s="48" t="e">
        <v>#REF!</v>
      </c>
      <c r="H1338" s="49">
        <v>0</v>
      </c>
      <c r="I1338" s="49" t="e">
        <v>#REF!</v>
      </c>
      <c r="J1338" s="50"/>
    </row>
    <row r="1339" outlineLevel="1" spans="1:10">
      <c r="A1339" s="50">
        <v>397</v>
      </c>
      <c r="B1339" s="51" t="str">
        <v>热量表-DN15</v>
      </c>
      <c r="C1339" s="51" t="e">
        <v>#REF!</v>
      </c>
      <c r="D1339" s="51" t="str">
        <v/>
      </c>
      <c r="E1339" s="51" t="str">
        <v/>
      </c>
      <c r="F1339" s="52" t="e">
        <v>#REF!</v>
      </c>
      <c r="G1339" s="48" t="e">
        <v>#REF!</v>
      </c>
      <c r="H1339" s="49">
        <v>19</v>
      </c>
      <c r="I1339" s="49" t="e">
        <v>#REF!</v>
      </c>
      <c r="J1339" s="50"/>
    </row>
    <row r="1340" outlineLevel="1" spans="1:10">
      <c r="A1340" s="50">
        <v>398</v>
      </c>
      <c r="B1340" s="51" t="str">
        <v>热量表-DN15（甲供）</v>
      </c>
      <c r="C1340" s="51" t="e">
        <v>#REF!</v>
      </c>
      <c r="D1340" s="51" t="str">
        <v/>
      </c>
      <c r="E1340" s="51" t="str">
        <v/>
      </c>
      <c r="F1340" s="52" t="e">
        <v>#REF!</v>
      </c>
      <c r="G1340" s="48" t="e">
        <v>#REF!</v>
      </c>
      <c r="H1340" s="49">
        <v>0</v>
      </c>
      <c r="I1340" s="49" t="e">
        <v>#REF!</v>
      </c>
      <c r="J1340" s="50"/>
    </row>
    <row r="1341" outlineLevel="1" spans="1:10">
      <c r="A1341" s="50">
        <v>399</v>
      </c>
      <c r="B1341" s="51" t="str">
        <v>温度仪表</v>
      </c>
      <c r="C1341" s="51" t="e">
        <v>#REF!</v>
      </c>
      <c r="D1341" s="51" t="str">
        <v/>
      </c>
      <c r="E1341" s="51" t="str">
        <v/>
      </c>
      <c r="F1341" s="52" t="e">
        <v>#REF!</v>
      </c>
      <c r="G1341" s="48" t="e">
        <v>#REF!</v>
      </c>
      <c r="H1341" s="49">
        <v>0</v>
      </c>
      <c r="I1341" s="49" t="e">
        <v>#REF!</v>
      </c>
      <c r="J1341" s="50"/>
    </row>
    <row r="1342" outlineLevel="1" spans="1:10">
      <c r="A1342" s="50">
        <v>400</v>
      </c>
      <c r="B1342" s="51" t="str">
        <v>采暖压力仪表</v>
      </c>
      <c r="C1342" s="51" t="e">
        <v>#REF!</v>
      </c>
      <c r="D1342" s="51" t="str">
        <v/>
      </c>
      <c r="E1342" s="51" t="str">
        <v/>
      </c>
      <c r="F1342" s="52" t="e">
        <v>#REF!</v>
      </c>
      <c r="G1342" s="48" t="e">
        <v>#REF!</v>
      </c>
      <c r="H1342" s="49">
        <v>0</v>
      </c>
      <c r="I1342" s="49" t="e">
        <v>#REF!</v>
      </c>
      <c r="J1342" s="50"/>
    </row>
    <row r="1343" outlineLevel="1" spans="1:10">
      <c r="A1343" s="50">
        <v>401</v>
      </c>
      <c r="B1343" s="51" t="str">
        <v>风扇</v>
      </c>
      <c r="C1343" s="51" t="e">
        <v>#REF!</v>
      </c>
      <c r="D1343" s="51" t="str">
        <v/>
      </c>
      <c r="E1343" s="51" t="str">
        <v/>
      </c>
      <c r="F1343" s="52" t="e">
        <v>#REF!</v>
      </c>
      <c r="G1343" s="48" t="e">
        <v>#REF!</v>
      </c>
      <c r="H1343" s="49">
        <v>1</v>
      </c>
      <c r="I1343" s="49" t="e">
        <v>#REF!</v>
      </c>
      <c r="J1343" s="50"/>
    </row>
    <row r="1344" outlineLevel="1" spans="1:10">
      <c r="A1344" s="50">
        <v>402</v>
      </c>
      <c r="B1344" s="51" t="str">
        <v>刚性防水套管-DN65</v>
      </c>
      <c r="C1344" s="51" t="e">
        <v>#REF!</v>
      </c>
      <c r="D1344" s="51" t="str">
        <v/>
      </c>
      <c r="E1344" s="51" t="str">
        <v/>
      </c>
      <c r="F1344" s="52" t="e">
        <v>#REF!</v>
      </c>
      <c r="G1344" s="48" t="e">
        <v>#REF!</v>
      </c>
      <c r="H1344" s="49">
        <v>0</v>
      </c>
      <c r="I1344" s="49" t="e">
        <v>#REF!</v>
      </c>
      <c r="J1344" s="50"/>
    </row>
    <row r="1345" outlineLevel="1" spans="1:10">
      <c r="A1345" s="50">
        <v>403</v>
      </c>
      <c r="B1345" s="51" t="str">
        <v>刚性防水套管-DN80</v>
      </c>
      <c r="C1345" s="51" t="e">
        <v>#REF!</v>
      </c>
      <c r="D1345" s="51" t="str">
        <v/>
      </c>
      <c r="E1345" s="51" t="str">
        <v/>
      </c>
      <c r="F1345" s="52" t="e">
        <v>#REF!</v>
      </c>
      <c r="G1345" s="48" t="e">
        <v>#REF!</v>
      </c>
      <c r="H1345" s="49">
        <v>0</v>
      </c>
      <c r="I1345" s="49" t="e">
        <v>#REF!</v>
      </c>
      <c r="J1345" s="50"/>
    </row>
    <row r="1346" outlineLevel="1" spans="1:10">
      <c r="A1346" s="50" t="str">
        <v/>
      </c>
      <c r="B1346" s="51" t="str">
        <v>B.16绝热</v>
      </c>
      <c r="C1346" s="51" t="str">
        <v/>
      </c>
      <c r="D1346" s="51" t="str">
        <v/>
      </c>
      <c r="E1346" s="51" t="str">
        <v/>
      </c>
      <c r="F1346" s="52" t="str">
        <v/>
      </c>
      <c r="G1346" s="48" t="str">
        <v/>
      </c>
      <c r="H1346" s="49">
        <v>0</v>
      </c>
      <c r="I1346" s="49" t="e">
        <v>#REF!</v>
      </c>
      <c r="J1346" s="50"/>
    </row>
    <row r="1347" outlineLevel="1" spans="1:10">
      <c r="A1347" s="50">
        <v>404</v>
      </c>
      <c r="B1347" s="51" t="str">
        <v>管道绝热</v>
      </c>
      <c r="C1347" s="51" t="e">
        <v>#REF!</v>
      </c>
      <c r="D1347" s="51" t="str">
        <v/>
      </c>
      <c r="E1347" s="51" t="str">
        <v/>
      </c>
      <c r="F1347" s="52" t="e">
        <v>#REF!</v>
      </c>
      <c r="G1347" s="48" t="e">
        <v>#REF!</v>
      </c>
      <c r="H1347" s="49">
        <v>1.295</v>
      </c>
      <c r="I1347" s="49" t="e">
        <v>#REF!</v>
      </c>
      <c r="J1347" s="50"/>
    </row>
    <row r="1348" outlineLevel="1" spans="1:10">
      <c r="A1348" s="50">
        <v>405</v>
      </c>
      <c r="B1348" s="51" t="str">
        <v>防火胶带保护层</v>
      </c>
      <c r="C1348" s="51" t="e">
        <v>#REF!</v>
      </c>
      <c r="D1348" s="51" t="str">
        <v/>
      </c>
      <c r="E1348" s="51" t="str">
        <v/>
      </c>
      <c r="F1348" s="52" t="e">
        <v>#REF!</v>
      </c>
      <c r="G1348" s="48" t="e">
        <v>#REF!</v>
      </c>
      <c r="H1348" s="49">
        <v>29.367</v>
      </c>
      <c r="I1348" s="49" t="e">
        <v>#REF!</v>
      </c>
      <c r="J1348" s="50"/>
    </row>
    <row r="1349" outlineLevel="1" spans="1:10">
      <c r="A1349" s="50" t="str">
        <v/>
      </c>
      <c r="B1349" s="51" t="str">
        <v>B.17系统调试</v>
      </c>
      <c r="C1349" s="51" t="str">
        <v/>
      </c>
      <c r="D1349" s="51" t="str">
        <v/>
      </c>
      <c r="E1349" s="51" t="str">
        <v/>
      </c>
      <c r="F1349" s="52" t="str">
        <v/>
      </c>
      <c r="G1349" s="48" t="str">
        <v/>
      </c>
      <c r="H1349" s="49">
        <v>0</v>
      </c>
      <c r="I1349" s="49" t="e">
        <v>#REF!</v>
      </c>
      <c r="J1349" s="50"/>
    </row>
    <row r="1350" outlineLevel="1" spans="1:10">
      <c r="A1350" s="50">
        <v>406</v>
      </c>
      <c r="B1350" s="51" t="str">
        <v>采暖工程系统调试</v>
      </c>
      <c r="C1350" s="51" t="e">
        <v>#REF!</v>
      </c>
      <c r="D1350" s="51" t="str">
        <v/>
      </c>
      <c r="E1350" s="51" t="str">
        <v/>
      </c>
      <c r="F1350" s="52" t="e">
        <v>#REF!</v>
      </c>
      <c r="G1350" s="48" t="e">
        <v>#REF!</v>
      </c>
      <c r="H1350" s="49">
        <v>5017.48</v>
      </c>
      <c r="I1350" s="49" t="e">
        <v>#REF!</v>
      </c>
      <c r="J1350" s="50"/>
    </row>
    <row r="1351" outlineLevel="1" spans="1:10">
      <c r="A1351" s="50" t="str">
        <v/>
      </c>
      <c r="B1351" s="51" t="str">
        <v>地下电气</v>
      </c>
      <c r="C1351" s="51" t="str">
        <v/>
      </c>
      <c r="D1351" s="51" t="str">
        <v/>
      </c>
      <c r="E1351" s="51" t="str">
        <v/>
      </c>
      <c r="F1351" s="52" t="str">
        <v/>
      </c>
      <c r="G1351" s="48" t="str">
        <v/>
      </c>
      <c r="H1351" s="49">
        <v>0</v>
      </c>
      <c r="I1351" s="49" t="e">
        <v>#REF!</v>
      </c>
      <c r="J1351" s="50"/>
    </row>
    <row r="1352" outlineLevel="1" spans="1:10">
      <c r="A1352" s="50" t="str">
        <v/>
      </c>
      <c r="B1352" s="51" t="str">
        <v>B.18强电工程</v>
      </c>
      <c r="C1352" s="51" t="str">
        <v/>
      </c>
      <c r="D1352" s="51" t="str">
        <v/>
      </c>
      <c r="E1352" s="51" t="str">
        <v/>
      </c>
      <c r="F1352" s="52" t="str">
        <v/>
      </c>
      <c r="G1352" s="48" t="str">
        <v/>
      </c>
      <c r="H1352" s="49">
        <v>0</v>
      </c>
      <c r="I1352" s="49" t="e">
        <v>#REF!</v>
      </c>
      <c r="J1352" s="50"/>
    </row>
    <row r="1353" outlineLevel="1" spans="1:10">
      <c r="A1353" s="50" t="str">
        <v/>
      </c>
      <c r="B1353" s="51" t="str">
        <v>B.18.1配电箱</v>
      </c>
      <c r="C1353" s="51" t="str">
        <v/>
      </c>
      <c r="D1353" s="51" t="str">
        <v/>
      </c>
      <c r="E1353" s="51" t="str">
        <v/>
      </c>
      <c r="F1353" s="52" t="str">
        <v/>
      </c>
      <c r="G1353" s="48" t="str">
        <v/>
      </c>
      <c r="H1353" s="49">
        <v>0</v>
      </c>
      <c r="I1353" s="49" t="e">
        <v>#REF!</v>
      </c>
      <c r="J1353" s="50"/>
    </row>
    <row r="1354" outlineLevel="1" spans="1:10">
      <c r="A1354" s="50">
        <v>407</v>
      </c>
      <c r="B1354" s="51" t="str">
        <v>落地配电柜</v>
      </c>
      <c r="C1354" s="51" t="e">
        <v>#REF!</v>
      </c>
      <c r="D1354" s="51" t="str">
        <v/>
      </c>
      <c r="E1354" s="51" t="str">
        <v/>
      </c>
      <c r="F1354" s="52" t="e">
        <v>#REF!</v>
      </c>
      <c r="G1354" s="48" t="e">
        <v>#REF!</v>
      </c>
      <c r="H1354" s="49">
        <v>2</v>
      </c>
      <c r="I1354" s="49" t="e">
        <v>#REF!</v>
      </c>
      <c r="J1354" s="50"/>
    </row>
    <row r="1355" ht="28.8" outlineLevel="1" spans="1:10">
      <c r="A1355" s="50">
        <v>408</v>
      </c>
      <c r="B1355" s="51" t="str">
        <v>公区电源箱（半周长0.5m以内）</v>
      </c>
      <c r="C1355" s="51" t="e">
        <v>#REF!</v>
      </c>
      <c r="D1355" s="51" t="str">
        <v/>
      </c>
      <c r="E1355" s="51" t="str">
        <v/>
      </c>
      <c r="F1355" s="52" t="e">
        <v>#REF!</v>
      </c>
      <c r="G1355" s="48" t="e">
        <v>#REF!</v>
      </c>
      <c r="H1355" s="49">
        <v>0</v>
      </c>
      <c r="I1355" s="49" t="e">
        <v>#REF!</v>
      </c>
      <c r="J1355" s="50"/>
    </row>
    <row r="1356" ht="28.8" outlineLevel="1" spans="1:10">
      <c r="A1356" s="50">
        <v>409</v>
      </c>
      <c r="B1356" s="51" t="str">
        <v>公区电源箱（半周长1.0m以内）</v>
      </c>
      <c r="C1356" s="51" t="e">
        <v>#REF!</v>
      </c>
      <c r="D1356" s="51" t="str">
        <v/>
      </c>
      <c r="E1356" s="51" t="str">
        <v/>
      </c>
      <c r="F1356" s="52" t="e">
        <v>#REF!</v>
      </c>
      <c r="G1356" s="48" t="e">
        <v>#REF!</v>
      </c>
      <c r="H1356" s="49">
        <v>1</v>
      </c>
      <c r="I1356" s="49" t="e">
        <v>#REF!</v>
      </c>
      <c r="J1356" s="50"/>
    </row>
    <row r="1357" ht="28.8" outlineLevel="1" spans="1:10">
      <c r="A1357" s="50">
        <v>410</v>
      </c>
      <c r="B1357" s="51" t="str">
        <v>公区电源箱（半周长1.5m以内）</v>
      </c>
      <c r="C1357" s="51" t="e">
        <v>#REF!</v>
      </c>
      <c r="D1357" s="51" t="str">
        <v/>
      </c>
      <c r="E1357" s="51" t="str">
        <v/>
      </c>
      <c r="F1357" s="52" t="e">
        <v>#REF!</v>
      </c>
      <c r="G1357" s="48" t="e">
        <v>#REF!</v>
      </c>
      <c r="H1357" s="49">
        <v>1</v>
      </c>
      <c r="I1357" s="49" t="e">
        <v>#REF!</v>
      </c>
      <c r="J1357" s="50"/>
    </row>
    <row r="1358" ht="28.8" outlineLevel="1" spans="1:10">
      <c r="A1358" s="50">
        <v>411</v>
      </c>
      <c r="B1358" s="51" t="str">
        <v>公区电源箱（半周长2m以内）</v>
      </c>
      <c r="C1358" s="51" t="e">
        <v>#REF!</v>
      </c>
      <c r="D1358" s="51" t="str">
        <v/>
      </c>
      <c r="E1358" s="51" t="str">
        <v/>
      </c>
      <c r="F1358" s="52" t="e">
        <v>#REF!</v>
      </c>
      <c r="G1358" s="48" t="e">
        <v>#REF!</v>
      </c>
      <c r="H1358" s="49">
        <v>1</v>
      </c>
      <c r="I1358" s="49" t="e">
        <v>#REF!</v>
      </c>
      <c r="J1358" s="50"/>
    </row>
    <row r="1359" outlineLevel="1" spans="1:10">
      <c r="A1359" s="50">
        <v>412</v>
      </c>
      <c r="B1359" s="51" t="str">
        <v>应急电源配电箱</v>
      </c>
      <c r="C1359" s="51" t="e">
        <v>#REF!</v>
      </c>
      <c r="D1359" s="51" t="str">
        <v/>
      </c>
      <c r="E1359" s="51" t="str">
        <v/>
      </c>
      <c r="F1359" s="52" t="e">
        <v>#REF!</v>
      </c>
      <c r="G1359" s="48" t="e">
        <v>#REF!</v>
      </c>
      <c r="H1359" s="49">
        <v>3</v>
      </c>
      <c r="I1359" s="49" t="e">
        <v>#REF!</v>
      </c>
      <c r="J1359" s="50"/>
    </row>
    <row r="1360" ht="28.8" outlineLevel="1" spans="1:10">
      <c r="A1360" s="50">
        <v>413</v>
      </c>
      <c r="B1360" s="51" t="str">
        <v>应急照明配电箱-0.15KW DC36V</v>
      </c>
      <c r="C1360" s="51" t="e">
        <v>#REF!</v>
      </c>
      <c r="D1360" s="51" t="str">
        <v/>
      </c>
      <c r="E1360" s="51" t="str">
        <v/>
      </c>
      <c r="F1360" s="52" t="e">
        <v>#REF!</v>
      </c>
      <c r="G1360" s="48" t="e">
        <v>#REF!</v>
      </c>
      <c r="H1360" s="49">
        <v>0</v>
      </c>
      <c r="I1360" s="49" t="e">
        <v>#REF!</v>
      </c>
      <c r="J1360" s="50"/>
    </row>
    <row r="1361" ht="28.8" outlineLevel="1" spans="1:10">
      <c r="A1361" s="50">
        <v>414</v>
      </c>
      <c r="B1361" s="51" t="str">
        <v>应急照明配电箱-0.3KW DC36V</v>
      </c>
      <c r="C1361" s="51" t="e">
        <v>#REF!</v>
      </c>
      <c r="D1361" s="51" t="str">
        <v/>
      </c>
      <c r="E1361" s="51" t="str">
        <v/>
      </c>
      <c r="F1361" s="52" t="e">
        <v>#REF!</v>
      </c>
      <c r="G1361" s="48" t="e">
        <v>#REF!</v>
      </c>
      <c r="H1361" s="49">
        <v>0</v>
      </c>
      <c r="I1361" s="49" t="e">
        <v>#REF!</v>
      </c>
      <c r="J1361" s="50"/>
    </row>
    <row r="1362" ht="28.8" outlineLevel="1" spans="1:10">
      <c r="A1362" s="50">
        <v>415</v>
      </c>
      <c r="B1362" s="51" t="str">
        <v>应急照明配电箱-0.6KW DC36V</v>
      </c>
      <c r="C1362" s="51" t="e">
        <v>#REF!</v>
      </c>
      <c r="D1362" s="51" t="str">
        <v/>
      </c>
      <c r="E1362" s="51" t="str">
        <v/>
      </c>
      <c r="F1362" s="52" t="e">
        <v>#REF!</v>
      </c>
      <c r="G1362" s="48" t="e">
        <v>#REF!</v>
      </c>
      <c r="H1362" s="49">
        <v>0</v>
      </c>
      <c r="I1362" s="49" t="e">
        <v>#REF!</v>
      </c>
      <c r="J1362" s="50"/>
    </row>
    <row r="1363" ht="28.8" outlineLevel="1" spans="1:10">
      <c r="A1363" s="50">
        <v>416</v>
      </c>
      <c r="B1363" s="51" t="str">
        <v>应急照明配电箱-0.9KW DC36V</v>
      </c>
      <c r="C1363" s="51" t="e">
        <v>#REF!</v>
      </c>
      <c r="D1363" s="51" t="str">
        <v/>
      </c>
      <c r="E1363" s="51" t="str">
        <v/>
      </c>
      <c r="F1363" s="52" t="e">
        <v>#REF!</v>
      </c>
      <c r="G1363" s="48" t="e">
        <v>#REF!</v>
      </c>
      <c r="H1363" s="49">
        <v>0</v>
      </c>
      <c r="I1363" s="49" t="e">
        <v>#REF!</v>
      </c>
      <c r="J1363" s="50"/>
    </row>
    <row r="1364" ht="28.8" outlineLevel="1" spans="1:10">
      <c r="A1364" s="50">
        <v>417</v>
      </c>
      <c r="B1364" s="51" t="str">
        <v>消防应急主机（2000点以下）</v>
      </c>
      <c r="C1364" s="51" t="e">
        <v>#REF!</v>
      </c>
      <c r="D1364" s="51" t="str">
        <v/>
      </c>
      <c r="E1364" s="51" t="str">
        <v/>
      </c>
      <c r="F1364" s="52" t="e">
        <v>#REF!</v>
      </c>
      <c r="G1364" s="48" t="e">
        <v>#REF!</v>
      </c>
      <c r="H1364" s="49">
        <v>0</v>
      </c>
      <c r="I1364" s="49" t="e">
        <v>#REF!</v>
      </c>
      <c r="J1364" s="50"/>
    </row>
    <row r="1365" ht="28.8" outlineLevel="1" spans="1:10">
      <c r="A1365" s="50">
        <v>418</v>
      </c>
      <c r="B1365" s="51" t="str">
        <v>接线箱（半周长700mm以内）</v>
      </c>
      <c r="C1365" s="51" t="e">
        <v>#REF!</v>
      </c>
      <c r="D1365" s="51" t="str">
        <v/>
      </c>
      <c r="E1365" s="51" t="str">
        <v/>
      </c>
      <c r="F1365" s="52" t="e">
        <v>#REF!</v>
      </c>
      <c r="G1365" s="48" t="e">
        <v>#REF!</v>
      </c>
      <c r="H1365" s="49">
        <v>0</v>
      </c>
      <c r="I1365" s="49" t="e">
        <v>#REF!</v>
      </c>
      <c r="J1365" s="50"/>
    </row>
    <row r="1366" ht="28.8" outlineLevel="1" spans="1:10">
      <c r="A1366" s="50">
        <v>419</v>
      </c>
      <c r="B1366" s="51" t="str">
        <v>低压交流异步电动机6kw以内</v>
      </c>
      <c r="C1366" s="51" t="e">
        <v>#REF!</v>
      </c>
      <c r="D1366" s="51" t="str">
        <v/>
      </c>
      <c r="E1366" s="51" t="str">
        <v/>
      </c>
      <c r="F1366" s="52" t="e">
        <v>#REF!</v>
      </c>
      <c r="G1366" s="48" t="e">
        <v>#REF!</v>
      </c>
      <c r="H1366" s="49">
        <v>2</v>
      </c>
      <c r="I1366" s="49" t="e">
        <v>#REF!</v>
      </c>
      <c r="J1366" s="50"/>
    </row>
    <row r="1367" outlineLevel="1" spans="1:10">
      <c r="A1367" s="50">
        <v>420</v>
      </c>
      <c r="B1367" s="51" t="str">
        <v>送配电装置系统调试</v>
      </c>
      <c r="C1367" s="51" t="e">
        <v>#REF!</v>
      </c>
      <c r="D1367" s="51" t="str">
        <v/>
      </c>
      <c r="E1367" s="51" t="str">
        <v/>
      </c>
      <c r="F1367" s="52" t="e">
        <v>#REF!</v>
      </c>
      <c r="G1367" s="48" t="e">
        <v>#REF!</v>
      </c>
      <c r="H1367" s="49">
        <v>1</v>
      </c>
      <c r="I1367" s="49" t="e">
        <v>#REF!</v>
      </c>
      <c r="J1367" s="50"/>
    </row>
    <row r="1368" outlineLevel="1" spans="1:10">
      <c r="A1368" s="50" t="str">
        <v/>
      </c>
      <c r="B1368" s="51" t="str">
        <v>B.18.2电力桥架</v>
      </c>
      <c r="C1368" s="51" t="str">
        <v/>
      </c>
      <c r="D1368" s="51" t="str">
        <v/>
      </c>
      <c r="E1368" s="51" t="str">
        <v/>
      </c>
      <c r="F1368" s="52" t="str">
        <v/>
      </c>
      <c r="G1368" s="48" t="str">
        <v/>
      </c>
      <c r="H1368" s="49">
        <v>0</v>
      </c>
      <c r="I1368" s="49" t="e">
        <v>#REF!</v>
      </c>
      <c r="J1368" s="50"/>
    </row>
    <row r="1369" outlineLevel="1" spans="1:10">
      <c r="A1369" s="50">
        <v>421</v>
      </c>
      <c r="B1369" s="51" t="str">
        <v>防火桥架-700*200</v>
      </c>
      <c r="C1369" s="51" t="e">
        <v>#REF!</v>
      </c>
      <c r="D1369" s="51" t="str">
        <v/>
      </c>
      <c r="E1369" s="51" t="str">
        <v/>
      </c>
      <c r="F1369" s="52" t="e">
        <v>#REF!</v>
      </c>
      <c r="G1369" s="48" t="e">
        <v>#REF!</v>
      </c>
      <c r="H1369" s="49">
        <v>0</v>
      </c>
      <c r="I1369" s="49" t="e">
        <v>#REF!</v>
      </c>
      <c r="J1369" s="50"/>
    </row>
    <row r="1370" outlineLevel="1" spans="1:10">
      <c r="A1370" s="50">
        <v>422</v>
      </c>
      <c r="B1370" s="51" t="str">
        <v>防火桥架-500*250</v>
      </c>
      <c r="C1370" s="51" t="e">
        <v>#REF!</v>
      </c>
      <c r="D1370" s="51" t="str">
        <v/>
      </c>
      <c r="E1370" s="51" t="str">
        <v/>
      </c>
      <c r="F1370" s="52" t="e">
        <v>#REF!</v>
      </c>
      <c r="G1370" s="48" t="e">
        <v>#REF!</v>
      </c>
      <c r="H1370" s="49">
        <v>0</v>
      </c>
      <c r="I1370" s="49" t="e">
        <v>#REF!</v>
      </c>
      <c r="J1370" s="50"/>
    </row>
    <row r="1371" outlineLevel="1" spans="1:10">
      <c r="A1371" s="50">
        <v>423</v>
      </c>
      <c r="B1371" s="51" t="str">
        <v>防火桥架-550*200</v>
      </c>
      <c r="C1371" s="51" t="e">
        <v>#REF!</v>
      </c>
      <c r="D1371" s="51" t="str">
        <v/>
      </c>
      <c r="E1371" s="51" t="str">
        <v/>
      </c>
      <c r="F1371" s="52" t="e">
        <v>#REF!</v>
      </c>
      <c r="G1371" s="48" t="e">
        <v>#REF!</v>
      </c>
      <c r="H1371" s="49">
        <v>0</v>
      </c>
      <c r="I1371" s="49" t="e">
        <v>#REF!</v>
      </c>
      <c r="J1371" s="50"/>
    </row>
    <row r="1372" outlineLevel="1" spans="1:10">
      <c r="A1372" s="50">
        <v>424</v>
      </c>
      <c r="B1372" s="51" t="str">
        <v>防火桥架-450*200</v>
      </c>
      <c r="C1372" s="51" t="e">
        <v>#REF!</v>
      </c>
      <c r="D1372" s="51" t="str">
        <v/>
      </c>
      <c r="E1372" s="51" t="str">
        <v/>
      </c>
      <c r="F1372" s="52" t="e">
        <v>#REF!</v>
      </c>
      <c r="G1372" s="48" t="e">
        <v>#REF!</v>
      </c>
      <c r="H1372" s="49">
        <v>0</v>
      </c>
      <c r="I1372" s="49" t="e">
        <v>#REF!</v>
      </c>
      <c r="J1372" s="50"/>
    </row>
    <row r="1373" outlineLevel="1" spans="1:10">
      <c r="A1373" s="50">
        <v>425</v>
      </c>
      <c r="B1373" s="51" t="str">
        <v>防火桥架-400*200</v>
      </c>
      <c r="C1373" s="51" t="e">
        <v>#REF!</v>
      </c>
      <c r="D1373" s="51" t="str">
        <v/>
      </c>
      <c r="E1373" s="51" t="str">
        <v/>
      </c>
      <c r="F1373" s="52" t="e">
        <v>#REF!</v>
      </c>
      <c r="G1373" s="48" t="e">
        <v>#REF!</v>
      </c>
      <c r="H1373" s="49">
        <v>0</v>
      </c>
      <c r="I1373" s="49" t="e">
        <v>#REF!</v>
      </c>
      <c r="J1373" s="50"/>
    </row>
    <row r="1374" outlineLevel="1" spans="1:10">
      <c r="A1374" s="50">
        <v>426</v>
      </c>
      <c r="B1374" s="51" t="str">
        <v>防火桥架-350*200</v>
      </c>
      <c r="C1374" s="51" t="e">
        <v>#REF!</v>
      </c>
      <c r="D1374" s="51" t="str">
        <v/>
      </c>
      <c r="E1374" s="51" t="str">
        <v/>
      </c>
      <c r="F1374" s="52" t="e">
        <v>#REF!</v>
      </c>
      <c r="G1374" s="48" t="e">
        <v>#REF!</v>
      </c>
      <c r="H1374" s="49">
        <v>0</v>
      </c>
      <c r="I1374" s="49" t="e">
        <v>#REF!</v>
      </c>
      <c r="J1374" s="50"/>
    </row>
    <row r="1375" outlineLevel="1" spans="1:10">
      <c r="A1375" s="50">
        <v>427</v>
      </c>
      <c r="B1375" s="51" t="str">
        <v>防火桥架-300*200</v>
      </c>
      <c r="C1375" s="51" t="e">
        <v>#REF!</v>
      </c>
      <c r="D1375" s="51" t="str">
        <v/>
      </c>
      <c r="E1375" s="51" t="str">
        <v/>
      </c>
      <c r="F1375" s="52" t="e">
        <v>#REF!</v>
      </c>
      <c r="G1375" s="48" t="e">
        <v>#REF!</v>
      </c>
      <c r="H1375" s="49">
        <v>0</v>
      </c>
      <c r="I1375" s="49" t="e">
        <v>#REF!</v>
      </c>
      <c r="J1375" s="50"/>
    </row>
    <row r="1376" outlineLevel="1" spans="1:10">
      <c r="A1376" s="50">
        <v>428</v>
      </c>
      <c r="B1376" s="51" t="str">
        <v>防火桥架-300*150</v>
      </c>
      <c r="C1376" s="51" t="e">
        <v>#REF!</v>
      </c>
      <c r="D1376" s="51" t="str">
        <v/>
      </c>
      <c r="E1376" s="51" t="str">
        <v/>
      </c>
      <c r="F1376" s="52" t="e">
        <v>#REF!</v>
      </c>
      <c r="G1376" s="48" t="e">
        <v>#REF!</v>
      </c>
      <c r="H1376" s="49">
        <v>11.202</v>
      </c>
      <c r="I1376" s="49" t="e">
        <v>#REF!</v>
      </c>
      <c r="J1376" s="50"/>
    </row>
    <row r="1377" outlineLevel="1" spans="1:10">
      <c r="A1377" s="50">
        <v>429</v>
      </c>
      <c r="B1377" s="51" t="str">
        <v>防火桥架-300*100</v>
      </c>
      <c r="C1377" s="51" t="e">
        <v>#REF!</v>
      </c>
      <c r="D1377" s="51" t="str">
        <v/>
      </c>
      <c r="E1377" s="51" t="str">
        <v/>
      </c>
      <c r="F1377" s="52" t="e">
        <v>#REF!</v>
      </c>
      <c r="G1377" s="48" t="e">
        <v>#REF!</v>
      </c>
      <c r="H1377" s="49">
        <v>11.772</v>
      </c>
      <c r="I1377" s="49" t="e">
        <v>#REF!</v>
      </c>
      <c r="J1377" s="50"/>
    </row>
    <row r="1378" outlineLevel="1" spans="1:10">
      <c r="A1378" s="50">
        <v>430</v>
      </c>
      <c r="B1378" s="51" t="str">
        <v>防火桥架-250*200</v>
      </c>
      <c r="C1378" s="51" t="e">
        <v>#REF!</v>
      </c>
      <c r="D1378" s="51" t="str">
        <v/>
      </c>
      <c r="E1378" s="51" t="str">
        <v/>
      </c>
      <c r="F1378" s="52" t="e">
        <v>#REF!</v>
      </c>
      <c r="G1378" s="48" t="e">
        <v>#REF!</v>
      </c>
      <c r="H1378" s="49">
        <v>0</v>
      </c>
      <c r="I1378" s="49" t="e">
        <v>#REF!</v>
      </c>
      <c r="J1378" s="50"/>
    </row>
    <row r="1379" outlineLevel="1" spans="1:10">
      <c r="A1379" s="50">
        <v>431</v>
      </c>
      <c r="B1379" s="51" t="str">
        <v>防火桥架-200*150</v>
      </c>
      <c r="C1379" s="51" t="e">
        <v>#REF!</v>
      </c>
      <c r="D1379" s="51" t="str">
        <v/>
      </c>
      <c r="E1379" s="51" t="str">
        <v/>
      </c>
      <c r="F1379" s="52" t="e">
        <v>#REF!</v>
      </c>
      <c r="G1379" s="48" t="e">
        <v>#REF!</v>
      </c>
      <c r="H1379" s="49">
        <v>15.2</v>
      </c>
      <c r="I1379" s="49" t="e">
        <v>#REF!</v>
      </c>
      <c r="J1379" s="50"/>
    </row>
    <row r="1380" outlineLevel="1" spans="1:10">
      <c r="A1380" s="50">
        <v>432</v>
      </c>
      <c r="B1380" s="51" t="str">
        <v>防火桥架-250*100</v>
      </c>
      <c r="C1380" s="51" t="e">
        <v>#REF!</v>
      </c>
      <c r="D1380" s="51" t="str">
        <v/>
      </c>
      <c r="E1380" s="51" t="str">
        <v/>
      </c>
      <c r="F1380" s="52" t="e">
        <v>#REF!</v>
      </c>
      <c r="G1380" s="48" t="e">
        <v>#REF!</v>
      </c>
      <c r="H1380" s="49">
        <v>0</v>
      </c>
      <c r="I1380" s="49" t="e">
        <v>#REF!</v>
      </c>
      <c r="J1380" s="50"/>
    </row>
    <row r="1381" outlineLevel="1" spans="1:10">
      <c r="A1381" s="50">
        <v>433</v>
      </c>
      <c r="B1381" s="51" t="str">
        <v>防火桥架-200*200</v>
      </c>
      <c r="C1381" s="51" t="e">
        <v>#REF!</v>
      </c>
      <c r="D1381" s="51" t="str">
        <v/>
      </c>
      <c r="E1381" s="51" t="str">
        <v/>
      </c>
      <c r="F1381" s="52" t="e">
        <v>#REF!</v>
      </c>
      <c r="G1381" s="48" t="e">
        <v>#REF!</v>
      </c>
      <c r="H1381" s="49">
        <v>0</v>
      </c>
      <c r="I1381" s="49" t="e">
        <v>#REF!</v>
      </c>
      <c r="J1381" s="50"/>
    </row>
    <row r="1382" outlineLevel="1" spans="1:10">
      <c r="A1382" s="50">
        <v>434</v>
      </c>
      <c r="B1382" s="51" t="str">
        <v>防火桥架-200*100</v>
      </c>
      <c r="C1382" s="51" t="e">
        <v>#REF!</v>
      </c>
      <c r="D1382" s="51" t="str">
        <v/>
      </c>
      <c r="E1382" s="51" t="str">
        <v/>
      </c>
      <c r="F1382" s="52" t="e">
        <v>#REF!</v>
      </c>
      <c r="G1382" s="48" t="e">
        <v>#REF!</v>
      </c>
      <c r="H1382" s="49">
        <v>0</v>
      </c>
      <c r="I1382" s="49" t="e">
        <v>#REF!</v>
      </c>
      <c r="J1382" s="50"/>
    </row>
    <row r="1383" outlineLevel="1" spans="1:10">
      <c r="A1383" s="50">
        <v>435</v>
      </c>
      <c r="B1383" s="51" t="str">
        <v>防火桥架-150*100</v>
      </c>
      <c r="C1383" s="51" t="e">
        <v>#REF!</v>
      </c>
      <c r="D1383" s="51" t="str">
        <v/>
      </c>
      <c r="E1383" s="51" t="str">
        <v/>
      </c>
      <c r="F1383" s="52" t="e">
        <v>#REF!</v>
      </c>
      <c r="G1383" s="48" t="e">
        <v>#REF!</v>
      </c>
      <c r="H1383" s="49">
        <v>11.074</v>
      </c>
      <c r="I1383" s="49" t="e">
        <v>#REF!</v>
      </c>
      <c r="J1383" s="50"/>
    </row>
    <row r="1384" outlineLevel="1" spans="1:10">
      <c r="A1384" s="50">
        <v>436</v>
      </c>
      <c r="B1384" s="51" t="str">
        <v>防火桥架-100*100</v>
      </c>
      <c r="C1384" s="51" t="e">
        <v>#REF!</v>
      </c>
      <c r="D1384" s="51" t="str">
        <v/>
      </c>
      <c r="E1384" s="51" t="str">
        <v/>
      </c>
      <c r="F1384" s="52" t="e">
        <v>#REF!</v>
      </c>
      <c r="G1384" s="48" t="e">
        <v>#REF!</v>
      </c>
      <c r="H1384" s="49">
        <v>0.85</v>
      </c>
      <c r="I1384" s="49" t="e">
        <v>#REF!</v>
      </c>
      <c r="J1384" s="50"/>
    </row>
    <row r="1385" outlineLevel="1" spans="1:10">
      <c r="A1385" s="50">
        <v>437</v>
      </c>
      <c r="B1385" s="51" t="str">
        <v>金属桥架-800*150</v>
      </c>
      <c r="C1385" s="51" t="e">
        <v>#REF!</v>
      </c>
      <c r="D1385" s="51" t="str">
        <v/>
      </c>
      <c r="E1385" s="51" t="str">
        <v/>
      </c>
      <c r="F1385" s="52" t="e">
        <v>#REF!</v>
      </c>
      <c r="G1385" s="48" t="e">
        <v>#REF!</v>
      </c>
      <c r="H1385" s="49">
        <v>0</v>
      </c>
      <c r="I1385" s="49" t="e">
        <v>#REF!</v>
      </c>
      <c r="J1385" s="50"/>
    </row>
    <row r="1386" outlineLevel="1" spans="1:10">
      <c r="A1386" s="50">
        <v>438</v>
      </c>
      <c r="B1386" s="51" t="str">
        <v>金属桥架-600*200</v>
      </c>
      <c r="C1386" s="51" t="e">
        <v>#REF!</v>
      </c>
      <c r="D1386" s="51" t="str">
        <v/>
      </c>
      <c r="E1386" s="51" t="str">
        <v/>
      </c>
      <c r="F1386" s="52" t="e">
        <v>#REF!</v>
      </c>
      <c r="G1386" s="48" t="e">
        <v>#REF!</v>
      </c>
      <c r="H1386" s="49">
        <v>0</v>
      </c>
      <c r="I1386" s="49" t="e">
        <v>#REF!</v>
      </c>
      <c r="J1386" s="50"/>
    </row>
    <row r="1387" outlineLevel="1" spans="1:10">
      <c r="A1387" s="50">
        <v>439</v>
      </c>
      <c r="B1387" s="51" t="str">
        <v>金属桥架-600*150</v>
      </c>
      <c r="C1387" s="51" t="e">
        <v>#REF!</v>
      </c>
      <c r="D1387" s="51" t="str">
        <v/>
      </c>
      <c r="E1387" s="51" t="str">
        <v/>
      </c>
      <c r="F1387" s="52" t="e">
        <v>#REF!</v>
      </c>
      <c r="G1387" s="48" t="e">
        <v>#REF!</v>
      </c>
      <c r="H1387" s="49">
        <v>0</v>
      </c>
      <c r="I1387" s="49" t="e">
        <v>#REF!</v>
      </c>
      <c r="J1387" s="50"/>
    </row>
    <row r="1388" outlineLevel="1" spans="1:10">
      <c r="A1388" s="50">
        <v>440</v>
      </c>
      <c r="B1388" s="51" t="str">
        <v>金属桥架-500*150</v>
      </c>
      <c r="C1388" s="51" t="e">
        <v>#REF!</v>
      </c>
      <c r="D1388" s="51" t="str">
        <v/>
      </c>
      <c r="E1388" s="51" t="str">
        <v/>
      </c>
      <c r="F1388" s="52" t="e">
        <v>#REF!</v>
      </c>
      <c r="G1388" s="48" t="e">
        <v>#REF!</v>
      </c>
      <c r="H1388" s="49">
        <v>0</v>
      </c>
      <c r="I1388" s="49" t="e">
        <v>#REF!</v>
      </c>
      <c r="J1388" s="50"/>
    </row>
    <row r="1389" outlineLevel="1" spans="1:10">
      <c r="A1389" s="50">
        <v>441</v>
      </c>
      <c r="B1389" s="51" t="str">
        <v>金属桥架-400*150</v>
      </c>
      <c r="C1389" s="51" t="e">
        <v>#REF!</v>
      </c>
      <c r="D1389" s="51" t="str">
        <v/>
      </c>
      <c r="E1389" s="51" t="str">
        <v/>
      </c>
      <c r="F1389" s="52" t="e">
        <v>#REF!</v>
      </c>
      <c r="G1389" s="48" t="e">
        <v>#REF!</v>
      </c>
      <c r="H1389" s="49">
        <v>0</v>
      </c>
      <c r="I1389" s="49" t="e">
        <v>#REF!</v>
      </c>
      <c r="J1389" s="50"/>
    </row>
    <row r="1390" outlineLevel="1" spans="1:10">
      <c r="A1390" s="50">
        <v>442</v>
      </c>
      <c r="B1390" s="51" t="str">
        <v>金属桥架-400*100</v>
      </c>
      <c r="C1390" s="51" t="e">
        <v>#REF!</v>
      </c>
      <c r="D1390" s="51" t="str">
        <v/>
      </c>
      <c r="E1390" s="51" t="str">
        <v/>
      </c>
      <c r="F1390" s="52" t="e">
        <v>#REF!</v>
      </c>
      <c r="G1390" s="48" t="e">
        <v>#REF!</v>
      </c>
      <c r="H1390" s="49">
        <v>0</v>
      </c>
      <c r="I1390" s="49" t="e">
        <v>#REF!</v>
      </c>
      <c r="J1390" s="50"/>
    </row>
    <row r="1391" outlineLevel="1" spans="1:10">
      <c r="A1391" s="50">
        <v>443</v>
      </c>
      <c r="B1391" s="51" t="str">
        <v>金属桥架-350*200</v>
      </c>
      <c r="C1391" s="51" t="e">
        <v>#REF!</v>
      </c>
      <c r="D1391" s="51" t="str">
        <v/>
      </c>
      <c r="E1391" s="51" t="str">
        <v/>
      </c>
      <c r="F1391" s="52" t="e">
        <v>#REF!</v>
      </c>
      <c r="G1391" s="48" t="e">
        <v>#REF!</v>
      </c>
      <c r="H1391" s="49">
        <v>0</v>
      </c>
      <c r="I1391" s="49" t="e">
        <v>#REF!</v>
      </c>
      <c r="J1391" s="50"/>
    </row>
    <row r="1392" outlineLevel="1" spans="1:10">
      <c r="A1392" s="50">
        <v>444</v>
      </c>
      <c r="B1392" s="51" t="str">
        <v>金属桥架-300*200</v>
      </c>
      <c r="C1392" s="51" t="e">
        <v>#REF!</v>
      </c>
      <c r="D1392" s="51" t="str">
        <v/>
      </c>
      <c r="E1392" s="51" t="str">
        <v/>
      </c>
      <c r="F1392" s="52" t="e">
        <v>#REF!</v>
      </c>
      <c r="G1392" s="48" t="e">
        <v>#REF!</v>
      </c>
      <c r="H1392" s="49">
        <v>0</v>
      </c>
      <c r="I1392" s="49" t="e">
        <v>#REF!</v>
      </c>
      <c r="J1392" s="50"/>
    </row>
    <row r="1393" outlineLevel="1" spans="1:10">
      <c r="A1393" s="50">
        <v>445</v>
      </c>
      <c r="B1393" s="51" t="str">
        <v>金属桥架-300*100</v>
      </c>
      <c r="C1393" s="51" t="e">
        <v>#REF!</v>
      </c>
      <c r="D1393" s="51" t="str">
        <v/>
      </c>
      <c r="E1393" s="51" t="str">
        <v/>
      </c>
      <c r="F1393" s="52" t="e">
        <v>#REF!</v>
      </c>
      <c r="G1393" s="48" t="e">
        <v>#REF!</v>
      </c>
      <c r="H1393" s="49">
        <v>0</v>
      </c>
      <c r="I1393" s="49" t="e">
        <v>#REF!</v>
      </c>
      <c r="J1393" s="50"/>
    </row>
    <row r="1394" outlineLevel="1" spans="1:10">
      <c r="A1394" s="50">
        <v>446</v>
      </c>
      <c r="B1394" s="51" t="str">
        <v>金属桥架-200*100</v>
      </c>
      <c r="C1394" s="51" t="e">
        <v>#REF!</v>
      </c>
      <c r="D1394" s="51" t="str">
        <v/>
      </c>
      <c r="E1394" s="51" t="str">
        <v/>
      </c>
      <c r="F1394" s="52" t="e">
        <v>#REF!</v>
      </c>
      <c r="G1394" s="48" t="e">
        <v>#REF!</v>
      </c>
      <c r="H1394" s="49">
        <v>0</v>
      </c>
      <c r="I1394" s="49" t="e">
        <v>#REF!</v>
      </c>
      <c r="J1394" s="50"/>
    </row>
    <row r="1395" outlineLevel="1" spans="1:10">
      <c r="A1395" s="50">
        <v>447</v>
      </c>
      <c r="B1395" s="51" t="str">
        <v>金属桥架-150*100</v>
      </c>
      <c r="C1395" s="51" t="e">
        <v>#REF!</v>
      </c>
      <c r="D1395" s="51" t="str">
        <v/>
      </c>
      <c r="E1395" s="51" t="str">
        <v/>
      </c>
      <c r="F1395" s="52" t="e">
        <v>#REF!</v>
      </c>
      <c r="G1395" s="48" t="e">
        <v>#REF!</v>
      </c>
      <c r="H1395" s="49">
        <v>0</v>
      </c>
      <c r="I1395" s="49" t="e">
        <v>#REF!</v>
      </c>
      <c r="J1395" s="50"/>
    </row>
    <row r="1396" outlineLevel="1" spans="1:10">
      <c r="A1396" s="50">
        <v>448</v>
      </c>
      <c r="B1396" s="51" t="str">
        <v>金属桥架-100*100</v>
      </c>
      <c r="C1396" s="51" t="e">
        <v>#REF!</v>
      </c>
      <c r="D1396" s="51" t="str">
        <v/>
      </c>
      <c r="E1396" s="51" t="str">
        <v/>
      </c>
      <c r="F1396" s="52" t="e">
        <v>#REF!</v>
      </c>
      <c r="G1396" s="48" t="e">
        <v>#REF!</v>
      </c>
      <c r="H1396" s="49">
        <v>0</v>
      </c>
      <c r="I1396" s="49" t="e">
        <v>#REF!</v>
      </c>
      <c r="J1396" s="50"/>
    </row>
    <row r="1397" outlineLevel="1" spans="1:10">
      <c r="A1397" s="50">
        <v>449</v>
      </c>
      <c r="B1397" s="51" t="str">
        <v>电业桥架-750*200</v>
      </c>
      <c r="C1397" s="51" t="e">
        <v>#REF!</v>
      </c>
      <c r="D1397" s="51" t="str">
        <v/>
      </c>
      <c r="E1397" s="51" t="str">
        <v/>
      </c>
      <c r="F1397" s="52" t="e">
        <v>#REF!</v>
      </c>
      <c r="G1397" s="48" t="e">
        <v>#REF!</v>
      </c>
      <c r="H1397" s="49">
        <v>0</v>
      </c>
      <c r="I1397" s="49" t="e">
        <v>#REF!</v>
      </c>
      <c r="J1397" s="50"/>
    </row>
    <row r="1398" outlineLevel="1" spans="1:10">
      <c r="A1398" s="50">
        <v>450</v>
      </c>
      <c r="B1398" s="51" t="str">
        <v>电业桥架-500*200</v>
      </c>
      <c r="C1398" s="51" t="e">
        <v>#REF!</v>
      </c>
      <c r="D1398" s="51" t="str">
        <v/>
      </c>
      <c r="E1398" s="51" t="str">
        <v/>
      </c>
      <c r="F1398" s="52" t="e">
        <v>#REF!</v>
      </c>
      <c r="G1398" s="48" t="e">
        <v>#REF!</v>
      </c>
      <c r="H1398" s="49">
        <v>0</v>
      </c>
      <c r="I1398" s="49" t="e">
        <v>#REF!</v>
      </c>
      <c r="J1398" s="50"/>
    </row>
    <row r="1399" outlineLevel="1" spans="1:10">
      <c r="A1399" s="50">
        <v>451</v>
      </c>
      <c r="B1399" s="51" t="str">
        <v>电业桥架-450*200</v>
      </c>
      <c r="C1399" s="51" t="e">
        <v>#REF!</v>
      </c>
      <c r="D1399" s="51" t="str">
        <v/>
      </c>
      <c r="E1399" s="51" t="str">
        <v/>
      </c>
      <c r="F1399" s="52" t="e">
        <v>#REF!</v>
      </c>
      <c r="G1399" s="48" t="e">
        <v>#REF!</v>
      </c>
      <c r="H1399" s="49">
        <v>0</v>
      </c>
      <c r="I1399" s="49" t="e">
        <v>#REF!</v>
      </c>
      <c r="J1399" s="50"/>
    </row>
    <row r="1400" outlineLevel="1" spans="1:10">
      <c r="A1400" s="50">
        <v>452</v>
      </c>
      <c r="B1400" s="51" t="str">
        <v>电业桥架-400*200</v>
      </c>
      <c r="C1400" s="51" t="e">
        <v>#REF!</v>
      </c>
      <c r="D1400" s="51" t="str">
        <v/>
      </c>
      <c r="E1400" s="51" t="str">
        <v/>
      </c>
      <c r="F1400" s="52" t="e">
        <v>#REF!</v>
      </c>
      <c r="G1400" s="48" t="e">
        <v>#REF!</v>
      </c>
      <c r="H1400" s="49">
        <v>0</v>
      </c>
      <c r="I1400" s="49" t="e">
        <v>#REF!</v>
      </c>
      <c r="J1400" s="50"/>
    </row>
    <row r="1401" outlineLevel="1" spans="1:10">
      <c r="A1401" s="50">
        <v>453</v>
      </c>
      <c r="B1401" s="51" t="str">
        <v>电业桥架-350*200</v>
      </c>
      <c r="C1401" s="51" t="e">
        <v>#REF!</v>
      </c>
      <c r="D1401" s="51" t="str">
        <v/>
      </c>
      <c r="E1401" s="51" t="str">
        <v/>
      </c>
      <c r="F1401" s="52" t="e">
        <v>#REF!</v>
      </c>
      <c r="G1401" s="48" t="e">
        <v>#REF!</v>
      </c>
      <c r="H1401" s="49">
        <v>0</v>
      </c>
      <c r="I1401" s="49" t="e">
        <v>#REF!</v>
      </c>
      <c r="J1401" s="50"/>
    </row>
    <row r="1402" outlineLevel="1" spans="1:10">
      <c r="A1402" s="50">
        <v>454</v>
      </c>
      <c r="B1402" s="51" t="str">
        <v>电业桥架-300*200</v>
      </c>
      <c r="C1402" s="51" t="e">
        <v>#REF!</v>
      </c>
      <c r="D1402" s="51" t="str">
        <v/>
      </c>
      <c r="E1402" s="51" t="str">
        <v/>
      </c>
      <c r="F1402" s="52" t="e">
        <v>#REF!</v>
      </c>
      <c r="G1402" s="48" t="e">
        <v>#REF!</v>
      </c>
      <c r="H1402" s="49">
        <v>0</v>
      </c>
      <c r="I1402" s="49" t="e">
        <v>#REF!</v>
      </c>
      <c r="J1402" s="50"/>
    </row>
    <row r="1403" outlineLevel="1" spans="1:10">
      <c r="A1403" s="50">
        <v>455</v>
      </c>
      <c r="B1403" s="51" t="str">
        <v>电业桥架-200*200</v>
      </c>
      <c r="C1403" s="51" t="e">
        <v>#REF!</v>
      </c>
      <c r="D1403" s="51" t="str">
        <v/>
      </c>
      <c r="E1403" s="51" t="str">
        <v/>
      </c>
      <c r="F1403" s="52" t="e">
        <v>#REF!</v>
      </c>
      <c r="G1403" s="48" t="e">
        <v>#REF!</v>
      </c>
      <c r="H1403" s="49">
        <v>0</v>
      </c>
      <c r="I1403" s="49" t="e">
        <v>#REF!</v>
      </c>
      <c r="J1403" s="50"/>
    </row>
    <row r="1404" outlineLevel="1" spans="1:10">
      <c r="A1404" s="50">
        <v>456</v>
      </c>
      <c r="B1404" s="51" t="str">
        <v>电业桥架-200*150</v>
      </c>
      <c r="C1404" s="51" t="e">
        <v>#REF!</v>
      </c>
      <c r="D1404" s="51" t="str">
        <v/>
      </c>
      <c r="E1404" s="51" t="str">
        <v/>
      </c>
      <c r="F1404" s="52" t="e">
        <v>#REF!</v>
      </c>
      <c r="G1404" s="48" t="e">
        <v>#REF!</v>
      </c>
      <c r="H1404" s="49">
        <v>0</v>
      </c>
      <c r="I1404" s="49" t="e">
        <v>#REF!</v>
      </c>
      <c r="J1404" s="50"/>
    </row>
    <row r="1405" outlineLevel="1" spans="1:10">
      <c r="A1405" s="50">
        <v>457</v>
      </c>
      <c r="B1405" s="51" t="str">
        <v>电业桥架-150*100</v>
      </c>
      <c r="C1405" s="51" t="e">
        <v>#REF!</v>
      </c>
      <c r="D1405" s="51" t="str">
        <v/>
      </c>
      <c r="E1405" s="51" t="str">
        <v/>
      </c>
      <c r="F1405" s="52" t="e">
        <v>#REF!</v>
      </c>
      <c r="G1405" s="48" t="e">
        <v>#REF!</v>
      </c>
      <c r="H1405" s="49">
        <v>0</v>
      </c>
      <c r="I1405" s="49" t="e">
        <v>#REF!</v>
      </c>
      <c r="J1405" s="50"/>
    </row>
    <row r="1406" outlineLevel="1" spans="1:10">
      <c r="A1406" s="50">
        <v>458</v>
      </c>
      <c r="B1406" s="51" t="str">
        <v>防火堵洞</v>
      </c>
      <c r="C1406" s="51" t="e">
        <v>#REF!</v>
      </c>
      <c r="D1406" s="51" t="str">
        <v/>
      </c>
      <c r="E1406" s="51" t="str">
        <v/>
      </c>
      <c r="F1406" s="52" t="e">
        <v>#REF!</v>
      </c>
      <c r="G1406" s="48" t="e">
        <v>#REF!</v>
      </c>
      <c r="H1406" s="49">
        <v>12</v>
      </c>
      <c r="I1406" s="49" t="e">
        <v>#REF!</v>
      </c>
      <c r="J1406" s="50"/>
    </row>
    <row r="1407" outlineLevel="1" spans="1:10">
      <c r="A1407" s="50" t="str">
        <v/>
      </c>
      <c r="B1407" s="51" t="str">
        <v>B.18.3配管配线</v>
      </c>
      <c r="C1407" s="51" t="str">
        <v/>
      </c>
      <c r="D1407" s="51" t="str">
        <v/>
      </c>
      <c r="E1407" s="51" t="str">
        <v/>
      </c>
      <c r="F1407" s="52" t="str">
        <v/>
      </c>
      <c r="G1407" s="48" t="str">
        <v/>
      </c>
      <c r="H1407" s="49">
        <v>0</v>
      </c>
      <c r="I1407" s="49" t="e">
        <v>#REF!</v>
      </c>
      <c r="J1407" s="50"/>
    </row>
    <row r="1408" ht="28.8" outlineLevel="1" spans="1:10">
      <c r="A1408" s="50">
        <v>459</v>
      </c>
      <c r="B1408" s="51" t="str">
        <v>阻燃塑料管配管-PC16-暗配</v>
      </c>
      <c r="C1408" s="51" t="e">
        <v>#REF!</v>
      </c>
      <c r="D1408" s="51" t="str">
        <v/>
      </c>
      <c r="E1408" s="51" t="str">
        <v/>
      </c>
      <c r="F1408" s="52" t="e">
        <v>#REF!</v>
      </c>
      <c r="G1408" s="48" t="e">
        <v>#REF!</v>
      </c>
      <c r="H1408" s="49">
        <v>0</v>
      </c>
      <c r="I1408" s="49" t="e">
        <v>#REF!</v>
      </c>
      <c r="J1408" s="50"/>
    </row>
    <row r="1409" ht="28.8" outlineLevel="1" spans="1:10">
      <c r="A1409" s="50">
        <v>460</v>
      </c>
      <c r="B1409" s="51" t="str">
        <v>阻燃塑料管配管-PC20-暗配</v>
      </c>
      <c r="C1409" s="51" t="e">
        <v>#REF!</v>
      </c>
      <c r="D1409" s="51" t="str">
        <v/>
      </c>
      <c r="E1409" s="51" t="str">
        <v/>
      </c>
      <c r="F1409" s="52" t="e">
        <v>#REF!</v>
      </c>
      <c r="G1409" s="48" t="e">
        <v>#REF!</v>
      </c>
      <c r="H1409" s="49">
        <v>22.335</v>
      </c>
      <c r="I1409" s="49" t="e">
        <v>#REF!</v>
      </c>
      <c r="J1409" s="50"/>
    </row>
    <row r="1410" ht="28.8" outlineLevel="1" spans="1:10">
      <c r="A1410" s="50">
        <v>461</v>
      </c>
      <c r="B1410" s="51" t="str">
        <v>阻燃塑料管配管-PC25-暗配</v>
      </c>
      <c r="C1410" s="51" t="e">
        <v>#REF!</v>
      </c>
      <c r="D1410" s="51" t="str">
        <v/>
      </c>
      <c r="E1410" s="51" t="str">
        <v/>
      </c>
      <c r="F1410" s="52" t="e">
        <v>#REF!</v>
      </c>
      <c r="G1410" s="48" t="e">
        <v>#REF!</v>
      </c>
      <c r="H1410" s="49">
        <v>7.63</v>
      </c>
      <c r="I1410" s="49" t="e">
        <v>#REF!</v>
      </c>
      <c r="J1410" s="50"/>
    </row>
    <row r="1411" ht="28.8" outlineLevel="1" spans="1:10">
      <c r="A1411" s="50">
        <v>462</v>
      </c>
      <c r="B1411" s="51" t="str">
        <v>阻燃塑料管配管-PC32-暗配</v>
      </c>
      <c r="C1411" s="51" t="e">
        <v>#REF!</v>
      </c>
      <c r="D1411" s="51" t="str">
        <v/>
      </c>
      <c r="E1411" s="51" t="str">
        <v/>
      </c>
      <c r="F1411" s="52" t="e">
        <v>#REF!</v>
      </c>
      <c r="G1411" s="48" t="e">
        <v>#REF!</v>
      </c>
      <c r="H1411" s="49">
        <v>0</v>
      </c>
      <c r="I1411" s="49" t="e">
        <v>#REF!</v>
      </c>
      <c r="J1411" s="50"/>
    </row>
    <row r="1412" ht="28.8" outlineLevel="1" spans="1:10">
      <c r="A1412" s="50">
        <v>463</v>
      </c>
      <c r="B1412" s="51" t="str">
        <v>阻燃塑料管配管-PC40-暗配</v>
      </c>
      <c r="C1412" s="51" t="e">
        <v>#REF!</v>
      </c>
      <c r="D1412" s="51" t="str">
        <v/>
      </c>
      <c r="E1412" s="51" t="str">
        <v/>
      </c>
      <c r="F1412" s="52" t="e">
        <v>#REF!</v>
      </c>
      <c r="G1412" s="48" t="e">
        <v>#REF!</v>
      </c>
      <c r="H1412" s="49">
        <v>0</v>
      </c>
      <c r="I1412" s="49" t="e">
        <v>#REF!</v>
      </c>
      <c r="J1412" s="50"/>
    </row>
    <row r="1413" ht="28.8" outlineLevel="1" spans="1:10">
      <c r="A1413" s="50">
        <v>464</v>
      </c>
      <c r="B1413" s="51" t="str">
        <v>阻燃塑料管配管-PC16-明配</v>
      </c>
      <c r="C1413" s="51" t="e">
        <v>#REF!</v>
      </c>
      <c r="D1413" s="51" t="str">
        <v/>
      </c>
      <c r="E1413" s="51" t="str">
        <v/>
      </c>
      <c r="F1413" s="52" t="e">
        <v>#REF!</v>
      </c>
      <c r="G1413" s="48" t="e">
        <v>#REF!</v>
      </c>
      <c r="H1413" s="49">
        <v>0</v>
      </c>
      <c r="I1413" s="49" t="e">
        <v>#REF!</v>
      </c>
      <c r="J1413" s="50"/>
    </row>
    <row r="1414" ht="28.8" outlineLevel="1" spans="1:10">
      <c r="A1414" s="50">
        <v>465</v>
      </c>
      <c r="B1414" s="51" t="str">
        <v>阻燃塑料管配管-PC20-明配</v>
      </c>
      <c r="C1414" s="51" t="e">
        <v>#REF!</v>
      </c>
      <c r="D1414" s="51" t="str">
        <v/>
      </c>
      <c r="E1414" s="51" t="str">
        <v/>
      </c>
      <c r="F1414" s="52" t="e">
        <v>#REF!</v>
      </c>
      <c r="G1414" s="48" t="e">
        <v>#REF!</v>
      </c>
      <c r="H1414" s="49">
        <v>0</v>
      </c>
      <c r="I1414" s="49" t="e">
        <v>#REF!</v>
      </c>
      <c r="J1414" s="50"/>
    </row>
    <row r="1415" ht="28.8" outlineLevel="1" spans="1:10">
      <c r="A1415" s="50">
        <v>466</v>
      </c>
      <c r="B1415" s="51" t="str">
        <v>阻燃塑料管配管-PC25-明配</v>
      </c>
      <c r="C1415" s="51" t="e">
        <v>#REF!</v>
      </c>
      <c r="D1415" s="51" t="str">
        <v/>
      </c>
      <c r="E1415" s="51" t="str">
        <v/>
      </c>
      <c r="F1415" s="52" t="e">
        <v>#REF!</v>
      </c>
      <c r="G1415" s="48" t="e">
        <v>#REF!</v>
      </c>
      <c r="H1415" s="49">
        <v>0</v>
      </c>
      <c r="I1415" s="49" t="e">
        <v>#REF!</v>
      </c>
      <c r="J1415" s="50"/>
    </row>
    <row r="1416" ht="28.8" outlineLevel="1" spans="1:10">
      <c r="A1416" s="50">
        <v>467</v>
      </c>
      <c r="B1416" s="51" t="str">
        <v>阻燃塑料管配管-PC32-明配</v>
      </c>
      <c r="C1416" s="51" t="e">
        <v>#REF!</v>
      </c>
      <c r="D1416" s="51" t="str">
        <v/>
      </c>
      <c r="E1416" s="51" t="str">
        <v/>
      </c>
      <c r="F1416" s="52" t="e">
        <v>#REF!</v>
      </c>
      <c r="G1416" s="48" t="e">
        <v>#REF!</v>
      </c>
      <c r="H1416" s="49">
        <v>0</v>
      </c>
      <c r="I1416" s="49" t="e">
        <v>#REF!</v>
      </c>
      <c r="J1416" s="50"/>
    </row>
    <row r="1417" ht="28.8" outlineLevel="1" spans="1:10">
      <c r="A1417" s="50">
        <v>468</v>
      </c>
      <c r="B1417" s="51" t="str">
        <v>阻燃塑料管配管-PC40-明配</v>
      </c>
      <c r="C1417" s="51" t="e">
        <v>#REF!</v>
      </c>
      <c r="D1417" s="51" t="str">
        <v/>
      </c>
      <c r="E1417" s="51" t="str">
        <v/>
      </c>
      <c r="F1417" s="52" t="e">
        <v>#REF!</v>
      </c>
      <c r="G1417" s="48" t="e">
        <v>#REF!</v>
      </c>
      <c r="H1417" s="49">
        <v>0</v>
      </c>
      <c r="I1417" s="49" t="e">
        <v>#REF!</v>
      </c>
      <c r="J1417" s="50"/>
    </row>
    <row r="1418" ht="28.8" outlineLevel="1" spans="1:10">
      <c r="A1418" s="50">
        <v>469</v>
      </c>
      <c r="B1418" s="51" t="str">
        <v>薄壁钢导管配管-JDG15-暗配</v>
      </c>
      <c r="C1418" s="51" t="e">
        <v>#REF!</v>
      </c>
      <c r="D1418" s="51" t="str">
        <v/>
      </c>
      <c r="E1418" s="51" t="str">
        <v/>
      </c>
      <c r="F1418" s="52" t="e">
        <v>#REF!</v>
      </c>
      <c r="G1418" s="48" t="e">
        <v>#REF!</v>
      </c>
      <c r="H1418" s="49">
        <v>0</v>
      </c>
      <c r="I1418" s="49" t="e">
        <v>#REF!</v>
      </c>
      <c r="J1418" s="50"/>
    </row>
    <row r="1419" ht="28.8" outlineLevel="1" spans="1:10">
      <c r="A1419" s="50">
        <v>470</v>
      </c>
      <c r="B1419" s="51" t="str">
        <v>薄壁钢导管配管-JDG20-暗配</v>
      </c>
      <c r="C1419" s="51" t="e">
        <v>#REF!</v>
      </c>
      <c r="D1419" s="51" t="str">
        <v/>
      </c>
      <c r="E1419" s="51" t="str">
        <v/>
      </c>
      <c r="F1419" s="52" t="e">
        <v>#REF!</v>
      </c>
      <c r="G1419" s="48" t="e">
        <v>#REF!</v>
      </c>
      <c r="H1419" s="49">
        <v>270</v>
      </c>
      <c r="I1419" s="49" t="e">
        <v>#REF!</v>
      </c>
      <c r="J1419" s="50"/>
    </row>
    <row r="1420" ht="28.8" outlineLevel="1" spans="1:10">
      <c r="A1420" s="50">
        <v>471</v>
      </c>
      <c r="B1420" s="51" t="str">
        <v>薄壁钢导管配管-JDG25-暗配</v>
      </c>
      <c r="C1420" s="51" t="e">
        <v>#REF!</v>
      </c>
      <c r="D1420" s="51" t="str">
        <v/>
      </c>
      <c r="E1420" s="51" t="str">
        <v/>
      </c>
      <c r="F1420" s="52" t="e">
        <v>#REF!</v>
      </c>
      <c r="G1420" s="48" t="e">
        <v>#REF!</v>
      </c>
      <c r="H1420" s="49">
        <v>0</v>
      </c>
      <c r="I1420" s="49" t="e">
        <v>#REF!</v>
      </c>
      <c r="J1420" s="50"/>
    </row>
    <row r="1421" ht="28.8" outlineLevel="1" spans="1:10">
      <c r="A1421" s="50">
        <v>472</v>
      </c>
      <c r="B1421" s="51" t="str">
        <v>薄壁钢导管配管-JDG32-暗配</v>
      </c>
      <c r="C1421" s="51" t="e">
        <v>#REF!</v>
      </c>
      <c r="D1421" s="51" t="str">
        <v/>
      </c>
      <c r="E1421" s="51" t="str">
        <v/>
      </c>
      <c r="F1421" s="52" t="e">
        <v>#REF!</v>
      </c>
      <c r="G1421" s="48" t="e">
        <v>#REF!</v>
      </c>
      <c r="H1421" s="49">
        <v>17.418</v>
      </c>
      <c r="I1421" s="49" t="e">
        <v>#REF!</v>
      </c>
      <c r="J1421" s="50"/>
    </row>
    <row r="1422" ht="28.8" outlineLevel="1" spans="1:10">
      <c r="A1422" s="50">
        <v>473</v>
      </c>
      <c r="B1422" s="51" t="str">
        <v>薄壁钢导管配管-JDG40-暗配</v>
      </c>
      <c r="C1422" s="51" t="e">
        <v>#REF!</v>
      </c>
      <c r="D1422" s="51" t="str">
        <v/>
      </c>
      <c r="E1422" s="51" t="str">
        <v/>
      </c>
      <c r="F1422" s="52" t="e">
        <v>#REF!</v>
      </c>
      <c r="G1422" s="48" t="e">
        <v>#REF!</v>
      </c>
      <c r="H1422" s="49">
        <v>0</v>
      </c>
      <c r="I1422" s="49" t="e">
        <v>#REF!</v>
      </c>
      <c r="J1422" s="50"/>
    </row>
    <row r="1423" outlineLevel="1" spans="1:10">
      <c r="A1423" s="50">
        <v>474</v>
      </c>
      <c r="B1423" s="51" t="str">
        <v>SC15-暗配</v>
      </c>
      <c r="C1423" s="51" t="e">
        <v>#REF!</v>
      </c>
      <c r="D1423" s="51" t="str">
        <v/>
      </c>
      <c r="E1423" s="51" t="str">
        <v/>
      </c>
      <c r="F1423" s="52" t="e">
        <v>#REF!</v>
      </c>
      <c r="G1423" s="48" t="e">
        <v>#REF!</v>
      </c>
      <c r="H1423" s="49">
        <v>0</v>
      </c>
      <c r="I1423" s="49" t="e">
        <v>#REF!</v>
      </c>
      <c r="J1423" s="50"/>
    </row>
    <row r="1424" outlineLevel="1" spans="1:10">
      <c r="A1424" s="50">
        <v>475</v>
      </c>
      <c r="B1424" s="51" t="str">
        <v>SC20-暗配</v>
      </c>
      <c r="C1424" s="51" t="e">
        <v>#REF!</v>
      </c>
      <c r="D1424" s="51" t="str">
        <v/>
      </c>
      <c r="E1424" s="51" t="str">
        <v/>
      </c>
      <c r="F1424" s="52" t="e">
        <v>#REF!</v>
      </c>
      <c r="G1424" s="48" t="e">
        <v>#REF!</v>
      </c>
      <c r="H1424" s="49">
        <v>11.181</v>
      </c>
      <c r="I1424" s="49" t="e">
        <v>#REF!</v>
      </c>
      <c r="J1424" s="50"/>
    </row>
    <row r="1425" outlineLevel="1" spans="1:10">
      <c r="A1425" s="50">
        <v>476</v>
      </c>
      <c r="B1425" s="51" t="str">
        <v>SC25-暗配</v>
      </c>
      <c r="C1425" s="51" t="e">
        <v>#REF!</v>
      </c>
      <c r="D1425" s="51" t="str">
        <v/>
      </c>
      <c r="E1425" s="51" t="str">
        <v/>
      </c>
      <c r="F1425" s="52" t="e">
        <v>#REF!</v>
      </c>
      <c r="G1425" s="48" t="e">
        <v>#REF!</v>
      </c>
      <c r="H1425" s="49">
        <v>0</v>
      </c>
      <c r="I1425" s="49" t="e">
        <v>#REF!</v>
      </c>
      <c r="J1425" s="50"/>
    </row>
    <row r="1426" outlineLevel="1" spans="1:10">
      <c r="A1426" s="50">
        <v>477</v>
      </c>
      <c r="B1426" s="51" t="str">
        <v>SC32-暗配</v>
      </c>
      <c r="C1426" s="51" t="e">
        <v>#REF!</v>
      </c>
      <c r="D1426" s="51" t="str">
        <v/>
      </c>
      <c r="E1426" s="51" t="str">
        <v/>
      </c>
      <c r="F1426" s="52" t="e">
        <v>#REF!</v>
      </c>
      <c r="G1426" s="48" t="e">
        <v>#REF!</v>
      </c>
      <c r="H1426" s="49">
        <v>0</v>
      </c>
      <c r="I1426" s="49" t="e">
        <v>#REF!</v>
      </c>
      <c r="J1426" s="50"/>
    </row>
    <row r="1427" outlineLevel="1" spans="1:10">
      <c r="A1427" s="50">
        <v>478</v>
      </c>
      <c r="B1427" s="51" t="str">
        <v>SC40-暗配</v>
      </c>
      <c r="C1427" s="51" t="e">
        <v>#REF!</v>
      </c>
      <c r="D1427" s="51" t="str">
        <v/>
      </c>
      <c r="E1427" s="51" t="str">
        <v/>
      </c>
      <c r="F1427" s="52" t="e">
        <v>#REF!</v>
      </c>
      <c r="G1427" s="48" t="e">
        <v>#REF!</v>
      </c>
      <c r="H1427" s="49">
        <v>0</v>
      </c>
      <c r="I1427" s="49" t="e">
        <v>#REF!</v>
      </c>
      <c r="J1427" s="50"/>
    </row>
    <row r="1428" outlineLevel="1" spans="1:10">
      <c r="A1428" s="50">
        <v>479</v>
      </c>
      <c r="B1428" s="51" t="str">
        <v>SC50-暗配</v>
      </c>
      <c r="C1428" s="51" t="e">
        <v>#REF!</v>
      </c>
      <c r="D1428" s="51" t="str">
        <v/>
      </c>
      <c r="E1428" s="51" t="str">
        <v/>
      </c>
      <c r="F1428" s="52" t="e">
        <v>#REF!</v>
      </c>
      <c r="G1428" s="48" t="e">
        <v>#REF!</v>
      </c>
      <c r="H1428" s="49">
        <v>0</v>
      </c>
      <c r="I1428" s="49" t="e">
        <v>#REF!</v>
      </c>
      <c r="J1428" s="50"/>
    </row>
    <row r="1429" outlineLevel="1" spans="1:10">
      <c r="A1429" s="50">
        <v>480</v>
      </c>
      <c r="B1429" s="51" t="str">
        <v>SC70-暗配</v>
      </c>
      <c r="C1429" s="51" t="e">
        <v>#REF!</v>
      </c>
      <c r="D1429" s="51" t="str">
        <v/>
      </c>
      <c r="E1429" s="51" t="str">
        <v/>
      </c>
      <c r="F1429" s="52" t="e">
        <v>#REF!</v>
      </c>
      <c r="G1429" s="48" t="e">
        <v>#REF!</v>
      </c>
      <c r="H1429" s="49">
        <v>0</v>
      </c>
      <c r="I1429" s="49" t="e">
        <v>#REF!</v>
      </c>
      <c r="J1429" s="50"/>
    </row>
    <row r="1430" outlineLevel="1" spans="1:10">
      <c r="A1430" s="50">
        <v>481</v>
      </c>
      <c r="B1430" s="51" t="str">
        <v>SC100-暗配</v>
      </c>
      <c r="C1430" s="51" t="e">
        <v>#REF!</v>
      </c>
      <c r="D1430" s="51" t="str">
        <v/>
      </c>
      <c r="E1430" s="51" t="str">
        <v/>
      </c>
      <c r="F1430" s="52" t="e">
        <v>#REF!</v>
      </c>
      <c r="G1430" s="48" t="e">
        <v>#REF!</v>
      </c>
      <c r="H1430" s="49">
        <v>0</v>
      </c>
      <c r="I1430" s="49" t="e">
        <v>#REF!</v>
      </c>
      <c r="J1430" s="50"/>
    </row>
    <row r="1431" outlineLevel="1" spans="1:10">
      <c r="A1431" s="50">
        <v>482</v>
      </c>
      <c r="B1431" s="51" t="str">
        <v>SC150-暗配</v>
      </c>
      <c r="C1431" s="51" t="e">
        <v>#REF!</v>
      </c>
      <c r="D1431" s="51" t="str">
        <v/>
      </c>
      <c r="E1431" s="51" t="str">
        <v/>
      </c>
      <c r="F1431" s="52" t="e">
        <v>#REF!</v>
      </c>
      <c r="G1431" s="48" t="e">
        <v>#REF!</v>
      </c>
      <c r="H1431" s="49">
        <v>0</v>
      </c>
      <c r="I1431" s="49" t="e">
        <v>#REF!</v>
      </c>
      <c r="J1431" s="50"/>
    </row>
    <row r="1432" outlineLevel="1" spans="1:10">
      <c r="A1432" s="50">
        <v>483</v>
      </c>
      <c r="B1432" s="51" t="str">
        <v>SC32-明配</v>
      </c>
      <c r="C1432" s="51" t="e">
        <v>#REF!</v>
      </c>
      <c r="D1432" s="51" t="str">
        <v/>
      </c>
      <c r="E1432" s="51" t="str">
        <v/>
      </c>
      <c r="F1432" s="52" t="e">
        <v>#REF!</v>
      </c>
      <c r="G1432" s="48" t="e">
        <v>#REF!</v>
      </c>
      <c r="H1432" s="49">
        <v>0</v>
      </c>
      <c r="I1432" s="49" t="e">
        <v>#REF!</v>
      </c>
      <c r="J1432" s="50"/>
    </row>
    <row r="1433" outlineLevel="1" spans="1:10">
      <c r="A1433" s="50">
        <v>484</v>
      </c>
      <c r="B1433" s="51" t="str">
        <v>SC40-明配</v>
      </c>
      <c r="C1433" s="51" t="e">
        <v>#REF!</v>
      </c>
      <c r="D1433" s="51" t="str">
        <v/>
      </c>
      <c r="E1433" s="51" t="str">
        <v/>
      </c>
      <c r="F1433" s="52" t="e">
        <v>#REF!</v>
      </c>
      <c r="G1433" s="48" t="e">
        <v>#REF!</v>
      </c>
      <c r="H1433" s="49">
        <v>0</v>
      </c>
      <c r="I1433" s="49" t="e">
        <v>#REF!</v>
      </c>
      <c r="J1433" s="50"/>
    </row>
    <row r="1434" outlineLevel="1" spans="1:10">
      <c r="A1434" s="50">
        <v>485</v>
      </c>
      <c r="B1434" s="51" t="str">
        <v>SC50-明配</v>
      </c>
      <c r="C1434" s="51" t="e">
        <v>#REF!</v>
      </c>
      <c r="D1434" s="51" t="str">
        <v/>
      </c>
      <c r="E1434" s="51" t="str">
        <v/>
      </c>
      <c r="F1434" s="52" t="e">
        <v>#REF!</v>
      </c>
      <c r="G1434" s="48" t="e">
        <v>#REF!</v>
      </c>
      <c r="H1434" s="49">
        <v>0</v>
      </c>
      <c r="I1434" s="49" t="e">
        <v>#REF!</v>
      </c>
      <c r="J1434" s="50"/>
    </row>
    <row r="1435" outlineLevel="1" spans="1:10">
      <c r="A1435" s="50">
        <v>486</v>
      </c>
      <c r="B1435" s="51" t="str">
        <v>SC70-明配</v>
      </c>
      <c r="C1435" s="51" t="e">
        <v>#REF!</v>
      </c>
      <c r="D1435" s="51" t="str">
        <v/>
      </c>
      <c r="E1435" s="51" t="str">
        <v/>
      </c>
      <c r="F1435" s="52" t="e">
        <v>#REF!</v>
      </c>
      <c r="G1435" s="48" t="e">
        <v>#REF!</v>
      </c>
      <c r="H1435" s="49">
        <v>0</v>
      </c>
      <c r="I1435" s="49" t="e">
        <v>#REF!</v>
      </c>
      <c r="J1435" s="50"/>
    </row>
    <row r="1436" outlineLevel="1" spans="1:10">
      <c r="A1436" s="50">
        <v>487</v>
      </c>
      <c r="B1436" s="51" t="str">
        <v>RC15-暗配</v>
      </c>
      <c r="C1436" s="51" t="e">
        <v>#REF!</v>
      </c>
      <c r="D1436" s="51" t="str">
        <v/>
      </c>
      <c r="E1436" s="51" t="str">
        <v/>
      </c>
      <c r="F1436" s="52" t="e">
        <v>#REF!</v>
      </c>
      <c r="G1436" s="48" t="e">
        <v>#REF!</v>
      </c>
      <c r="H1436" s="49">
        <v>0</v>
      </c>
      <c r="I1436" s="49" t="e">
        <v>#REF!</v>
      </c>
      <c r="J1436" s="50"/>
    </row>
    <row r="1437" outlineLevel="1" spans="1:10">
      <c r="A1437" s="50">
        <v>488</v>
      </c>
      <c r="B1437" s="51" t="str">
        <v>RC20-暗配</v>
      </c>
      <c r="C1437" s="51" t="e">
        <v>#REF!</v>
      </c>
      <c r="D1437" s="51" t="str">
        <v/>
      </c>
      <c r="E1437" s="51" t="str">
        <v/>
      </c>
      <c r="F1437" s="52" t="e">
        <v>#REF!</v>
      </c>
      <c r="G1437" s="48" t="e">
        <v>#REF!</v>
      </c>
      <c r="H1437" s="49">
        <v>0</v>
      </c>
      <c r="I1437" s="49" t="e">
        <v>#REF!</v>
      </c>
      <c r="J1437" s="50"/>
    </row>
    <row r="1438" outlineLevel="1" spans="1:10">
      <c r="A1438" s="50">
        <v>489</v>
      </c>
      <c r="B1438" s="51" t="str">
        <v>RC25-暗配</v>
      </c>
      <c r="C1438" s="51" t="e">
        <v>#REF!</v>
      </c>
      <c r="D1438" s="51" t="str">
        <v/>
      </c>
      <c r="E1438" s="51" t="str">
        <v/>
      </c>
      <c r="F1438" s="52" t="e">
        <v>#REF!</v>
      </c>
      <c r="G1438" s="48" t="e">
        <v>#REF!</v>
      </c>
      <c r="H1438" s="49">
        <v>0</v>
      </c>
      <c r="I1438" s="49" t="e">
        <v>#REF!</v>
      </c>
      <c r="J1438" s="50"/>
    </row>
    <row r="1439" outlineLevel="1" spans="1:10">
      <c r="A1439" s="50">
        <v>490</v>
      </c>
      <c r="B1439" s="51" t="str">
        <v>RC32-暗配</v>
      </c>
      <c r="C1439" s="51" t="e">
        <v>#REF!</v>
      </c>
      <c r="D1439" s="51" t="str">
        <v/>
      </c>
      <c r="E1439" s="51" t="str">
        <v/>
      </c>
      <c r="F1439" s="52" t="e">
        <v>#REF!</v>
      </c>
      <c r="G1439" s="48" t="e">
        <v>#REF!</v>
      </c>
      <c r="H1439" s="49">
        <v>0</v>
      </c>
      <c r="I1439" s="49">
        <v>0</v>
      </c>
      <c r="J1439" s="50"/>
    </row>
    <row r="1440" outlineLevel="1" spans="1:10">
      <c r="A1440" s="50">
        <v>491</v>
      </c>
      <c r="B1440" s="51" t="str">
        <v>RC40-暗配</v>
      </c>
      <c r="C1440" s="51" t="e">
        <v>#REF!</v>
      </c>
      <c r="D1440" s="51" t="str">
        <v/>
      </c>
      <c r="E1440" s="51" t="str">
        <v/>
      </c>
      <c r="F1440" s="52" t="e">
        <v>#REF!</v>
      </c>
      <c r="G1440" s="48" t="e">
        <v>#REF!</v>
      </c>
      <c r="H1440" s="49">
        <v>0</v>
      </c>
      <c r="I1440" s="49" t="e">
        <v>#REF!</v>
      </c>
      <c r="J1440" s="50"/>
    </row>
    <row r="1441" outlineLevel="1" spans="1:10">
      <c r="A1441" s="50">
        <v>492</v>
      </c>
      <c r="B1441" s="51" t="str">
        <v>RC50-暗配</v>
      </c>
      <c r="C1441" s="51" t="e">
        <v>#REF!</v>
      </c>
      <c r="D1441" s="51" t="str">
        <v/>
      </c>
      <c r="E1441" s="51" t="str">
        <v/>
      </c>
      <c r="F1441" s="52" t="e">
        <v>#REF!</v>
      </c>
      <c r="G1441" s="48" t="e">
        <v>#REF!</v>
      </c>
      <c r="H1441" s="49">
        <v>0</v>
      </c>
      <c r="I1441" s="49" t="e">
        <v>#REF!</v>
      </c>
      <c r="J1441" s="50"/>
    </row>
    <row r="1442" outlineLevel="1" spans="1:10">
      <c r="A1442" s="50">
        <v>493</v>
      </c>
      <c r="B1442" s="51" t="str">
        <v>RC15-明配</v>
      </c>
      <c r="C1442" s="51" t="e">
        <v>#REF!</v>
      </c>
      <c r="D1442" s="51" t="str">
        <v/>
      </c>
      <c r="E1442" s="51" t="str">
        <v/>
      </c>
      <c r="F1442" s="52" t="e">
        <v>#REF!</v>
      </c>
      <c r="G1442" s="48" t="e">
        <v>#REF!</v>
      </c>
      <c r="H1442" s="49">
        <v>0</v>
      </c>
      <c r="I1442" s="49" t="e">
        <v>#REF!</v>
      </c>
      <c r="J1442" s="50"/>
    </row>
    <row r="1443" outlineLevel="1" spans="1:10">
      <c r="A1443" s="50">
        <v>494</v>
      </c>
      <c r="B1443" s="51" t="str">
        <v>RC20-明配</v>
      </c>
      <c r="C1443" s="51" t="e">
        <v>#REF!</v>
      </c>
      <c r="D1443" s="51" t="str">
        <v/>
      </c>
      <c r="E1443" s="51" t="str">
        <v/>
      </c>
      <c r="F1443" s="52" t="e">
        <v>#REF!</v>
      </c>
      <c r="G1443" s="48" t="e">
        <v>#REF!</v>
      </c>
      <c r="H1443" s="49">
        <v>0</v>
      </c>
      <c r="I1443" s="49" t="e">
        <v>#REF!</v>
      </c>
      <c r="J1443" s="50"/>
    </row>
    <row r="1444" outlineLevel="1" spans="1:10">
      <c r="A1444" s="50">
        <v>495</v>
      </c>
      <c r="B1444" s="51" t="str">
        <v>RC25-明配</v>
      </c>
      <c r="C1444" s="51" t="e">
        <v>#REF!</v>
      </c>
      <c r="D1444" s="51" t="str">
        <v/>
      </c>
      <c r="E1444" s="51" t="str">
        <v/>
      </c>
      <c r="F1444" s="52" t="e">
        <v>#REF!</v>
      </c>
      <c r="G1444" s="48" t="e">
        <v>#REF!</v>
      </c>
      <c r="H1444" s="49">
        <v>0</v>
      </c>
      <c r="I1444" s="49" t="e">
        <v>#REF!</v>
      </c>
      <c r="J1444" s="50"/>
    </row>
    <row r="1445" outlineLevel="1" spans="1:10">
      <c r="A1445" s="50">
        <v>496</v>
      </c>
      <c r="B1445" s="51" t="str">
        <v>RC32-明配</v>
      </c>
      <c r="C1445" s="51" t="e">
        <v>#REF!</v>
      </c>
      <c r="D1445" s="51" t="str">
        <v/>
      </c>
      <c r="E1445" s="51" t="str">
        <v/>
      </c>
      <c r="F1445" s="52" t="e">
        <v>#REF!</v>
      </c>
      <c r="G1445" s="48" t="e">
        <v>#REF!</v>
      </c>
      <c r="H1445" s="49">
        <v>0</v>
      </c>
      <c r="I1445" s="49" t="e">
        <v>#REF!</v>
      </c>
      <c r="J1445" s="50"/>
    </row>
    <row r="1446" outlineLevel="1" spans="1:10">
      <c r="A1446" s="50">
        <v>497</v>
      </c>
      <c r="B1446" s="51" t="str">
        <v>RC40-明配</v>
      </c>
      <c r="C1446" s="51" t="e">
        <v>#REF!</v>
      </c>
      <c r="D1446" s="51" t="str">
        <v/>
      </c>
      <c r="E1446" s="51" t="str">
        <v/>
      </c>
      <c r="F1446" s="52" t="e">
        <v>#REF!</v>
      </c>
      <c r="G1446" s="48" t="e">
        <v>#REF!</v>
      </c>
      <c r="H1446" s="49">
        <v>0</v>
      </c>
      <c r="I1446" s="49" t="e">
        <v>#REF!</v>
      </c>
      <c r="J1446" s="50"/>
    </row>
    <row r="1447" outlineLevel="1" spans="1:10">
      <c r="A1447" s="50">
        <v>498</v>
      </c>
      <c r="B1447" s="51" t="str">
        <v>RC50-明配</v>
      </c>
      <c r="C1447" s="51" t="e">
        <v>#REF!</v>
      </c>
      <c r="D1447" s="51" t="str">
        <v/>
      </c>
      <c r="E1447" s="51" t="str">
        <v/>
      </c>
      <c r="F1447" s="52" t="e">
        <v>#REF!</v>
      </c>
      <c r="G1447" s="48" t="e">
        <v>#REF!</v>
      </c>
      <c r="H1447" s="49">
        <v>0</v>
      </c>
      <c r="I1447" s="49" t="e">
        <v>#REF!</v>
      </c>
      <c r="J1447" s="50"/>
    </row>
    <row r="1448" outlineLevel="1" spans="1:10">
      <c r="A1448" s="50">
        <v>499</v>
      </c>
      <c r="B1448" s="51" t="str">
        <v>电缆保护管-阻水钢板1</v>
      </c>
      <c r="C1448" s="51" t="e">
        <v>#REF!</v>
      </c>
      <c r="D1448" s="51" t="str">
        <v/>
      </c>
      <c r="E1448" s="51" t="str">
        <v/>
      </c>
      <c r="F1448" s="52" t="e">
        <v>#REF!</v>
      </c>
      <c r="G1448" s="48" t="e">
        <v>#REF!</v>
      </c>
      <c r="H1448" s="49">
        <v>0</v>
      </c>
      <c r="I1448" s="49" t="e">
        <v>#REF!</v>
      </c>
      <c r="J1448" s="50"/>
    </row>
    <row r="1449" outlineLevel="1" spans="1:10">
      <c r="A1449" s="50">
        <v>500</v>
      </c>
      <c r="B1449" s="51" t="str">
        <v>电缆保护管-阻水钢板2</v>
      </c>
      <c r="C1449" s="51" t="e">
        <v>#REF!</v>
      </c>
      <c r="D1449" s="51" t="str">
        <v/>
      </c>
      <c r="E1449" s="51" t="str">
        <v/>
      </c>
      <c r="F1449" s="52" t="e">
        <v>#REF!</v>
      </c>
      <c r="G1449" s="48" t="e">
        <v>#REF!</v>
      </c>
      <c r="H1449" s="49">
        <v>0</v>
      </c>
      <c r="I1449" s="49" t="e">
        <v>#REF!</v>
      </c>
      <c r="J1449" s="50"/>
    </row>
    <row r="1450" outlineLevel="1" spans="1:10">
      <c r="A1450" s="50">
        <v>501</v>
      </c>
      <c r="B1450" s="51" t="str">
        <v>电缆保护管-阻水钢板3</v>
      </c>
      <c r="C1450" s="51" t="e">
        <v>#REF!</v>
      </c>
      <c r="D1450" s="51" t="str">
        <v/>
      </c>
      <c r="E1450" s="51" t="str">
        <v/>
      </c>
      <c r="F1450" s="52" t="e">
        <v>#REF!</v>
      </c>
      <c r="G1450" s="48" t="e">
        <v>#REF!</v>
      </c>
      <c r="H1450" s="49">
        <v>0</v>
      </c>
      <c r="I1450" s="49" t="e">
        <v>#REF!</v>
      </c>
      <c r="J1450" s="50"/>
    </row>
    <row r="1451" outlineLevel="1" spans="1:10">
      <c r="A1451" s="50">
        <v>502</v>
      </c>
      <c r="B1451" s="51" t="str">
        <v>电缆保护管-止水翼环1</v>
      </c>
      <c r="C1451" s="51" t="e">
        <v>#REF!</v>
      </c>
      <c r="D1451" s="51" t="str">
        <v/>
      </c>
      <c r="E1451" s="51" t="str">
        <v/>
      </c>
      <c r="F1451" s="52" t="e">
        <v>#REF!</v>
      </c>
      <c r="G1451" s="48" t="e">
        <v>#REF!</v>
      </c>
      <c r="H1451" s="49">
        <v>0</v>
      </c>
      <c r="I1451" s="49" t="e">
        <v>#REF!</v>
      </c>
      <c r="J1451" s="50"/>
    </row>
    <row r="1452" outlineLevel="1" spans="1:10">
      <c r="A1452" s="50">
        <v>503</v>
      </c>
      <c r="B1452" s="51" t="str">
        <v>电缆保护管-止水翼环2</v>
      </c>
      <c r="C1452" s="51" t="e">
        <v>#REF!</v>
      </c>
      <c r="D1452" s="51" t="str">
        <v/>
      </c>
      <c r="E1452" s="51" t="str">
        <v/>
      </c>
      <c r="F1452" s="52" t="e">
        <v>#REF!</v>
      </c>
      <c r="G1452" s="48" t="e">
        <v>#REF!</v>
      </c>
      <c r="H1452" s="49">
        <v>0</v>
      </c>
      <c r="I1452" s="49" t="e">
        <v>#REF!</v>
      </c>
      <c r="J1452" s="50"/>
    </row>
    <row r="1453" outlineLevel="1" spans="1:10">
      <c r="A1453" s="50">
        <v>504</v>
      </c>
      <c r="B1453" s="51" t="str">
        <v>电缆保护管-止水翼环3</v>
      </c>
      <c r="C1453" s="51" t="e">
        <v>#REF!</v>
      </c>
      <c r="D1453" s="51" t="str">
        <v/>
      </c>
      <c r="E1453" s="51" t="str">
        <v/>
      </c>
      <c r="F1453" s="52" t="e">
        <v>#REF!</v>
      </c>
      <c r="G1453" s="48" t="e">
        <v>#REF!</v>
      </c>
      <c r="H1453" s="49">
        <v>0</v>
      </c>
      <c r="I1453" s="49" t="e">
        <v>#REF!</v>
      </c>
      <c r="J1453" s="50"/>
    </row>
    <row r="1454" outlineLevel="1" spans="1:10">
      <c r="A1454" s="50">
        <v>505</v>
      </c>
      <c r="B1454" s="51" t="str">
        <v>电缆保护管-止水翼环4</v>
      </c>
      <c r="C1454" s="51" t="e">
        <v>#REF!</v>
      </c>
      <c r="D1454" s="51" t="str">
        <v/>
      </c>
      <c r="E1454" s="51" t="str">
        <v/>
      </c>
      <c r="F1454" s="52" t="e">
        <v>#REF!</v>
      </c>
      <c r="G1454" s="48" t="e">
        <v>#REF!</v>
      </c>
      <c r="H1454" s="49">
        <v>0</v>
      </c>
      <c r="I1454" s="49" t="e">
        <v>#REF!</v>
      </c>
      <c r="J1454" s="50"/>
    </row>
    <row r="1455" outlineLevel="1" spans="1:10">
      <c r="A1455" s="50">
        <v>506</v>
      </c>
      <c r="B1455" s="51" t="str">
        <v>电缆保护管-止水翼环5</v>
      </c>
      <c r="C1455" s="51" t="e">
        <v>#REF!</v>
      </c>
      <c r="D1455" s="51" t="str">
        <v/>
      </c>
      <c r="E1455" s="51" t="str">
        <v/>
      </c>
      <c r="F1455" s="52" t="e">
        <v>#REF!</v>
      </c>
      <c r="G1455" s="48" t="e">
        <v>#REF!</v>
      </c>
      <c r="H1455" s="49">
        <v>0</v>
      </c>
      <c r="I1455" s="49" t="e">
        <v>#REF!</v>
      </c>
      <c r="J1455" s="50"/>
    </row>
    <row r="1456" outlineLevel="1" spans="1:10">
      <c r="A1456" s="50">
        <v>507</v>
      </c>
      <c r="B1456" s="51" t="str">
        <v>电缆保护管-RC150</v>
      </c>
      <c r="C1456" s="51" t="e">
        <v>#REF!</v>
      </c>
      <c r="D1456" s="51" t="str">
        <v/>
      </c>
      <c r="E1456" s="51" t="str">
        <v/>
      </c>
      <c r="F1456" s="52" t="e">
        <v>#REF!</v>
      </c>
      <c r="G1456" s="48" t="e">
        <v>#REF!</v>
      </c>
      <c r="H1456" s="49">
        <v>0</v>
      </c>
      <c r="I1456" s="49" t="e">
        <v>#REF!</v>
      </c>
      <c r="J1456" s="50"/>
    </row>
    <row r="1457" outlineLevel="1" spans="1:10">
      <c r="A1457" s="50">
        <v>508</v>
      </c>
      <c r="B1457" s="51" t="str">
        <v>电缆保护管-RC100</v>
      </c>
      <c r="C1457" s="51" t="e">
        <v>#REF!</v>
      </c>
      <c r="D1457" s="51" t="str">
        <v/>
      </c>
      <c r="E1457" s="51" t="str">
        <v/>
      </c>
      <c r="F1457" s="52" t="e">
        <v>#REF!</v>
      </c>
      <c r="G1457" s="48" t="e">
        <v>#REF!</v>
      </c>
      <c r="H1457" s="49">
        <v>0</v>
      </c>
      <c r="I1457" s="49" t="e">
        <v>#REF!</v>
      </c>
      <c r="J1457" s="50"/>
    </row>
    <row r="1458" outlineLevel="1" spans="1:10">
      <c r="A1458" s="50">
        <v>509</v>
      </c>
      <c r="B1458" s="51" t="str">
        <v>电缆保护管-RC80</v>
      </c>
      <c r="C1458" s="51" t="e">
        <v>#REF!</v>
      </c>
      <c r="D1458" s="51" t="str">
        <v/>
      </c>
      <c r="E1458" s="51" t="str">
        <v/>
      </c>
      <c r="F1458" s="52" t="e">
        <v>#REF!</v>
      </c>
      <c r="G1458" s="48" t="e">
        <v>#REF!</v>
      </c>
      <c r="H1458" s="49">
        <v>0</v>
      </c>
      <c r="I1458" s="49" t="e">
        <v>#REF!</v>
      </c>
      <c r="J1458" s="50"/>
    </row>
    <row r="1459" outlineLevel="1" spans="1:10">
      <c r="A1459" s="50">
        <v>510</v>
      </c>
      <c r="B1459" s="51" t="str">
        <v>电缆保护管-RC50</v>
      </c>
      <c r="C1459" s="51" t="e">
        <v>#REF!</v>
      </c>
      <c r="D1459" s="51" t="str">
        <v/>
      </c>
      <c r="E1459" s="51" t="str">
        <v/>
      </c>
      <c r="F1459" s="52" t="e">
        <v>#REF!</v>
      </c>
      <c r="G1459" s="48" t="e">
        <v>#REF!</v>
      </c>
      <c r="H1459" s="49">
        <v>0</v>
      </c>
      <c r="I1459" s="49" t="e">
        <v>#REF!</v>
      </c>
      <c r="J1459" s="50"/>
    </row>
    <row r="1460" outlineLevel="1" spans="1:10">
      <c r="A1460" s="50">
        <v>511</v>
      </c>
      <c r="B1460" s="51" t="str">
        <v>密闭肋套管-DN15至32</v>
      </c>
      <c r="C1460" s="51" t="e">
        <v>#REF!</v>
      </c>
      <c r="D1460" s="51" t="str">
        <v/>
      </c>
      <c r="E1460" s="51" t="str">
        <v/>
      </c>
      <c r="F1460" s="52" t="e">
        <v>#REF!</v>
      </c>
      <c r="G1460" s="48" t="e">
        <v>#REF!</v>
      </c>
      <c r="H1460" s="49">
        <v>0</v>
      </c>
      <c r="I1460" s="49" t="e">
        <v>#REF!</v>
      </c>
      <c r="J1460" s="50"/>
    </row>
    <row r="1461" outlineLevel="1" spans="1:10">
      <c r="A1461" s="50">
        <v>512</v>
      </c>
      <c r="B1461" s="51" t="str">
        <v>密闭肋套管-DN50</v>
      </c>
      <c r="C1461" s="51" t="e">
        <v>#REF!</v>
      </c>
      <c r="D1461" s="51" t="str">
        <v/>
      </c>
      <c r="E1461" s="51" t="str">
        <v/>
      </c>
      <c r="F1461" s="52" t="e">
        <v>#REF!</v>
      </c>
      <c r="G1461" s="48" t="e">
        <v>#REF!</v>
      </c>
      <c r="H1461" s="49">
        <v>0</v>
      </c>
      <c r="I1461" s="49" t="e">
        <v>#REF!</v>
      </c>
      <c r="J1461" s="50"/>
    </row>
    <row r="1462" outlineLevel="1" spans="1:10">
      <c r="A1462" s="50">
        <v>513</v>
      </c>
      <c r="B1462" s="51" t="str">
        <v>密闭肋套管-DN65至70</v>
      </c>
      <c r="C1462" s="51" t="e">
        <v>#REF!</v>
      </c>
      <c r="D1462" s="51" t="str">
        <v/>
      </c>
      <c r="E1462" s="51" t="str">
        <v/>
      </c>
      <c r="F1462" s="52" t="e">
        <v>#REF!</v>
      </c>
      <c r="G1462" s="48" t="e">
        <v>#REF!</v>
      </c>
      <c r="H1462" s="49">
        <v>0</v>
      </c>
      <c r="I1462" s="49" t="e">
        <v>#REF!</v>
      </c>
      <c r="J1462" s="50"/>
    </row>
    <row r="1463" outlineLevel="1" spans="1:10">
      <c r="A1463" s="50">
        <v>514</v>
      </c>
      <c r="B1463" s="51" t="str">
        <v>密闭肋套管-DN80至100</v>
      </c>
      <c r="C1463" s="51" t="e">
        <v>#REF!</v>
      </c>
      <c r="D1463" s="51" t="str">
        <v/>
      </c>
      <c r="E1463" s="51" t="str">
        <v/>
      </c>
      <c r="F1463" s="52" t="e">
        <v>#REF!</v>
      </c>
      <c r="G1463" s="48" t="e">
        <v>#REF!</v>
      </c>
      <c r="H1463" s="49">
        <v>0</v>
      </c>
      <c r="I1463" s="49" t="e">
        <v>#REF!</v>
      </c>
      <c r="J1463" s="50"/>
    </row>
    <row r="1464" outlineLevel="1" spans="1:10">
      <c r="A1464" s="50">
        <v>515</v>
      </c>
      <c r="B1464" s="51" t="str">
        <v>排污泵防水电缆</v>
      </c>
      <c r="C1464" s="51" t="e">
        <v>#REF!</v>
      </c>
      <c r="D1464" s="51" t="str">
        <v/>
      </c>
      <c r="E1464" s="51" t="str">
        <v/>
      </c>
      <c r="F1464" s="52" t="e">
        <v>#REF!</v>
      </c>
      <c r="G1464" s="48" t="e">
        <v>#REF!</v>
      </c>
      <c r="H1464" s="49">
        <v>0</v>
      </c>
      <c r="I1464" s="49" t="e">
        <v>#REF!</v>
      </c>
      <c r="J1464" s="50"/>
    </row>
    <row r="1465" outlineLevel="1" spans="1:10">
      <c r="A1465" s="50">
        <v>516</v>
      </c>
      <c r="B1465" s="51" t="str">
        <v>综合配线-BV2.5</v>
      </c>
      <c r="C1465" s="51" t="e">
        <v>#REF!</v>
      </c>
      <c r="D1465" s="51" t="str">
        <v/>
      </c>
      <c r="E1465" s="51" t="str">
        <v/>
      </c>
      <c r="F1465" s="52" t="e">
        <v>#REF!</v>
      </c>
      <c r="G1465" s="48" t="e">
        <v>#REF!</v>
      </c>
      <c r="H1465" s="49">
        <v>150</v>
      </c>
      <c r="I1465" s="49" t="e">
        <v>#REF!</v>
      </c>
      <c r="J1465" s="50"/>
    </row>
    <row r="1466" outlineLevel="1" spans="1:10">
      <c r="A1466" s="50">
        <v>517</v>
      </c>
      <c r="B1466" s="51" t="str">
        <v>综合配线-BV4</v>
      </c>
      <c r="C1466" s="51" t="e">
        <v>#REF!</v>
      </c>
      <c r="D1466" s="51" t="str">
        <v/>
      </c>
      <c r="E1466" s="51" t="str">
        <v/>
      </c>
      <c r="F1466" s="52" t="e">
        <v>#REF!</v>
      </c>
      <c r="G1466" s="48" t="e">
        <v>#REF!</v>
      </c>
      <c r="H1466" s="49">
        <v>0</v>
      </c>
      <c r="I1466" s="49" t="e">
        <v>#REF!</v>
      </c>
      <c r="J1466" s="50"/>
    </row>
    <row r="1467" outlineLevel="1" spans="1:10">
      <c r="A1467" s="50">
        <v>518</v>
      </c>
      <c r="B1467" s="51" t="str">
        <v>综合配线-BV6</v>
      </c>
      <c r="C1467" s="51" t="e">
        <v>#REF!</v>
      </c>
      <c r="D1467" s="51" t="str">
        <v/>
      </c>
      <c r="E1467" s="51" t="str">
        <v/>
      </c>
      <c r="F1467" s="52" t="e">
        <v>#REF!</v>
      </c>
      <c r="G1467" s="48" t="e">
        <v>#REF!</v>
      </c>
      <c r="H1467" s="49">
        <v>0</v>
      </c>
      <c r="I1467" s="49" t="e">
        <v>#REF!</v>
      </c>
      <c r="J1467" s="50"/>
    </row>
    <row r="1468" outlineLevel="1" spans="1:10">
      <c r="A1468" s="50">
        <v>519</v>
      </c>
      <c r="B1468" s="51" t="str">
        <v>综合配线-BV10</v>
      </c>
      <c r="C1468" s="51" t="e">
        <v>#REF!</v>
      </c>
      <c r="D1468" s="51" t="str">
        <v/>
      </c>
      <c r="E1468" s="51" t="str">
        <v/>
      </c>
      <c r="F1468" s="52" t="e">
        <v>#REF!</v>
      </c>
      <c r="G1468" s="48" t="e">
        <v>#REF!</v>
      </c>
      <c r="H1468" s="49">
        <v>0</v>
      </c>
      <c r="I1468" s="49" t="e">
        <v>#REF!</v>
      </c>
      <c r="J1468" s="50"/>
    </row>
    <row r="1469" outlineLevel="1" spans="1:10">
      <c r="A1469" s="50">
        <v>520</v>
      </c>
      <c r="B1469" s="51" t="str">
        <v>综合配线-BV16</v>
      </c>
      <c r="C1469" s="51" t="e">
        <v>#REF!</v>
      </c>
      <c r="D1469" s="51" t="str">
        <v/>
      </c>
      <c r="E1469" s="51" t="str">
        <v/>
      </c>
      <c r="F1469" s="52" t="e">
        <v>#REF!</v>
      </c>
      <c r="G1469" s="48" t="e">
        <v>#REF!</v>
      </c>
      <c r="H1469" s="49">
        <v>0</v>
      </c>
      <c r="I1469" s="49" t="e">
        <v>#REF!</v>
      </c>
      <c r="J1469" s="50"/>
    </row>
    <row r="1470" outlineLevel="1" spans="1:10">
      <c r="A1470" s="50">
        <v>521</v>
      </c>
      <c r="B1470" s="51" t="str">
        <v>综合配线-BV25</v>
      </c>
      <c r="C1470" s="51" t="e">
        <v>#REF!</v>
      </c>
      <c r="D1470" s="51" t="str">
        <v/>
      </c>
      <c r="E1470" s="51" t="str">
        <v/>
      </c>
      <c r="F1470" s="52" t="e">
        <v>#REF!</v>
      </c>
      <c r="G1470" s="48" t="e">
        <v>#REF!</v>
      </c>
      <c r="H1470" s="49">
        <v>0</v>
      </c>
      <c r="I1470" s="49" t="e">
        <v>#REF!</v>
      </c>
      <c r="J1470" s="50"/>
    </row>
    <row r="1471" outlineLevel="1" spans="1:10">
      <c r="A1471" s="50">
        <v>522</v>
      </c>
      <c r="B1471" s="51" t="str">
        <v>综合配线-ZRBV2.5</v>
      </c>
      <c r="C1471" s="51" t="e">
        <v>#REF!</v>
      </c>
      <c r="D1471" s="51" t="str">
        <v/>
      </c>
      <c r="E1471" s="51" t="str">
        <v/>
      </c>
      <c r="F1471" s="52" t="e">
        <v>#REF!</v>
      </c>
      <c r="G1471" s="48" t="e">
        <v>#REF!</v>
      </c>
      <c r="H1471" s="49">
        <v>0</v>
      </c>
      <c r="I1471" s="49" t="e">
        <v>#REF!</v>
      </c>
      <c r="J1471" s="50"/>
    </row>
    <row r="1472" outlineLevel="1" spans="1:10">
      <c r="A1472" s="50">
        <v>523</v>
      </c>
      <c r="B1472" s="51" t="str">
        <v>综合配线-ZRBV4</v>
      </c>
      <c r="C1472" s="51" t="e">
        <v>#REF!</v>
      </c>
      <c r="D1472" s="51" t="str">
        <v/>
      </c>
      <c r="E1472" s="51" t="str">
        <v/>
      </c>
      <c r="F1472" s="52" t="e">
        <v>#REF!</v>
      </c>
      <c r="G1472" s="48" t="e">
        <v>#REF!</v>
      </c>
      <c r="H1472" s="49">
        <v>0</v>
      </c>
      <c r="I1472" s="49" t="e">
        <v>#REF!</v>
      </c>
      <c r="J1472" s="50"/>
    </row>
    <row r="1473" outlineLevel="1" spans="1:10">
      <c r="A1473" s="50">
        <v>524</v>
      </c>
      <c r="B1473" s="51" t="str">
        <v>综合配线-NHBV1.5</v>
      </c>
      <c r="C1473" s="51" t="e">
        <v>#REF!</v>
      </c>
      <c r="D1473" s="51" t="str">
        <v/>
      </c>
      <c r="E1473" s="51" t="str">
        <v/>
      </c>
      <c r="F1473" s="52" t="e">
        <v>#REF!</v>
      </c>
      <c r="G1473" s="48" t="e">
        <v>#REF!</v>
      </c>
      <c r="H1473" s="49">
        <v>0</v>
      </c>
      <c r="I1473" s="49" t="e">
        <v>#REF!</v>
      </c>
      <c r="J1473" s="50"/>
    </row>
    <row r="1474" outlineLevel="1" spans="1:10">
      <c r="A1474" s="50">
        <v>525</v>
      </c>
      <c r="B1474" s="51" t="str">
        <v>综合配线-NHBV2.5</v>
      </c>
      <c r="C1474" s="51" t="e">
        <v>#REF!</v>
      </c>
      <c r="D1474" s="51" t="str">
        <v/>
      </c>
      <c r="E1474" s="51" t="str">
        <v/>
      </c>
      <c r="F1474" s="52" t="e">
        <v>#REF!</v>
      </c>
      <c r="G1474" s="48" t="e">
        <v>#REF!</v>
      </c>
      <c r="H1474" s="49">
        <v>0</v>
      </c>
      <c r="I1474" s="49" t="e">
        <v>#REF!</v>
      </c>
      <c r="J1474" s="50"/>
    </row>
    <row r="1475" outlineLevel="1" spans="1:10">
      <c r="A1475" s="50">
        <v>526</v>
      </c>
      <c r="B1475" s="51" t="str">
        <v>综合配线-NHBV4</v>
      </c>
      <c r="C1475" s="51" t="e">
        <v>#REF!</v>
      </c>
      <c r="D1475" s="51" t="str">
        <v/>
      </c>
      <c r="E1475" s="51" t="str">
        <v/>
      </c>
      <c r="F1475" s="52" t="e">
        <v>#REF!</v>
      </c>
      <c r="G1475" s="48" t="e">
        <v>#REF!</v>
      </c>
      <c r="H1475" s="49">
        <v>0</v>
      </c>
      <c r="I1475" s="49" t="e">
        <v>#REF!</v>
      </c>
      <c r="J1475" s="50"/>
    </row>
    <row r="1476" outlineLevel="1" spans="1:10">
      <c r="A1476" s="50">
        <v>527</v>
      </c>
      <c r="B1476" s="51" t="str">
        <v>综合配线-WDZNBYJ2.5</v>
      </c>
      <c r="C1476" s="51" t="e">
        <v>#REF!</v>
      </c>
      <c r="D1476" s="51" t="str">
        <v/>
      </c>
      <c r="E1476" s="51" t="str">
        <v/>
      </c>
      <c r="F1476" s="52" t="e">
        <v>#REF!</v>
      </c>
      <c r="G1476" s="48" t="e">
        <v>#REF!</v>
      </c>
      <c r="H1476" s="49">
        <v>336.252</v>
      </c>
      <c r="I1476" s="49" t="e">
        <v>#REF!</v>
      </c>
      <c r="J1476" s="50"/>
    </row>
    <row r="1477" outlineLevel="1" spans="1:10">
      <c r="A1477" s="50">
        <v>528</v>
      </c>
      <c r="B1477" s="51" t="str">
        <v>综合配线-WDZNBYJ4</v>
      </c>
      <c r="C1477" s="51" t="e">
        <v>#REF!</v>
      </c>
      <c r="D1477" s="51" t="str">
        <v/>
      </c>
      <c r="E1477" s="51" t="str">
        <v/>
      </c>
      <c r="F1477" s="52" t="e">
        <v>#REF!</v>
      </c>
      <c r="G1477" s="48" t="e">
        <v>#REF!</v>
      </c>
      <c r="H1477" s="49">
        <v>124.214</v>
      </c>
      <c r="I1477" s="49" t="e">
        <v>#REF!</v>
      </c>
      <c r="J1477" s="50"/>
    </row>
    <row r="1478" outlineLevel="1" spans="1:10">
      <c r="A1478" s="50">
        <v>529</v>
      </c>
      <c r="B1478" s="51" t="str">
        <v>综合配线-WDZBYJ2.5</v>
      </c>
      <c r="C1478" s="51" t="e">
        <v>#REF!</v>
      </c>
      <c r="D1478" s="51" t="str">
        <v/>
      </c>
      <c r="E1478" s="51" t="str">
        <v/>
      </c>
      <c r="F1478" s="52" t="e">
        <v>#REF!</v>
      </c>
      <c r="G1478" s="48" t="e">
        <v>#REF!</v>
      </c>
      <c r="H1478" s="49">
        <v>0</v>
      </c>
      <c r="I1478" s="49" t="e">
        <v>#REF!</v>
      </c>
      <c r="J1478" s="50"/>
    </row>
    <row r="1479" outlineLevel="1" spans="1:10">
      <c r="A1479" s="50">
        <v>530</v>
      </c>
      <c r="B1479" s="51" t="str">
        <v>综合配线-WDZBYJ4</v>
      </c>
      <c r="C1479" s="51" t="e">
        <v>#REF!</v>
      </c>
      <c r="D1479" s="51" t="str">
        <v/>
      </c>
      <c r="E1479" s="51" t="str">
        <v/>
      </c>
      <c r="F1479" s="52" t="e">
        <v>#REF!</v>
      </c>
      <c r="G1479" s="48" t="e">
        <v>#REF!</v>
      </c>
      <c r="H1479" s="49">
        <v>59.632</v>
      </c>
      <c r="I1479" s="49" t="e">
        <v>#REF!</v>
      </c>
      <c r="J1479" s="50"/>
    </row>
    <row r="1480" outlineLevel="1" spans="1:10">
      <c r="A1480" s="50">
        <v>531</v>
      </c>
      <c r="B1480" s="51" t="str">
        <v>综合配线-WDZBYJ6</v>
      </c>
      <c r="C1480" s="51" t="e">
        <v>#REF!</v>
      </c>
      <c r="D1480" s="51" t="str">
        <v/>
      </c>
      <c r="E1480" s="51" t="str">
        <v/>
      </c>
      <c r="F1480" s="52" t="e">
        <v>#REF!</v>
      </c>
      <c r="G1480" s="48" t="e">
        <v>#REF!</v>
      </c>
      <c r="H1480" s="49">
        <v>0</v>
      </c>
      <c r="I1480" s="49" t="e">
        <v>#REF!</v>
      </c>
      <c r="J1480" s="50"/>
    </row>
    <row r="1481" outlineLevel="1" spans="1:10">
      <c r="A1481" s="50">
        <v>532</v>
      </c>
      <c r="B1481" s="51" t="str">
        <v>综合配线-WDZBYJ10</v>
      </c>
      <c r="C1481" s="51" t="e">
        <v>#REF!</v>
      </c>
      <c r="D1481" s="51" t="str">
        <v/>
      </c>
      <c r="E1481" s="51" t="str">
        <v/>
      </c>
      <c r="F1481" s="52" t="e">
        <v>#REF!</v>
      </c>
      <c r="G1481" s="48" t="e">
        <v>#REF!</v>
      </c>
      <c r="H1481" s="49">
        <v>149.969</v>
      </c>
      <c r="I1481" s="49" t="e">
        <v>#REF!</v>
      </c>
      <c r="J1481" s="50"/>
    </row>
    <row r="1482" outlineLevel="1" spans="1:10">
      <c r="A1482" s="50">
        <v>533</v>
      </c>
      <c r="B1482" s="51" t="str">
        <v>综合配线-WDZNRYJS2*2.5</v>
      </c>
      <c r="C1482" s="51" t="e">
        <v>#REF!</v>
      </c>
      <c r="D1482" s="51" t="str">
        <v/>
      </c>
      <c r="E1482" s="51" t="str">
        <v/>
      </c>
      <c r="F1482" s="52" t="e">
        <v>#REF!</v>
      </c>
      <c r="G1482" s="48" t="e">
        <v>#REF!</v>
      </c>
      <c r="H1482" s="49">
        <v>144.135</v>
      </c>
      <c r="I1482" s="49" t="e">
        <v>#REF!</v>
      </c>
      <c r="J1482" s="50"/>
    </row>
    <row r="1483" outlineLevel="1" spans="1:10">
      <c r="A1483" s="50">
        <v>534</v>
      </c>
      <c r="B1483" s="51" t="str">
        <v>综合配线-NHRVS2*2.5</v>
      </c>
      <c r="C1483" s="51" t="e">
        <v>#REF!</v>
      </c>
      <c r="D1483" s="51" t="str">
        <v/>
      </c>
      <c r="E1483" s="51" t="str">
        <v/>
      </c>
      <c r="F1483" s="52" t="e">
        <v>#REF!</v>
      </c>
      <c r="G1483" s="48" t="e">
        <v>#REF!</v>
      </c>
      <c r="H1483" s="49">
        <v>0</v>
      </c>
      <c r="I1483" s="49" t="e">
        <v>#REF!</v>
      </c>
      <c r="J1483" s="50"/>
    </row>
    <row r="1484" outlineLevel="1" spans="1:10">
      <c r="A1484" s="50" t="str">
        <v/>
      </c>
      <c r="B1484" s="51" t="str">
        <v>B.18.4照明器具</v>
      </c>
      <c r="C1484" s="51" t="str">
        <v/>
      </c>
      <c r="D1484" s="51" t="str">
        <v/>
      </c>
      <c r="E1484" s="51" t="str">
        <v/>
      </c>
      <c r="F1484" s="52" t="str">
        <v/>
      </c>
      <c r="G1484" s="48" t="str">
        <v/>
      </c>
      <c r="H1484" s="49">
        <v>0</v>
      </c>
      <c r="I1484" s="49" t="e">
        <v>#REF!</v>
      </c>
      <c r="J1484" s="50"/>
    </row>
    <row r="1485" outlineLevel="1" spans="1:10">
      <c r="A1485" s="50">
        <v>535</v>
      </c>
      <c r="B1485" s="51" t="str">
        <v>灯具-门上座灯</v>
      </c>
      <c r="C1485" s="51" t="e">
        <v>#REF!</v>
      </c>
      <c r="D1485" s="51" t="str">
        <v/>
      </c>
      <c r="E1485" s="51" t="str">
        <v/>
      </c>
      <c r="F1485" s="52" t="e">
        <v>#REF!</v>
      </c>
      <c r="G1485" s="48" t="e">
        <v>#REF!</v>
      </c>
      <c r="H1485" s="49">
        <v>0</v>
      </c>
      <c r="I1485" s="49" t="e">
        <v>#REF!</v>
      </c>
      <c r="J1485" s="50"/>
    </row>
    <row r="1486" outlineLevel="1" spans="1:10">
      <c r="A1486" s="50">
        <v>536</v>
      </c>
      <c r="B1486" s="51" t="str">
        <v>灯具-节能座灯头</v>
      </c>
      <c r="C1486" s="51" t="e">
        <v>#REF!</v>
      </c>
      <c r="D1486" s="51" t="str">
        <v/>
      </c>
      <c r="E1486" s="51" t="str">
        <v/>
      </c>
      <c r="F1486" s="52" t="e">
        <v>#REF!</v>
      </c>
      <c r="G1486" s="48" t="e">
        <v>#REF!</v>
      </c>
      <c r="H1486" s="49">
        <v>0</v>
      </c>
      <c r="I1486" s="49" t="e">
        <v>#REF!</v>
      </c>
      <c r="J1486" s="50"/>
    </row>
    <row r="1487" outlineLevel="1" spans="1:10">
      <c r="A1487" s="50">
        <v>537</v>
      </c>
      <c r="B1487" s="51" t="str">
        <v>灯具-普通座灯头</v>
      </c>
      <c r="C1487" s="51" t="e">
        <v>#REF!</v>
      </c>
      <c r="D1487" s="51" t="str">
        <v/>
      </c>
      <c r="E1487" s="51" t="str">
        <v/>
      </c>
      <c r="F1487" s="52" t="e">
        <v>#REF!</v>
      </c>
      <c r="G1487" s="48" t="e">
        <v>#REF!</v>
      </c>
      <c r="H1487" s="49">
        <v>0</v>
      </c>
      <c r="I1487" s="49" t="e">
        <v>#REF!</v>
      </c>
      <c r="J1487" s="50"/>
    </row>
    <row r="1488" outlineLevel="1" spans="1:10">
      <c r="A1488" s="50">
        <v>538</v>
      </c>
      <c r="B1488" s="51" t="str">
        <v>灯具-壁灯</v>
      </c>
      <c r="C1488" s="51" t="e">
        <v>#REF!</v>
      </c>
      <c r="D1488" s="51" t="str">
        <v/>
      </c>
      <c r="E1488" s="51" t="str">
        <v/>
      </c>
      <c r="F1488" s="52" t="e">
        <v>#REF!</v>
      </c>
      <c r="G1488" s="48" t="e">
        <v>#REF!</v>
      </c>
      <c r="H1488" s="49">
        <v>0</v>
      </c>
      <c r="I1488" s="49" t="e">
        <v>#REF!</v>
      </c>
      <c r="J1488" s="50"/>
    </row>
    <row r="1489" outlineLevel="1" spans="1:10">
      <c r="A1489" s="50">
        <v>539</v>
      </c>
      <c r="B1489" s="51" t="str">
        <v>灯具-吸顶灯</v>
      </c>
      <c r="C1489" s="51" t="e">
        <v>#REF!</v>
      </c>
      <c r="D1489" s="51" t="str">
        <v/>
      </c>
      <c r="E1489" s="51" t="str">
        <v/>
      </c>
      <c r="F1489" s="52" t="e">
        <v>#REF!</v>
      </c>
      <c r="G1489" s="48" t="e">
        <v>#REF!</v>
      </c>
      <c r="H1489" s="49">
        <v>0</v>
      </c>
      <c r="I1489" s="49" t="e">
        <v>#REF!</v>
      </c>
      <c r="J1489" s="50"/>
    </row>
    <row r="1490" ht="28.8" outlineLevel="1" spans="1:10">
      <c r="A1490" s="50">
        <v>540</v>
      </c>
      <c r="B1490" s="51" t="str">
        <v>灯具-吸顶灯(自带声光控开关) </v>
      </c>
      <c r="C1490" s="51" t="e">
        <v>#REF!</v>
      </c>
      <c r="D1490" s="51" t="str">
        <v/>
      </c>
      <c r="E1490" s="51" t="str">
        <v/>
      </c>
      <c r="F1490" s="52" t="e">
        <v>#REF!</v>
      </c>
      <c r="G1490" s="48" t="e">
        <v>#REF!</v>
      </c>
      <c r="H1490" s="49">
        <v>0</v>
      </c>
      <c r="I1490" s="49" t="e">
        <v>#REF!</v>
      </c>
      <c r="J1490" s="50"/>
    </row>
    <row r="1491" ht="28.8" outlineLevel="1" spans="1:10">
      <c r="A1491" s="50">
        <v>541</v>
      </c>
      <c r="B1491" s="51" t="str">
        <v>灯具-半圆球吸顶灯 灯罩直径(300mm以内)</v>
      </c>
      <c r="C1491" s="51" t="e">
        <v>#REF!</v>
      </c>
      <c r="D1491" s="51" t="str">
        <v/>
      </c>
      <c r="E1491" s="51" t="str">
        <v/>
      </c>
      <c r="F1491" s="52" t="e">
        <v>#REF!</v>
      </c>
      <c r="G1491" s="48" t="e">
        <v>#REF!</v>
      </c>
      <c r="H1491" s="49">
        <v>0</v>
      </c>
      <c r="I1491" s="49" t="e">
        <v>#REF!</v>
      </c>
      <c r="J1491" s="50"/>
    </row>
    <row r="1492" ht="28.8" outlineLevel="1" spans="1:10">
      <c r="A1492" s="50">
        <v>542</v>
      </c>
      <c r="B1492" s="51" t="str">
        <v>灯具-半圆球吸顶灯 灯罩直径(350mm以内)</v>
      </c>
      <c r="C1492" s="51" t="e">
        <v>#REF!</v>
      </c>
      <c r="D1492" s="51" t="str">
        <v/>
      </c>
      <c r="E1492" s="51" t="str">
        <v/>
      </c>
      <c r="F1492" s="52" t="e">
        <v>#REF!</v>
      </c>
      <c r="G1492" s="48" t="e">
        <v>#REF!</v>
      </c>
      <c r="H1492" s="49">
        <v>0</v>
      </c>
      <c r="I1492" s="49" t="e">
        <v>#REF!</v>
      </c>
      <c r="J1492" s="50"/>
    </row>
    <row r="1493" outlineLevel="1" spans="1:10">
      <c r="A1493" s="50">
        <v>543</v>
      </c>
      <c r="B1493" s="51" t="str">
        <v>灯具-紧凑型节能日光灯</v>
      </c>
      <c r="C1493" s="51" t="e">
        <v>#REF!</v>
      </c>
      <c r="D1493" s="51" t="str">
        <v/>
      </c>
      <c r="E1493" s="51" t="str">
        <v/>
      </c>
      <c r="F1493" s="52" t="e">
        <v>#REF!</v>
      </c>
      <c r="G1493" s="48" t="e">
        <v>#REF!</v>
      </c>
      <c r="H1493" s="49">
        <v>0</v>
      </c>
      <c r="I1493" s="49" t="e">
        <v>#REF!</v>
      </c>
      <c r="J1493" s="50"/>
    </row>
    <row r="1494" ht="28.8" outlineLevel="1" spans="1:10">
      <c r="A1494" s="50">
        <v>544</v>
      </c>
      <c r="B1494" s="51" t="str">
        <v>灯具-单管荧光灯-吊链安装</v>
      </c>
      <c r="C1494" s="51" t="e">
        <v>#REF!</v>
      </c>
      <c r="D1494" s="51" t="str">
        <v/>
      </c>
      <c r="E1494" s="51" t="str">
        <v/>
      </c>
      <c r="F1494" s="52" t="e">
        <v>#REF!</v>
      </c>
      <c r="G1494" s="48" t="e">
        <v>#REF!</v>
      </c>
      <c r="H1494" s="49">
        <v>1</v>
      </c>
      <c r="I1494" s="49" t="e">
        <v>#REF!</v>
      </c>
      <c r="J1494" s="50"/>
    </row>
    <row r="1495" outlineLevel="1" spans="1:10">
      <c r="A1495" s="50">
        <v>545</v>
      </c>
      <c r="B1495" s="51" t="str">
        <v>灯具-单管荧光灯-壁装</v>
      </c>
      <c r="C1495" s="51" t="e">
        <v>#REF!</v>
      </c>
      <c r="D1495" s="51" t="str">
        <v/>
      </c>
      <c r="E1495" s="51" t="str">
        <v/>
      </c>
      <c r="F1495" s="52" t="e">
        <v>#REF!</v>
      </c>
      <c r="G1495" s="48" t="e">
        <v>#REF!</v>
      </c>
      <c r="H1495" s="49">
        <v>0</v>
      </c>
      <c r="I1495" s="49" t="e">
        <v>#REF!</v>
      </c>
      <c r="J1495" s="50"/>
    </row>
    <row r="1496" ht="28.8" outlineLevel="1" spans="1:10">
      <c r="A1496" s="50">
        <v>546</v>
      </c>
      <c r="B1496" s="51" t="str">
        <v>灯具-单管荧光灯-吊杆安装</v>
      </c>
      <c r="C1496" s="51" t="e">
        <v>#REF!</v>
      </c>
      <c r="D1496" s="51" t="str">
        <v/>
      </c>
      <c r="E1496" s="51" t="str">
        <v/>
      </c>
      <c r="F1496" s="52" t="e">
        <v>#REF!</v>
      </c>
      <c r="G1496" s="48" t="e">
        <v>#REF!</v>
      </c>
      <c r="H1496" s="49">
        <v>5</v>
      </c>
      <c r="I1496" s="49" t="e">
        <v>#REF!</v>
      </c>
      <c r="J1496" s="50"/>
    </row>
    <row r="1497" ht="28.8" outlineLevel="1" spans="1:10">
      <c r="A1497" s="50">
        <v>547</v>
      </c>
      <c r="B1497" s="51" t="str">
        <v>灯具-单管荧光灯-吸顶安装</v>
      </c>
      <c r="C1497" s="51" t="e">
        <v>#REF!</v>
      </c>
      <c r="D1497" s="51" t="str">
        <v/>
      </c>
      <c r="E1497" s="51" t="str">
        <v/>
      </c>
      <c r="F1497" s="52" t="e">
        <v>#REF!</v>
      </c>
      <c r="G1497" s="48" t="e">
        <v>#REF!</v>
      </c>
      <c r="H1497" s="49">
        <v>0</v>
      </c>
      <c r="I1497" s="49" t="e">
        <v>#REF!</v>
      </c>
      <c r="J1497" s="50"/>
    </row>
    <row r="1498" ht="28.8" outlineLevel="1" spans="1:10">
      <c r="A1498" s="50">
        <v>548</v>
      </c>
      <c r="B1498" s="51" t="str">
        <v>疏散出口标志灯-带蓄电池</v>
      </c>
      <c r="C1498" s="51" t="e">
        <v>#REF!</v>
      </c>
      <c r="D1498" s="51" t="str">
        <v/>
      </c>
      <c r="E1498" s="51" t="str">
        <v/>
      </c>
      <c r="F1498" s="52" t="e">
        <v>#REF!</v>
      </c>
      <c r="G1498" s="48" t="e">
        <v>#REF!</v>
      </c>
      <c r="H1498" s="49">
        <v>0</v>
      </c>
      <c r="I1498" s="49" t="e">
        <v>#REF!</v>
      </c>
      <c r="J1498" s="50"/>
    </row>
    <row r="1499" ht="28.8" outlineLevel="1" spans="1:10">
      <c r="A1499" s="50">
        <v>549</v>
      </c>
      <c r="B1499" s="51" t="str">
        <v>疏散出口标志灯（防护等级IP67）带蓄电池</v>
      </c>
      <c r="C1499" s="51" t="e">
        <v>#REF!</v>
      </c>
      <c r="D1499" s="51" t="str">
        <v/>
      </c>
      <c r="E1499" s="51" t="str">
        <v/>
      </c>
      <c r="F1499" s="52" t="e">
        <v>#REF!</v>
      </c>
      <c r="G1499" s="48" t="e">
        <v>#REF!</v>
      </c>
      <c r="H1499" s="49">
        <v>0</v>
      </c>
      <c r="I1499" s="49" t="e">
        <v>#REF!</v>
      </c>
      <c r="J1499" s="50"/>
    </row>
    <row r="1500" ht="28.8" outlineLevel="1" spans="1:10">
      <c r="A1500" s="50">
        <v>550</v>
      </c>
      <c r="B1500" s="51" t="str">
        <v>楼层指示标志灯-带蓄电池</v>
      </c>
      <c r="C1500" s="51" t="e">
        <v>#REF!</v>
      </c>
      <c r="D1500" s="51" t="str">
        <v/>
      </c>
      <c r="E1500" s="51" t="str">
        <v/>
      </c>
      <c r="F1500" s="52" t="e">
        <v>#REF!</v>
      </c>
      <c r="G1500" s="48" t="e">
        <v>#REF!</v>
      </c>
      <c r="H1500" s="49">
        <v>0</v>
      </c>
      <c r="I1500" s="49" t="e">
        <v>#REF!</v>
      </c>
      <c r="J1500" s="50"/>
    </row>
    <row r="1501" ht="28.8" outlineLevel="1" spans="1:10">
      <c r="A1501" s="50">
        <v>551</v>
      </c>
      <c r="B1501" s="51" t="str">
        <v>单向单面疏散指示标志灯-带蓄电池</v>
      </c>
      <c r="C1501" s="51" t="e">
        <v>#REF!</v>
      </c>
      <c r="D1501" s="51" t="str">
        <v/>
      </c>
      <c r="E1501" s="51" t="str">
        <v/>
      </c>
      <c r="F1501" s="52" t="e">
        <v>#REF!</v>
      </c>
      <c r="G1501" s="48" t="e">
        <v>#REF!</v>
      </c>
      <c r="H1501" s="49">
        <v>0</v>
      </c>
      <c r="I1501" s="49" t="e">
        <v>#REF!</v>
      </c>
      <c r="J1501" s="50"/>
    </row>
    <row r="1502" ht="28.8" outlineLevel="1" spans="1:10">
      <c r="A1502" s="50">
        <v>552</v>
      </c>
      <c r="B1502" s="51" t="str">
        <v>单向双面疏散指示标志灯-带蓄电池</v>
      </c>
      <c r="C1502" s="51" t="e">
        <v>#REF!</v>
      </c>
      <c r="D1502" s="51" t="str">
        <v/>
      </c>
      <c r="E1502" s="51" t="str">
        <v/>
      </c>
      <c r="F1502" s="52" t="e">
        <v>#REF!</v>
      </c>
      <c r="G1502" s="48" t="e">
        <v>#REF!</v>
      </c>
      <c r="H1502" s="49">
        <v>0</v>
      </c>
      <c r="I1502" s="49" t="e">
        <v>#REF!</v>
      </c>
      <c r="J1502" s="50"/>
    </row>
    <row r="1503" ht="28.8" outlineLevel="1" spans="1:10">
      <c r="A1503" s="50">
        <v>553</v>
      </c>
      <c r="B1503" s="51" t="str">
        <v>双向单面疏散指示标志灯-带蓄电池</v>
      </c>
      <c r="C1503" s="51" t="e">
        <v>#REF!</v>
      </c>
      <c r="D1503" s="51" t="str">
        <v/>
      </c>
      <c r="E1503" s="51" t="str">
        <v/>
      </c>
      <c r="F1503" s="52" t="e">
        <v>#REF!</v>
      </c>
      <c r="G1503" s="48" t="e">
        <v>#REF!</v>
      </c>
      <c r="H1503" s="49">
        <v>0</v>
      </c>
      <c r="I1503" s="49" t="e">
        <v>#REF!</v>
      </c>
      <c r="J1503" s="50"/>
    </row>
    <row r="1504" ht="28.8" outlineLevel="1" spans="1:10">
      <c r="A1504" s="50">
        <v>554</v>
      </c>
      <c r="B1504" s="51" t="str">
        <v>安全出口标志灯-带蓄电池</v>
      </c>
      <c r="C1504" s="51" t="e">
        <v>#REF!</v>
      </c>
      <c r="D1504" s="51" t="str">
        <v/>
      </c>
      <c r="E1504" s="51" t="str">
        <v/>
      </c>
      <c r="F1504" s="52" t="e">
        <v>#REF!</v>
      </c>
      <c r="G1504" s="48" t="e">
        <v>#REF!</v>
      </c>
      <c r="H1504" s="49">
        <v>0</v>
      </c>
      <c r="I1504" s="49" t="e">
        <v>#REF!</v>
      </c>
      <c r="J1504" s="50"/>
    </row>
    <row r="1505" ht="28.8" outlineLevel="1" spans="1:10">
      <c r="A1505" s="50">
        <v>555</v>
      </c>
      <c r="B1505" s="51" t="str">
        <v>E-X带禁止入内的安全出口标志灯-带蓄电池</v>
      </c>
      <c r="C1505" s="51" t="e">
        <v>#REF!</v>
      </c>
      <c r="D1505" s="51" t="str">
        <v/>
      </c>
      <c r="E1505" s="51" t="str">
        <v/>
      </c>
      <c r="F1505" s="52" t="e">
        <v>#REF!</v>
      </c>
      <c r="G1505" s="48" t="e">
        <v>#REF!</v>
      </c>
      <c r="H1505" s="49">
        <v>0</v>
      </c>
      <c r="I1505" s="49" t="e">
        <v>#REF!</v>
      </c>
      <c r="J1505" s="50"/>
    </row>
    <row r="1506" ht="28.8" outlineLevel="1" spans="1:10">
      <c r="A1506" s="50">
        <v>556</v>
      </c>
      <c r="B1506" s="51" t="str">
        <v>火灾禁入标志灯-带蓄电池</v>
      </c>
      <c r="C1506" s="51" t="e">
        <v>#REF!</v>
      </c>
      <c r="D1506" s="51" t="str">
        <v/>
      </c>
      <c r="E1506" s="51" t="str">
        <v/>
      </c>
      <c r="F1506" s="52" t="e">
        <v>#REF!</v>
      </c>
      <c r="G1506" s="48" t="e">
        <v>#REF!</v>
      </c>
      <c r="H1506" s="49">
        <v>0</v>
      </c>
      <c r="I1506" s="49" t="e">
        <v>#REF!</v>
      </c>
      <c r="J1506" s="50"/>
    </row>
    <row r="1507" ht="28.8" outlineLevel="1" spans="1:10">
      <c r="A1507" s="50">
        <v>557</v>
      </c>
      <c r="B1507" s="51" t="str">
        <v>E1消防应急壁灯-带蓄电池</v>
      </c>
      <c r="C1507" s="51" t="e">
        <v>#REF!</v>
      </c>
      <c r="D1507" s="51" t="str">
        <v/>
      </c>
      <c r="E1507" s="51" t="str">
        <v/>
      </c>
      <c r="F1507" s="52" t="e">
        <v>#REF!</v>
      </c>
      <c r="G1507" s="48" t="e">
        <v>#REF!</v>
      </c>
      <c r="H1507" s="49">
        <v>0</v>
      </c>
      <c r="I1507" s="49" t="e">
        <v>#REF!</v>
      </c>
      <c r="J1507" s="50"/>
    </row>
    <row r="1508" ht="28.8" outlineLevel="1" spans="1:10">
      <c r="A1508" s="50">
        <v>558</v>
      </c>
      <c r="B1508" s="51" t="str">
        <v>消防应急吸顶灯-带蓄电池</v>
      </c>
      <c r="C1508" s="51" t="e">
        <v>#REF!</v>
      </c>
      <c r="D1508" s="51" t="str">
        <v/>
      </c>
      <c r="E1508" s="51" t="str">
        <v/>
      </c>
      <c r="F1508" s="52" t="e">
        <v>#REF!</v>
      </c>
      <c r="G1508" s="48" t="e">
        <v>#REF!</v>
      </c>
      <c r="H1508" s="49">
        <v>0</v>
      </c>
      <c r="I1508" s="49" t="e">
        <v>#REF!</v>
      </c>
      <c r="J1508" s="50"/>
    </row>
    <row r="1509" ht="28.8" outlineLevel="1" spans="1:10">
      <c r="A1509" s="50">
        <v>559</v>
      </c>
      <c r="B1509" s="51" t="str">
        <v>消防应急吸顶灯（防护等级IP67）带蓄电池</v>
      </c>
      <c r="C1509" s="51" t="e">
        <v>#REF!</v>
      </c>
      <c r="D1509" s="51" t="str">
        <v/>
      </c>
      <c r="E1509" s="51" t="str">
        <v/>
      </c>
      <c r="F1509" s="52" t="e">
        <v>#REF!</v>
      </c>
      <c r="G1509" s="48" t="e">
        <v>#REF!</v>
      </c>
      <c r="H1509" s="49">
        <v>0</v>
      </c>
      <c r="I1509" s="49" t="e">
        <v>#REF!</v>
      </c>
      <c r="J1509" s="50"/>
    </row>
    <row r="1510" outlineLevel="1" spans="1:10">
      <c r="A1510" s="50">
        <v>560</v>
      </c>
      <c r="B1510" s="51" t="str">
        <v>灯具-安全出口标志灯</v>
      </c>
      <c r="C1510" s="51" t="e">
        <v>#REF!</v>
      </c>
      <c r="D1510" s="51" t="str">
        <v/>
      </c>
      <c r="E1510" s="51" t="str">
        <v/>
      </c>
      <c r="F1510" s="52" t="e">
        <v>#REF!</v>
      </c>
      <c r="G1510" s="48" t="e">
        <v>#REF!</v>
      </c>
      <c r="H1510" s="49">
        <v>0</v>
      </c>
      <c r="I1510" s="49" t="e">
        <v>#REF!</v>
      </c>
      <c r="J1510" s="50"/>
    </row>
    <row r="1511" outlineLevel="1" spans="1:10">
      <c r="A1511" s="50">
        <v>561</v>
      </c>
      <c r="B1511" s="51" t="str">
        <v>灯具-多信息复合标志灯</v>
      </c>
      <c r="C1511" s="51" t="e">
        <v>#REF!</v>
      </c>
      <c r="D1511" s="51" t="str">
        <v/>
      </c>
      <c r="E1511" s="51" t="str">
        <v/>
      </c>
      <c r="F1511" s="52" t="e">
        <v>#REF!</v>
      </c>
      <c r="G1511" s="48" t="e">
        <v>#REF!</v>
      </c>
      <c r="H1511" s="49">
        <v>0</v>
      </c>
      <c r="I1511" s="49" t="e">
        <v>#REF!</v>
      </c>
      <c r="J1511" s="50"/>
    </row>
    <row r="1512" outlineLevel="1" spans="1:10">
      <c r="A1512" s="50">
        <v>562</v>
      </c>
      <c r="B1512" s="51" t="str">
        <v>灯具-楼层指示标志灯</v>
      </c>
      <c r="C1512" s="51" t="e">
        <v>#REF!</v>
      </c>
      <c r="D1512" s="51" t="str">
        <v/>
      </c>
      <c r="E1512" s="51" t="str">
        <v/>
      </c>
      <c r="F1512" s="52" t="e">
        <v>#REF!</v>
      </c>
      <c r="G1512" s="48" t="e">
        <v>#REF!</v>
      </c>
      <c r="H1512" s="49">
        <v>1</v>
      </c>
      <c r="I1512" s="49" t="e">
        <v>#REF!</v>
      </c>
      <c r="J1512" s="50"/>
    </row>
    <row r="1513" outlineLevel="1" spans="1:10">
      <c r="A1513" s="50">
        <v>563</v>
      </c>
      <c r="B1513" s="51" t="str">
        <v>灯具-疏散出口标志灯</v>
      </c>
      <c r="C1513" s="51" t="e">
        <v>#REF!</v>
      </c>
      <c r="D1513" s="51" t="str">
        <v/>
      </c>
      <c r="E1513" s="51" t="str">
        <v/>
      </c>
      <c r="F1513" s="52" t="e">
        <v>#REF!</v>
      </c>
      <c r="G1513" s="48" t="e">
        <v>#REF!</v>
      </c>
      <c r="H1513" s="49">
        <v>3</v>
      </c>
      <c r="I1513" s="49" t="e">
        <v>#REF!</v>
      </c>
      <c r="J1513" s="50"/>
    </row>
    <row r="1514" ht="28.8" outlineLevel="1" spans="1:10">
      <c r="A1514" s="50">
        <v>564</v>
      </c>
      <c r="B1514" s="51" t="str">
        <v>灯具-单向双面疏散指示标志灯</v>
      </c>
      <c r="C1514" s="51" t="e">
        <v>#REF!</v>
      </c>
      <c r="D1514" s="51" t="str">
        <v/>
      </c>
      <c r="E1514" s="51" t="str">
        <v/>
      </c>
      <c r="F1514" s="52" t="e">
        <v>#REF!</v>
      </c>
      <c r="G1514" s="48" t="e">
        <v>#REF!</v>
      </c>
      <c r="H1514" s="49">
        <v>0</v>
      </c>
      <c r="I1514" s="49" t="e">
        <v>#REF!</v>
      </c>
      <c r="J1514" s="50"/>
    </row>
    <row r="1515" ht="28.8" outlineLevel="1" spans="1:10">
      <c r="A1515" s="50">
        <v>565</v>
      </c>
      <c r="B1515" s="51" t="str">
        <v>灯具-消防应急壁灯（微波感应）带蓄电池</v>
      </c>
      <c r="C1515" s="51" t="e">
        <v>#REF!</v>
      </c>
      <c r="D1515" s="51" t="str">
        <v/>
      </c>
      <c r="E1515" s="51" t="str">
        <v/>
      </c>
      <c r="F1515" s="52" t="e">
        <v>#REF!</v>
      </c>
      <c r="G1515" s="48" t="e">
        <v>#REF!</v>
      </c>
      <c r="H1515" s="49">
        <v>1</v>
      </c>
      <c r="I1515" s="49" t="e">
        <v>#REF!</v>
      </c>
      <c r="J1515" s="50"/>
    </row>
    <row r="1516" ht="28.8" outlineLevel="1" spans="1:10">
      <c r="A1516" s="50">
        <v>566</v>
      </c>
      <c r="B1516" s="51" t="str">
        <v>灯具-消防应急吸顶灯-附微波感应带蓄电池</v>
      </c>
      <c r="C1516" s="51" t="e">
        <v>#REF!</v>
      </c>
      <c r="D1516" s="51" t="str">
        <v/>
      </c>
      <c r="E1516" s="51" t="str">
        <v/>
      </c>
      <c r="F1516" s="52" t="e">
        <v>#REF!</v>
      </c>
      <c r="G1516" s="48" t="e">
        <v>#REF!</v>
      </c>
      <c r="H1516" s="49">
        <v>9</v>
      </c>
      <c r="I1516" s="49" t="e">
        <v>#REF!</v>
      </c>
      <c r="J1516" s="50"/>
    </row>
    <row r="1517" ht="28.8" outlineLevel="1" spans="1:10">
      <c r="A1517" s="50">
        <v>567</v>
      </c>
      <c r="B1517" s="51" t="str">
        <v>灯具-单向单面疏散指示标志灯</v>
      </c>
      <c r="C1517" s="51" t="e">
        <v>#REF!</v>
      </c>
      <c r="D1517" s="51" t="str">
        <v/>
      </c>
      <c r="E1517" s="51" t="str">
        <v/>
      </c>
      <c r="F1517" s="52" t="e">
        <v>#REF!</v>
      </c>
      <c r="G1517" s="48" t="e">
        <v>#REF!</v>
      </c>
      <c r="H1517" s="49">
        <v>2</v>
      </c>
      <c r="I1517" s="49" t="e">
        <v>#REF!</v>
      </c>
      <c r="J1517" s="50"/>
    </row>
    <row r="1518" outlineLevel="1" spans="1:10">
      <c r="A1518" s="50">
        <v>568</v>
      </c>
      <c r="B1518" s="51" t="str">
        <v>灯具-消防应急壁灯</v>
      </c>
      <c r="C1518" s="51" t="e">
        <v>#REF!</v>
      </c>
      <c r="D1518" s="51" t="str">
        <v/>
      </c>
      <c r="E1518" s="51" t="str">
        <v/>
      </c>
      <c r="F1518" s="52" t="e">
        <v>#REF!</v>
      </c>
      <c r="G1518" s="48" t="e">
        <v>#REF!</v>
      </c>
      <c r="H1518" s="49">
        <v>0</v>
      </c>
      <c r="I1518" s="49" t="e">
        <v>#REF!</v>
      </c>
      <c r="J1518" s="50"/>
    </row>
    <row r="1519" outlineLevel="1" spans="1:10">
      <c r="A1519" s="50">
        <v>569</v>
      </c>
      <c r="B1519" s="51" t="str">
        <v>灯具-应急单管荧光灯</v>
      </c>
      <c r="C1519" s="51" t="e">
        <v>#REF!</v>
      </c>
      <c r="D1519" s="51" t="str">
        <v/>
      </c>
      <c r="E1519" s="51" t="str">
        <v/>
      </c>
      <c r="F1519" s="52" t="e">
        <v>#REF!</v>
      </c>
      <c r="G1519" s="48" t="e">
        <v>#REF!</v>
      </c>
      <c r="H1519" s="49">
        <v>0</v>
      </c>
      <c r="I1519" s="49" t="e">
        <v>#REF!</v>
      </c>
      <c r="J1519" s="50"/>
    </row>
    <row r="1520" outlineLevel="1" spans="1:10">
      <c r="A1520" s="50" t="str">
        <v/>
      </c>
      <c r="B1520" s="51" t="str">
        <v>B.18.5开关插座</v>
      </c>
      <c r="C1520" s="51" t="str">
        <v/>
      </c>
      <c r="D1520" s="51" t="str">
        <v/>
      </c>
      <c r="E1520" s="51" t="str">
        <v/>
      </c>
      <c r="F1520" s="52" t="str">
        <v/>
      </c>
      <c r="G1520" s="48" t="str">
        <v/>
      </c>
      <c r="H1520" s="49">
        <v>0</v>
      </c>
      <c r="I1520" s="49" t="e">
        <v>#REF!</v>
      </c>
      <c r="J1520" s="50"/>
    </row>
    <row r="1521" outlineLevel="1" spans="1:10">
      <c r="A1521" s="50">
        <v>570</v>
      </c>
      <c r="B1521" s="51" t="str">
        <v>单联单控开关</v>
      </c>
      <c r="C1521" s="51" t="e">
        <v>#REF!</v>
      </c>
      <c r="D1521" s="51" t="str">
        <v/>
      </c>
      <c r="E1521" s="51" t="str">
        <v/>
      </c>
      <c r="F1521" s="52" t="e">
        <v>#REF!</v>
      </c>
      <c r="G1521" s="48" t="e">
        <v>#REF!</v>
      </c>
      <c r="H1521" s="49">
        <v>0</v>
      </c>
      <c r="I1521" s="49" t="e">
        <v>#REF!</v>
      </c>
      <c r="J1521" s="50"/>
    </row>
    <row r="1522" outlineLevel="1" spans="1:10">
      <c r="A1522" s="50">
        <v>571</v>
      </c>
      <c r="B1522" s="51" t="str">
        <v>单联双控开关</v>
      </c>
      <c r="C1522" s="51" t="e">
        <v>#REF!</v>
      </c>
      <c r="D1522" s="51" t="str">
        <v/>
      </c>
      <c r="E1522" s="51" t="str">
        <v/>
      </c>
      <c r="F1522" s="52" t="e">
        <v>#REF!</v>
      </c>
      <c r="G1522" s="48" t="e">
        <v>#REF!</v>
      </c>
      <c r="H1522" s="49">
        <v>0</v>
      </c>
      <c r="I1522" s="49" t="e">
        <v>#REF!</v>
      </c>
      <c r="J1522" s="50"/>
    </row>
    <row r="1523" outlineLevel="1" spans="1:10">
      <c r="A1523" s="50">
        <v>572</v>
      </c>
      <c r="B1523" s="51" t="str">
        <v>双联单控开关</v>
      </c>
      <c r="C1523" s="51" t="e">
        <v>#REF!</v>
      </c>
      <c r="D1523" s="51" t="str">
        <v/>
      </c>
      <c r="E1523" s="51" t="str">
        <v/>
      </c>
      <c r="F1523" s="52" t="e">
        <v>#REF!</v>
      </c>
      <c r="G1523" s="48" t="e">
        <v>#REF!</v>
      </c>
      <c r="H1523" s="49">
        <v>3</v>
      </c>
      <c r="I1523" s="49" t="e">
        <v>#REF!</v>
      </c>
      <c r="J1523" s="50"/>
    </row>
    <row r="1524" outlineLevel="1" spans="1:10">
      <c r="A1524" s="50">
        <v>573</v>
      </c>
      <c r="B1524" s="51" t="str">
        <v>三联单控开关</v>
      </c>
      <c r="C1524" s="51" t="e">
        <v>#REF!</v>
      </c>
      <c r="D1524" s="51" t="str">
        <v/>
      </c>
      <c r="E1524" s="51" t="str">
        <v/>
      </c>
      <c r="F1524" s="52" t="e">
        <v>#REF!</v>
      </c>
      <c r="G1524" s="48" t="e">
        <v>#REF!</v>
      </c>
      <c r="H1524" s="49">
        <v>0</v>
      </c>
      <c r="I1524" s="49" t="e">
        <v>#REF!</v>
      </c>
      <c r="J1524" s="50"/>
    </row>
    <row r="1525" outlineLevel="1" spans="1:10">
      <c r="A1525" s="50">
        <v>574</v>
      </c>
      <c r="B1525" s="51" t="str">
        <v>四联单控开关</v>
      </c>
      <c r="C1525" s="51" t="e">
        <v>#REF!</v>
      </c>
      <c r="D1525" s="51" t="str">
        <v/>
      </c>
      <c r="E1525" s="51" t="str">
        <v/>
      </c>
      <c r="F1525" s="52" t="e">
        <v>#REF!</v>
      </c>
      <c r="G1525" s="48" t="e">
        <v>#REF!</v>
      </c>
      <c r="H1525" s="49">
        <v>1</v>
      </c>
      <c r="I1525" s="49" t="e">
        <v>#REF!</v>
      </c>
      <c r="J1525" s="50"/>
    </row>
    <row r="1526" outlineLevel="1" spans="1:10">
      <c r="A1526" s="50">
        <v>575</v>
      </c>
      <c r="B1526" s="51" t="str">
        <v>五孔插座</v>
      </c>
      <c r="C1526" s="51" t="e">
        <v>#REF!</v>
      </c>
      <c r="D1526" s="51" t="str">
        <v/>
      </c>
      <c r="E1526" s="51" t="str">
        <v/>
      </c>
      <c r="F1526" s="52" t="e">
        <v>#REF!</v>
      </c>
      <c r="G1526" s="48" t="e">
        <v>#REF!</v>
      </c>
      <c r="H1526" s="49">
        <v>5</v>
      </c>
      <c r="I1526" s="49" t="e">
        <v>#REF!</v>
      </c>
      <c r="J1526" s="50"/>
    </row>
    <row r="1527" outlineLevel="1" spans="1:10">
      <c r="A1527" s="50">
        <v>576</v>
      </c>
      <c r="B1527" s="51" t="str">
        <v>电梯检修插座</v>
      </c>
      <c r="C1527" s="51" t="e">
        <v>#REF!</v>
      </c>
      <c r="D1527" s="51" t="str">
        <v/>
      </c>
      <c r="E1527" s="51" t="str">
        <v/>
      </c>
      <c r="F1527" s="52" t="e">
        <v>#REF!</v>
      </c>
      <c r="G1527" s="48" t="e">
        <v>#REF!</v>
      </c>
      <c r="H1527" s="49">
        <v>1</v>
      </c>
      <c r="I1527" s="49" t="e">
        <v>#REF!</v>
      </c>
      <c r="J1527" s="50"/>
    </row>
    <row r="1528" outlineLevel="1" spans="1:10">
      <c r="A1528" s="50">
        <v>577</v>
      </c>
      <c r="B1528" s="51" t="str">
        <v>卫生间五孔插座（IP54）</v>
      </c>
      <c r="C1528" s="51" t="e">
        <v>#REF!</v>
      </c>
      <c r="D1528" s="51" t="str">
        <v/>
      </c>
      <c r="E1528" s="51" t="str">
        <v/>
      </c>
      <c r="F1528" s="52" t="e">
        <v>#REF!</v>
      </c>
      <c r="G1528" s="48" t="e">
        <v>#REF!</v>
      </c>
      <c r="H1528" s="49">
        <v>0</v>
      </c>
      <c r="I1528" s="49" t="e">
        <v>#REF!</v>
      </c>
      <c r="J1528" s="50"/>
    </row>
    <row r="1529" outlineLevel="1" spans="1:10">
      <c r="A1529" s="50">
        <v>578</v>
      </c>
      <c r="B1529" s="51" t="str">
        <v>电磁阀五孔插座（IP54）</v>
      </c>
      <c r="C1529" s="51" t="e">
        <v>#REF!</v>
      </c>
      <c r="D1529" s="51" t="str">
        <v/>
      </c>
      <c r="E1529" s="51" t="str">
        <v/>
      </c>
      <c r="F1529" s="52" t="e">
        <v>#REF!</v>
      </c>
      <c r="G1529" s="48" t="e">
        <v>#REF!</v>
      </c>
      <c r="H1529" s="49">
        <v>0</v>
      </c>
      <c r="I1529" s="49" t="e">
        <v>#REF!</v>
      </c>
      <c r="J1529" s="50"/>
    </row>
    <row r="1530" ht="28.8" outlineLevel="1" spans="1:10">
      <c r="A1530" s="50">
        <v>579</v>
      </c>
      <c r="B1530" s="51" t="str">
        <v>空调挂机、柜机三孔插座-（带开关）</v>
      </c>
      <c r="C1530" s="51" t="e">
        <v>#REF!</v>
      </c>
      <c r="D1530" s="51" t="str">
        <v/>
      </c>
      <c r="E1530" s="51" t="str">
        <v/>
      </c>
      <c r="F1530" s="52" t="e">
        <v>#REF!</v>
      </c>
      <c r="G1530" s="48" t="e">
        <v>#REF!</v>
      </c>
      <c r="H1530" s="49">
        <v>0</v>
      </c>
      <c r="I1530" s="49" t="e">
        <v>#REF!</v>
      </c>
      <c r="J1530" s="50"/>
    </row>
    <row r="1531" outlineLevel="1" spans="1:10">
      <c r="A1531" s="50">
        <v>580</v>
      </c>
      <c r="B1531" s="51" t="str">
        <v>电动门五孔插座</v>
      </c>
      <c r="C1531" s="51" t="e">
        <v>#REF!</v>
      </c>
      <c r="D1531" s="51" t="str">
        <v/>
      </c>
      <c r="E1531" s="51" t="str">
        <v/>
      </c>
      <c r="F1531" s="52" t="e">
        <v>#REF!</v>
      </c>
      <c r="G1531" s="48" t="e">
        <v>#REF!</v>
      </c>
      <c r="H1531" s="49">
        <v>0</v>
      </c>
      <c r="I1531" s="49" t="e">
        <v>#REF!</v>
      </c>
      <c r="J1531" s="50"/>
    </row>
    <row r="1532" outlineLevel="1" spans="1:10">
      <c r="A1532" s="50">
        <v>581</v>
      </c>
      <c r="B1532" s="51" t="str">
        <v>五孔插座</v>
      </c>
      <c r="C1532" s="51" t="e">
        <v>#REF!</v>
      </c>
      <c r="D1532" s="51" t="str">
        <v/>
      </c>
      <c r="E1532" s="51" t="str">
        <v/>
      </c>
      <c r="F1532" s="52" t="e">
        <v>#REF!</v>
      </c>
      <c r="G1532" s="48" t="e">
        <v>#REF!</v>
      </c>
      <c r="H1532" s="49">
        <v>0</v>
      </c>
      <c r="I1532" s="49" t="e">
        <v>#REF!</v>
      </c>
      <c r="J1532" s="50"/>
    </row>
    <row r="1533" outlineLevel="1" spans="1:10">
      <c r="A1533" s="50">
        <v>582</v>
      </c>
      <c r="B1533" s="51" t="str">
        <v>电伴热插座</v>
      </c>
      <c r="C1533" s="51" t="e">
        <v>#REF!</v>
      </c>
      <c r="D1533" s="51" t="str">
        <v/>
      </c>
      <c r="E1533" s="51" t="str">
        <v/>
      </c>
      <c r="F1533" s="52" t="e">
        <v>#REF!</v>
      </c>
      <c r="G1533" s="48" t="e">
        <v>#REF!</v>
      </c>
      <c r="H1533" s="49">
        <v>0</v>
      </c>
      <c r="I1533" s="49" t="e">
        <v>#REF!</v>
      </c>
      <c r="J1533" s="50"/>
    </row>
    <row r="1534" outlineLevel="1" spans="1:10">
      <c r="A1534" s="50">
        <v>583</v>
      </c>
      <c r="B1534" s="51" t="str">
        <v>警报插座</v>
      </c>
      <c r="C1534" s="51" t="e">
        <v>#REF!</v>
      </c>
      <c r="D1534" s="51" t="str">
        <v/>
      </c>
      <c r="E1534" s="51" t="str">
        <v/>
      </c>
      <c r="F1534" s="52" t="e">
        <v>#REF!</v>
      </c>
      <c r="G1534" s="48" t="e">
        <v>#REF!</v>
      </c>
      <c r="H1534" s="49">
        <v>0</v>
      </c>
      <c r="I1534" s="49" t="e">
        <v>#REF!</v>
      </c>
      <c r="J1534" s="50"/>
    </row>
    <row r="1535" outlineLevel="1" spans="1:10">
      <c r="A1535" s="50">
        <v>584</v>
      </c>
      <c r="B1535" s="51" t="str">
        <v>滤毒室插座</v>
      </c>
      <c r="C1535" s="51" t="e">
        <v>#REF!</v>
      </c>
      <c r="D1535" s="51" t="str">
        <v/>
      </c>
      <c r="E1535" s="51" t="str">
        <v/>
      </c>
      <c r="F1535" s="52" t="e">
        <v>#REF!</v>
      </c>
      <c r="G1535" s="48" t="e">
        <v>#REF!</v>
      </c>
      <c r="H1535" s="49">
        <v>0</v>
      </c>
      <c r="I1535" s="49" t="e">
        <v>#REF!</v>
      </c>
      <c r="J1535" s="50"/>
    </row>
    <row r="1536" outlineLevel="1" spans="1:10">
      <c r="A1536" s="50">
        <v>585</v>
      </c>
      <c r="B1536" s="51" t="str">
        <v>人防呼唤按钮</v>
      </c>
      <c r="C1536" s="51" t="e">
        <v>#REF!</v>
      </c>
      <c r="D1536" s="51" t="str">
        <v/>
      </c>
      <c r="E1536" s="51" t="str">
        <v/>
      </c>
      <c r="F1536" s="52" t="e">
        <v>#REF!</v>
      </c>
      <c r="G1536" s="48" t="e">
        <v>#REF!</v>
      </c>
      <c r="H1536" s="49">
        <v>0</v>
      </c>
      <c r="I1536" s="49" t="e">
        <v>#REF!</v>
      </c>
      <c r="J1536" s="50"/>
    </row>
    <row r="1537" outlineLevel="1" spans="1:10">
      <c r="A1537" s="50">
        <v>586</v>
      </c>
      <c r="B1537" s="51" t="str">
        <v>电话插孔</v>
      </c>
      <c r="C1537" s="51" t="e">
        <v>#REF!</v>
      </c>
      <c r="D1537" s="51" t="str">
        <v/>
      </c>
      <c r="E1537" s="51" t="str">
        <v/>
      </c>
      <c r="F1537" s="52" t="e">
        <v>#REF!</v>
      </c>
      <c r="G1537" s="48" t="e">
        <v>#REF!</v>
      </c>
      <c r="H1537" s="49">
        <v>0</v>
      </c>
      <c r="I1537" s="49" t="e">
        <v>#REF!</v>
      </c>
      <c r="J1537" s="50"/>
    </row>
    <row r="1538" ht="28.8" outlineLevel="1" spans="1:10">
      <c r="A1538" s="50">
        <v>587</v>
      </c>
      <c r="B1538" s="51" t="str">
        <v>暗装排气扇接线盒（含面板）</v>
      </c>
      <c r="C1538" s="51" t="e">
        <v>#REF!</v>
      </c>
      <c r="D1538" s="51" t="str">
        <v/>
      </c>
      <c r="E1538" s="51" t="str">
        <v/>
      </c>
      <c r="F1538" s="52" t="e">
        <v>#REF!</v>
      </c>
      <c r="G1538" s="48" t="e">
        <v>#REF!</v>
      </c>
      <c r="H1538" s="49">
        <v>0</v>
      </c>
      <c r="I1538" s="49" t="e">
        <v>#REF!</v>
      </c>
      <c r="J1538" s="50"/>
    </row>
    <row r="1539" outlineLevel="1" spans="1:10">
      <c r="A1539" s="50">
        <v>588</v>
      </c>
      <c r="B1539" s="51" t="str">
        <v>空白面板</v>
      </c>
      <c r="C1539" s="51" t="e">
        <v>#REF!</v>
      </c>
      <c r="D1539" s="51" t="str">
        <v/>
      </c>
      <c r="E1539" s="51" t="str">
        <v/>
      </c>
      <c r="F1539" s="52" t="e">
        <v>#REF!</v>
      </c>
      <c r="G1539" s="48" t="e">
        <v>#REF!</v>
      </c>
      <c r="H1539" s="49">
        <v>0</v>
      </c>
      <c r="I1539" s="49" t="e">
        <v>#REF!</v>
      </c>
      <c r="J1539" s="50"/>
    </row>
    <row r="1540" outlineLevel="1" spans="1:10">
      <c r="A1540" s="50">
        <v>589</v>
      </c>
      <c r="B1540" s="51" t="str">
        <v>暗装塑料接线盒</v>
      </c>
      <c r="C1540" s="51" t="e">
        <v>#REF!</v>
      </c>
      <c r="D1540" s="51" t="str">
        <v/>
      </c>
      <c r="E1540" s="51" t="str">
        <v/>
      </c>
      <c r="F1540" s="52" t="e">
        <v>#REF!</v>
      </c>
      <c r="G1540" s="48" t="e">
        <v>#REF!</v>
      </c>
      <c r="H1540" s="49">
        <v>9</v>
      </c>
      <c r="I1540" s="49" t="e">
        <v>#REF!</v>
      </c>
      <c r="J1540" s="50"/>
    </row>
    <row r="1541" outlineLevel="1" spans="1:10">
      <c r="A1541" s="50">
        <v>590</v>
      </c>
      <c r="B1541" s="51" t="str">
        <v>暗装钢制接线盒</v>
      </c>
      <c r="C1541" s="51" t="e">
        <v>#REF!</v>
      </c>
      <c r="D1541" s="51" t="str">
        <v/>
      </c>
      <c r="E1541" s="51" t="str">
        <v/>
      </c>
      <c r="F1541" s="52" t="e">
        <v>#REF!</v>
      </c>
      <c r="G1541" s="48" t="e">
        <v>#REF!</v>
      </c>
      <c r="H1541" s="49">
        <v>31</v>
      </c>
      <c r="I1541" s="49" t="e">
        <v>#REF!</v>
      </c>
      <c r="J1541" s="50"/>
    </row>
    <row r="1542" outlineLevel="1" spans="1:10">
      <c r="A1542" s="50">
        <v>591</v>
      </c>
      <c r="B1542" s="51" t="str">
        <v>低压熔断器</v>
      </c>
      <c r="C1542" s="51" t="e">
        <v>#REF!</v>
      </c>
      <c r="D1542" s="51" t="str">
        <v/>
      </c>
      <c r="E1542" s="51" t="str">
        <v/>
      </c>
      <c r="F1542" s="52" t="e">
        <v>#REF!</v>
      </c>
      <c r="G1542" s="48" t="e">
        <v>#REF!</v>
      </c>
      <c r="H1542" s="49">
        <v>0</v>
      </c>
      <c r="I1542" s="49" t="e">
        <v>#REF!</v>
      </c>
      <c r="J1542" s="50"/>
    </row>
    <row r="1543" outlineLevel="1" spans="1:10">
      <c r="A1543" s="50" t="str">
        <v/>
      </c>
      <c r="B1543" s="51" t="str">
        <v>B.18.6防雷接地</v>
      </c>
      <c r="C1543" s="51" t="str">
        <v/>
      </c>
      <c r="D1543" s="51" t="str">
        <v/>
      </c>
      <c r="E1543" s="51" t="str">
        <v/>
      </c>
      <c r="F1543" s="52" t="str">
        <v/>
      </c>
      <c r="G1543" s="48" t="str">
        <v/>
      </c>
      <c r="H1543" s="49">
        <v>0</v>
      </c>
      <c r="I1543" s="49" t="e">
        <v>#REF!</v>
      </c>
      <c r="J1543" s="50"/>
    </row>
    <row r="1544" outlineLevel="1" spans="1:10">
      <c r="A1544" s="50">
        <v>592</v>
      </c>
      <c r="B1544" s="51" t="str">
        <v>接地极</v>
      </c>
      <c r="C1544" s="51" t="e">
        <v>#REF!</v>
      </c>
      <c r="D1544" s="51" t="str">
        <v/>
      </c>
      <c r="E1544" s="51" t="str">
        <v/>
      </c>
      <c r="F1544" s="52" t="e">
        <v>#REF!</v>
      </c>
      <c r="G1544" s="48" t="e">
        <v>#REF!</v>
      </c>
      <c r="H1544" s="49">
        <v>477.32</v>
      </c>
      <c r="I1544" s="49" t="e">
        <v>#REF!</v>
      </c>
      <c r="J1544" s="50"/>
    </row>
    <row r="1545" outlineLevel="1" spans="1:10">
      <c r="A1545" s="50">
        <v>593</v>
      </c>
      <c r="B1545" s="51" t="str">
        <v>避雷引下线1</v>
      </c>
      <c r="C1545" s="51" t="e">
        <v>#REF!</v>
      </c>
      <c r="D1545" s="51" t="str">
        <v/>
      </c>
      <c r="E1545" s="51" t="str">
        <v/>
      </c>
      <c r="F1545" s="52" t="e">
        <v>#REF!</v>
      </c>
      <c r="G1545" s="48" t="e">
        <v>#REF!</v>
      </c>
      <c r="H1545" s="49">
        <v>62.86</v>
      </c>
      <c r="I1545" s="49" t="e">
        <v>#REF!</v>
      </c>
      <c r="J1545" s="50"/>
    </row>
    <row r="1546" outlineLevel="1" spans="1:10">
      <c r="A1546" s="50">
        <v>594</v>
      </c>
      <c r="B1546" s="51" t="str">
        <v>局部等电位端子箱</v>
      </c>
      <c r="C1546" s="51" t="e">
        <v>#REF!</v>
      </c>
      <c r="D1546" s="51" t="str">
        <v/>
      </c>
      <c r="E1546" s="51" t="str">
        <v/>
      </c>
      <c r="F1546" s="52" t="e">
        <v>#REF!</v>
      </c>
      <c r="G1546" s="48" t="e">
        <v>#REF!</v>
      </c>
      <c r="H1546" s="49">
        <v>2</v>
      </c>
      <c r="I1546" s="49" t="e">
        <v>#REF!</v>
      </c>
      <c r="J1546" s="50"/>
    </row>
    <row r="1547" outlineLevel="1" spans="1:10">
      <c r="A1547" s="50">
        <v>595</v>
      </c>
      <c r="B1547" s="51" t="str">
        <v>总等电位连接端子箱</v>
      </c>
      <c r="C1547" s="51" t="e">
        <v>#REF!</v>
      </c>
      <c r="D1547" s="51" t="str">
        <v/>
      </c>
      <c r="E1547" s="51" t="str">
        <v/>
      </c>
      <c r="F1547" s="52" t="e">
        <v>#REF!</v>
      </c>
      <c r="G1547" s="48" t="e">
        <v>#REF!</v>
      </c>
      <c r="H1547" s="49">
        <v>1</v>
      </c>
      <c r="I1547" s="49" t="e">
        <v>#REF!</v>
      </c>
      <c r="J1547" s="50"/>
    </row>
    <row r="1548" ht="28.8" outlineLevel="1" spans="1:10">
      <c r="A1548" s="50">
        <v>596</v>
      </c>
      <c r="B1548" s="51" t="str">
        <v>进出户管道、突出金属物接地</v>
      </c>
      <c r="C1548" s="51" t="e">
        <v>#REF!</v>
      </c>
      <c r="D1548" s="51" t="str">
        <v/>
      </c>
      <c r="E1548" s="51" t="str">
        <v/>
      </c>
      <c r="F1548" s="52" t="e">
        <v>#REF!</v>
      </c>
      <c r="G1548" s="48" t="e">
        <v>#REF!</v>
      </c>
      <c r="H1548" s="49">
        <v>0</v>
      </c>
      <c r="I1548" s="49" t="e">
        <v>#REF!</v>
      </c>
      <c r="J1548" s="50"/>
    </row>
    <row r="1549" outlineLevel="1" spans="1:10">
      <c r="A1549" s="50">
        <v>597</v>
      </c>
      <c r="B1549" s="51" t="str">
        <v>钢铝窗接地</v>
      </c>
      <c r="C1549" s="51" t="e">
        <v>#REF!</v>
      </c>
      <c r="D1549" s="51" t="str">
        <v/>
      </c>
      <c r="E1549" s="51" t="str">
        <v/>
      </c>
      <c r="F1549" s="52" t="e">
        <v>#REF!</v>
      </c>
      <c r="G1549" s="48" t="e">
        <v>#REF!</v>
      </c>
      <c r="H1549" s="49">
        <v>0</v>
      </c>
      <c r="I1549" s="49" t="e">
        <v>#REF!</v>
      </c>
      <c r="J1549" s="50"/>
    </row>
    <row r="1550" outlineLevel="1" spans="1:10">
      <c r="A1550" s="50">
        <v>598</v>
      </c>
      <c r="B1550" s="51" t="str">
        <v>接地跨接线</v>
      </c>
      <c r="C1550" s="51" t="e">
        <v>#REF!</v>
      </c>
      <c r="D1550" s="51" t="str">
        <v/>
      </c>
      <c r="E1550" s="51" t="str">
        <v/>
      </c>
      <c r="F1550" s="52" t="e">
        <v>#REF!</v>
      </c>
      <c r="G1550" s="48" t="e">
        <v>#REF!</v>
      </c>
      <c r="H1550" s="49">
        <v>45</v>
      </c>
      <c r="I1550" s="49" t="e">
        <v>#REF!</v>
      </c>
      <c r="J1550" s="50"/>
    </row>
    <row r="1551" outlineLevel="1" spans="1:10">
      <c r="A1551" s="50">
        <v>599</v>
      </c>
      <c r="B1551" s="51" t="str">
        <v>接地端子板</v>
      </c>
      <c r="C1551" s="51" t="e">
        <v>#REF!</v>
      </c>
      <c r="D1551" s="51" t="str">
        <v/>
      </c>
      <c r="E1551" s="51" t="str">
        <v/>
      </c>
      <c r="F1551" s="52" t="e">
        <v>#REF!</v>
      </c>
      <c r="G1551" s="48" t="e">
        <v>#REF!</v>
      </c>
      <c r="H1551" s="49">
        <v>0</v>
      </c>
      <c r="I1551" s="49" t="e">
        <v>#REF!</v>
      </c>
      <c r="J1551" s="50"/>
    </row>
    <row r="1552" outlineLevel="1" spans="1:10">
      <c r="A1552" s="50">
        <v>600</v>
      </c>
      <c r="B1552" s="51" t="str">
        <v>接地连接板</v>
      </c>
      <c r="C1552" s="51" t="e">
        <v>#REF!</v>
      </c>
      <c r="D1552" s="51" t="str">
        <v/>
      </c>
      <c r="E1552" s="51" t="str">
        <v/>
      </c>
      <c r="F1552" s="52" t="e">
        <v>#REF!</v>
      </c>
      <c r="G1552" s="48" t="e">
        <v>#REF!</v>
      </c>
      <c r="H1552" s="49">
        <v>0</v>
      </c>
      <c r="I1552" s="49" t="e">
        <v>#REF!</v>
      </c>
      <c r="J1552" s="50"/>
    </row>
    <row r="1553" outlineLevel="1" spans="1:10">
      <c r="A1553" s="50">
        <v>601</v>
      </c>
      <c r="B1553" s="51" t="str">
        <v>镀锌钢板接地极</v>
      </c>
      <c r="C1553" s="51" t="e">
        <v>#REF!</v>
      </c>
      <c r="D1553" s="51" t="str">
        <v/>
      </c>
      <c r="E1553" s="51" t="str">
        <v/>
      </c>
      <c r="F1553" s="52" t="e">
        <v>#REF!</v>
      </c>
      <c r="G1553" s="48" t="e">
        <v>#REF!</v>
      </c>
      <c r="H1553" s="49">
        <v>0</v>
      </c>
      <c r="I1553" s="49" t="e">
        <v>#REF!</v>
      </c>
      <c r="J1553" s="50"/>
    </row>
    <row r="1554" outlineLevel="1" spans="1:10">
      <c r="A1554" s="50">
        <v>602</v>
      </c>
      <c r="B1554" s="51" t="str">
        <v>接地母线-40*4（室外）</v>
      </c>
      <c r="C1554" s="51" t="e">
        <v>#REF!</v>
      </c>
      <c r="D1554" s="51" t="str">
        <v/>
      </c>
      <c r="E1554" s="51" t="str">
        <v/>
      </c>
      <c r="F1554" s="52" t="e">
        <v>#REF!</v>
      </c>
      <c r="G1554" s="48" t="e">
        <v>#REF!</v>
      </c>
      <c r="H1554" s="49">
        <v>0</v>
      </c>
      <c r="I1554" s="49" t="e">
        <v>#REF!</v>
      </c>
      <c r="J1554" s="50"/>
    </row>
    <row r="1555" outlineLevel="1" spans="1:10">
      <c r="A1555" s="50">
        <v>603</v>
      </c>
      <c r="B1555" s="51" t="str">
        <v>接地母线-50*5</v>
      </c>
      <c r="C1555" s="51" t="e">
        <v>#REF!</v>
      </c>
      <c r="D1555" s="51" t="str">
        <v/>
      </c>
      <c r="E1555" s="51" t="str">
        <v/>
      </c>
      <c r="F1555" s="52" t="e">
        <v>#REF!</v>
      </c>
      <c r="G1555" s="48" t="e">
        <v>#REF!</v>
      </c>
      <c r="H1555" s="49">
        <v>0</v>
      </c>
      <c r="I1555" s="49" t="e">
        <v>#REF!</v>
      </c>
      <c r="J1555" s="50"/>
    </row>
    <row r="1556" outlineLevel="1" spans="1:10">
      <c r="A1556" s="50">
        <v>604</v>
      </c>
      <c r="B1556" s="51" t="str">
        <v>接地母线-40*4</v>
      </c>
      <c r="C1556" s="51" t="e">
        <v>#REF!</v>
      </c>
      <c r="D1556" s="51" t="str">
        <v/>
      </c>
      <c r="E1556" s="51" t="str">
        <v/>
      </c>
      <c r="F1556" s="52" t="e">
        <v>#REF!</v>
      </c>
      <c r="G1556" s="48" t="e">
        <v>#REF!</v>
      </c>
      <c r="H1556" s="49">
        <v>0</v>
      </c>
      <c r="I1556" s="49" t="e">
        <v>#REF!</v>
      </c>
      <c r="J1556" s="50"/>
    </row>
    <row r="1557" ht="28.8" outlineLevel="1" spans="1:10">
      <c r="A1557" s="50">
        <v>605</v>
      </c>
      <c r="B1557" s="51" t="str">
        <v>阻燃塑料管配管-PC32-暗配</v>
      </c>
      <c r="C1557" s="51" t="e">
        <v>#REF!</v>
      </c>
      <c r="D1557" s="51" t="str">
        <v/>
      </c>
      <c r="E1557" s="51" t="str">
        <v/>
      </c>
      <c r="F1557" s="52" t="e">
        <v>#REF!</v>
      </c>
      <c r="G1557" s="48" t="e">
        <v>#REF!</v>
      </c>
      <c r="H1557" s="49">
        <v>1.06</v>
      </c>
      <c r="I1557" s="49" t="e">
        <v>#REF!</v>
      </c>
      <c r="J1557" s="50"/>
    </row>
    <row r="1558" outlineLevel="1" spans="1:10">
      <c r="A1558" s="50">
        <v>606</v>
      </c>
      <c r="B1558" s="51" t="str">
        <v>综合配线-BV25</v>
      </c>
      <c r="C1558" s="51" t="e">
        <v>#REF!</v>
      </c>
      <c r="D1558" s="51" t="str">
        <v/>
      </c>
      <c r="E1558" s="51" t="str">
        <v/>
      </c>
      <c r="F1558" s="52" t="e">
        <v>#REF!</v>
      </c>
      <c r="G1558" s="48" t="e">
        <v>#REF!</v>
      </c>
      <c r="H1558" s="49">
        <v>1.06</v>
      </c>
      <c r="I1558" s="49" t="e">
        <v>#REF!</v>
      </c>
      <c r="J1558" s="50"/>
    </row>
    <row r="1559" outlineLevel="1" spans="1:10">
      <c r="A1559" s="50">
        <v>607</v>
      </c>
      <c r="B1559" s="51" t="str">
        <v>接地装置</v>
      </c>
      <c r="C1559" s="51" t="e">
        <v>#REF!</v>
      </c>
      <c r="D1559" s="51" t="str">
        <v/>
      </c>
      <c r="E1559" s="51" t="str">
        <v/>
      </c>
      <c r="F1559" s="52" t="e">
        <v>#REF!</v>
      </c>
      <c r="G1559" s="48" t="e">
        <v>#REF!</v>
      </c>
      <c r="H1559" s="49">
        <v>1</v>
      </c>
      <c r="I1559" s="49" t="e">
        <v>#REF!</v>
      </c>
      <c r="J1559" s="50"/>
    </row>
    <row r="1560" outlineLevel="1" spans="1:10">
      <c r="A1560" s="50" t="str">
        <v/>
      </c>
      <c r="B1560" s="51" t="str">
        <v>B.19弱电工程</v>
      </c>
      <c r="C1560" s="51" t="str">
        <v/>
      </c>
      <c r="D1560" s="51" t="str">
        <v/>
      </c>
      <c r="E1560" s="51" t="str">
        <v/>
      </c>
      <c r="F1560" s="52" t="str">
        <v/>
      </c>
      <c r="G1560" s="48" t="str">
        <v/>
      </c>
      <c r="H1560" s="49">
        <v>0</v>
      </c>
      <c r="I1560" s="49" t="e">
        <v>#REF!</v>
      </c>
      <c r="J1560" s="50"/>
    </row>
    <row r="1561" outlineLevel="1" spans="1:10">
      <c r="A1561" s="50">
        <v>608</v>
      </c>
      <c r="B1561" s="51" t="str">
        <v>金属桥架-100*100</v>
      </c>
      <c r="C1561" s="51" t="e">
        <v>#REF!</v>
      </c>
      <c r="D1561" s="51" t="str">
        <v/>
      </c>
      <c r="E1561" s="51" t="str">
        <v/>
      </c>
      <c r="F1561" s="52" t="e">
        <v>#REF!</v>
      </c>
      <c r="G1561" s="48" t="e">
        <v>#REF!</v>
      </c>
      <c r="H1561" s="49">
        <v>13.817</v>
      </c>
      <c r="I1561" s="49" t="e">
        <v>#REF!</v>
      </c>
      <c r="J1561" s="50"/>
    </row>
    <row r="1562" outlineLevel="1" spans="1:10">
      <c r="A1562" s="50">
        <v>609</v>
      </c>
      <c r="B1562" s="51" t="str">
        <v>金属桥架-300*200</v>
      </c>
      <c r="C1562" s="51" t="e">
        <v>#REF!</v>
      </c>
      <c r="D1562" s="51" t="str">
        <v/>
      </c>
      <c r="E1562" s="51" t="str">
        <v/>
      </c>
      <c r="F1562" s="52" t="e">
        <v>#REF!</v>
      </c>
      <c r="G1562" s="48" t="e">
        <v>#REF!</v>
      </c>
      <c r="H1562" s="49">
        <v>0</v>
      </c>
      <c r="I1562" s="49" t="e">
        <v>#REF!</v>
      </c>
      <c r="J1562" s="50"/>
    </row>
    <row r="1563" outlineLevel="1" spans="1:10">
      <c r="A1563" s="50">
        <v>610</v>
      </c>
      <c r="B1563" s="51" t="str">
        <v>金属桥架-200*200</v>
      </c>
      <c r="C1563" s="51" t="e">
        <v>#REF!</v>
      </c>
      <c r="D1563" s="51" t="str">
        <v/>
      </c>
      <c r="E1563" s="51" t="str">
        <v/>
      </c>
      <c r="F1563" s="52" t="e">
        <v>#REF!</v>
      </c>
      <c r="G1563" s="48" t="e">
        <v>#REF!</v>
      </c>
      <c r="H1563" s="49">
        <v>0</v>
      </c>
      <c r="I1563" s="49" t="e">
        <v>#REF!</v>
      </c>
      <c r="J1563" s="50"/>
    </row>
    <row r="1564" outlineLevel="1" spans="1:10">
      <c r="A1564" s="50">
        <v>611</v>
      </c>
      <c r="B1564" s="51" t="str">
        <v>金属桥架-200*100</v>
      </c>
      <c r="C1564" s="51" t="e">
        <v>#REF!</v>
      </c>
      <c r="D1564" s="51" t="str">
        <v/>
      </c>
      <c r="E1564" s="51" t="str">
        <v/>
      </c>
      <c r="F1564" s="52" t="e">
        <v>#REF!</v>
      </c>
      <c r="G1564" s="48" t="e">
        <v>#REF!</v>
      </c>
      <c r="H1564" s="49">
        <v>0</v>
      </c>
      <c r="I1564" s="49" t="e">
        <v>#REF!</v>
      </c>
      <c r="J1564" s="50"/>
    </row>
    <row r="1565" outlineLevel="1" spans="1:10">
      <c r="A1565" s="50">
        <v>612</v>
      </c>
      <c r="B1565" s="51" t="str">
        <v>金属桥架-150*100</v>
      </c>
      <c r="C1565" s="51" t="e">
        <v>#REF!</v>
      </c>
      <c r="D1565" s="51" t="str">
        <v/>
      </c>
      <c r="E1565" s="51" t="str">
        <v/>
      </c>
      <c r="F1565" s="52" t="e">
        <v>#REF!</v>
      </c>
      <c r="G1565" s="48" t="e">
        <v>#REF!</v>
      </c>
      <c r="H1565" s="49">
        <v>0</v>
      </c>
      <c r="I1565" s="49" t="e">
        <v>#REF!</v>
      </c>
      <c r="J1565" s="50"/>
    </row>
    <row r="1566" outlineLevel="1" spans="1:10">
      <c r="A1566" s="50">
        <v>613</v>
      </c>
      <c r="B1566" s="51" t="str">
        <v>金属桥架-150*100</v>
      </c>
      <c r="C1566" s="51" t="e">
        <v>#REF!</v>
      </c>
      <c r="D1566" s="51" t="str">
        <v/>
      </c>
      <c r="E1566" s="51" t="str">
        <v/>
      </c>
      <c r="F1566" s="52" t="e">
        <v>#REF!</v>
      </c>
      <c r="G1566" s="48" t="e">
        <v>#REF!</v>
      </c>
      <c r="H1566" s="49">
        <v>0</v>
      </c>
      <c r="I1566" s="49" t="e">
        <v>#REF!</v>
      </c>
      <c r="J1566" s="50"/>
    </row>
    <row r="1567" outlineLevel="1" spans="1:10">
      <c r="A1567" s="50">
        <v>614</v>
      </c>
      <c r="B1567" s="51" t="str">
        <v>金属桥架-200*100</v>
      </c>
      <c r="C1567" s="51" t="e">
        <v>#REF!</v>
      </c>
      <c r="D1567" s="51" t="str">
        <v/>
      </c>
      <c r="E1567" s="51" t="str">
        <v/>
      </c>
      <c r="F1567" s="52" t="e">
        <v>#REF!</v>
      </c>
      <c r="G1567" s="48" t="e">
        <v>#REF!</v>
      </c>
      <c r="H1567" s="49">
        <v>0</v>
      </c>
      <c r="I1567" s="49" t="e">
        <v>#REF!</v>
      </c>
      <c r="J1567" s="50"/>
    </row>
    <row r="1568" outlineLevel="1" spans="1:10">
      <c r="A1568" s="50">
        <v>615</v>
      </c>
      <c r="B1568" s="51" t="str">
        <v>金属桥架-80*50</v>
      </c>
      <c r="C1568" s="51" t="e">
        <v>#REF!</v>
      </c>
      <c r="D1568" s="51" t="str">
        <v/>
      </c>
      <c r="E1568" s="51" t="str">
        <v/>
      </c>
      <c r="F1568" s="52" t="e">
        <v>#REF!</v>
      </c>
      <c r="G1568" s="48" t="e">
        <v>#REF!</v>
      </c>
      <c r="H1568" s="49">
        <v>0</v>
      </c>
      <c r="I1568" s="49" t="e">
        <v>#REF!</v>
      </c>
      <c r="J1568" s="50"/>
    </row>
    <row r="1569" outlineLevel="1" spans="1:10">
      <c r="A1569" s="50">
        <v>616</v>
      </c>
      <c r="B1569" s="51" t="str">
        <v>金属桥架-100*50</v>
      </c>
      <c r="C1569" s="51" t="e">
        <v>#REF!</v>
      </c>
      <c r="D1569" s="51" t="str">
        <v/>
      </c>
      <c r="E1569" s="51" t="str">
        <v/>
      </c>
      <c r="F1569" s="52" t="e">
        <v>#REF!</v>
      </c>
      <c r="G1569" s="48" t="e">
        <v>#REF!</v>
      </c>
      <c r="H1569" s="49">
        <v>0</v>
      </c>
      <c r="I1569" s="49" t="e">
        <v>#REF!</v>
      </c>
      <c r="J1569" s="50"/>
    </row>
    <row r="1570" outlineLevel="1" spans="1:10">
      <c r="A1570" s="50">
        <v>617</v>
      </c>
      <c r="B1570" s="51" t="str">
        <v>防火堵洞</v>
      </c>
      <c r="C1570" s="51" t="e">
        <v>#REF!</v>
      </c>
      <c r="D1570" s="51" t="str">
        <v/>
      </c>
      <c r="E1570" s="51" t="str">
        <v/>
      </c>
      <c r="F1570" s="52" t="e">
        <v>#REF!</v>
      </c>
      <c r="G1570" s="48" t="e">
        <v>#REF!</v>
      </c>
      <c r="H1570" s="49">
        <v>3</v>
      </c>
      <c r="I1570" s="49" t="e">
        <v>#REF!</v>
      </c>
      <c r="J1570" s="50"/>
    </row>
    <row r="1571" ht="28.8" outlineLevel="1" spans="1:10">
      <c r="A1571" s="50">
        <v>618</v>
      </c>
      <c r="B1571" s="51" t="str">
        <v>阻燃塑料管配管-PC20-暗配</v>
      </c>
      <c r="C1571" s="51" t="e">
        <v>#REF!</v>
      </c>
      <c r="D1571" s="51" t="str">
        <v/>
      </c>
      <c r="E1571" s="51" t="str">
        <v/>
      </c>
      <c r="F1571" s="52" t="e">
        <v>#REF!</v>
      </c>
      <c r="G1571" s="48" t="e">
        <v>#REF!</v>
      </c>
      <c r="H1571" s="49">
        <v>0</v>
      </c>
      <c r="I1571" s="49" t="e">
        <v>#REF!</v>
      </c>
      <c r="J1571" s="50"/>
    </row>
    <row r="1572" ht="28.8" outlineLevel="1" spans="1:10">
      <c r="A1572" s="50">
        <v>619</v>
      </c>
      <c r="B1572" s="51" t="str">
        <v>阻燃塑料管配管-PC25-暗配</v>
      </c>
      <c r="C1572" s="51" t="e">
        <v>#REF!</v>
      </c>
      <c r="D1572" s="51" t="str">
        <v/>
      </c>
      <c r="E1572" s="51" t="str">
        <v/>
      </c>
      <c r="F1572" s="52" t="e">
        <v>#REF!</v>
      </c>
      <c r="G1572" s="48" t="e">
        <v>#REF!</v>
      </c>
      <c r="H1572" s="49">
        <v>0</v>
      </c>
      <c r="I1572" s="49" t="e">
        <v>#REF!</v>
      </c>
      <c r="J1572" s="50"/>
    </row>
    <row r="1573" ht="28.8" outlineLevel="1" spans="1:10">
      <c r="A1573" s="50">
        <v>620</v>
      </c>
      <c r="B1573" s="51" t="str">
        <v>薄壁钢导管配管-JDG20-暗配</v>
      </c>
      <c r="C1573" s="51" t="e">
        <v>#REF!</v>
      </c>
      <c r="D1573" s="51" t="str">
        <v/>
      </c>
      <c r="E1573" s="51" t="str">
        <v/>
      </c>
      <c r="F1573" s="52" t="e">
        <v>#REF!</v>
      </c>
      <c r="G1573" s="48" t="e">
        <v>#REF!</v>
      </c>
      <c r="H1573" s="49">
        <v>10.556</v>
      </c>
      <c r="I1573" s="49" t="e">
        <v>#REF!</v>
      </c>
      <c r="J1573" s="50"/>
    </row>
    <row r="1574" ht="28.8" outlineLevel="1" spans="1:10">
      <c r="A1574" s="50">
        <v>621</v>
      </c>
      <c r="B1574" s="51" t="str">
        <v>薄壁钢导管配管-JDG25-暗配</v>
      </c>
      <c r="C1574" s="51" t="e">
        <v>#REF!</v>
      </c>
      <c r="D1574" s="51" t="str">
        <v/>
      </c>
      <c r="E1574" s="51" t="str">
        <v/>
      </c>
      <c r="F1574" s="52" t="e">
        <v>#REF!</v>
      </c>
      <c r="G1574" s="48" t="e">
        <v>#REF!</v>
      </c>
      <c r="H1574" s="49">
        <v>0</v>
      </c>
      <c r="I1574" s="49" t="e">
        <v>#REF!</v>
      </c>
      <c r="J1574" s="50"/>
    </row>
    <row r="1575" outlineLevel="1" spans="1:10">
      <c r="A1575" s="50">
        <v>622</v>
      </c>
      <c r="B1575" s="51" t="str">
        <v>SC20-暗配</v>
      </c>
      <c r="C1575" s="51" t="e">
        <v>#REF!</v>
      </c>
      <c r="D1575" s="51" t="str">
        <v/>
      </c>
      <c r="E1575" s="51" t="str">
        <v/>
      </c>
      <c r="F1575" s="52" t="e">
        <v>#REF!</v>
      </c>
      <c r="G1575" s="48" t="e">
        <v>#REF!</v>
      </c>
      <c r="H1575" s="49">
        <v>0</v>
      </c>
      <c r="I1575" s="49" t="e">
        <v>#REF!</v>
      </c>
      <c r="J1575" s="50"/>
    </row>
    <row r="1576" outlineLevel="1" spans="1:10">
      <c r="A1576" s="50">
        <v>623</v>
      </c>
      <c r="B1576" s="51" t="str">
        <v>SC40-暗配</v>
      </c>
      <c r="C1576" s="51" t="e">
        <v>#REF!</v>
      </c>
      <c r="D1576" s="51" t="str">
        <v/>
      </c>
      <c r="E1576" s="51" t="str">
        <v/>
      </c>
      <c r="F1576" s="52" t="e">
        <v>#REF!</v>
      </c>
      <c r="G1576" s="48" t="e">
        <v>#REF!</v>
      </c>
      <c r="H1576" s="49">
        <v>0</v>
      </c>
      <c r="I1576" s="49" t="e">
        <v>#REF!</v>
      </c>
      <c r="J1576" s="50"/>
    </row>
    <row r="1577" outlineLevel="1" spans="1:10">
      <c r="A1577" s="50">
        <v>624</v>
      </c>
      <c r="B1577" s="51" t="str">
        <v>SC80-暗配</v>
      </c>
      <c r="C1577" s="51" t="e">
        <v>#REF!</v>
      </c>
      <c r="D1577" s="51" t="str">
        <v/>
      </c>
      <c r="E1577" s="51" t="str">
        <v/>
      </c>
      <c r="F1577" s="52" t="e">
        <v>#REF!</v>
      </c>
      <c r="G1577" s="48" t="e">
        <v>#REF!</v>
      </c>
      <c r="H1577" s="49">
        <v>0</v>
      </c>
      <c r="I1577" s="49" t="e">
        <v>#REF!</v>
      </c>
      <c r="J1577" s="50"/>
    </row>
    <row r="1578" outlineLevel="1" spans="1:10">
      <c r="A1578" s="50">
        <v>625</v>
      </c>
      <c r="B1578" s="51" t="str">
        <v>暗装塑料接线盒</v>
      </c>
      <c r="C1578" s="51" t="e">
        <v>#REF!</v>
      </c>
      <c r="D1578" s="51" t="str">
        <v/>
      </c>
      <c r="E1578" s="51" t="str">
        <v/>
      </c>
      <c r="F1578" s="52" t="e">
        <v>#REF!</v>
      </c>
      <c r="G1578" s="48" t="e">
        <v>#REF!</v>
      </c>
      <c r="H1578" s="49">
        <v>0</v>
      </c>
      <c r="I1578" s="49" t="e">
        <v>#REF!</v>
      </c>
      <c r="J1578" s="50"/>
    </row>
    <row r="1579" outlineLevel="1" spans="1:10">
      <c r="A1579" s="50">
        <v>626</v>
      </c>
      <c r="B1579" s="51" t="str">
        <v>暗装钢制接线盒</v>
      </c>
      <c r="C1579" s="51" t="e">
        <v>#REF!</v>
      </c>
      <c r="D1579" s="51" t="str">
        <v/>
      </c>
      <c r="E1579" s="51" t="str">
        <v/>
      </c>
      <c r="F1579" s="52" t="e">
        <v>#REF!</v>
      </c>
      <c r="G1579" s="48" t="e">
        <v>#REF!</v>
      </c>
      <c r="H1579" s="49">
        <v>1</v>
      </c>
      <c r="I1579" s="49" t="e">
        <v>#REF!</v>
      </c>
      <c r="J1579" s="50"/>
    </row>
    <row r="1580" outlineLevel="1" spans="1:10">
      <c r="A1580" s="50">
        <v>627</v>
      </c>
      <c r="B1580" s="51" t="str">
        <v>空白面板</v>
      </c>
      <c r="C1580" s="51" t="e">
        <v>#REF!</v>
      </c>
      <c r="D1580" s="51" t="str">
        <v/>
      </c>
      <c r="E1580" s="51" t="str">
        <v/>
      </c>
      <c r="F1580" s="52" t="e">
        <v>#REF!</v>
      </c>
      <c r="G1580" s="48" t="e">
        <v>#REF!</v>
      </c>
      <c r="H1580" s="49">
        <v>1</v>
      </c>
      <c r="I1580" s="49" t="e">
        <v>#REF!</v>
      </c>
      <c r="J1580" s="50"/>
    </row>
    <row r="1581" outlineLevel="1" spans="1:10">
      <c r="A1581" s="50">
        <v>628</v>
      </c>
      <c r="B1581" s="51" t="str">
        <v>管内穿铁丝</v>
      </c>
      <c r="C1581" s="51" t="e">
        <v>#REF!</v>
      </c>
      <c r="D1581" s="51" t="str">
        <v/>
      </c>
      <c r="E1581" s="51" t="str">
        <v/>
      </c>
      <c r="F1581" s="52" t="e">
        <v>#REF!</v>
      </c>
      <c r="G1581" s="48" t="e">
        <v>#REF!</v>
      </c>
      <c r="H1581" s="49">
        <v>10.556</v>
      </c>
      <c r="I1581" s="49" t="e">
        <v>#REF!</v>
      </c>
      <c r="J1581" s="50"/>
    </row>
    <row r="1582" outlineLevel="1" spans="1:10">
      <c r="A1582" s="50">
        <v>629</v>
      </c>
      <c r="B1582" s="51" t="str">
        <v>电缆保护管-RC80</v>
      </c>
      <c r="C1582" s="51" t="e">
        <v>#REF!</v>
      </c>
      <c r="D1582" s="51" t="str">
        <v/>
      </c>
      <c r="E1582" s="51" t="str">
        <v/>
      </c>
      <c r="F1582" s="52" t="e">
        <v>#REF!</v>
      </c>
      <c r="G1582" s="48" t="e">
        <v>#REF!</v>
      </c>
      <c r="H1582" s="49">
        <v>0</v>
      </c>
      <c r="I1582" s="49" t="e">
        <v>#REF!</v>
      </c>
      <c r="J1582" s="50"/>
    </row>
    <row r="1583" outlineLevel="1" spans="1:10">
      <c r="A1583" s="50" t="str">
        <v/>
      </c>
      <c r="B1583" s="51" t="str">
        <v>B.20消防工程</v>
      </c>
      <c r="C1583" s="51" t="str">
        <v/>
      </c>
      <c r="D1583" s="51" t="str">
        <v/>
      </c>
      <c r="E1583" s="51" t="str">
        <v/>
      </c>
      <c r="F1583" s="52" t="str">
        <v/>
      </c>
      <c r="G1583" s="48" t="str">
        <v/>
      </c>
      <c r="H1583" s="49">
        <v>0</v>
      </c>
      <c r="I1583" s="49" t="e">
        <v>#REF!</v>
      </c>
      <c r="J1583" s="50"/>
    </row>
    <row r="1584" outlineLevel="1" spans="1:10">
      <c r="A1584" s="50">
        <v>630</v>
      </c>
      <c r="B1584" s="51" t="str">
        <v>防火桥架-100*100</v>
      </c>
      <c r="C1584" s="51" t="e">
        <v>#REF!</v>
      </c>
      <c r="D1584" s="51" t="str">
        <v/>
      </c>
      <c r="E1584" s="51" t="str">
        <v/>
      </c>
      <c r="F1584" s="52" t="e">
        <v>#REF!</v>
      </c>
      <c r="G1584" s="48" t="e">
        <v>#REF!</v>
      </c>
      <c r="H1584" s="49">
        <v>13.273</v>
      </c>
      <c r="I1584" s="49" t="e">
        <v>#REF!</v>
      </c>
      <c r="J1584" s="50"/>
    </row>
    <row r="1585" outlineLevel="1" spans="1:10">
      <c r="A1585" s="50">
        <v>631</v>
      </c>
      <c r="B1585" s="51" t="str">
        <v>防火桥架-200*100</v>
      </c>
      <c r="C1585" s="51" t="e">
        <v>#REF!</v>
      </c>
      <c r="D1585" s="51" t="str">
        <v/>
      </c>
      <c r="E1585" s="51" t="str">
        <v/>
      </c>
      <c r="F1585" s="52" t="e">
        <v>#REF!</v>
      </c>
      <c r="G1585" s="48" t="e">
        <v>#REF!</v>
      </c>
      <c r="H1585" s="49">
        <v>0</v>
      </c>
      <c r="I1585" s="49" t="e">
        <v>#REF!</v>
      </c>
      <c r="J1585" s="50"/>
    </row>
    <row r="1586" outlineLevel="1" spans="1:10">
      <c r="A1586" s="50">
        <v>632</v>
      </c>
      <c r="B1586" s="51" t="str">
        <v>防火桥架-200*150</v>
      </c>
      <c r="C1586" s="51" t="e">
        <v>#REF!</v>
      </c>
      <c r="D1586" s="51" t="str">
        <v/>
      </c>
      <c r="E1586" s="51" t="str">
        <v/>
      </c>
      <c r="F1586" s="52" t="e">
        <v>#REF!</v>
      </c>
      <c r="G1586" s="48" t="e">
        <v>#REF!</v>
      </c>
      <c r="H1586" s="49">
        <v>0</v>
      </c>
      <c r="I1586" s="49" t="e">
        <v>#REF!</v>
      </c>
      <c r="J1586" s="50"/>
    </row>
    <row r="1587" outlineLevel="1" spans="1:10">
      <c r="A1587" s="50">
        <v>633</v>
      </c>
      <c r="B1587" s="51" t="str">
        <v>防火桥架-200*200</v>
      </c>
      <c r="C1587" s="51" t="e">
        <v>#REF!</v>
      </c>
      <c r="D1587" s="51" t="str">
        <v/>
      </c>
      <c r="E1587" s="51" t="str">
        <v/>
      </c>
      <c r="F1587" s="52" t="e">
        <v>#REF!</v>
      </c>
      <c r="G1587" s="48" t="e">
        <v>#REF!</v>
      </c>
      <c r="H1587" s="49">
        <v>0</v>
      </c>
      <c r="I1587" s="49" t="e">
        <v>#REF!</v>
      </c>
      <c r="J1587" s="50"/>
    </row>
    <row r="1588" outlineLevel="1" spans="1:10">
      <c r="A1588" s="50">
        <v>634</v>
      </c>
      <c r="B1588" s="51" t="str">
        <v>防火桥架-300*150</v>
      </c>
      <c r="C1588" s="51" t="e">
        <v>#REF!</v>
      </c>
      <c r="D1588" s="51" t="str">
        <v/>
      </c>
      <c r="E1588" s="51" t="str">
        <v/>
      </c>
      <c r="F1588" s="52" t="e">
        <v>#REF!</v>
      </c>
      <c r="G1588" s="48" t="e">
        <v>#REF!</v>
      </c>
      <c r="H1588" s="49">
        <v>0</v>
      </c>
      <c r="I1588" s="49" t="e">
        <v>#REF!</v>
      </c>
      <c r="J1588" s="50"/>
    </row>
    <row r="1589" outlineLevel="1" spans="1:10">
      <c r="A1589" s="50">
        <v>635</v>
      </c>
      <c r="B1589" s="51" t="str">
        <v>防火桥架-300*200</v>
      </c>
      <c r="C1589" s="51" t="e">
        <v>#REF!</v>
      </c>
      <c r="D1589" s="51" t="str">
        <v/>
      </c>
      <c r="E1589" s="51" t="str">
        <v/>
      </c>
      <c r="F1589" s="52" t="e">
        <v>#REF!</v>
      </c>
      <c r="G1589" s="48" t="e">
        <v>#REF!</v>
      </c>
      <c r="H1589" s="49">
        <v>0</v>
      </c>
      <c r="I1589" s="49" t="e">
        <v>#REF!</v>
      </c>
      <c r="J1589" s="50"/>
    </row>
    <row r="1590" outlineLevel="1" spans="1:10">
      <c r="A1590" s="50">
        <v>636</v>
      </c>
      <c r="B1590" s="51" t="str">
        <v>防火桥架-400*150</v>
      </c>
      <c r="C1590" s="51" t="e">
        <v>#REF!</v>
      </c>
      <c r="D1590" s="51" t="str">
        <v/>
      </c>
      <c r="E1590" s="51" t="str">
        <v/>
      </c>
      <c r="F1590" s="52" t="e">
        <v>#REF!</v>
      </c>
      <c r="G1590" s="48" t="e">
        <v>#REF!</v>
      </c>
      <c r="H1590" s="49">
        <v>0</v>
      </c>
      <c r="I1590" s="49" t="e">
        <v>#REF!</v>
      </c>
      <c r="J1590" s="50"/>
    </row>
    <row r="1591" outlineLevel="1" spans="1:10">
      <c r="A1591" s="50">
        <v>637</v>
      </c>
      <c r="B1591" s="51" t="str">
        <v>防火桥架-400*200</v>
      </c>
      <c r="C1591" s="51" t="e">
        <v>#REF!</v>
      </c>
      <c r="D1591" s="51" t="str">
        <v/>
      </c>
      <c r="E1591" s="51" t="str">
        <v/>
      </c>
      <c r="F1591" s="52" t="e">
        <v>#REF!</v>
      </c>
      <c r="G1591" s="48" t="e">
        <v>#REF!</v>
      </c>
      <c r="H1591" s="49">
        <v>0</v>
      </c>
      <c r="I1591" s="49" t="e">
        <v>#REF!</v>
      </c>
      <c r="J1591" s="50"/>
    </row>
    <row r="1592" outlineLevel="1" spans="1:10">
      <c r="A1592" s="50">
        <v>636</v>
      </c>
      <c r="B1592" s="51" t="str">
        <v>防火堵洞</v>
      </c>
      <c r="C1592" s="51" t="e">
        <v>#REF!</v>
      </c>
      <c r="D1592" s="51" t="str">
        <v/>
      </c>
      <c r="E1592" s="51" t="str">
        <v/>
      </c>
      <c r="F1592" s="52" t="e">
        <v>#REF!</v>
      </c>
      <c r="G1592" s="48" t="e">
        <v>#REF!</v>
      </c>
      <c r="H1592" s="49">
        <v>3</v>
      </c>
      <c r="I1592" s="49" t="e">
        <v>#REF!</v>
      </c>
      <c r="J1592" s="50"/>
    </row>
    <row r="1593" ht="28.8" outlineLevel="1" spans="1:10">
      <c r="A1593" s="50">
        <v>638</v>
      </c>
      <c r="B1593" s="51" t="str">
        <v>薄壁钢导管配管-JDG20-暗配</v>
      </c>
      <c r="C1593" s="51" t="e">
        <v>#REF!</v>
      </c>
      <c r="D1593" s="51" t="str">
        <v/>
      </c>
      <c r="E1593" s="51" t="str">
        <v/>
      </c>
      <c r="F1593" s="52" t="e">
        <v>#REF!</v>
      </c>
      <c r="G1593" s="48" t="e">
        <v>#REF!</v>
      </c>
      <c r="H1593" s="49">
        <v>165.643</v>
      </c>
      <c r="I1593" s="49" t="e">
        <v>#REF!</v>
      </c>
      <c r="J1593" s="50"/>
    </row>
    <row r="1594" ht="28.8" outlineLevel="1" spans="1:10">
      <c r="A1594" s="50">
        <v>639</v>
      </c>
      <c r="B1594" s="51" t="str">
        <v>薄壁钢导管配管-JDG25-暗配</v>
      </c>
      <c r="C1594" s="51" t="e">
        <v>#REF!</v>
      </c>
      <c r="D1594" s="51" t="str">
        <v/>
      </c>
      <c r="E1594" s="51" t="str">
        <v/>
      </c>
      <c r="F1594" s="52" t="e">
        <v>#REF!</v>
      </c>
      <c r="G1594" s="48" t="e">
        <v>#REF!</v>
      </c>
      <c r="H1594" s="49">
        <v>59.964</v>
      </c>
      <c r="I1594" s="49" t="e">
        <v>#REF!</v>
      </c>
      <c r="J1594" s="50"/>
    </row>
    <row r="1595" outlineLevel="1" spans="1:10">
      <c r="A1595" s="50">
        <v>640</v>
      </c>
      <c r="B1595" s="51" t="str">
        <v>SC15-暗配</v>
      </c>
      <c r="C1595" s="51" t="e">
        <v>#REF!</v>
      </c>
      <c r="D1595" s="51" t="str">
        <v/>
      </c>
      <c r="E1595" s="51" t="str">
        <v/>
      </c>
      <c r="F1595" s="52" t="e">
        <v>#REF!</v>
      </c>
      <c r="G1595" s="48" t="e">
        <v>#REF!</v>
      </c>
      <c r="H1595" s="49">
        <v>0</v>
      </c>
      <c r="I1595" s="49" t="e">
        <v>#REF!</v>
      </c>
      <c r="J1595" s="50"/>
    </row>
    <row r="1596" outlineLevel="1" spans="1:10">
      <c r="A1596" s="50">
        <v>641</v>
      </c>
      <c r="B1596" s="51" t="str">
        <v>SC20-暗配</v>
      </c>
      <c r="C1596" s="51" t="e">
        <v>#REF!</v>
      </c>
      <c r="D1596" s="51" t="str">
        <v/>
      </c>
      <c r="E1596" s="51" t="str">
        <v/>
      </c>
      <c r="F1596" s="52" t="e">
        <v>#REF!</v>
      </c>
      <c r="G1596" s="48" t="e">
        <v>#REF!</v>
      </c>
      <c r="H1596" s="49">
        <v>0</v>
      </c>
      <c r="I1596" s="49" t="e">
        <v>#REF!</v>
      </c>
      <c r="J1596" s="50"/>
    </row>
    <row r="1597" outlineLevel="1" spans="1:10">
      <c r="A1597" s="50">
        <v>642</v>
      </c>
      <c r="B1597" s="51" t="str">
        <v>SC25-暗配</v>
      </c>
      <c r="C1597" s="51" t="e">
        <v>#REF!</v>
      </c>
      <c r="D1597" s="51" t="str">
        <v/>
      </c>
      <c r="E1597" s="51" t="str">
        <v/>
      </c>
      <c r="F1597" s="52" t="e">
        <v>#REF!</v>
      </c>
      <c r="G1597" s="48" t="e">
        <v>#REF!</v>
      </c>
      <c r="H1597" s="49">
        <v>0</v>
      </c>
      <c r="I1597" s="49" t="e">
        <v>#REF!</v>
      </c>
      <c r="J1597" s="50"/>
    </row>
    <row r="1598" outlineLevel="1" spans="1:10">
      <c r="A1598" s="50">
        <v>643</v>
      </c>
      <c r="B1598" s="51" t="str">
        <v>管内穿铁丝</v>
      </c>
      <c r="C1598" s="51" t="e">
        <v>#REF!</v>
      </c>
      <c r="D1598" s="51" t="str">
        <v/>
      </c>
      <c r="E1598" s="51" t="str">
        <v/>
      </c>
      <c r="F1598" s="52" t="e">
        <v>#REF!</v>
      </c>
      <c r="G1598" s="48" t="e">
        <v>#REF!</v>
      </c>
      <c r="H1598" s="49">
        <v>225.607</v>
      </c>
      <c r="I1598" s="49" t="e">
        <v>#REF!</v>
      </c>
      <c r="J1598" s="50"/>
    </row>
    <row r="1599" outlineLevel="1" spans="1:10">
      <c r="A1599" s="50">
        <v>644</v>
      </c>
      <c r="B1599" s="51" t="str">
        <v>暗装钢制接线盒</v>
      </c>
      <c r="C1599" s="51" t="e">
        <v>#REF!</v>
      </c>
      <c r="D1599" s="51" t="str">
        <v/>
      </c>
      <c r="E1599" s="51" t="str">
        <v/>
      </c>
      <c r="F1599" s="52" t="e">
        <v>#REF!</v>
      </c>
      <c r="G1599" s="48" t="e">
        <v>#REF!</v>
      </c>
      <c r="H1599" s="49">
        <v>30</v>
      </c>
      <c r="I1599" s="49" t="e">
        <v>#REF!</v>
      </c>
      <c r="J1599" s="50"/>
    </row>
    <row r="1600" outlineLevel="1" spans="1:10">
      <c r="A1600" s="50" t="str">
        <v/>
      </c>
      <c r="B1600" s="51" t="str">
        <v>地上电气</v>
      </c>
      <c r="C1600" s="51" t="str">
        <v/>
      </c>
      <c r="D1600" s="51" t="str">
        <v/>
      </c>
      <c r="E1600" s="51" t="str">
        <v/>
      </c>
      <c r="F1600" s="52" t="str">
        <v/>
      </c>
      <c r="G1600" s="48" t="str">
        <v/>
      </c>
      <c r="H1600" s="49">
        <v>0</v>
      </c>
      <c r="I1600" s="49" t="e">
        <v>#REF!</v>
      </c>
      <c r="J1600" s="50"/>
    </row>
    <row r="1601" outlineLevel="1" spans="1:10">
      <c r="A1601" s="50" t="str">
        <v/>
      </c>
      <c r="B1601" s="51" t="str">
        <v>B.21强电工程</v>
      </c>
      <c r="C1601" s="51" t="str">
        <v/>
      </c>
      <c r="D1601" s="51" t="str">
        <v/>
      </c>
      <c r="E1601" s="51" t="str">
        <v/>
      </c>
      <c r="F1601" s="52" t="str">
        <v/>
      </c>
      <c r="G1601" s="48" t="str">
        <v/>
      </c>
      <c r="H1601" s="49">
        <v>0</v>
      </c>
      <c r="I1601" s="49" t="e">
        <v>#REF!</v>
      </c>
      <c r="J1601" s="50"/>
    </row>
    <row r="1602" outlineLevel="1" spans="1:10">
      <c r="A1602" s="50" t="str">
        <v/>
      </c>
      <c r="B1602" s="51" t="str">
        <v>B.21.1配电箱</v>
      </c>
      <c r="C1602" s="51" t="str">
        <v/>
      </c>
      <c r="D1602" s="51" t="str">
        <v/>
      </c>
      <c r="E1602" s="51" t="str">
        <v/>
      </c>
      <c r="F1602" s="52" t="str">
        <v/>
      </c>
      <c r="G1602" s="48" t="str">
        <v/>
      </c>
      <c r="H1602" s="49">
        <v>0</v>
      </c>
      <c r="I1602" s="49" t="e">
        <v>#REF!</v>
      </c>
      <c r="J1602" s="50"/>
    </row>
    <row r="1603" outlineLevel="1" spans="1:10">
      <c r="A1603" s="50">
        <v>645</v>
      </c>
      <c r="B1603" s="51" t="str">
        <v>AL1配电箱</v>
      </c>
      <c r="C1603" s="51" t="e">
        <v>#REF!</v>
      </c>
      <c r="D1603" s="51" t="str">
        <v/>
      </c>
      <c r="E1603" s="51" t="str">
        <v/>
      </c>
      <c r="F1603" s="52" t="e">
        <v>#REF!</v>
      </c>
      <c r="G1603" s="48" t="e">
        <v>#REF!</v>
      </c>
      <c r="H1603" s="49">
        <v>18</v>
      </c>
      <c r="I1603" s="49" t="e">
        <v>#REF!</v>
      </c>
      <c r="J1603" s="50"/>
    </row>
    <row r="1604" outlineLevel="1" spans="1:10">
      <c r="A1604" s="50">
        <v>646</v>
      </c>
      <c r="B1604" s="51" t="str">
        <v>AL2配电箱</v>
      </c>
      <c r="C1604" s="51" t="e">
        <v>#REF!</v>
      </c>
      <c r="D1604" s="51" t="str">
        <v/>
      </c>
      <c r="E1604" s="51" t="str">
        <v/>
      </c>
      <c r="F1604" s="52" t="e">
        <v>#REF!</v>
      </c>
      <c r="G1604" s="48" t="e">
        <v>#REF!</v>
      </c>
      <c r="H1604" s="49">
        <v>1</v>
      </c>
      <c r="I1604" s="49" t="e">
        <v>#REF!</v>
      </c>
      <c r="J1604" s="50"/>
    </row>
    <row r="1605" ht="28.8" outlineLevel="1" spans="1:10">
      <c r="A1605" s="50">
        <v>647</v>
      </c>
      <c r="B1605" s="51" t="str">
        <v>应急照明配电箱-0.3KW DC36V</v>
      </c>
      <c r="C1605" s="51" t="e">
        <v>#REF!</v>
      </c>
      <c r="D1605" s="51" t="str">
        <v/>
      </c>
      <c r="E1605" s="51" t="str">
        <v/>
      </c>
      <c r="F1605" s="52" t="e">
        <v>#REF!</v>
      </c>
      <c r="G1605" s="48" t="e">
        <v>#REF!</v>
      </c>
      <c r="H1605" s="49">
        <v>0</v>
      </c>
      <c r="I1605" s="49" t="e">
        <v>#REF!</v>
      </c>
      <c r="J1605" s="50"/>
    </row>
    <row r="1606" ht="28.8" outlineLevel="1" spans="1:10">
      <c r="A1606" s="50">
        <v>648</v>
      </c>
      <c r="B1606" s="51" t="str">
        <v>应急照明配电箱-0.6KW DC36V</v>
      </c>
      <c r="C1606" s="51" t="e">
        <v>#REF!</v>
      </c>
      <c r="D1606" s="51" t="str">
        <v/>
      </c>
      <c r="E1606" s="51" t="str">
        <v/>
      </c>
      <c r="F1606" s="52" t="e">
        <v>#REF!</v>
      </c>
      <c r="G1606" s="48" t="e">
        <v>#REF!</v>
      </c>
      <c r="H1606" s="49">
        <v>0</v>
      </c>
      <c r="I1606" s="49" t="e">
        <v>#REF!</v>
      </c>
      <c r="J1606" s="50"/>
    </row>
    <row r="1607" ht="28.8" outlineLevel="1" spans="1:10">
      <c r="A1607" s="50">
        <v>649</v>
      </c>
      <c r="B1607" s="51" t="str">
        <v>应急照明配电箱-0.9KW DC36V</v>
      </c>
      <c r="C1607" s="51" t="e">
        <v>#REF!</v>
      </c>
      <c r="D1607" s="51" t="str">
        <v/>
      </c>
      <c r="E1607" s="51" t="str">
        <v/>
      </c>
      <c r="F1607" s="52" t="e">
        <v>#REF!</v>
      </c>
      <c r="G1607" s="48" t="e">
        <v>#REF!</v>
      </c>
      <c r="H1607" s="49">
        <v>0</v>
      </c>
      <c r="I1607" s="49" t="e">
        <v>#REF!</v>
      </c>
      <c r="J1607" s="50"/>
    </row>
    <row r="1608" ht="28.8" outlineLevel="1" spans="1:10">
      <c r="A1608" s="50">
        <v>650</v>
      </c>
      <c r="B1608" s="51" t="str">
        <v>公区电源箱（半周长1.0m以内）</v>
      </c>
      <c r="C1608" s="51" t="e">
        <v>#REF!</v>
      </c>
      <c r="D1608" s="51" t="str">
        <v/>
      </c>
      <c r="E1608" s="51" t="str">
        <v/>
      </c>
      <c r="F1608" s="52" t="e">
        <v>#REF!</v>
      </c>
      <c r="G1608" s="48" t="e">
        <v>#REF!</v>
      </c>
      <c r="H1608" s="49">
        <v>0</v>
      </c>
      <c r="I1608" s="49" t="e">
        <v>#REF!</v>
      </c>
      <c r="J1608" s="50"/>
    </row>
    <row r="1609" ht="28.8" outlineLevel="1" spans="1:10">
      <c r="A1609" s="50">
        <v>651</v>
      </c>
      <c r="B1609" s="51" t="str">
        <v>公区电源箱（半周长1.5m以内）</v>
      </c>
      <c r="C1609" s="51" t="e">
        <v>#REF!</v>
      </c>
      <c r="D1609" s="51" t="str">
        <v/>
      </c>
      <c r="E1609" s="51" t="str">
        <v/>
      </c>
      <c r="F1609" s="52" t="e">
        <v>#REF!</v>
      </c>
      <c r="G1609" s="48" t="e">
        <v>#REF!</v>
      </c>
      <c r="H1609" s="49">
        <v>2</v>
      </c>
      <c r="I1609" s="49" t="e">
        <v>#REF!</v>
      </c>
      <c r="J1609" s="50"/>
    </row>
    <row r="1610" ht="28.8" outlineLevel="1" spans="1:10">
      <c r="A1610" s="50">
        <v>652</v>
      </c>
      <c r="B1610" s="51" t="str">
        <v>公区电源箱（半周长2m以内）</v>
      </c>
      <c r="C1610" s="51" t="e">
        <v>#REF!</v>
      </c>
      <c r="D1610" s="51" t="str">
        <v/>
      </c>
      <c r="E1610" s="51" t="str">
        <v/>
      </c>
      <c r="F1610" s="52" t="e">
        <v>#REF!</v>
      </c>
      <c r="G1610" s="48" t="e">
        <v>#REF!</v>
      </c>
      <c r="H1610" s="49">
        <v>0</v>
      </c>
      <c r="I1610" s="49" t="e">
        <v>#REF!</v>
      </c>
      <c r="J1610" s="50"/>
    </row>
    <row r="1611" outlineLevel="1" spans="1:10">
      <c r="A1611" s="50">
        <v>653</v>
      </c>
      <c r="B1611" s="51" t="str">
        <v>应急电源配电箱</v>
      </c>
      <c r="C1611" s="51" t="e">
        <v>#REF!</v>
      </c>
      <c r="D1611" s="51" t="str">
        <v/>
      </c>
      <c r="E1611" s="51" t="str">
        <v/>
      </c>
      <c r="F1611" s="52" t="e">
        <v>#REF!</v>
      </c>
      <c r="G1611" s="48" t="e">
        <v>#REF!</v>
      </c>
      <c r="H1611" s="49">
        <v>0</v>
      </c>
      <c r="I1611" s="49" t="e">
        <v>#REF!</v>
      </c>
      <c r="J1611" s="50"/>
    </row>
    <row r="1612" outlineLevel="1" spans="1:10">
      <c r="A1612" s="50" t="str">
        <v/>
      </c>
      <c r="B1612" s="51" t="str">
        <v>B.21.2电力桥架</v>
      </c>
      <c r="C1612" s="51" t="str">
        <v/>
      </c>
      <c r="D1612" s="51" t="str">
        <v/>
      </c>
      <c r="E1612" s="51" t="str">
        <v/>
      </c>
      <c r="F1612" s="52" t="str">
        <v/>
      </c>
      <c r="G1612" s="48" t="str">
        <v/>
      </c>
      <c r="H1612" s="49">
        <v>0</v>
      </c>
      <c r="I1612" s="49" t="e">
        <v>#REF!</v>
      </c>
      <c r="J1612" s="50"/>
    </row>
    <row r="1613" outlineLevel="1" spans="1:10">
      <c r="A1613" s="50">
        <v>654</v>
      </c>
      <c r="B1613" s="51" t="str">
        <v>防火桥架-100*100</v>
      </c>
      <c r="C1613" s="51" t="e">
        <v>#REF!</v>
      </c>
      <c r="D1613" s="51" t="str">
        <v/>
      </c>
      <c r="E1613" s="51" t="str">
        <v/>
      </c>
      <c r="F1613" s="52" t="e">
        <v>#REF!</v>
      </c>
      <c r="G1613" s="48" t="e">
        <v>#REF!</v>
      </c>
      <c r="H1613" s="49">
        <v>32</v>
      </c>
      <c r="I1613" s="49" t="e">
        <v>#REF!</v>
      </c>
      <c r="J1613" s="50"/>
    </row>
    <row r="1614" outlineLevel="1" spans="1:10">
      <c r="A1614" s="50">
        <v>655</v>
      </c>
      <c r="B1614" s="51" t="str">
        <v>防火桥架-200*100</v>
      </c>
      <c r="C1614" s="51" t="e">
        <v>#REF!</v>
      </c>
      <c r="D1614" s="51" t="str">
        <v/>
      </c>
      <c r="E1614" s="51" t="str">
        <v/>
      </c>
      <c r="F1614" s="52" t="e">
        <v>#REF!</v>
      </c>
      <c r="G1614" s="48" t="e">
        <v>#REF!</v>
      </c>
      <c r="H1614" s="49">
        <v>0</v>
      </c>
      <c r="I1614" s="49" t="e">
        <v>#REF!</v>
      </c>
      <c r="J1614" s="50"/>
    </row>
    <row r="1615" outlineLevel="1" spans="1:10">
      <c r="A1615" s="50">
        <v>656</v>
      </c>
      <c r="B1615" s="51" t="str">
        <v>防火桥架-300*150</v>
      </c>
      <c r="C1615" s="51" t="e">
        <v>#REF!</v>
      </c>
      <c r="D1615" s="51" t="str">
        <v/>
      </c>
      <c r="E1615" s="51" t="str">
        <v/>
      </c>
      <c r="F1615" s="52" t="e">
        <v>#REF!</v>
      </c>
      <c r="G1615" s="48" t="e">
        <v>#REF!</v>
      </c>
      <c r="H1615" s="49">
        <v>0</v>
      </c>
      <c r="I1615" s="49" t="e">
        <v>#REF!</v>
      </c>
      <c r="J1615" s="50"/>
    </row>
    <row r="1616" outlineLevel="1" spans="1:10">
      <c r="A1616" s="50">
        <v>657</v>
      </c>
      <c r="B1616" s="51" t="str">
        <v>电业桥架-200*150</v>
      </c>
      <c r="C1616" s="51" t="e">
        <v>#REF!</v>
      </c>
      <c r="D1616" s="51" t="str">
        <v/>
      </c>
      <c r="E1616" s="51" t="str">
        <v/>
      </c>
      <c r="F1616" s="52" t="e">
        <v>#REF!</v>
      </c>
      <c r="G1616" s="48" t="e">
        <v>#REF!</v>
      </c>
      <c r="H1616" s="49">
        <v>0</v>
      </c>
      <c r="I1616" s="49" t="e">
        <v>#REF!</v>
      </c>
      <c r="J1616" s="50"/>
    </row>
    <row r="1617" outlineLevel="1" spans="1:10">
      <c r="A1617" s="50">
        <v>658</v>
      </c>
      <c r="B1617" s="51" t="str">
        <v>电业桥架-200*200</v>
      </c>
      <c r="C1617" s="51" t="e">
        <v>#REF!</v>
      </c>
      <c r="D1617" s="51" t="str">
        <v/>
      </c>
      <c r="E1617" s="51" t="str">
        <v/>
      </c>
      <c r="F1617" s="52" t="e">
        <v>#REF!</v>
      </c>
      <c r="G1617" s="48" t="e">
        <v>#REF!</v>
      </c>
      <c r="H1617" s="49">
        <v>0</v>
      </c>
      <c r="I1617" s="49" t="e">
        <v>#REF!</v>
      </c>
      <c r="J1617" s="50"/>
    </row>
    <row r="1618" outlineLevel="1" spans="1:10">
      <c r="A1618" s="50">
        <v>659</v>
      </c>
      <c r="B1618" s="51" t="str">
        <v>电业桥架-300*150</v>
      </c>
      <c r="C1618" s="51" t="e">
        <v>#REF!</v>
      </c>
      <c r="D1618" s="51" t="str">
        <v/>
      </c>
      <c r="E1618" s="51" t="str">
        <v/>
      </c>
      <c r="F1618" s="52" t="e">
        <v>#REF!</v>
      </c>
      <c r="G1618" s="48" t="e">
        <v>#REF!</v>
      </c>
      <c r="H1618" s="49">
        <v>0</v>
      </c>
      <c r="I1618" s="49" t="e">
        <v>#REF!</v>
      </c>
      <c r="J1618" s="50"/>
    </row>
    <row r="1619" outlineLevel="1" spans="1:10">
      <c r="A1619" s="50">
        <v>660</v>
      </c>
      <c r="B1619" s="51" t="str">
        <v>电业桥架-300*200</v>
      </c>
      <c r="C1619" s="51" t="e">
        <v>#REF!</v>
      </c>
      <c r="D1619" s="51" t="str">
        <v/>
      </c>
      <c r="E1619" s="51" t="str">
        <v/>
      </c>
      <c r="F1619" s="52" t="e">
        <v>#REF!</v>
      </c>
      <c r="G1619" s="48" t="e">
        <v>#REF!</v>
      </c>
      <c r="H1619" s="49">
        <v>0</v>
      </c>
      <c r="I1619" s="49" t="e">
        <v>#REF!</v>
      </c>
      <c r="J1619" s="50"/>
    </row>
    <row r="1620" outlineLevel="1" spans="1:10">
      <c r="A1620" s="50">
        <v>661</v>
      </c>
      <c r="B1620" s="51" t="str">
        <v>电业桥架-400*200</v>
      </c>
      <c r="C1620" s="51" t="e">
        <v>#REF!</v>
      </c>
      <c r="D1620" s="51" t="str">
        <v/>
      </c>
      <c r="E1620" s="51" t="str">
        <v/>
      </c>
      <c r="F1620" s="52" t="e">
        <v>#REF!</v>
      </c>
      <c r="G1620" s="48" t="e">
        <v>#REF!</v>
      </c>
      <c r="H1620" s="49">
        <v>0</v>
      </c>
      <c r="I1620" s="49" t="e">
        <v>#REF!</v>
      </c>
      <c r="J1620" s="50"/>
    </row>
    <row r="1621" outlineLevel="1" spans="1:10">
      <c r="A1621" s="50">
        <v>662</v>
      </c>
      <c r="B1621" s="51" t="str">
        <v>防火堵洞</v>
      </c>
      <c r="C1621" s="51" t="e">
        <v>#REF!</v>
      </c>
      <c r="D1621" s="51" t="str">
        <v/>
      </c>
      <c r="E1621" s="51" t="str">
        <v/>
      </c>
      <c r="F1621" s="52" t="e">
        <v>#REF!</v>
      </c>
      <c r="G1621" s="48" t="e">
        <v>#REF!</v>
      </c>
      <c r="H1621" s="49">
        <v>18</v>
      </c>
      <c r="I1621" s="49" t="e">
        <v>#REF!</v>
      </c>
      <c r="J1621" s="50"/>
    </row>
    <row r="1622" outlineLevel="1" spans="1:10">
      <c r="A1622" s="50" t="str">
        <v/>
      </c>
      <c r="B1622" s="51" t="str">
        <v>B.21.3配管配线</v>
      </c>
      <c r="C1622" s="51" t="str">
        <v/>
      </c>
      <c r="D1622" s="51" t="str">
        <v/>
      </c>
      <c r="E1622" s="51" t="str">
        <v/>
      </c>
      <c r="F1622" s="52" t="str">
        <v/>
      </c>
      <c r="G1622" s="48" t="str">
        <v/>
      </c>
      <c r="H1622" s="49">
        <v>0</v>
      </c>
      <c r="I1622" s="49" t="e">
        <v>#REF!</v>
      </c>
      <c r="J1622" s="50"/>
    </row>
    <row r="1623" ht="28.8" outlineLevel="1" spans="1:10">
      <c r="A1623" s="50">
        <v>663</v>
      </c>
      <c r="B1623" s="51" t="str">
        <v>阻燃塑料管配管-PC20-暗配</v>
      </c>
      <c r="C1623" s="51" t="e">
        <v>#REF!</v>
      </c>
      <c r="D1623" s="51" t="str">
        <v/>
      </c>
      <c r="E1623" s="51" t="str">
        <v/>
      </c>
      <c r="F1623" s="52" t="e">
        <v>#REF!</v>
      </c>
      <c r="G1623" s="48" t="e">
        <v>#REF!</v>
      </c>
      <c r="H1623" s="49">
        <v>4288.635</v>
      </c>
      <c r="I1623" s="49" t="e">
        <v>#REF!</v>
      </c>
      <c r="J1623" s="50"/>
    </row>
    <row r="1624" ht="28.8" outlineLevel="1" spans="1:10">
      <c r="A1624" s="50">
        <v>664</v>
      </c>
      <c r="B1624" s="51" t="str">
        <v>阻燃塑料管配管-PC25-暗配</v>
      </c>
      <c r="C1624" s="51" t="e">
        <v>#REF!</v>
      </c>
      <c r="D1624" s="51" t="str">
        <v/>
      </c>
      <c r="E1624" s="51" t="str">
        <v/>
      </c>
      <c r="F1624" s="52" t="e">
        <v>#REF!</v>
      </c>
      <c r="G1624" s="48" t="e">
        <v>#REF!</v>
      </c>
      <c r="H1624" s="49">
        <v>459</v>
      </c>
      <c r="I1624" s="49" t="e">
        <v>#REF!</v>
      </c>
      <c r="J1624" s="50"/>
    </row>
    <row r="1625" ht="28.8" outlineLevel="1" spans="1:10">
      <c r="A1625" s="50">
        <v>665</v>
      </c>
      <c r="B1625" s="51" t="str">
        <v>阻燃塑料管配管-PC32-暗配</v>
      </c>
      <c r="C1625" s="51" t="e">
        <v>#REF!</v>
      </c>
      <c r="D1625" s="51" t="str">
        <v/>
      </c>
      <c r="E1625" s="51" t="str">
        <v/>
      </c>
      <c r="F1625" s="52" t="e">
        <v>#REF!</v>
      </c>
      <c r="G1625" s="48" t="e">
        <v>#REF!</v>
      </c>
      <c r="H1625" s="49">
        <v>36.404</v>
      </c>
      <c r="I1625" s="49" t="e">
        <v>#REF!</v>
      </c>
      <c r="J1625" s="50"/>
    </row>
    <row r="1626" ht="28.8" outlineLevel="1" spans="1:10">
      <c r="A1626" s="50">
        <v>666</v>
      </c>
      <c r="B1626" s="51" t="str">
        <v>薄壁钢导管配管-JDG15-暗配</v>
      </c>
      <c r="C1626" s="51" t="e">
        <v>#REF!</v>
      </c>
      <c r="D1626" s="51" t="str">
        <v/>
      </c>
      <c r="E1626" s="51" t="str">
        <v/>
      </c>
      <c r="F1626" s="52" t="e">
        <v>#REF!</v>
      </c>
      <c r="G1626" s="48" t="e">
        <v>#REF!</v>
      </c>
      <c r="H1626" s="49">
        <v>0</v>
      </c>
      <c r="I1626" s="49" t="e">
        <v>#REF!</v>
      </c>
      <c r="J1626" s="50"/>
    </row>
    <row r="1627" ht="28.8" outlineLevel="1" spans="1:10">
      <c r="A1627" s="50">
        <v>667</v>
      </c>
      <c r="B1627" s="51" t="str">
        <v>薄壁钢导管配管-JDG20-暗配</v>
      </c>
      <c r="C1627" s="51" t="e">
        <v>#REF!</v>
      </c>
      <c r="D1627" s="51" t="str">
        <v/>
      </c>
      <c r="E1627" s="51" t="str">
        <v/>
      </c>
      <c r="F1627" s="52" t="e">
        <v>#REF!</v>
      </c>
      <c r="G1627" s="48" t="e">
        <v>#REF!</v>
      </c>
      <c r="H1627" s="49">
        <v>482.219</v>
      </c>
      <c r="I1627" s="49" t="e">
        <v>#REF!</v>
      </c>
      <c r="J1627" s="50"/>
    </row>
    <row r="1628" ht="28.8" outlineLevel="1" spans="1:10">
      <c r="A1628" s="50">
        <v>668</v>
      </c>
      <c r="B1628" s="51" t="str">
        <v>薄壁钢导管配管-JDG25-暗配</v>
      </c>
      <c r="C1628" s="51" t="e">
        <v>#REF!</v>
      </c>
      <c r="D1628" s="51" t="str">
        <v/>
      </c>
      <c r="E1628" s="51" t="str">
        <v/>
      </c>
      <c r="F1628" s="52" t="e">
        <v>#REF!</v>
      </c>
      <c r="G1628" s="48" t="e">
        <v>#REF!</v>
      </c>
      <c r="H1628" s="49">
        <v>983.43</v>
      </c>
      <c r="I1628" s="49" t="e">
        <v>#REF!</v>
      </c>
      <c r="J1628" s="50"/>
    </row>
    <row r="1629" ht="28.8" outlineLevel="1" spans="1:10">
      <c r="A1629" s="50">
        <v>669</v>
      </c>
      <c r="B1629" s="51" t="str">
        <v>薄壁钢导管配管-JDG32-暗配</v>
      </c>
      <c r="C1629" s="51" t="e">
        <v>#REF!</v>
      </c>
      <c r="D1629" s="51" t="str">
        <v/>
      </c>
      <c r="E1629" s="51" t="str">
        <v/>
      </c>
      <c r="F1629" s="52" t="e">
        <v>#REF!</v>
      </c>
      <c r="G1629" s="48" t="e">
        <v>#REF!</v>
      </c>
      <c r="H1629" s="49">
        <v>12.475</v>
      </c>
      <c r="I1629" s="49" t="e">
        <v>#REF!</v>
      </c>
      <c r="J1629" s="50"/>
    </row>
    <row r="1630" ht="28.8" outlineLevel="1" spans="1:10">
      <c r="A1630" s="50">
        <v>670</v>
      </c>
      <c r="B1630" s="51" t="str">
        <v>薄壁钢导管配管-JDG40-暗配</v>
      </c>
      <c r="C1630" s="51" t="e">
        <v>#REF!</v>
      </c>
      <c r="D1630" s="51" t="str">
        <v/>
      </c>
      <c r="E1630" s="51" t="str">
        <v/>
      </c>
      <c r="F1630" s="52" t="e">
        <v>#REF!</v>
      </c>
      <c r="G1630" s="48" t="e">
        <v>#REF!</v>
      </c>
      <c r="H1630" s="49">
        <v>83.263</v>
      </c>
      <c r="I1630" s="49" t="e">
        <v>#REF!</v>
      </c>
      <c r="J1630" s="50"/>
    </row>
    <row r="1631" ht="28.8" outlineLevel="1" spans="1:10">
      <c r="A1631" s="50">
        <v>671</v>
      </c>
      <c r="B1631" s="51" t="str">
        <v>薄壁钢导管配管-JDG15-明配</v>
      </c>
      <c r="C1631" s="51" t="e">
        <v>#REF!</v>
      </c>
      <c r="D1631" s="51" t="str">
        <v/>
      </c>
      <c r="E1631" s="51" t="str">
        <v/>
      </c>
      <c r="F1631" s="52" t="e">
        <v>#REF!</v>
      </c>
      <c r="G1631" s="48" t="e">
        <v>#REF!</v>
      </c>
      <c r="H1631" s="49">
        <v>0</v>
      </c>
      <c r="I1631" s="49" t="e">
        <v>#REF!</v>
      </c>
      <c r="J1631" s="50"/>
    </row>
    <row r="1632" ht="28.8" outlineLevel="1" spans="1:10">
      <c r="A1632" s="50">
        <v>672</v>
      </c>
      <c r="B1632" s="51" t="str">
        <v>薄壁钢导管配管-JDG20-明配</v>
      </c>
      <c r="C1632" s="51" t="e">
        <v>#REF!</v>
      </c>
      <c r="D1632" s="51" t="str">
        <v/>
      </c>
      <c r="E1632" s="51" t="str">
        <v/>
      </c>
      <c r="F1632" s="52" t="e">
        <v>#REF!</v>
      </c>
      <c r="G1632" s="48" t="e">
        <v>#REF!</v>
      </c>
      <c r="H1632" s="49">
        <v>0</v>
      </c>
      <c r="I1632" s="49" t="e">
        <v>#REF!</v>
      </c>
      <c r="J1632" s="50"/>
    </row>
    <row r="1633" ht="28.8" outlineLevel="1" spans="1:10">
      <c r="A1633" s="50">
        <v>673</v>
      </c>
      <c r="B1633" s="51" t="str">
        <v>薄壁钢导管配管-JDG25-明配</v>
      </c>
      <c r="C1633" s="51" t="e">
        <v>#REF!</v>
      </c>
      <c r="D1633" s="51" t="str">
        <v/>
      </c>
      <c r="E1633" s="51" t="str">
        <v/>
      </c>
      <c r="F1633" s="52" t="e">
        <v>#REF!</v>
      </c>
      <c r="G1633" s="48" t="e">
        <v>#REF!</v>
      </c>
      <c r="H1633" s="49">
        <v>2257.856</v>
      </c>
      <c r="I1633" s="49" t="e">
        <v>#REF!</v>
      </c>
      <c r="J1633" s="50"/>
    </row>
    <row r="1634" ht="28.8" outlineLevel="1" spans="1:10">
      <c r="A1634" s="50">
        <v>674</v>
      </c>
      <c r="B1634" s="51" t="str">
        <v>薄壁钢导管配管-JDG32-明配</v>
      </c>
      <c r="C1634" s="51" t="e">
        <v>#REF!</v>
      </c>
      <c r="D1634" s="51" t="str">
        <v/>
      </c>
      <c r="E1634" s="51" t="str">
        <v/>
      </c>
      <c r="F1634" s="52" t="e">
        <v>#REF!</v>
      </c>
      <c r="G1634" s="48" t="e">
        <v>#REF!</v>
      </c>
      <c r="H1634" s="49">
        <v>0</v>
      </c>
      <c r="I1634" s="49" t="e">
        <v>#REF!</v>
      </c>
      <c r="J1634" s="50"/>
    </row>
    <row r="1635" ht="28.8" outlineLevel="1" spans="1:10">
      <c r="A1635" s="50">
        <v>675</v>
      </c>
      <c r="B1635" s="51" t="str">
        <v>薄壁钢导管配管-JDG40-明配</v>
      </c>
      <c r="C1635" s="51" t="e">
        <v>#REF!</v>
      </c>
      <c r="D1635" s="51" t="str">
        <v/>
      </c>
      <c r="E1635" s="51" t="str">
        <v/>
      </c>
      <c r="F1635" s="52" t="e">
        <v>#REF!</v>
      </c>
      <c r="G1635" s="48" t="e">
        <v>#REF!</v>
      </c>
      <c r="H1635" s="49">
        <v>185.84</v>
      </c>
      <c r="I1635" s="49" t="e">
        <v>#REF!</v>
      </c>
      <c r="J1635" s="50"/>
    </row>
    <row r="1636" outlineLevel="1" spans="1:10">
      <c r="A1636" s="50">
        <v>676</v>
      </c>
      <c r="B1636" s="51" t="str">
        <v>SC15-暗配</v>
      </c>
      <c r="C1636" s="51" t="e">
        <v>#REF!</v>
      </c>
      <c r="D1636" s="51" t="str">
        <v/>
      </c>
      <c r="E1636" s="51" t="str">
        <v/>
      </c>
      <c r="F1636" s="52" t="e">
        <v>#REF!</v>
      </c>
      <c r="G1636" s="48" t="e">
        <v>#REF!</v>
      </c>
      <c r="H1636" s="49">
        <v>0</v>
      </c>
      <c r="I1636" s="49" t="e">
        <v>#REF!</v>
      </c>
      <c r="J1636" s="50"/>
    </row>
    <row r="1637" outlineLevel="1" spans="1:10">
      <c r="A1637" s="50">
        <v>677</v>
      </c>
      <c r="B1637" s="51" t="str">
        <v>SC20-暗配</v>
      </c>
      <c r="C1637" s="51" t="e">
        <v>#REF!</v>
      </c>
      <c r="D1637" s="51" t="str">
        <v/>
      </c>
      <c r="E1637" s="51" t="str">
        <v/>
      </c>
      <c r="F1637" s="52" t="e">
        <v>#REF!</v>
      </c>
      <c r="G1637" s="48" t="e">
        <v>#REF!</v>
      </c>
      <c r="H1637" s="49">
        <v>0</v>
      </c>
      <c r="I1637" s="49" t="e">
        <v>#REF!</v>
      </c>
      <c r="J1637" s="50"/>
    </row>
    <row r="1638" outlineLevel="1" spans="1:10">
      <c r="A1638" s="50">
        <v>678</v>
      </c>
      <c r="B1638" s="51" t="str">
        <v>SC25-暗配</v>
      </c>
      <c r="C1638" s="51" t="e">
        <v>#REF!</v>
      </c>
      <c r="D1638" s="51" t="str">
        <v/>
      </c>
      <c r="E1638" s="51" t="str">
        <v/>
      </c>
      <c r="F1638" s="52" t="e">
        <v>#REF!</v>
      </c>
      <c r="G1638" s="48" t="e">
        <v>#REF!</v>
      </c>
      <c r="H1638" s="49">
        <v>0</v>
      </c>
      <c r="I1638" s="49" t="e">
        <v>#REF!</v>
      </c>
      <c r="J1638" s="50"/>
    </row>
    <row r="1639" outlineLevel="1" spans="1:10">
      <c r="A1639" s="50">
        <v>679</v>
      </c>
      <c r="B1639" s="51" t="str">
        <v>SC32-暗配</v>
      </c>
      <c r="C1639" s="51" t="e">
        <v>#REF!</v>
      </c>
      <c r="D1639" s="51" t="str">
        <v/>
      </c>
      <c r="E1639" s="51" t="str">
        <v/>
      </c>
      <c r="F1639" s="52" t="e">
        <v>#REF!</v>
      </c>
      <c r="G1639" s="48" t="e">
        <v>#REF!</v>
      </c>
      <c r="H1639" s="49">
        <v>0</v>
      </c>
      <c r="I1639" s="49" t="e">
        <v>#REF!</v>
      </c>
      <c r="J1639" s="50"/>
    </row>
    <row r="1640" outlineLevel="1" spans="1:10">
      <c r="A1640" s="50">
        <v>680</v>
      </c>
      <c r="B1640" s="51" t="str">
        <v>SC40-暗配</v>
      </c>
      <c r="C1640" s="51" t="e">
        <v>#REF!</v>
      </c>
      <c r="D1640" s="51" t="str">
        <v/>
      </c>
      <c r="E1640" s="51" t="str">
        <v/>
      </c>
      <c r="F1640" s="52" t="e">
        <v>#REF!</v>
      </c>
      <c r="G1640" s="48" t="e">
        <v>#REF!</v>
      </c>
      <c r="H1640" s="49">
        <v>0</v>
      </c>
      <c r="I1640" s="49" t="e">
        <v>#REF!</v>
      </c>
      <c r="J1640" s="50"/>
    </row>
    <row r="1641" outlineLevel="1" spans="1:10">
      <c r="A1641" s="50">
        <v>681</v>
      </c>
      <c r="B1641" s="51" t="str">
        <v>SC50-暗配</v>
      </c>
      <c r="C1641" s="51" t="e">
        <v>#REF!</v>
      </c>
      <c r="D1641" s="51" t="str">
        <v/>
      </c>
      <c r="E1641" s="51" t="str">
        <v/>
      </c>
      <c r="F1641" s="52" t="e">
        <v>#REF!</v>
      </c>
      <c r="G1641" s="48" t="e">
        <v>#REF!</v>
      </c>
      <c r="H1641" s="49">
        <v>6.8</v>
      </c>
      <c r="I1641" s="49" t="e">
        <v>#REF!</v>
      </c>
      <c r="J1641" s="50"/>
    </row>
    <row r="1642" outlineLevel="1" spans="1:10">
      <c r="A1642" s="50">
        <v>682</v>
      </c>
      <c r="B1642" s="51" t="str">
        <v>SC70-暗配</v>
      </c>
      <c r="C1642" s="51" t="e">
        <v>#REF!</v>
      </c>
      <c r="D1642" s="51" t="str">
        <v/>
      </c>
      <c r="E1642" s="51" t="str">
        <v/>
      </c>
      <c r="F1642" s="52" t="e">
        <v>#REF!</v>
      </c>
      <c r="G1642" s="48" t="e">
        <v>#REF!</v>
      </c>
      <c r="H1642" s="49">
        <v>0</v>
      </c>
      <c r="I1642" s="49" t="e">
        <v>#REF!</v>
      </c>
      <c r="J1642" s="50"/>
    </row>
    <row r="1643" outlineLevel="1" spans="1:10">
      <c r="A1643" s="50">
        <v>683</v>
      </c>
      <c r="B1643" s="51" t="str">
        <v>金属软管配管-DN20</v>
      </c>
      <c r="C1643" s="51" t="e">
        <v>#REF!</v>
      </c>
      <c r="D1643" s="51" t="str">
        <v/>
      </c>
      <c r="E1643" s="51" t="str">
        <v/>
      </c>
      <c r="F1643" s="52" t="e">
        <v>#REF!</v>
      </c>
      <c r="G1643" s="48" t="e">
        <v>#REF!</v>
      </c>
      <c r="H1643" s="49">
        <v>0</v>
      </c>
      <c r="I1643" s="49" t="e">
        <v>#REF!</v>
      </c>
      <c r="J1643" s="50"/>
    </row>
    <row r="1644" outlineLevel="1" spans="1:10">
      <c r="A1644" s="50">
        <v>684</v>
      </c>
      <c r="B1644" s="51" t="str">
        <v>金属软管配管-DN25</v>
      </c>
      <c r="C1644" s="51" t="e">
        <v>#REF!</v>
      </c>
      <c r="D1644" s="51" t="str">
        <v/>
      </c>
      <c r="E1644" s="51" t="str">
        <v/>
      </c>
      <c r="F1644" s="52" t="e">
        <v>#REF!</v>
      </c>
      <c r="G1644" s="48" t="e">
        <v>#REF!</v>
      </c>
      <c r="H1644" s="49">
        <v>0</v>
      </c>
      <c r="I1644" s="49" t="e">
        <v>#REF!</v>
      </c>
      <c r="J1644" s="50"/>
    </row>
    <row r="1645" outlineLevel="1" spans="1:10">
      <c r="A1645" s="50">
        <v>685</v>
      </c>
      <c r="B1645" s="51" t="str">
        <v>金属软管配管-DN32</v>
      </c>
      <c r="C1645" s="51" t="e">
        <v>#REF!</v>
      </c>
      <c r="D1645" s="51" t="str">
        <v/>
      </c>
      <c r="E1645" s="51" t="str">
        <v/>
      </c>
      <c r="F1645" s="52" t="e">
        <v>#REF!</v>
      </c>
      <c r="G1645" s="48" t="e">
        <v>#REF!</v>
      </c>
      <c r="H1645" s="49">
        <v>0</v>
      </c>
      <c r="I1645" s="49" t="e">
        <v>#REF!</v>
      </c>
      <c r="J1645" s="50"/>
    </row>
    <row r="1646" outlineLevel="1" spans="1:10">
      <c r="A1646" s="50">
        <v>686</v>
      </c>
      <c r="B1646" s="51" t="str">
        <v>综合配线-BV2.5</v>
      </c>
      <c r="C1646" s="51" t="e">
        <v>#REF!</v>
      </c>
      <c r="D1646" s="51" t="str">
        <v/>
      </c>
      <c r="E1646" s="51" t="str">
        <v/>
      </c>
      <c r="F1646" s="52" t="e">
        <v>#REF!</v>
      </c>
      <c r="G1646" s="48" t="e">
        <v>#REF!</v>
      </c>
      <c r="H1646" s="49">
        <v>12943.349</v>
      </c>
      <c r="I1646" s="49" t="e">
        <v>#REF!</v>
      </c>
      <c r="J1646" s="50"/>
    </row>
    <row r="1647" outlineLevel="1" spans="1:10">
      <c r="A1647" s="50">
        <v>687</v>
      </c>
      <c r="B1647" s="51" t="str">
        <v>综合配线-BV4</v>
      </c>
      <c r="C1647" s="51" t="e">
        <v>#REF!</v>
      </c>
      <c r="D1647" s="51" t="str">
        <v/>
      </c>
      <c r="E1647" s="51" t="str">
        <v/>
      </c>
      <c r="F1647" s="52" t="e">
        <v>#REF!</v>
      </c>
      <c r="G1647" s="48" t="e">
        <v>#REF!</v>
      </c>
      <c r="H1647" s="49">
        <v>9646.959</v>
      </c>
      <c r="I1647" s="49" t="e">
        <v>#REF!</v>
      </c>
      <c r="J1647" s="50"/>
    </row>
    <row r="1648" outlineLevel="1" spans="1:10">
      <c r="A1648" s="50">
        <v>688</v>
      </c>
      <c r="B1648" s="51" t="str">
        <v>综合配线-BV6</v>
      </c>
      <c r="C1648" s="51" t="e">
        <v>#REF!</v>
      </c>
      <c r="D1648" s="51" t="str">
        <v/>
      </c>
      <c r="E1648" s="51" t="str">
        <v/>
      </c>
      <c r="F1648" s="52" t="e">
        <v>#REF!</v>
      </c>
      <c r="G1648" s="48" t="e">
        <v>#REF!</v>
      </c>
      <c r="H1648" s="49">
        <v>187.219</v>
      </c>
      <c r="I1648" s="49" t="e">
        <v>#REF!</v>
      </c>
      <c r="J1648" s="50"/>
    </row>
    <row r="1649" outlineLevel="1" spans="1:10">
      <c r="A1649" s="50">
        <v>689</v>
      </c>
      <c r="B1649" s="51" t="str">
        <v>综合配线-BV10</v>
      </c>
      <c r="C1649" s="51" t="e">
        <v>#REF!</v>
      </c>
      <c r="D1649" s="51" t="str">
        <v/>
      </c>
      <c r="E1649" s="51" t="str">
        <v/>
      </c>
      <c r="F1649" s="52" t="e">
        <v>#REF!</v>
      </c>
      <c r="G1649" s="48" t="e">
        <v>#REF!</v>
      </c>
      <c r="H1649" s="49">
        <v>1489.764</v>
      </c>
      <c r="I1649" s="49" t="e">
        <v>#REF!</v>
      </c>
      <c r="J1649" s="50"/>
    </row>
    <row r="1650" outlineLevel="1" spans="1:10">
      <c r="A1650" s="50">
        <v>690</v>
      </c>
      <c r="B1650" s="51" t="str">
        <v>综合配线-BV16</v>
      </c>
      <c r="C1650" s="51" t="e">
        <v>#REF!</v>
      </c>
      <c r="D1650" s="51" t="str">
        <v/>
      </c>
      <c r="E1650" s="51" t="str">
        <v/>
      </c>
      <c r="F1650" s="52" t="e">
        <v>#REF!</v>
      </c>
      <c r="G1650" s="48" t="e">
        <v>#REF!</v>
      </c>
      <c r="H1650" s="49">
        <v>56.086</v>
      </c>
      <c r="I1650" s="49" t="e">
        <v>#REF!</v>
      </c>
      <c r="J1650" s="50"/>
    </row>
    <row r="1651" outlineLevel="1" spans="1:10">
      <c r="A1651" s="50">
        <v>691</v>
      </c>
      <c r="B1651" s="51" t="str">
        <v>综合配线-BV25</v>
      </c>
      <c r="C1651" s="51" t="e">
        <v>#REF!</v>
      </c>
      <c r="D1651" s="51" t="str">
        <v/>
      </c>
      <c r="E1651" s="51" t="str">
        <v/>
      </c>
      <c r="F1651" s="52" t="e">
        <v>#REF!</v>
      </c>
      <c r="G1651" s="48" t="e">
        <v>#REF!</v>
      </c>
      <c r="H1651" s="49">
        <v>0</v>
      </c>
      <c r="I1651" s="49" t="e">
        <v>#REF!</v>
      </c>
      <c r="J1651" s="50"/>
    </row>
    <row r="1652" outlineLevel="1" spans="1:10">
      <c r="A1652" s="50">
        <v>692</v>
      </c>
      <c r="B1652" s="51" t="str">
        <v>综合配线-BVR4</v>
      </c>
      <c r="C1652" s="51" t="e">
        <v>#REF!</v>
      </c>
      <c r="D1652" s="51" t="str">
        <v/>
      </c>
      <c r="E1652" s="51" t="str">
        <v/>
      </c>
      <c r="F1652" s="52" t="e">
        <v>#REF!</v>
      </c>
      <c r="G1652" s="48" t="e">
        <v>#REF!</v>
      </c>
      <c r="H1652" s="49">
        <v>125.409</v>
      </c>
      <c r="I1652" s="49" t="e">
        <v>#REF!</v>
      </c>
      <c r="J1652" s="50"/>
    </row>
    <row r="1653" outlineLevel="1" spans="1:10">
      <c r="A1653" s="50">
        <v>693</v>
      </c>
      <c r="B1653" s="51" t="str">
        <v>综合配线-NHBV2.5</v>
      </c>
      <c r="C1653" s="51" t="e">
        <v>#REF!</v>
      </c>
      <c r="D1653" s="51" t="str">
        <v/>
      </c>
      <c r="E1653" s="51" t="str">
        <v/>
      </c>
      <c r="F1653" s="52" t="e">
        <v>#REF!</v>
      </c>
      <c r="G1653" s="48" t="e">
        <v>#REF!</v>
      </c>
      <c r="H1653" s="49">
        <v>0</v>
      </c>
      <c r="I1653" s="49" t="e">
        <v>#REF!</v>
      </c>
      <c r="J1653" s="50"/>
    </row>
    <row r="1654" outlineLevel="1" spans="1:10">
      <c r="A1654" s="50">
        <v>694</v>
      </c>
      <c r="B1654" s="51" t="str">
        <v>综合配线-NHBV4</v>
      </c>
      <c r="C1654" s="51" t="e">
        <v>#REF!</v>
      </c>
      <c r="D1654" s="51" t="str">
        <v/>
      </c>
      <c r="E1654" s="51" t="str">
        <v/>
      </c>
      <c r="F1654" s="52" t="e">
        <v>#REF!</v>
      </c>
      <c r="G1654" s="48" t="e">
        <v>#REF!</v>
      </c>
      <c r="H1654" s="49">
        <v>128.696</v>
      </c>
      <c r="I1654" s="49" t="e">
        <v>#REF!</v>
      </c>
      <c r="J1654" s="50"/>
    </row>
    <row r="1655" outlineLevel="1" spans="1:10">
      <c r="A1655" s="50">
        <v>695</v>
      </c>
      <c r="B1655" s="51" t="str">
        <v>综合配线-WDZNBYJ2.5</v>
      </c>
      <c r="C1655" s="51" t="e">
        <v>#REF!</v>
      </c>
      <c r="D1655" s="51" t="str">
        <v/>
      </c>
      <c r="E1655" s="51" t="str">
        <v/>
      </c>
      <c r="F1655" s="52" t="e">
        <v>#REF!</v>
      </c>
      <c r="G1655" s="48" t="e">
        <v>#REF!</v>
      </c>
      <c r="H1655" s="49">
        <v>218.622</v>
      </c>
      <c r="I1655" s="49" t="e">
        <v>#REF!</v>
      </c>
      <c r="J1655" s="50"/>
    </row>
    <row r="1656" outlineLevel="1" spans="1:10">
      <c r="A1656" s="50">
        <v>696</v>
      </c>
      <c r="B1656" s="51" t="str">
        <v>综合配线-WDZBYJ2.5</v>
      </c>
      <c r="C1656" s="51" t="e">
        <v>#REF!</v>
      </c>
      <c r="D1656" s="51" t="str">
        <v/>
      </c>
      <c r="E1656" s="51" t="str">
        <v/>
      </c>
      <c r="F1656" s="52" t="e">
        <v>#REF!</v>
      </c>
      <c r="G1656" s="48" t="e">
        <v>#REF!</v>
      </c>
      <c r="H1656" s="49">
        <v>0</v>
      </c>
      <c r="I1656" s="49" t="e">
        <v>#REF!</v>
      </c>
      <c r="J1656" s="50"/>
    </row>
    <row r="1657" outlineLevel="1" spans="1:10">
      <c r="A1657" s="50">
        <v>697</v>
      </c>
      <c r="B1657" s="51" t="str">
        <v>综合配线-WDZNBYJ4</v>
      </c>
      <c r="C1657" s="51" t="e">
        <v>#REF!</v>
      </c>
      <c r="D1657" s="51" t="str">
        <v/>
      </c>
      <c r="E1657" s="51" t="str">
        <v/>
      </c>
      <c r="F1657" s="52" t="e">
        <v>#REF!</v>
      </c>
      <c r="G1657" s="48" t="e">
        <v>#REF!</v>
      </c>
      <c r="H1657" s="49">
        <v>0</v>
      </c>
      <c r="I1657" s="49" t="e">
        <v>#REF!</v>
      </c>
      <c r="J1657" s="50"/>
    </row>
    <row r="1658" outlineLevel="1" spans="1:10">
      <c r="A1658" s="50">
        <v>698</v>
      </c>
      <c r="B1658" s="51" t="str">
        <v>综合配线-WDZBYJ10</v>
      </c>
      <c r="C1658" s="51" t="e">
        <v>#REF!</v>
      </c>
      <c r="D1658" s="51" t="str">
        <v/>
      </c>
      <c r="E1658" s="51" t="str">
        <v/>
      </c>
      <c r="F1658" s="52" t="e">
        <v>#REF!</v>
      </c>
      <c r="G1658" s="48" t="e">
        <v>#REF!</v>
      </c>
      <c r="H1658" s="49">
        <v>223</v>
      </c>
      <c r="I1658" s="49" t="e">
        <v>#REF!</v>
      </c>
      <c r="J1658" s="50"/>
    </row>
    <row r="1659" outlineLevel="1" spans="1:10">
      <c r="A1659" s="50">
        <v>699</v>
      </c>
      <c r="B1659" s="51" t="str">
        <v>综合配线-WDZNRYJS2*2.5</v>
      </c>
      <c r="C1659" s="51" t="e">
        <v>#REF!</v>
      </c>
      <c r="D1659" s="51" t="str">
        <v/>
      </c>
      <c r="E1659" s="51" t="str">
        <v/>
      </c>
      <c r="F1659" s="52" t="e">
        <v>#REF!</v>
      </c>
      <c r="G1659" s="48" t="e">
        <v>#REF!</v>
      </c>
      <c r="H1659" s="49">
        <v>387.053</v>
      </c>
      <c r="I1659" s="49" t="e">
        <v>#REF!</v>
      </c>
      <c r="J1659" s="50"/>
    </row>
    <row r="1660" outlineLevel="1" spans="1:10">
      <c r="A1660" s="50">
        <v>700</v>
      </c>
      <c r="B1660" s="51" t="str">
        <v>综合配线-RVV-3*1.0</v>
      </c>
      <c r="C1660" s="51" t="e">
        <v>#REF!</v>
      </c>
      <c r="D1660" s="51" t="str">
        <v/>
      </c>
      <c r="E1660" s="51" t="str">
        <v/>
      </c>
      <c r="F1660" s="52" t="e">
        <v>#REF!</v>
      </c>
      <c r="G1660" s="48" t="e">
        <v>#REF!</v>
      </c>
      <c r="H1660" s="49">
        <v>0</v>
      </c>
      <c r="I1660" s="49" t="e">
        <v>#REF!</v>
      </c>
      <c r="J1660" s="50"/>
    </row>
    <row r="1661" outlineLevel="1" spans="1:10">
      <c r="A1661" s="50">
        <v>701</v>
      </c>
      <c r="B1661" s="51" t="str">
        <v>综合配线-RVV-4*1.0</v>
      </c>
      <c r="C1661" s="51" t="e">
        <v>#REF!</v>
      </c>
      <c r="D1661" s="51" t="str">
        <v/>
      </c>
      <c r="E1661" s="51" t="str">
        <v/>
      </c>
      <c r="F1661" s="52" t="e">
        <v>#REF!</v>
      </c>
      <c r="G1661" s="48" t="e">
        <v>#REF!</v>
      </c>
      <c r="H1661" s="49">
        <v>0</v>
      </c>
      <c r="I1661" s="49" t="e">
        <v>#REF!</v>
      </c>
      <c r="J1661" s="50"/>
    </row>
    <row r="1662" outlineLevel="1" spans="1:10">
      <c r="A1662" s="50">
        <v>702</v>
      </c>
      <c r="B1662" s="51" t="str">
        <v>综合配线-RVV-5*1.0</v>
      </c>
      <c r="C1662" s="51" t="e">
        <v>#REF!</v>
      </c>
      <c r="D1662" s="51" t="str">
        <v/>
      </c>
      <c r="E1662" s="51" t="str">
        <v/>
      </c>
      <c r="F1662" s="52" t="e">
        <v>#REF!</v>
      </c>
      <c r="G1662" s="48" t="e">
        <v>#REF!</v>
      </c>
      <c r="H1662" s="49">
        <v>0</v>
      </c>
      <c r="I1662" s="49" t="e">
        <v>#REF!</v>
      </c>
      <c r="J1662" s="50"/>
    </row>
    <row r="1663" outlineLevel="1" spans="1:10">
      <c r="A1663" s="50">
        <v>703</v>
      </c>
      <c r="B1663" s="51" t="str">
        <v>钢套管DN15-32</v>
      </c>
      <c r="C1663" s="51" t="e">
        <v>#REF!</v>
      </c>
      <c r="D1663" s="51" t="str">
        <v/>
      </c>
      <c r="E1663" s="51" t="str">
        <v/>
      </c>
      <c r="F1663" s="52" t="e">
        <v>#REF!</v>
      </c>
      <c r="G1663" s="48" t="e">
        <v>#REF!</v>
      </c>
      <c r="H1663" s="49">
        <v>144</v>
      </c>
      <c r="I1663" s="49" t="e">
        <v>#REF!</v>
      </c>
      <c r="J1663" s="50"/>
    </row>
    <row r="1664" outlineLevel="1" spans="1:10">
      <c r="A1664" s="50">
        <v>704</v>
      </c>
      <c r="B1664" s="51" t="str">
        <v>钢套管DN40-50</v>
      </c>
      <c r="C1664" s="51" t="e">
        <v>#REF!</v>
      </c>
      <c r="D1664" s="51" t="str">
        <v/>
      </c>
      <c r="E1664" s="51" t="str">
        <v/>
      </c>
      <c r="F1664" s="52" t="e">
        <v>#REF!</v>
      </c>
      <c r="G1664" s="48" t="e">
        <v>#REF!</v>
      </c>
      <c r="H1664" s="49">
        <v>178</v>
      </c>
      <c r="I1664" s="49" t="e">
        <v>#REF!</v>
      </c>
      <c r="J1664" s="50"/>
    </row>
    <row r="1665" outlineLevel="1" spans="1:10">
      <c r="A1665" s="50">
        <v>705</v>
      </c>
      <c r="B1665" s="51" t="str">
        <v>钢套管DN65-70</v>
      </c>
      <c r="C1665" s="51" t="e">
        <v>#REF!</v>
      </c>
      <c r="D1665" s="51" t="str">
        <v/>
      </c>
      <c r="E1665" s="51" t="str">
        <v/>
      </c>
      <c r="F1665" s="52" t="e">
        <v>#REF!</v>
      </c>
      <c r="G1665" s="48" t="e">
        <v>#REF!</v>
      </c>
      <c r="H1665" s="49">
        <v>0</v>
      </c>
      <c r="I1665" s="49" t="e">
        <v>#REF!</v>
      </c>
      <c r="J1665" s="50"/>
    </row>
    <row r="1666" outlineLevel="1" spans="1:10">
      <c r="A1666" s="50">
        <v>706</v>
      </c>
      <c r="B1666" s="51" t="str">
        <v>钢套管DN80-100</v>
      </c>
      <c r="C1666" s="51" t="e">
        <v>#REF!</v>
      </c>
      <c r="D1666" s="51" t="str">
        <v/>
      </c>
      <c r="E1666" s="51" t="str">
        <v/>
      </c>
      <c r="F1666" s="52" t="e">
        <v>#REF!</v>
      </c>
      <c r="G1666" s="48" t="e">
        <v>#REF!</v>
      </c>
      <c r="H1666" s="49">
        <v>0</v>
      </c>
      <c r="I1666" s="49" t="e">
        <v>#REF!</v>
      </c>
      <c r="J1666" s="50"/>
    </row>
    <row r="1667" outlineLevel="1" spans="1:10">
      <c r="A1667" s="50" t="str">
        <v/>
      </c>
      <c r="B1667" s="51" t="str">
        <v>B.21.4照明器具</v>
      </c>
      <c r="C1667" s="51" t="str">
        <v/>
      </c>
      <c r="D1667" s="51" t="str">
        <v/>
      </c>
      <c r="E1667" s="51" t="str">
        <v/>
      </c>
      <c r="F1667" s="52" t="str">
        <v/>
      </c>
      <c r="G1667" s="48" t="str">
        <v/>
      </c>
      <c r="H1667" s="49">
        <v>0</v>
      </c>
      <c r="I1667" s="49" t="e">
        <v>#REF!</v>
      </c>
      <c r="J1667" s="50"/>
    </row>
    <row r="1668" outlineLevel="1" spans="1:10">
      <c r="A1668" s="50">
        <v>707</v>
      </c>
      <c r="B1668" s="51" t="str">
        <v>灯具-门上座灯</v>
      </c>
      <c r="C1668" s="51" t="e">
        <v>#REF!</v>
      </c>
      <c r="D1668" s="51" t="str">
        <v/>
      </c>
      <c r="E1668" s="51" t="str">
        <v/>
      </c>
      <c r="F1668" s="52" t="e">
        <v>#REF!</v>
      </c>
      <c r="G1668" s="48" t="e">
        <v>#REF!</v>
      </c>
      <c r="H1668" s="49">
        <v>20</v>
      </c>
      <c r="I1668" s="49" t="e">
        <v>#REF!</v>
      </c>
      <c r="J1668" s="50"/>
    </row>
    <row r="1669" outlineLevel="1" spans="1:10">
      <c r="A1669" s="50">
        <v>708</v>
      </c>
      <c r="B1669" s="51" t="str">
        <v>灯具-普通座灯头</v>
      </c>
      <c r="C1669" s="51" t="e">
        <v>#REF!</v>
      </c>
      <c r="D1669" s="51" t="str">
        <v/>
      </c>
      <c r="E1669" s="51" t="str">
        <v/>
      </c>
      <c r="F1669" s="52" t="e">
        <v>#REF!</v>
      </c>
      <c r="G1669" s="48" t="e">
        <v>#REF!</v>
      </c>
      <c r="H1669" s="49">
        <v>224</v>
      </c>
      <c r="I1669" s="49" t="e">
        <v>#REF!</v>
      </c>
      <c r="J1669" s="50"/>
    </row>
    <row r="1670" ht="28.8" outlineLevel="1" spans="1:10">
      <c r="A1670" s="50">
        <v>709</v>
      </c>
      <c r="B1670" s="51" t="str">
        <v>灯具-单管荧光灯-吊链安装</v>
      </c>
      <c r="C1670" s="51" t="e">
        <v>#REF!</v>
      </c>
      <c r="D1670" s="51" t="str">
        <v/>
      </c>
      <c r="E1670" s="51" t="str">
        <v/>
      </c>
      <c r="F1670" s="52" t="e">
        <v>#REF!</v>
      </c>
      <c r="G1670" s="48" t="e">
        <v>#REF!</v>
      </c>
      <c r="H1670" s="49">
        <v>0</v>
      </c>
      <c r="I1670" s="49" t="e">
        <v>#REF!</v>
      </c>
      <c r="J1670" s="50"/>
    </row>
    <row r="1671" ht="28.8" outlineLevel="1" spans="1:10">
      <c r="A1671" s="50">
        <v>710</v>
      </c>
      <c r="B1671" s="51" t="str">
        <v>疏散出口标志灯-带蓄电池</v>
      </c>
      <c r="C1671" s="51" t="e">
        <v>#REF!</v>
      </c>
      <c r="D1671" s="51" t="str">
        <v/>
      </c>
      <c r="E1671" s="51" t="str">
        <v/>
      </c>
      <c r="F1671" s="52" t="e">
        <v>#REF!</v>
      </c>
      <c r="G1671" s="48" t="e">
        <v>#REF!</v>
      </c>
      <c r="H1671" s="49">
        <v>0</v>
      </c>
      <c r="I1671" s="49" t="e">
        <v>#REF!</v>
      </c>
      <c r="J1671" s="50"/>
    </row>
    <row r="1672" ht="28.8" outlineLevel="1" spans="1:10">
      <c r="A1672" s="50">
        <v>711</v>
      </c>
      <c r="B1672" s="51" t="str">
        <v>疏散出口标志灯（防护等级IP67）带蓄电池</v>
      </c>
      <c r="C1672" s="51" t="e">
        <v>#REF!</v>
      </c>
      <c r="D1672" s="51" t="str">
        <v/>
      </c>
      <c r="E1672" s="51" t="str">
        <v/>
      </c>
      <c r="F1672" s="52" t="e">
        <v>#REF!</v>
      </c>
      <c r="G1672" s="48" t="e">
        <v>#REF!</v>
      </c>
      <c r="H1672" s="49">
        <v>0</v>
      </c>
      <c r="I1672" s="49" t="e">
        <v>#REF!</v>
      </c>
      <c r="J1672" s="50"/>
    </row>
    <row r="1673" ht="28.8" outlineLevel="1" spans="1:10">
      <c r="A1673" s="50">
        <v>712</v>
      </c>
      <c r="B1673" s="51" t="str">
        <v>楼层指示标志灯-带蓄电池</v>
      </c>
      <c r="C1673" s="51" t="e">
        <v>#REF!</v>
      </c>
      <c r="D1673" s="51" t="str">
        <v/>
      </c>
      <c r="E1673" s="51" t="str">
        <v/>
      </c>
      <c r="F1673" s="52" t="e">
        <v>#REF!</v>
      </c>
      <c r="G1673" s="48" t="e">
        <v>#REF!</v>
      </c>
      <c r="H1673" s="49">
        <v>0</v>
      </c>
      <c r="I1673" s="49" t="e">
        <v>#REF!</v>
      </c>
      <c r="J1673" s="50"/>
    </row>
    <row r="1674" ht="28.8" outlineLevel="1" spans="1:10">
      <c r="A1674" s="50">
        <v>713</v>
      </c>
      <c r="B1674" s="51" t="str">
        <v>单向单面疏散指示标志灯-带蓄电池</v>
      </c>
      <c r="C1674" s="51" t="e">
        <v>#REF!</v>
      </c>
      <c r="D1674" s="51" t="str">
        <v/>
      </c>
      <c r="E1674" s="51" t="str">
        <v/>
      </c>
      <c r="F1674" s="52" t="e">
        <v>#REF!</v>
      </c>
      <c r="G1674" s="48" t="e">
        <v>#REF!</v>
      </c>
      <c r="H1674" s="49">
        <v>0</v>
      </c>
      <c r="I1674" s="49" t="e">
        <v>#REF!</v>
      </c>
      <c r="J1674" s="50"/>
    </row>
    <row r="1675" ht="28.8" outlineLevel="1" spans="1:10">
      <c r="A1675" s="50">
        <v>714</v>
      </c>
      <c r="B1675" s="51" t="str">
        <v>单向双面疏散指示标志灯-带蓄电池</v>
      </c>
      <c r="C1675" s="51" t="e">
        <v>#REF!</v>
      </c>
      <c r="D1675" s="51" t="str">
        <v/>
      </c>
      <c r="E1675" s="51" t="str">
        <v/>
      </c>
      <c r="F1675" s="52" t="e">
        <v>#REF!</v>
      </c>
      <c r="G1675" s="48" t="e">
        <v>#REF!</v>
      </c>
      <c r="H1675" s="49">
        <v>0</v>
      </c>
      <c r="I1675" s="49" t="e">
        <v>#REF!</v>
      </c>
      <c r="J1675" s="50"/>
    </row>
    <row r="1676" ht="28.8" outlineLevel="1" spans="1:10">
      <c r="A1676" s="50">
        <v>715</v>
      </c>
      <c r="B1676" s="51" t="str">
        <v>双向单面疏散指示标志灯-带蓄电池</v>
      </c>
      <c r="C1676" s="51" t="e">
        <v>#REF!</v>
      </c>
      <c r="D1676" s="51" t="str">
        <v/>
      </c>
      <c r="E1676" s="51" t="str">
        <v/>
      </c>
      <c r="F1676" s="52" t="e">
        <v>#REF!</v>
      </c>
      <c r="G1676" s="48" t="e">
        <v>#REF!</v>
      </c>
      <c r="H1676" s="49">
        <v>0</v>
      </c>
      <c r="I1676" s="49" t="e">
        <v>#REF!</v>
      </c>
      <c r="J1676" s="50"/>
    </row>
    <row r="1677" ht="28.8" outlineLevel="1" spans="1:10">
      <c r="A1677" s="50">
        <v>716</v>
      </c>
      <c r="B1677" s="51" t="str">
        <v>安全出口标志灯-带蓄电池</v>
      </c>
      <c r="C1677" s="51" t="e">
        <v>#REF!</v>
      </c>
      <c r="D1677" s="51" t="str">
        <v/>
      </c>
      <c r="E1677" s="51" t="str">
        <v/>
      </c>
      <c r="F1677" s="52" t="e">
        <v>#REF!</v>
      </c>
      <c r="G1677" s="48" t="e">
        <v>#REF!</v>
      </c>
      <c r="H1677" s="49">
        <v>0</v>
      </c>
      <c r="I1677" s="49" t="e">
        <v>#REF!</v>
      </c>
      <c r="J1677" s="50"/>
    </row>
    <row r="1678" ht="28.8" outlineLevel="1" spans="1:10">
      <c r="A1678" s="50">
        <v>717</v>
      </c>
      <c r="B1678" s="51" t="str">
        <v>E-X带禁止入内的安全出口标志灯-带蓄电池</v>
      </c>
      <c r="C1678" s="51" t="e">
        <v>#REF!</v>
      </c>
      <c r="D1678" s="51" t="str">
        <v/>
      </c>
      <c r="E1678" s="51" t="str">
        <v/>
      </c>
      <c r="F1678" s="52" t="e">
        <v>#REF!</v>
      </c>
      <c r="G1678" s="48" t="e">
        <v>#REF!</v>
      </c>
      <c r="H1678" s="49">
        <v>0</v>
      </c>
      <c r="I1678" s="49" t="e">
        <v>#REF!</v>
      </c>
      <c r="J1678" s="50"/>
    </row>
    <row r="1679" ht="28.8" outlineLevel="1" spans="1:10">
      <c r="A1679" s="50">
        <v>718</v>
      </c>
      <c r="B1679" s="51" t="str">
        <v>火灾禁入标志灯-带蓄电池</v>
      </c>
      <c r="C1679" s="51" t="e">
        <v>#REF!</v>
      </c>
      <c r="D1679" s="51" t="str">
        <v/>
      </c>
      <c r="E1679" s="51" t="str">
        <v/>
      </c>
      <c r="F1679" s="52" t="e">
        <v>#REF!</v>
      </c>
      <c r="G1679" s="48" t="e">
        <v>#REF!</v>
      </c>
      <c r="H1679" s="49">
        <v>0</v>
      </c>
      <c r="I1679" s="49" t="e">
        <v>#REF!</v>
      </c>
      <c r="J1679" s="50"/>
    </row>
    <row r="1680" ht="28.8" outlineLevel="1" spans="1:10">
      <c r="A1680" s="50">
        <v>719</v>
      </c>
      <c r="B1680" s="51" t="str">
        <v>E1消防应急壁灯-带蓄电池</v>
      </c>
      <c r="C1680" s="51" t="e">
        <v>#REF!</v>
      </c>
      <c r="D1680" s="51" t="str">
        <v/>
      </c>
      <c r="E1680" s="51" t="str">
        <v/>
      </c>
      <c r="F1680" s="52" t="e">
        <v>#REF!</v>
      </c>
      <c r="G1680" s="48" t="e">
        <v>#REF!</v>
      </c>
      <c r="H1680" s="49">
        <v>0</v>
      </c>
      <c r="I1680" s="49" t="e">
        <v>#REF!</v>
      </c>
      <c r="J1680" s="50"/>
    </row>
    <row r="1681" ht="28.8" outlineLevel="1" spans="1:10">
      <c r="A1681" s="50">
        <v>720</v>
      </c>
      <c r="B1681" s="51" t="str">
        <v>消防应急吸顶灯-带蓄电池</v>
      </c>
      <c r="C1681" s="51" t="e">
        <v>#REF!</v>
      </c>
      <c r="D1681" s="51" t="str">
        <v/>
      </c>
      <c r="E1681" s="51" t="str">
        <v/>
      </c>
      <c r="F1681" s="52" t="e">
        <v>#REF!</v>
      </c>
      <c r="G1681" s="48" t="e">
        <v>#REF!</v>
      </c>
      <c r="H1681" s="49">
        <v>0</v>
      </c>
      <c r="I1681" s="49" t="e">
        <v>#REF!</v>
      </c>
      <c r="J1681" s="50"/>
    </row>
    <row r="1682" ht="28.8" outlineLevel="1" spans="1:10">
      <c r="A1682" s="50">
        <v>721</v>
      </c>
      <c r="B1682" s="51" t="str">
        <v>消防应急吸顶灯（防护等级IP67）带蓄电池</v>
      </c>
      <c r="C1682" s="51" t="e">
        <v>#REF!</v>
      </c>
      <c r="D1682" s="51" t="str">
        <v/>
      </c>
      <c r="E1682" s="51" t="str">
        <v/>
      </c>
      <c r="F1682" s="52" t="e">
        <v>#REF!</v>
      </c>
      <c r="G1682" s="48" t="e">
        <v>#REF!</v>
      </c>
      <c r="H1682" s="49">
        <v>0</v>
      </c>
      <c r="I1682" s="49" t="e">
        <v>#REF!</v>
      </c>
      <c r="J1682" s="50"/>
    </row>
    <row r="1683" outlineLevel="1" spans="1:10">
      <c r="A1683" s="50">
        <v>722</v>
      </c>
      <c r="B1683" s="51" t="str">
        <v>灯具-安全出口标志灯</v>
      </c>
      <c r="C1683" s="51" t="e">
        <v>#REF!</v>
      </c>
      <c r="D1683" s="51" t="str">
        <v/>
      </c>
      <c r="E1683" s="51" t="str">
        <v/>
      </c>
      <c r="F1683" s="52" t="e">
        <v>#REF!</v>
      </c>
      <c r="G1683" s="48" t="e">
        <v>#REF!</v>
      </c>
      <c r="H1683" s="49">
        <v>1</v>
      </c>
      <c r="I1683" s="49" t="e">
        <v>#REF!</v>
      </c>
      <c r="J1683" s="50"/>
    </row>
    <row r="1684" outlineLevel="1" spans="1:10">
      <c r="A1684" s="50">
        <v>723</v>
      </c>
      <c r="B1684" s="51" t="str">
        <v>灯具-疏散出口标志灯</v>
      </c>
      <c r="C1684" s="51" t="e">
        <v>#REF!</v>
      </c>
      <c r="D1684" s="51" t="str">
        <v/>
      </c>
      <c r="E1684" s="51" t="str">
        <v/>
      </c>
      <c r="F1684" s="52" t="e">
        <v>#REF!</v>
      </c>
      <c r="G1684" s="48" t="e">
        <v>#REF!</v>
      </c>
      <c r="H1684" s="49">
        <v>20</v>
      </c>
      <c r="I1684" s="49" t="e">
        <v>#REF!</v>
      </c>
      <c r="J1684" s="50"/>
    </row>
    <row r="1685" outlineLevel="1" spans="1:10">
      <c r="A1685" s="50">
        <v>724</v>
      </c>
      <c r="B1685" s="51" t="str">
        <v>灯具-火灾禁入标志灯</v>
      </c>
      <c r="C1685" s="51" t="e">
        <v>#REF!</v>
      </c>
      <c r="D1685" s="51" t="str">
        <v/>
      </c>
      <c r="E1685" s="51" t="str">
        <v/>
      </c>
      <c r="F1685" s="52" t="e">
        <v>#REF!</v>
      </c>
      <c r="G1685" s="48" t="e">
        <v>#REF!</v>
      </c>
      <c r="H1685" s="49">
        <v>1</v>
      </c>
      <c r="I1685" s="49" t="e">
        <v>#REF!</v>
      </c>
      <c r="J1685" s="50"/>
    </row>
    <row r="1686" outlineLevel="1" spans="1:10">
      <c r="A1686" s="50">
        <v>725</v>
      </c>
      <c r="B1686" s="51" t="str">
        <v>灯具-楼层指示标志灯</v>
      </c>
      <c r="C1686" s="51" t="e">
        <v>#REF!</v>
      </c>
      <c r="D1686" s="51" t="str">
        <v/>
      </c>
      <c r="E1686" s="51" t="str">
        <v/>
      </c>
      <c r="F1686" s="52" t="e">
        <v>#REF!</v>
      </c>
      <c r="G1686" s="48" t="e">
        <v>#REF!</v>
      </c>
      <c r="H1686" s="49">
        <v>12</v>
      </c>
      <c r="I1686" s="49" t="e">
        <v>#REF!</v>
      </c>
      <c r="J1686" s="50"/>
    </row>
    <row r="1687" ht="28.8" outlineLevel="1" spans="1:10">
      <c r="A1687" s="50">
        <v>726</v>
      </c>
      <c r="B1687" s="51" t="str">
        <v>灯具-消防应急壁灯（微波感应）带蓄电池</v>
      </c>
      <c r="C1687" s="51" t="e">
        <v>#REF!</v>
      </c>
      <c r="D1687" s="51" t="str">
        <v/>
      </c>
      <c r="E1687" s="51" t="str">
        <v/>
      </c>
      <c r="F1687" s="52" t="e">
        <v>#REF!</v>
      </c>
      <c r="G1687" s="48" t="e">
        <v>#REF!</v>
      </c>
      <c r="H1687" s="49">
        <v>2</v>
      </c>
      <c r="I1687" s="49" t="e">
        <v>#REF!</v>
      </c>
      <c r="J1687" s="50"/>
    </row>
    <row r="1688" ht="28.8" outlineLevel="1" spans="1:10">
      <c r="A1688" s="50">
        <v>727</v>
      </c>
      <c r="B1688" s="51" t="str">
        <v>灯具-消防应急吸顶灯-附微波感应带蓄电池</v>
      </c>
      <c r="C1688" s="51" t="e">
        <v>#REF!</v>
      </c>
      <c r="D1688" s="51" t="str">
        <v/>
      </c>
      <c r="E1688" s="51" t="str">
        <v/>
      </c>
      <c r="F1688" s="52" t="e">
        <v>#REF!</v>
      </c>
      <c r="G1688" s="48" t="e">
        <v>#REF!</v>
      </c>
      <c r="H1688" s="49">
        <v>56</v>
      </c>
      <c r="I1688" s="49" t="e">
        <v>#REF!</v>
      </c>
      <c r="J1688" s="50"/>
    </row>
    <row r="1689" ht="28.8" outlineLevel="1" spans="1:10">
      <c r="A1689" s="50">
        <v>728</v>
      </c>
      <c r="B1689" s="51" t="str">
        <v>灯具-单向单面疏散指示标志灯</v>
      </c>
      <c r="C1689" s="51" t="e">
        <v>#REF!</v>
      </c>
      <c r="D1689" s="51" t="str">
        <v/>
      </c>
      <c r="E1689" s="51" t="str">
        <v/>
      </c>
      <c r="F1689" s="52" t="e">
        <v>#REF!</v>
      </c>
      <c r="G1689" s="48" t="e">
        <v>#REF!</v>
      </c>
      <c r="H1689" s="49">
        <v>12</v>
      </c>
      <c r="I1689" s="49" t="e">
        <v>#REF!</v>
      </c>
      <c r="J1689" s="50"/>
    </row>
    <row r="1690" outlineLevel="1" spans="1:10">
      <c r="A1690" s="50" t="str">
        <v/>
      </c>
      <c r="B1690" s="51" t="str">
        <v>B.21.5开关插座</v>
      </c>
      <c r="C1690" s="51" t="str">
        <v/>
      </c>
      <c r="D1690" s="51" t="str">
        <v/>
      </c>
      <c r="E1690" s="51" t="str">
        <v/>
      </c>
      <c r="F1690" s="52" t="str">
        <v/>
      </c>
      <c r="G1690" s="48" t="str">
        <v/>
      </c>
      <c r="H1690" s="49">
        <v>0</v>
      </c>
      <c r="I1690" s="49" t="e">
        <v>#REF!</v>
      </c>
      <c r="J1690" s="50"/>
    </row>
    <row r="1691" outlineLevel="1" spans="1:10">
      <c r="A1691" s="50">
        <v>729</v>
      </c>
      <c r="B1691" s="51" t="str">
        <v>五孔插座</v>
      </c>
      <c r="C1691" s="51" t="e">
        <v>#REF!</v>
      </c>
      <c r="D1691" s="51" t="str">
        <v/>
      </c>
      <c r="E1691" s="51" t="str">
        <v/>
      </c>
      <c r="F1691" s="52" t="e">
        <v>#REF!</v>
      </c>
      <c r="G1691" s="48" t="e">
        <v>#REF!</v>
      </c>
      <c r="H1691" s="49">
        <v>380</v>
      </c>
      <c r="I1691" s="49" t="e">
        <v>#REF!</v>
      </c>
      <c r="J1691" s="50"/>
    </row>
    <row r="1692" outlineLevel="1" spans="1:10">
      <c r="A1692" s="50">
        <v>730</v>
      </c>
      <c r="B1692" s="51" t="str">
        <v>电伴热插座</v>
      </c>
      <c r="C1692" s="51" t="e">
        <v>#REF!</v>
      </c>
      <c r="D1692" s="51" t="str">
        <v/>
      </c>
      <c r="E1692" s="51" t="str">
        <v/>
      </c>
      <c r="F1692" s="52" t="e">
        <v>#REF!</v>
      </c>
      <c r="G1692" s="48" t="e">
        <v>#REF!</v>
      </c>
      <c r="H1692" s="49">
        <v>0</v>
      </c>
      <c r="I1692" s="49" t="e">
        <v>#REF!</v>
      </c>
      <c r="J1692" s="50"/>
    </row>
    <row r="1693" outlineLevel="1" spans="1:10">
      <c r="A1693" s="50">
        <v>731</v>
      </c>
      <c r="B1693" s="51" t="str">
        <v>洗衣机插座</v>
      </c>
      <c r="C1693" s="51" t="e">
        <v>#REF!</v>
      </c>
      <c r="D1693" s="51" t="str">
        <v/>
      </c>
      <c r="E1693" s="51" t="str">
        <v/>
      </c>
      <c r="F1693" s="52" t="e">
        <v>#REF!</v>
      </c>
      <c r="G1693" s="48" t="e">
        <v>#REF!</v>
      </c>
      <c r="H1693" s="49">
        <v>19</v>
      </c>
      <c r="I1693" s="49" t="e">
        <v>#REF!</v>
      </c>
      <c r="J1693" s="50"/>
    </row>
    <row r="1694" outlineLevel="1" spans="1:10">
      <c r="A1694" s="50">
        <v>732</v>
      </c>
      <c r="B1694" s="51" t="str">
        <v>安全型燃气插座</v>
      </c>
      <c r="C1694" s="51" t="e">
        <v>#REF!</v>
      </c>
      <c r="D1694" s="51" t="str">
        <v/>
      </c>
      <c r="E1694" s="51" t="str">
        <v/>
      </c>
      <c r="F1694" s="52" t="e">
        <v>#REF!</v>
      </c>
      <c r="G1694" s="48" t="e">
        <v>#REF!</v>
      </c>
      <c r="H1694" s="49">
        <v>38</v>
      </c>
      <c r="I1694" s="49" t="e">
        <v>#REF!</v>
      </c>
      <c r="J1694" s="50"/>
    </row>
    <row r="1695" outlineLevel="1" spans="1:10">
      <c r="A1695" s="50">
        <v>733</v>
      </c>
      <c r="B1695" s="51" t="str">
        <v>电辅热插座</v>
      </c>
      <c r="C1695" s="51" t="e">
        <v>#REF!</v>
      </c>
      <c r="D1695" s="51" t="str">
        <v/>
      </c>
      <c r="E1695" s="51" t="str">
        <v/>
      </c>
      <c r="F1695" s="52" t="e">
        <v>#REF!</v>
      </c>
      <c r="G1695" s="48" t="e">
        <v>#REF!</v>
      </c>
      <c r="H1695" s="49">
        <v>1</v>
      </c>
      <c r="I1695" s="49" t="e">
        <v>#REF!</v>
      </c>
      <c r="J1695" s="50"/>
    </row>
    <row r="1696" outlineLevel="1" spans="1:10">
      <c r="A1696" s="50">
        <v>734</v>
      </c>
      <c r="B1696" s="51" t="str">
        <v>油烟机插座</v>
      </c>
      <c r="C1696" s="51" t="e">
        <v>#REF!</v>
      </c>
      <c r="D1696" s="51" t="str">
        <v/>
      </c>
      <c r="E1696" s="51" t="str">
        <v/>
      </c>
      <c r="F1696" s="52" t="e">
        <v>#REF!</v>
      </c>
      <c r="G1696" s="48" t="e">
        <v>#REF!</v>
      </c>
      <c r="H1696" s="49">
        <v>19</v>
      </c>
      <c r="I1696" s="49" t="e">
        <v>#REF!</v>
      </c>
      <c r="J1696" s="50"/>
    </row>
    <row r="1697" outlineLevel="1" spans="1:10">
      <c r="A1697" s="50">
        <v>735</v>
      </c>
      <c r="B1697" s="51" t="str">
        <v>厨房五孔插座</v>
      </c>
      <c r="C1697" s="51" t="e">
        <v>#REF!</v>
      </c>
      <c r="D1697" s="51" t="str">
        <v/>
      </c>
      <c r="E1697" s="51" t="str">
        <v/>
      </c>
      <c r="F1697" s="52" t="e">
        <v>#REF!</v>
      </c>
      <c r="G1697" s="48" t="e">
        <v>#REF!</v>
      </c>
      <c r="H1697" s="49">
        <v>76</v>
      </c>
      <c r="I1697" s="49" t="e">
        <v>#REF!</v>
      </c>
      <c r="J1697" s="50"/>
    </row>
    <row r="1698" outlineLevel="1" spans="1:10">
      <c r="A1698" s="50">
        <v>736</v>
      </c>
      <c r="B1698" s="51" t="str">
        <v>剃须刀插座</v>
      </c>
      <c r="C1698" s="51" t="e">
        <v>#REF!</v>
      </c>
      <c r="D1698" s="51" t="str">
        <v/>
      </c>
      <c r="E1698" s="51" t="str">
        <v/>
      </c>
      <c r="F1698" s="52" t="e">
        <v>#REF!</v>
      </c>
      <c r="G1698" s="48" t="e">
        <v>#REF!</v>
      </c>
      <c r="H1698" s="49">
        <v>58</v>
      </c>
      <c r="I1698" s="49" t="e">
        <v>#REF!</v>
      </c>
      <c r="J1698" s="50"/>
    </row>
    <row r="1699" outlineLevel="1" spans="1:10">
      <c r="A1699" s="50">
        <v>737</v>
      </c>
      <c r="B1699" s="51" t="str">
        <v>七孔插座</v>
      </c>
      <c r="C1699" s="51" t="e">
        <v>#REF!</v>
      </c>
      <c r="D1699" s="51" t="str">
        <v/>
      </c>
      <c r="E1699" s="51" t="str">
        <v/>
      </c>
      <c r="F1699" s="52" t="e">
        <v>#REF!</v>
      </c>
      <c r="G1699" s="48" t="e">
        <v>#REF!</v>
      </c>
      <c r="H1699" s="49">
        <v>39</v>
      </c>
      <c r="I1699" s="49" t="e">
        <v>#REF!</v>
      </c>
      <c r="J1699" s="50"/>
    </row>
    <row r="1700" outlineLevel="1" spans="1:10">
      <c r="A1700" s="50">
        <v>738</v>
      </c>
      <c r="B1700" s="51" t="str">
        <v>防溅盒</v>
      </c>
      <c r="C1700" s="51" t="e">
        <v>#REF!</v>
      </c>
      <c r="D1700" s="51" t="str">
        <v/>
      </c>
      <c r="E1700" s="51" t="str">
        <v/>
      </c>
      <c r="F1700" s="52" t="e">
        <v>#REF!</v>
      </c>
      <c r="G1700" s="48" t="e">
        <v>#REF!</v>
      </c>
      <c r="H1700" s="49">
        <v>0</v>
      </c>
      <c r="I1700" s="49" t="e">
        <v>#REF!</v>
      </c>
      <c r="J1700" s="50"/>
    </row>
    <row r="1701" outlineLevel="1" spans="1:10">
      <c r="A1701" s="50">
        <v>739</v>
      </c>
      <c r="B1701" s="51" t="str">
        <v>智能马桶插座</v>
      </c>
      <c r="C1701" s="51" t="e">
        <v>#REF!</v>
      </c>
      <c r="D1701" s="51" t="str">
        <v/>
      </c>
      <c r="E1701" s="51" t="str">
        <v/>
      </c>
      <c r="F1701" s="52" t="e">
        <v>#REF!</v>
      </c>
      <c r="G1701" s="48" t="e">
        <v>#REF!</v>
      </c>
      <c r="H1701" s="49">
        <v>58</v>
      </c>
      <c r="I1701" s="49" t="e">
        <v>#REF!</v>
      </c>
      <c r="J1701" s="50"/>
    </row>
    <row r="1702" outlineLevel="1" spans="1:10">
      <c r="A1702" s="50">
        <v>740</v>
      </c>
      <c r="B1702" s="51" t="str">
        <v>冰箱插座</v>
      </c>
      <c r="C1702" s="51" t="e">
        <v>#REF!</v>
      </c>
      <c r="D1702" s="51" t="str">
        <v/>
      </c>
      <c r="E1702" s="51" t="str">
        <v/>
      </c>
      <c r="F1702" s="52" t="e">
        <v>#REF!</v>
      </c>
      <c r="G1702" s="48" t="e">
        <v>#REF!</v>
      </c>
      <c r="H1702" s="49">
        <v>19</v>
      </c>
      <c r="I1702" s="49" t="e">
        <v>#REF!</v>
      </c>
      <c r="J1702" s="50"/>
    </row>
    <row r="1703" ht="28.8" outlineLevel="1" spans="1:10">
      <c r="A1703" s="50">
        <v>741</v>
      </c>
      <c r="B1703" s="51" t="str">
        <v>空调挂机、柜机三孔插座-（带开关）</v>
      </c>
      <c r="C1703" s="51" t="e">
        <v>#REF!</v>
      </c>
      <c r="D1703" s="51" t="str">
        <v/>
      </c>
      <c r="E1703" s="51" t="str">
        <v/>
      </c>
      <c r="F1703" s="52" t="e">
        <v>#REF!</v>
      </c>
      <c r="G1703" s="48" t="e">
        <v>#REF!</v>
      </c>
      <c r="H1703" s="49">
        <v>0</v>
      </c>
      <c r="I1703" s="49" t="e">
        <v>#REF!</v>
      </c>
      <c r="J1703" s="50"/>
    </row>
    <row r="1704" outlineLevel="1" spans="1:10">
      <c r="A1704" s="50">
        <v>742</v>
      </c>
      <c r="B1704" s="51" t="str">
        <v>热水器插座</v>
      </c>
      <c r="C1704" s="51" t="e">
        <v>#REF!</v>
      </c>
      <c r="D1704" s="51" t="str">
        <v/>
      </c>
      <c r="E1704" s="51" t="str">
        <v/>
      </c>
      <c r="F1704" s="52" t="e">
        <v>#REF!</v>
      </c>
      <c r="G1704" s="48" t="e">
        <v>#REF!</v>
      </c>
      <c r="H1704" s="49">
        <v>0</v>
      </c>
      <c r="I1704" s="49" t="e">
        <v>#REF!</v>
      </c>
      <c r="J1704" s="50"/>
    </row>
    <row r="1705" outlineLevel="1" spans="1:10">
      <c r="A1705" s="50">
        <v>743</v>
      </c>
      <c r="B1705" s="51" t="str">
        <v>单联双控开关</v>
      </c>
      <c r="C1705" s="51" t="e">
        <v>#REF!</v>
      </c>
      <c r="D1705" s="51" t="str">
        <v/>
      </c>
      <c r="E1705" s="51" t="str">
        <v/>
      </c>
      <c r="F1705" s="52" t="e">
        <v>#REF!</v>
      </c>
      <c r="G1705" s="48" t="e">
        <v>#REF!</v>
      </c>
      <c r="H1705" s="49">
        <v>155</v>
      </c>
      <c r="I1705" s="49" t="e">
        <v>#REF!</v>
      </c>
      <c r="J1705" s="50"/>
    </row>
    <row r="1706" outlineLevel="1" spans="1:10">
      <c r="A1706" s="50">
        <v>744</v>
      </c>
      <c r="B1706" s="51" t="str">
        <v>单联单控开关</v>
      </c>
      <c r="C1706" s="51" t="e">
        <v>#REF!</v>
      </c>
      <c r="D1706" s="51" t="str">
        <v/>
      </c>
      <c r="E1706" s="51" t="str">
        <v/>
      </c>
      <c r="F1706" s="52" t="e">
        <v>#REF!</v>
      </c>
      <c r="G1706" s="48" t="e">
        <v>#REF!</v>
      </c>
      <c r="H1706" s="49">
        <v>168</v>
      </c>
      <c r="I1706" s="49" t="e">
        <v>#REF!</v>
      </c>
      <c r="J1706" s="50"/>
    </row>
    <row r="1707" outlineLevel="1" spans="1:10">
      <c r="A1707" s="50">
        <v>745</v>
      </c>
      <c r="B1707" s="51" t="str">
        <v>双联单控开关</v>
      </c>
      <c r="C1707" s="51" t="e">
        <v>#REF!</v>
      </c>
      <c r="D1707" s="51" t="str">
        <v/>
      </c>
      <c r="E1707" s="51" t="str">
        <v/>
      </c>
      <c r="F1707" s="52" t="e">
        <v>#REF!</v>
      </c>
      <c r="G1707" s="48" t="e">
        <v>#REF!</v>
      </c>
      <c r="H1707" s="49">
        <v>132</v>
      </c>
      <c r="I1707" s="49" t="e">
        <v>#REF!</v>
      </c>
      <c r="J1707" s="50"/>
    </row>
    <row r="1708" outlineLevel="1" spans="1:10">
      <c r="A1708" s="50">
        <v>746</v>
      </c>
      <c r="B1708" s="51" t="str">
        <v>三联单控开关</v>
      </c>
      <c r="C1708" s="51" t="e">
        <v>#REF!</v>
      </c>
      <c r="D1708" s="51" t="str">
        <v/>
      </c>
      <c r="E1708" s="51" t="str">
        <v/>
      </c>
      <c r="F1708" s="52" t="e">
        <v>#REF!</v>
      </c>
      <c r="G1708" s="48" t="e">
        <v>#REF!</v>
      </c>
      <c r="H1708" s="49">
        <v>37</v>
      </c>
      <c r="I1708" s="49" t="e">
        <v>#REF!</v>
      </c>
      <c r="J1708" s="50"/>
    </row>
    <row r="1709" outlineLevel="1" spans="1:10">
      <c r="A1709" s="50">
        <v>747</v>
      </c>
      <c r="B1709" s="51" t="str">
        <v>热力温控开关</v>
      </c>
      <c r="C1709" s="51" t="e">
        <v>#REF!</v>
      </c>
      <c r="D1709" s="51" t="str">
        <v/>
      </c>
      <c r="E1709" s="51" t="str">
        <v/>
      </c>
      <c r="F1709" s="52" t="e">
        <v>#REF!</v>
      </c>
      <c r="G1709" s="48" t="e">
        <v>#REF!</v>
      </c>
      <c r="H1709" s="49">
        <v>19</v>
      </c>
      <c r="I1709" s="49" t="e">
        <v>#REF!</v>
      </c>
      <c r="J1709" s="50"/>
    </row>
    <row r="1710" ht="28.8" outlineLevel="1" spans="1:10">
      <c r="A1710" s="50">
        <v>748</v>
      </c>
      <c r="B1710" s="51" t="str">
        <v>暗装排气扇接线盒（含面板）</v>
      </c>
      <c r="C1710" s="51" t="e">
        <v>#REF!</v>
      </c>
      <c r="D1710" s="51" t="str">
        <v/>
      </c>
      <c r="E1710" s="51" t="str">
        <v/>
      </c>
      <c r="F1710" s="52" t="e">
        <v>#REF!</v>
      </c>
      <c r="G1710" s="48" t="e">
        <v>#REF!</v>
      </c>
      <c r="H1710" s="49">
        <v>58</v>
      </c>
      <c r="I1710" s="49" t="e">
        <v>#REF!</v>
      </c>
      <c r="J1710" s="50"/>
    </row>
    <row r="1711" outlineLevel="1" spans="1:10">
      <c r="A1711" s="50">
        <v>749</v>
      </c>
      <c r="B1711" s="51" t="str">
        <v>密闭接线盒</v>
      </c>
      <c r="C1711" s="51" t="e">
        <v>#REF!</v>
      </c>
      <c r="D1711" s="51" t="str">
        <v/>
      </c>
      <c r="E1711" s="51" t="str">
        <v/>
      </c>
      <c r="F1711" s="52" t="e">
        <v>#REF!</v>
      </c>
      <c r="G1711" s="48" t="e">
        <v>#REF!</v>
      </c>
      <c r="H1711" s="49">
        <v>22</v>
      </c>
      <c r="I1711" s="49" t="e">
        <v>#REF!</v>
      </c>
      <c r="J1711" s="50"/>
    </row>
    <row r="1712" outlineLevel="1" spans="1:10">
      <c r="A1712" s="50">
        <v>750</v>
      </c>
      <c r="B1712" s="51" t="str">
        <v>暗装塑料接线盒</v>
      </c>
      <c r="C1712" s="51" t="e">
        <v>#REF!</v>
      </c>
      <c r="D1712" s="51" t="str">
        <v/>
      </c>
      <c r="E1712" s="51" t="str">
        <v/>
      </c>
      <c r="F1712" s="52" t="e">
        <v>#REF!</v>
      </c>
      <c r="G1712" s="48" t="e">
        <v>#REF!</v>
      </c>
      <c r="H1712" s="49">
        <v>1514</v>
      </c>
      <c r="I1712" s="49" t="e">
        <v>#REF!</v>
      </c>
      <c r="J1712" s="50"/>
    </row>
    <row r="1713" outlineLevel="1" spans="1:10">
      <c r="A1713" s="50">
        <v>751</v>
      </c>
      <c r="B1713" s="51" t="str">
        <v>暗装钢制接线盒</v>
      </c>
      <c r="C1713" s="51" t="e">
        <v>#REF!</v>
      </c>
      <c r="D1713" s="51" t="str">
        <v/>
      </c>
      <c r="E1713" s="51" t="str">
        <v/>
      </c>
      <c r="F1713" s="52" t="e">
        <v>#REF!</v>
      </c>
      <c r="G1713" s="48" t="e">
        <v>#REF!</v>
      </c>
      <c r="H1713" s="49">
        <v>1097</v>
      </c>
      <c r="I1713" s="49" t="e">
        <v>#REF!</v>
      </c>
      <c r="J1713" s="50"/>
    </row>
    <row r="1714" outlineLevel="1" spans="1:10">
      <c r="A1714" s="50" t="str">
        <v/>
      </c>
      <c r="B1714" s="51" t="str">
        <v>B.21.6防雷接地</v>
      </c>
      <c r="C1714" s="51" t="str">
        <v/>
      </c>
      <c r="D1714" s="51" t="str">
        <v/>
      </c>
      <c r="E1714" s="51" t="str">
        <v/>
      </c>
      <c r="F1714" s="52" t="str">
        <v/>
      </c>
      <c r="G1714" s="48" t="str">
        <v/>
      </c>
      <c r="H1714" s="49">
        <v>0</v>
      </c>
      <c r="I1714" s="49" t="e">
        <v>#REF!</v>
      </c>
      <c r="J1714" s="50"/>
    </row>
    <row r="1715" outlineLevel="1" spans="1:10">
      <c r="A1715" s="50">
        <v>752</v>
      </c>
      <c r="B1715" s="51" t="str">
        <v>避雷引下线1</v>
      </c>
      <c r="C1715" s="51" t="e">
        <v>#REF!</v>
      </c>
      <c r="D1715" s="51" t="str">
        <v/>
      </c>
      <c r="E1715" s="51" t="str">
        <v/>
      </c>
      <c r="F1715" s="52" t="e">
        <v>#REF!</v>
      </c>
      <c r="G1715" s="48" t="e">
        <v>#REF!</v>
      </c>
      <c r="H1715" s="49">
        <v>350</v>
      </c>
      <c r="I1715" s="49" t="e">
        <v>#REF!</v>
      </c>
      <c r="J1715" s="50"/>
    </row>
    <row r="1716" outlineLevel="1" spans="1:10">
      <c r="A1716" s="50">
        <v>753</v>
      </c>
      <c r="B1716" s="51" t="str">
        <v>避雷引下线2</v>
      </c>
      <c r="C1716" s="51" t="e">
        <v>#REF!</v>
      </c>
      <c r="D1716" s="51" t="str">
        <v/>
      </c>
      <c r="E1716" s="51" t="str">
        <v/>
      </c>
      <c r="F1716" s="52" t="e">
        <v>#REF!</v>
      </c>
      <c r="G1716" s="48" t="e">
        <v>#REF!</v>
      </c>
      <c r="H1716" s="49">
        <v>0</v>
      </c>
      <c r="I1716" s="49" t="e">
        <v>#REF!</v>
      </c>
      <c r="J1716" s="50"/>
    </row>
    <row r="1717" outlineLevel="1" spans="1:10">
      <c r="A1717" s="50">
        <v>754</v>
      </c>
      <c r="B1717" s="51" t="str">
        <v>均压环</v>
      </c>
      <c r="C1717" s="51" t="e">
        <v>#REF!</v>
      </c>
      <c r="D1717" s="51" t="str">
        <v/>
      </c>
      <c r="E1717" s="51" t="str">
        <v/>
      </c>
      <c r="F1717" s="52" t="e">
        <v>#REF!</v>
      </c>
      <c r="G1717" s="48" t="e">
        <v>#REF!</v>
      </c>
      <c r="H1717" s="49">
        <v>407.56</v>
      </c>
      <c r="I1717" s="49" t="e">
        <v>#REF!</v>
      </c>
      <c r="J1717" s="50"/>
    </row>
    <row r="1718" outlineLevel="1" spans="1:10">
      <c r="A1718" s="50">
        <v>755</v>
      </c>
      <c r="B1718" s="51" t="str">
        <v>接地母线-25*4</v>
      </c>
      <c r="C1718" s="51" t="e">
        <v>#REF!</v>
      </c>
      <c r="D1718" s="51" t="str">
        <v/>
      </c>
      <c r="E1718" s="51" t="str">
        <v/>
      </c>
      <c r="F1718" s="52" t="e">
        <v>#REF!</v>
      </c>
      <c r="G1718" s="48" t="e">
        <v>#REF!</v>
      </c>
      <c r="H1718" s="49">
        <v>0</v>
      </c>
      <c r="I1718" s="49" t="e">
        <v>#REF!</v>
      </c>
      <c r="J1718" s="50"/>
    </row>
    <row r="1719" outlineLevel="1" spans="1:10">
      <c r="A1719" s="50">
        <v>756</v>
      </c>
      <c r="B1719" s="51" t="str">
        <v>接地母线-40*4</v>
      </c>
      <c r="C1719" s="51" t="e">
        <v>#REF!</v>
      </c>
      <c r="D1719" s="51" t="str">
        <v/>
      </c>
      <c r="E1719" s="51" t="str">
        <v/>
      </c>
      <c r="F1719" s="52" t="e">
        <v>#REF!</v>
      </c>
      <c r="G1719" s="48" t="e">
        <v>#REF!</v>
      </c>
      <c r="H1719" s="49">
        <v>45.113</v>
      </c>
      <c r="I1719" s="49" t="e">
        <v>#REF!</v>
      </c>
      <c r="J1719" s="50"/>
    </row>
    <row r="1720" outlineLevel="1" spans="1:10">
      <c r="A1720" s="50">
        <v>757</v>
      </c>
      <c r="B1720" s="51" t="str">
        <v>接地端子板</v>
      </c>
      <c r="C1720" s="51" t="e">
        <v>#REF!</v>
      </c>
      <c r="D1720" s="51" t="str">
        <v/>
      </c>
      <c r="E1720" s="51" t="str">
        <v/>
      </c>
      <c r="F1720" s="52" t="e">
        <v>#REF!</v>
      </c>
      <c r="G1720" s="48" t="e">
        <v>#REF!</v>
      </c>
      <c r="H1720" s="49">
        <v>4</v>
      </c>
      <c r="I1720" s="49" t="e">
        <v>#REF!</v>
      </c>
      <c r="J1720" s="50"/>
    </row>
    <row r="1721" outlineLevel="1" spans="1:10">
      <c r="A1721" s="50">
        <v>758</v>
      </c>
      <c r="B1721" s="51" t="str">
        <v>卫生间等电位接地</v>
      </c>
      <c r="C1721" s="51" t="e">
        <v>#REF!</v>
      </c>
      <c r="D1721" s="51" t="str">
        <v/>
      </c>
      <c r="E1721" s="51" t="str">
        <v/>
      </c>
      <c r="F1721" s="52" t="e">
        <v>#REF!</v>
      </c>
      <c r="G1721" s="48" t="e">
        <v>#REF!</v>
      </c>
      <c r="H1721" s="49">
        <v>58</v>
      </c>
      <c r="I1721" s="49" t="e">
        <v>#REF!</v>
      </c>
      <c r="J1721" s="50"/>
    </row>
    <row r="1722" outlineLevel="1" spans="1:10">
      <c r="A1722" s="50">
        <v>759</v>
      </c>
      <c r="B1722" s="51" t="str">
        <v>避雷网1</v>
      </c>
      <c r="C1722" s="51" t="e">
        <v>#REF!</v>
      </c>
      <c r="D1722" s="51" t="str">
        <v/>
      </c>
      <c r="E1722" s="51" t="str">
        <v/>
      </c>
      <c r="F1722" s="52" t="e">
        <v>#REF!</v>
      </c>
      <c r="G1722" s="48" t="e">
        <v>#REF!</v>
      </c>
      <c r="H1722" s="49">
        <v>375.1</v>
      </c>
      <c r="I1722" s="49" t="e">
        <v>#REF!</v>
      </c>
      <c r="J1722" s="50"/>
    </row>
    <row r="1723" outlineLevel="1" spans="1:10">
      <c r="A1723" s="50" t="str">
        <v/>
      </c>
      <c r="B1723" s="51" t="str">
        <v>B.22弱电工程</v>
      </c>
      <c r="C1723" s="51" t="str">
        <v/>
      </c>
      <c r="D1723" s="51" t="str">
        <v/>
      </c>
      <c r="E1723" s="51" t="str">
        <v/>
      </c>
      <c r="F1723" s="52" t="str">
        <v/>
      </c>
      <c r="G1723" s="48" t="str">
        <v/>
      </c>
      <c r="H1723" s="49">
        <v>0</v>
      </c>
      <c r="I1723" s="49" t="e">
        <v>#REF!</v>
      </c>
      <c r="J1723" s="50"/>
    </row>
    <row r="1724" outlineLevel="1" spans="1:10">
      <c r="A1724" s="50">
        <v>760</v>
      </c>
      <c r="B1724" s="51" t="str">
        <v>弱电箱</v>
      </c>
      <c r="C1724" s="51" t="e">
        <v>#REF!</v>
      </c>
      <c r="D1724" s="51" t="str">
        <v/>
      </c>
      <c r="E1724" s="51" t="str">
        <v/>
      </c>
      <c r="F1724" s="52" t="e">
        <v>#REF!</v>
      </c>
      <c r="G1724" s="48" t="e">
        <v>#REF!</v>
      </c>
      <c r="H1724" s="49">
        <v>19</v>
      </c>
      <c r="I1724" s="49" t="e">
        <v>#REF!</v>
      </c>
      <c r="J1724" s="50"/>
    </row>
    <row r="1725" outlineLevel="1" spans="1:10">
      <c r="A1725" s="50">
        <v>761</v>
      </c>
      <c r="B1725" s="51" t="str">
        <v>金属桥架-100*100</v>
      </c>
      <c r="C1725" s="51" t="e">
        <v>#REF!</v>
      </c>
      <c r="D1725" s="51" t="str">
        <v/>
      </c>
      <c r="E1725" s="51" t="str">
        <v/>
      </c>
      <c r="F1725" s="52" t="e">
        <v>#REF!</v>
      </c>
      <c r="G1725" s="48" t="e">
        <v>#REF!</v>
      </c>
      <c r="H1725" s="49">
        <v>26.4</v>
      </c>
      <c r="I1725" s="49" t="e">
        <v>#REF!</v>
      </c>
      <c r="J1725" s="50"/>
    </row>
    <row r="1726" outlineLevel="1" spans="1:10">
      <c r="A1726" s="50">
        <v>762</v>
      </c>
      <c r="B1726" s="51" t="str">
        <v>金属桥架-150*100</v>
      </c>
      <c r="C1726" s="51" t="e">
        <v>#REF!</v>
      </c>
      <c r="D1726" s="51" t="str">
        <v/>
      </c>
      <c r="E1726" s="51" t="str">
        <v/>
      </c>
      <c r="F1726" s="52" t="e">
        <v>#REF!</v>
      </c>
      <c r="G1726" s="48" t="e">
        <v>#REF!</v>
      </c>
      <c r="H1726" s="49">
        <v>0</v>
      </c>
      <c r="I1726" s="49" t="e">
        <v>#REF!</v>
      </c>
      <c r="J1726" s="50"/>
    </row>
    <row r="1727" outlineLevel="1" spans="1:10">
      <c r="A1727" s="50">
        <v>763</v>
      </c>
      <c r="B1727" s="51" t="str">
        <v>防火堵洞</v>
      </c>
      <c r="C1727" s="51" t="e">
        <v>#REF!</v>
      </c>
      <c r="D1727" s="51" t="str">
        <v/>
      </c>
      <c r="E1727" s="51" t="str">
        <v/>
      </c>
      <c r="F1727" s="52" t="e">
        <v>#REF!</v>
      </c>
      <c r="G1727" s="48" t="e">
        <v>#REF!</v>
      </c>
      <c r="H1727" s="49">
        <v>8</v>
      </c>
      <c r="I1727" s="49" t="e">
        <v>#REF!</v>
      </c>
      <c r="J1727" s="50"/>
    </row>
    <row r="1728" ht="28.8" outlineLevel="1" spans="1:10">
      <c r="A1728" s="50">
        <v>764</v>
      </c>
      <c r="B1728" s="51" t="str">
        <v>阻燃塑料管配管-PC20-暗配</v>
      </c>
      <c r="C1728" s="51" t="e">
        <v>#REF!</v>
      </c>
      <c r="D1728" s="51" t="str">
        <v/>
      </c>
      <c r="E1728" s="51" t="str">
        <v/>
      </c>
      <c r="F1728" s="52" t="e">
        <v>#REF!</v>
      </c>
      <c r="G1728" s="48" t="e">
        <v>#REF!</v>
      </c>
      <c r="H1728" s="49">
        <v>545.626</v>
      </c>
      <c r="I1728" s="49" t="e">
        <v>#REF!</v>
      </c>
      <c r="J1728" s="50"/>
    </row>
    <row r="1729" ht="28.8" outlineLevel="1" spans="1:10">
      <c r="A1729" s="50">
        <v>765</v>
      </c>
      <c r="B1729" s="51" t="str">
        <v>阻燃塑料管配管-PC25-暗配</v>
      </c>
      <c r="C1729" s="51" t="e">
        <v>#REF!</v>
      </c>
      <c r="D1729" s="51" t="str">
        <v/>
      </c>
      <c r="E1729" s="51" t="str">
        <v/>
      </c>
      <c r="F1729" s="52" t="e">
        <v>#REF!</v>
      </c>
      <c r="G1729" s="48" t="e">
        <v>#REF!</v>
      </c>
      <c r="H1729" s="49">
        <v>874.4</v>
      </c>
      <c r="I1729" s="49" t="e">
        <v>#REF!</v>
      </c>
      <c r="J1729" s="50"/>
    </row>
    <row r="1730" ht="28.8" outlineLevel="1" spans="1:10">
      <c r="A1730" s="50">
        <v>766</v>
      </c>
      <c r="B1730" s="51" t="str">
        <v>阻燃塑料管配管-PC32-暗配</v>
      </c>
      <c r="C1730" s="51" t="e">
        <v>#REF!</v>
      </c>
      <c r="D1730" s="51" t="str">
        <v/>
      </c>
      <c r="E1730" s="51" t="str">
        <v/>
      </c>
      <c r="F1730" s="52" t="e">
        <v>#REF!</v>
      </c>
      <c r="G1730" s="48" t="e">
        <v>#REF!</v>
      </c>
      <c r="H1730" s="49">
        <v>0</v>
      </c>
      <c r="I1730" s="49" t="e">
        <v>#REF!</v>
      </c>
      <c r="J1730" s="50"/>
    </row>
    <row r="1731" ht="28.8" outlineLevel="1" spans="1:10">
      <c r="A1731" s="50">
        <v>767</v>
      </c>
      <c r="B1731" s="51" t="str">
        <v>薄壁钢导管配管-JDG20-暗配</v>
      </c>
      <c r="C1731" s="51" t="e">
        <v>#REF!</v>
      </c>
      <c r="D1731" s="51" t="str">
        <v/>
      </c>
      <c r="E1731" s="51" t="str">
        <v/>
      </c>
      <c r="F1731" s="52" t="e">
        <v>#REF!</v>
      </c>
      <c r="G1731" s="48" t="e">
        <v>#REF!</v>
      </c>
      <c r="H1731" s="49">
        <v>0</v>
      </c>
      <c r="I1731" s="49" t="e">
        <v>#REF!</v>
      </c>
      <c r="J1731" s="50"/>
    </row>
    <row r="1732" ht="28.8" outlineLevel="1" spans="1:10">
      <c r="A1732" s="50">
        <v>768</v>
      </c>
      <c r="B1732" s="51" t="str">
        <v>薄壁钢导管配管-JDG25-暗配</v>
      </c>
      <c r="C1732" s="51" t="e">
        <v>#REF!</v>
      </c>
      <c r="D1732" s="51" t="str">
        <v/>
      </c>
      <c r="E1732" s="51" t="str">
        <v/>
      </c>
      <c r="F1732" s="52" t="e">
        <v>#REF!</v>
      </c>
      <c r="G1732" s="48" t="e">
        <v>#REF!</v>
      </c>
      <c r="H1732" s="49">
        <v>0</v>
      </c>
      <c r="I1732" s="49" t="e">
        <v>#REF!</v>
      </c>
      <c r="J1732" s="50"/>
    </row>
    <row r="1733" ht="28.8" outlineLevel="1" spans="1:10">
      <c r="A1733" s="50">
        <v>769</v>
      </c>
      <c r="B1733" s="51" t="str">
        <v>薄壁钢导管配管-JDG20-明配</v>
      </c>
      <c r="C1733" s="51" t="e">
        <v>#REF!</v>
      </c>
      <c r="D1733" s="51" t="str">
        <v/>
      </c>
      <c r="E1733" s="51" t="str">
        <v/>
      </c>
      <c r="F1733" s="52" t="e">
        <v>#REF!</v>
      </c>
      <c r="G1733" s="48" t="e">
        <v>#REF!</v>
      </c>
      <c r="H1733" s="49">
        <v>31.026</v>
      </c>
      <c r="I1733" s="49" t="e">
        <v>#REF!</v>
      </c>
      <c r="J1733" s="50"/>
    </row>
    <row r="1734" ht="28.8" outlineLevel="1" spans="1:10">
      <c r="A1734" s="50">
        <v>770</v>
      </c>
      <c r="B1734" s="51" t="str">
        <v>薄壁钢导管配管-JDG25-明配</v>
      </c>
      <c r="C1734" s="51" t="e">
        <v>#REF!</v>
      </c>
      <c r="D1734" s="51" t="str">
        <v/>
      </c>
      <c r="E1734" s="51" t="str">
        <v/>
      </c>
      <c r="F1734" s="52" t="e">
        <v>#REF!</v>
      </c>
      <c r="G1734" s="48" t="e">
        <v>#REF!</v>
      </c>
      <c r="H1734" s="49">
        <v>0</v>
      </c>
      <c r="I1734" s="49" t="e">
        <v>#REF!</v>
      </c>
      <c r="J1734" s="50"/>
    </row>
    <row r="1735" outlineLevel="1" spans="1:10">
      <c r="A1735" s="50">
        <v>771</v>
      </c>
      <c r="B1735" s="51" t="str">
        <v>SC20-暗配</v>
      </c>
      <c r="C1735" s="51" t="e">
        <v>#REF!</v>
      </c>
      <c r="D1735" s="51" t="str">
        <v/>
      </c>
      <c r="E1735" s="51" t="str">
        <v/>
      </c>
      <c r="F1735" s="52" t="e">
        <v>#REF!</v>
      </c>
      <c r="G1735" s="48" t="e">
        <v>#REF!</v>
      </c>
      <c r="H1735" s="49">
        <v>5.15</v>
      </c>
      <c r="I1735" s="49" t="e">
        <v>#REF!</v>
      </c>
      <c r="J1735" s="50"/>
    </row>
    <row r="1736" outlineLevel="1" spans="1:10">
      <c r="A1736" s="50">
        <v>772</v>
      </c>
      <c r="B1736" s="51" t="str">
        <v>金属软管配管-DN25</v>
      </c>
      <c r="C1736" s="51" t="e">
        <v>#REF!</v>
      </c>
      <c r="D1736" s="51" t="str">
        <v/>
      </c>
      <c r="E1736" s="51" t="str">
        <v/>
      </c>
      <c r="F1736" s="52" t="e">
        <v>#REF!</v>
      </c>
      <c r="G1736" s="48" t="e">
        <v>#REF!</v>
      </c>
      <c r="H1736" s="49">
        <v>0</v>
      </c>
      <c r="I1736" s="49" t="e">
        <v>#REF!</v>
      </c>
      <c r="J1736" s="50"/>
    </row>
    <row r="1737" outlineLevel="1" spans="1:10">
      <c r="A1737" s="50">
        <v>773</v>
      </c>
      <c r="B1737" s="51" t="str">
        <v>暗装塑料接线盒</v>
      </c>
      <c r="C1737" s="51" t="e">
        <v>#REF!</v>
      </c>
      <c r="D1737" s="51" t="str">
        <v/>
      </c>
      <c r="E1737" s="51" t="str">
        <v/>
      </c>
      <c r="F1737" s="52" t="e">
        <v>#REF!</v>
      </c>
      <c r="G1737" s="48" t="e">
        <v>#REF!</v>
      </c>
      <c r="H1737" s="49">
        <v>158</v>
      </c>
      <c r="I1737" s="49" t="e">
        <v>#REF!</v>
      </c>
      <c r="J1737" s="50"/>
    </row>
    <row r="1738" outlineLevel="1" spans="1:10">
      <c r="A1738" s="50">
        <v>774</v>
      </c>
      <c r="B1738" s="51" t="str">
        <v>暗装钢制接线盒</v>
      </c>
      <c r="C1738" s="51" t="e">
        <v>#REF!</v>
      </c>
      <c r="D1738" s="51" t="str">
        <v/>
      </c>
      <c r="E1738" s="51" t="str">
        <v/>
      </c>
      <c r="F1738" s="52" t="e">
        <v>#REF!</v>
      </c>
      <c r="G1738" s="48" t="e">
        <v>#REF!</v>
      </c>
      <c r="H1738" s="49">
        <v>1</v>
      </c>
      <c r="I1738" s="49" t="e">
        <v>#REF!</v>
      </c>
      <c r="J1738" s="50"/>
    </row>
    <row r="1739" outlineLevel="1" spans="1:10">
      <c r="A1739" s="50">
        <v>775</v>
      </c>
      <c r="B1739" s="51" t="str">
        <v>空白面板</v>
      </c>
      <c r="C1739" s="51" t="e">
        <v>#REF!</v>
      </c>
      <c r="D1739" s="51" t="str">
        <v/>
      </c>
      <c r="E1739" s="51" t="str">
        <v/>
      </c>
      <c r="F1739" s="52" t="e">
        <v>#REF!</v>
      </c>
      <c r="G1739" s="48" t="e">
        <v>#REF!</v>
      </c>
      <c r="H1739" s="49">
        <v>158</v>
      </c>
      <c r="I1739" s="49" t="e">
        <v>#REF!</v>
      </c>
      <c r="J1739" s="50"/>
    </row>
    <row r="1740" outlineLevel="1" spans="1:10">
      <c r="A1740" s="50">
        <v>776</v>
      </c>
      <c r="B1740" s="51" t="str">
        <v>管内穿铁丝</v>
      </c>
      <c r="C1740" s="51" t="e">
        <v>#REF!</v>
      </c>
      <c r="D1740" s="51" t="str">
        <v/>
      </c>
      <c r="E1740" s="51" t="str">
        <v/>
      </c>
      <c r="F1740" s="52" t="e">
        <v>#REF!</v>
      </c>
      <c r="G1740" s="48" t="e">
        <v>#REF!</v>
      </c>
      <c r="H1740" s="49">
        <v>1422.176</v>
      </c>
      <c r="I1740" s="49" t="e">
        <v>#REF!</v>
      </c>
      <c r="J1740" s="50"/>
    </row>
    <row r="1741" outlineLevel="1" spans="1:10">
      <c r="A1741" s="50" t="str">
        <v/>
      </c>
      <c r="B1741" s="51" t="str">
        <v>B.23消防工程</v>
      </c>
      <c r="C1741" s="51" t="str">
        <v/>
      </c>
      <c r="D1741" s="51" t="str">
        <v/>
      </c>
      <c r="E1741" s="51" t="str">
        <v/>
      </c>
      <c r="F1741" s="52" t="str">
        <v/>
      </c>
      <c r="G1741" s="48" t="str">
        <v/>
      </c>
      <c r="H1741" s="49">
        <v>0</v>
      </c>
      <c r="I1741" s="49" t="e">
        <v>#REF!</v>
      </c>
      <c r="J1741" s="50"/>
    </row>
    <row r="1742" outlineLevel="1" spans="1:10">
      <c r="A1742" s="50">
        <v>777</v>
      </c>
      <c r="B1742" s="51" t="str">
        <v>防火桥架-100*100</v>
      </c>
      <c r="C1742" s="51" t="e">
        <v>#REF!</v>
      </c>
      <c r="D1742" s="51" t="str">
        <v/>
      </c>
      <c r="E1742" s="51" t="str">
        <v/>
      </c>
      <c r="F1742" s="52" t="e">
        <v>#REF!</v>
      </c>
      <c r="G1742" s="48" t="e">
        <v>#REF!</v>
      </c>
      <c r="H1742" s="49">
        <v>31.45</v>
      </c>
      <c r="I1742" s="49" t="e">
        <v>#REF!</v>
      </c>
      <c r="J1742" s="50"/>
    </row>
    <row r="1743" outlineLevel="1" spans="1:10">
      <c r="A1743" s="50">
        <v>778</v>
      </c>
      <c r="B1743" s="51" t="str">
        <v>防火桥架-150*100</v>
      </c>
      <c r="C1743" s="51" t="e">
        <v>#REF!</v>
      </c>
      <c r="D1743" s="51" t="str">
        <v/>
      </c>
      <c r="E1743" s="51" t="str">
        <v/>
      </c>
      <c r="F1743" s="52" t="e">
        <v>#REF!</v>
      </c>
      <c r="G1743" s="48" t="e">
        <v>#REF!</v>
      </c>
      <c r="H1743" s="49">
        <v>0</v>
      </c>
      <c r="I1743" s="49" t="e">
        <v>#REF!</v>
      </c>
      <c r="J1743" s="50"/>
    </row>
    <row r="1744" outlineLevel="1" spans="1:10">
      <c r="A1744" s="50">
        <v>779</v>
      </c>
      <c r="B1744" s="51" t="str">
        <v>防火堵洞</v>
      </c>
      <c r="C1744" s="51" t="e">
        <v>#REF!</v>
      </c>
      <c r="D1744" s="51" t="str">
        <v/>
      </c>
      <c r="E1744" s="51" t="str">
        <v/>
      </c>
      <c r="F1744" s="52" t="e">
        <v>#REF!</v>
      </c>
      <c r="G1744" s="48" t="e">
        <v>#REF!</v>
      </c>
      <c r="H1744" s="49">
        <v>9</v>
      </c>
      <c r="I1744" s="49" t="e">
        <v>#REF!</v>
      </c>
      <c r="J1744" s="50"/>
    </row>
    <row r="1745" outlineLevel="1" spans="1:10">
      <c r="A1745" s="50">
        <v>780</v>
      </c>
      <c r="B1745" s="51" t="str">
        <v>SC15-暗配</v>
      </c>
      <c r="C1745" s="51" t="e">
        <v>#REF!</v>
      </c>
      <c r="D1745" s="51" t="str">
        <v/>
      </c>
      <c r="E1745" s="51" t="str">
        <v/>
      </c>
      <c r="F1745" s="52" t="e">
        <v>#REF!</v>
      </c>
      <c r="G1745" s="48" t="e">
        <v>#REF!</v>
      </c>
      <c r="H1745" s="49">
        <v>0</v>
      </c>
      <c r="I1745" s="49" t="e">
        <v>#REF!</v>
      </c>
      <c r="J1745" s="50"/>
    </row>
    <row r="1746" outlineLevel="1" spans="1:10">
      <c r="A1746" s="50">
        <v>781</v>
      </c>
      <c r="B1746" s="51" t="str">
        <v>SC20-暗配</v>
      </c>
      <c r="C1746" s="51" t="e">
        <v>#REF!</v>
      </c>
      <c r="D1746" s="51" t="str">
        <v/>
      </c>
      <c r="E1746" s="51" t="str">
        <v/>
      </c>
      <c r="F1746" s="52" t="e">
        <v>#REF!</v>
      </c>
      <c r="G1746" s="48" t="e">
        <v>#REF!</v>
      </c>
      <c r="H1746" s="49">
        <v>0</v>
      </c>
      <c r="I1746" s="49" t="e">
        <v>#REF!</v>
      </c>
      <c r="J1746" s="50"/>
    </row>
    <row r="1747" outlineLevel="1" spans="1:10">
      <c r="A1747" s="50">
        <v>782</v>
      </c>
      <c r="B1747" s="51" t="str">
        <v>SC25-暗配</v>
      </c>
      <c r="C1747" s="51" t="e">
        <v>#REF!</v>
      </c>
      <c r="D1747" s="51" t="str">
        <v/>
      </c>
      <c r="E1747" s="51" t="str">
        <v/>
      </c>
      <c r="F1747" s="52" t="e">
        <v>#REF!</v>
      </c>
      <c r="G1747" s="48" t="e">
        <v>#REF!</v>
      </c>
      <c r="H1747" s="49">
        <v>0</v>
      </c>
      <c r="I1747" s="49" t="e">
        <v>#REF!</v>
      </c>
      <c r="J1747" s="50"/>
    </row>
    <row r="1748" ht="28.8" outlineLevel="1" spans="1:10">
      <c r="A1748" s="50">
        <v>783</v>
      </c>
      <c r="B1748" s="51" t="str">
        <v>薄壁钢导管配管-JDG20-明配</v>
      </c>
      <c r="C1748" s="51" t="e">
        <v>#REF!</v>
      </c>
      <c r="D1748" s="51" t="str">
        <v/>
      </c>
      <c r="E1748" s="51" t="str">
        <v/>
      </c>
      <c r="F1748" s="52" t="e">
        <v>#REF!</v>
      </c>
      <c r="G1748" s="48" t="e">
        <v>#REF!</v>
      </c>
      <c r="H1748" s="49">
        <v>285.119</v>
      </c>
      <c r="I1748" s="49" t="e">
        <v>#REF!</v>
      </c>
      <c r="J1748" s="50"/>
    </row>
    <row r="1749" ht="28.8" outlineLevel="1" spans="1:10">
      <c r="A1749" s="50">
        <v>784</v>
      </c>
      <c r="B1749" s="51" t="str">
        <v>薄壁钢导管配管-JDG25-暗配</v>
      </c>
      <c r="C1749" s="51" t="e">
        <v>#REF!</v>
      </c>
      <c r="D1749" s="51" t="str">
        <v/>
      </c>
      <c r="E1749" s="51" t="str">
        <v/>
      </c>
      <c r="F1749" s="52" t="e">
        <v>#REF!</v>
      </c>
      <c r="G1749" s="48" t="e">
        <v>#REF!</v>
      </c>
      <c r="H1749" s="49">
        <v>78.012</v>
      </c>
      <c r="I1749" s="49" t="e">
        <v>#REF!</v>
      </c>
      <c r="J1749" s="50"/>
    </row>
    <row r="1750" ht="28.8" outlineLevel="1" spans="1:10">
      <c r="A1750" s="50">
        <v>785</v>
      </c>
      <c r="B1750" s="51" t="str">
        <v>薄壁钢导管配管-JDG32-暗配</v>
      </c>
      <c r="C1750" s="51" t="e">
        <v>#REF!</v>
      </c>
      <c r="D1750" s="51" t="str">
        <v/>
      </c>
      <c r="E1750" s="51" t="str">
        <v/>
      </c>
      <c r="F1750" s="52" t="e">
        <v>#REF!</v>
      </c>
      <c r="G1750" s="48" t="e">
        <v>#REF!</v>
      </c>
      <c r="H1750" s="49">
        <v>0</v>
      </c>
      <c r="I1750" s="49" t="e">
        <v>#REF!</v>
      </c>
      <c r="J1750" s="50"/>
    </row>
    <row r="1751" outlineLevel="1" spans="1:10">
      <c r="A1751" s="50">
        <v>786</v>
      </c>
      <c r="B1751" s="51" t="str">
        <v>金属软管配管-DN20</v>
      </c>
      <c r="C1751" s="51" t="e">
        <v>#REF!</v>
      </c>
      <c r="D1751" s="51" t="str">
        <v/>
      </c>
      <c r="E1751" s="51" t="str">
        <v/>
      </c>
      <c r="F1751" s="52" t="e">
        <v>#REF!</v>
      </c>
      <c r="G1751" s="48" t="e">
        <v>#REF!</v>
      </c>
      <c r="H1751" s="49">
        <v>0</v>
      </c>
      <c r="I1751" s="49" t="e">
        <v>#REF!</v>
      </c>
      <c r="J1751" s="50"/>
    </row>
    <row r="1752" outlineLevel="1" spans="1:10">
      <c r="A1752" s="50">
        <v>787</v>
      </c>
      <c r="B1752" s="51" t="str">
        <v>管内穿铁丝</v>
      </c>
      <c r="C1752" s="51" t="e">
        <v>#REF!</v>
      </c>
      <c r="D1752" s="51" t="str">
        <v/>
      </c>
      <c r="E1752" s="51" t="str">
        <v/>
      </c>
      <c r="F1752" s="52" t="e">
        <v>#REF!</v>
      </c>
      <c r="G1752" s="48" t="e">
        <v>#REF!</v>
      </c>
      <c r="H1752" s="49">
        <v>363.131</v>
      </c>
      <c r="I1752" s="49" t="e">
        <v>#REF!</v>
      </c>
      <c r="J1752" s="50"/>
    </row>
    <row r="1753" outlineLevel="1" spans="1:10">
      <c r="A1753" s="50">
        <v>788</v>
      </c>
      <c r="B1753" s="51" t="str">
        <v>暗装钢制接线盒</v>
      </c>
      <c r="C1753" s="51" t="e">
        <v>#REF!</v>
      </c>
      <c r="D1753" s="51" t="str">
        <v/>
      </c>
      <c r="E1753" s="51" t="str">
        <v/>
      </c>
      <c r="F1753" s="52" t="e">
        <v>#REF!</v>
      </c>
      <c r="G1753" s="48" t="e">
        <v>#REF!</v>
      </c>
      <c r="H1753" s="49">
        <v>121</v>
      </c>
      <c r="I1753" s="49" t="e">
        <v>#REF!</v>
      </c>
      <c r="J1753" s="50"/>
    </row>
    <row r="1754" outlineLevel="1" spans="1:10">
      <c r="A1754" s="50" t="str">
        <v/>
      </c>
      <c r="B1754" s="51" t="str">
        <v/>
      </c>
      <c r="C1754" s="51" t="str">
        <v/>
      </c>
      <c r="D1754" s="51" t="str">
        <v/>
      </c>
      <c r="E1754" s="51" t="str">
        <v/>
      </c>
      <c r="F1754" s="52" t="str">
        <v/>
      </c>
      <c r="G1754" s="48" t="str">
        <v/>
      </c>
      <c r="H1754" s="49">
        <v>0</v>
      </c>
      <c r="I1754" s="49">
        <v>0</v>
      </c>
      <c r="J1754" s="50"/>
    </row>
    <row r="1755" outlineLevel="1" spans="1:10">
      <c r="A1755" s="50" t="str">
        <v/>
      </c>
      <c r="B1755" s="51" t="str">
        <v/>
      </c>
      <c r="C1755" s="51" t="str">
        <v/>
      </c>
      <c r="D1755" s="51" t="str">
        <v/>
      </c>
      <c r="E1755" s="51" t="str">
        <v/>
      </c>
      <c r="F1755" s="52" t="str">
        <v/>
      </c>
      <c r="G1755" s="48" t="str">
        <v/>
      </c>
      <c r="H1755" s="49">
        <v>0</v>
      </c>
      <c r="I1755" s="49">
        <v>0</v>
      </c>
      <c r="J1755" s="50"/>
    </row>
    <row r="1756" outlineLevel="1" spans="1:10">
      <c r="A1756" s="50" t="str">
        <v/>
      </c>
      <c r="B1756" s="51" t="str">
        <v/>
      </c>
      <c r="C1756" s="51" t="str">
        <v/>
      </c>
      <c r="D1756" s="51" t="str">
        <v/>
      </c>
      <c r="E1756" s="51" t="str">
        <v/>
      </c>
      <c r="F1756" s="52" t="str">
        <v/>
      </c>
      <c r="G1756" s="48" t="str">
        <v/>
      </c>
      <c r="H1756" s="49">
        <v>0</v>
      </c>
      <c r="I1756" s="49">
        <v>0</v>
      </c>
      <c r="J1756" s="50"/>
    </row>
    <row r="1757" outlineLevel="1" spans="1:10">
      <c r="A1757" s="50" t="str">
        <v/>
      </c>
      <c r="B1757" s="51" t="str">
        <v/>
      </c>
      <c r="C1757" s="51" t="str">
        <v/>
      </c>
      <c r="D1757" s="51" t="str">
        <v/>
      </c>
      <c r="E1757" s="51" t="str">
        <v/>
      </c>
      <c r="F1757" s="52" t="str">
        <v/>
      </c>
      <c r="G1757" s="48" t="str">
        <v/>
      </c>
      <c r="H1757" s="49">
        <v>0</v>
      </c>
      <c r="I1757" s="49">
        <v>0</v>
      </c>
      <c r="J1757" s="50"/>
    </row>
    <row r="1758" outlineLevel="1" spans="1:10">
      <c r="A1758" s="50" t="str">
        <v/>
      </c>
      <c r="B1758" s="51" t="str">
        <v/>
      </c>
      <c r="C1758" s="51" t="str">
        <v/>
      </c>
      <c r="D1758" s="51" t="str">
        <v/>
      </c>
      <c r="E1758" s="51" t="str">
        <v/>
      </c>
      <c r="F1758" s="52" t="str">
        <v/>
      </c>
      <c r="G1758" s="48" t="str">
        <v/>
      </c>
      <c r="H1758" s="49">
        <v>0</v>
      </c>
      <c r="I1758" s="49">
        <v>0</v>
      </c>
      <c r="J1758" s="50"/>
    </row>
    <row r="1759" outlineLevel="1" spans="1:10">
      <c r="A1759" s="50" t="str">
        <v/>
      </c>
      <c r="B1759" s="51" t="str">
        <v/>
      </c>
      <c r="C1759" s="51" t="str">
        <v/>
      </c>
      <c r="D1759" s="51" t="str">
        <v/>
      </c>
      <c r="E1759" s="51" t="str">
        <v/>
      </c>
      <c r="F1759" s="52" t="str">
        <v/>
      </c>
      <c r="G1759" s="48" t="str">
        <v/>
      </c>
      <c r="H1759" s="49">
        <v>0</v>
      </c>
      <c r="I1759" s="49">
        <v>0</v>
      </c>
      <c r="J1759" s="50"/>
    </row>
    <row r="1760" outlineLevel="1" spans="1:10">
      <c r="A1760" s="50" t="str">
        <v/>
      </c>
      <c r="B1760" s="51" t="str">
        <v/>
      </c>
      <c r="C1760" s="51" t="str">
        <v/>
      </c>
      <c r="D1760" s="51" t="str">
        <v/>
      </c>
      <c r="E1760" s="51" t="str">
        <v/>
      </c>
      <c r="F1760" s="52" t="str">
        <v/>
      </c>
      <c r="G1760" s="48" t="str">
        <v/>
      </c>
      <c r="H1760" s="49">
        <v>0</v>
      </c>
      <c r="I1760" s="49">
        <v>0</v>
      </c>
      <c r="J1760" s="50"/>
    </row>
    <row r="1761" outlineLevel="1" spans="1:10">
      <c r="A1761" s="50" t="str">
        <v/>
      </c>
      <c r="B1761" s="51" t="str">
        <v/>
      </c>
      <c r="C1761" s="51" t="str">
        <v/>
      </c>
      <c r="D1761" s="51" t="str">
        <v/>
      </c>
      <c r="E1761" s="51" t="str">
        <v/>
      </c>
      <c r="F1761" s="52" t="str">
        <v/>
      </c>
      <c r="G1761" s="48" t="str">
        <v/>
      </c>
      <c r="H1761" s="49">
        <v>0</v>
      </c>
      <c r="I1761" s="49">
        <v>0</v>
      </c>
      <c r="J1761" s="50"/>
    </row>
    <row r="1762" outlineLevel="1" spans="1:10">
      <c r="A1762" s="50" t="str">
        <v/>
      </c>
      <c r="B1762" s="51" t="str">
        <v/>
      </c>
      <c r="C1762" s="51" t="str">
        <v/>
      </c>
      <c r="D1762" s="51" t="str">
        <v/>
      </c>
      <c r="E1762" s="51" t="str">
        <v/>
      </c>
      <c r="F1762" s="52" t="str">
        <v/>
      </c>
      <c r="G1762" s="48" t="str">
        <v/>
      </c>
      <c r="H1762" s="49">
        <v>0</v>
      </c>
      <c r="I1762" s="49">
        <v>0</v>
      </c>
      <c r="J1762" s="50"/>
    </row>
    <row r="1763" outlineLevel="1" spans="1:10">
      <c r="A1763" s="50" t="str">
        <v/>
      </c>
      <c r="B1763" s="51" t="str">
        <v/>
      </c>
      <c r="C1763" s="51" t="str">
        <v/>
      </c>
      <c r="D1763" s="51" t="str">
        <v/>
      </c>
      <c r="E1763" s="51" t="str">
        <v/>
      </c>
      <c r="F1763" s="52" t="str">
        <v/>
      </c>
      <c r="G1763" s="48" t="str">
        <v/>
      </c>
      <c r="H1763" s="49">
        <v>0</v>
      </c>
      <c r="I1763" s="49">
        <v>0</v>
      </c>
      <c r="J1763" s="50"/>
    </row>
    <row r="1764" outlineLevel="1" spans="1:10">
      <c r="A1764" s="50" t="str">
        <v/>
      </c>
      <c r="B1764" s="51" t="str">
        <v/>
      </c>
      <c r="C1764" s="51" t="str">
        <v/>
      </c>
      <c r="D1764" s="51" t="str">
        <v/>
      </c>
      <c r="E1764" s="51" t="str">
        <v/>
      </c>
      <c r="F1764" s="52" t="str">
        <v/>
      </c>
      <c r="G1764" s="48" t="str">
        <v/>
      </c>
      <c r="H1764" s="49">
        <v>0</v>
      </c>
      <c r="I1764" s="49">
        <v>0</v>
      </c>
      <c r="J1764" s="50"/>
    </row>
    <row r="1765" outlineLevel="1" spans="1:10">
      <c r="A1765" s="50" t="str">
        <v/>
      </c>
      <c r="B1765" s="51" t="str">
        <v/>
      </c>
      <c r="C1765" s="51" t="str">
        <v/>
      </c>
      <c r="D1765" s="51" t="str">
        <v/>
      </c>
      <c r="E1765" s="51" t="str">
        <v/>
      </c>
      <c r="F1765" s="52" t="str">
        <v/>
      </c>
      <c r="G1765" s="48" t="str">
        <v/>
      </c>
      <c r="H1765" s="49">
        <v>0</v>
      </c>
      <c r="I1765" s="49">
        <v>0</v>
      </c>
      <c r="J1765" s="50"/>
    </row>
    <row r="1766" outlineLevel="1" spans="1:10">
      <c r="A1766" s="50" t="str">
        <v/>
      </c>
      <c r="B1766" s="51" t="str">
        <v/>
      </c>
      <c r="C1766" s="51" t="str">
        <v/>
      </c>
      <c r="D1766" s="51" t="str">
        <v/>
      </c>
      <c r="E1766" s="51" t="str">
        <v/>
      </c>
      <c r="F1766" s="52" t="str">
        <v/>
      </c>
      <c r="G1766" s="48" t="str">
        <v/>
      </c>
      <c r="H1766" s="49">
        <v>0</v>
      </c>
      <c r="I1766" s="49">
        <v>0</v>
      </c>
      <c r="J1766" s="50"/>
    </row>
    <row r="1767" outlineLevel="1" spans="1:10">
      <c r="A1767" s="50" t="str">
        <v/>
      </c>
      <c r="B1767" s="51" t="str">
        <v/>
      </c>
      <c r="C1767" s="51" t="str">
        <v/>
      </c>
      <c r="D1767" s="51" t="str">
        <v/>
      </c>
      <c r="E1767" s="51" t="str">
        <v/>
      </c>
      <c r="F1767" s="52" t="str">
        <v/>
      </c>
      <c r="G1767" s="48" t="str">
        <v/>
      </c>
      <c r="H1767" s="49">
        <v>0</v>
      </c>
      <c r="I1767" s="49">
        <v>0</v>
      </c>
      <c r="J1767" s="50"/>
    </row>
    <row r="1768" outlineLevel="1" spans="1:10">
      <c r="A1768" s="50" t="str">
        <v/>
      </c>
      <c r="B1768" s="51" t="str">
        <v/>
      </c>
      <c r="C1768" s="51" t="str">
        <v/>
      </c>
      <c r="D1768" s="51" t="str">
        <v/>
      </c>
      <c r="E1768" s="51" t="str">
        <v/>
      </c>
      <c r="F1768" s="52" t="str">
        <v/>
      </c>
      <c r="G1768" s="48" t="str">
        <v/>
      </c>
      <c r="H1768" s="49">
        <v>0</v>
      </c>
      <c r="I1768" s="49">
        <v>0</v>
      </c>
      <c r="J1768" s="50"/>
    </row>
    <row r="1769" outlineLevel="1" spans="1:10">
      <c r="A1769" s="50" t="str">
        <v/>
      </c>
      <c r="B1769" s="51" t="str">
        <v/>
      </c>
      <c r="C1769" s="51" t="str">
        <v/>
      </c>
      <c r="D1769" s="51" t="str">
        <v/>
      </c>
      <c r="E1769" s="51" t="str">
        <v/>
      </c>
      <c r="F1769" s="52" t="str">
        <v/>
      </c>
      <c r="G1769" s="48" t="str">
        <v/>
      </c>
      <c r="H1769" s="49">
        <v>0</v>
      </c>
      <c r="I1769" s="49">
        <v>0</v>
      </c>
      <c r="J1769" s="50"/>
    </row>
    <row r="1770" outlineLevel="1" spans="1:10">
      <c r="A1770" s="50" t="str">
        <v/>
      </c>
      <c r="B1770" s="51" t="str">
        <v/>
      </c>
      <c r="C1770" s="51" t="str">
        <v/>
      </c>
      <c r="D1770" s="51" t="str">
        <v/>
      </c>
      <c r="E1770" s="51" t="str">
        <v/>
      </c>
      <c r="F1770" s="52" t="str">
        <v/>
      </c>
      <c r="G1770" s="48" t="str">
        <v/>
      </c>
      <c r="H1770" s="49">
        <v>0</v>
      </c>
      <c r="I1770" s="49">
        <v>0</v>
      </c>
      <c r="J1770" s="50"/>
    </row>
    <row r="1771" outlineLevel="1" spans="1:10">
      <c r="A1771" s="50" t="str">
        <v/>
      </c>
      <c r="B1771" s="51" t="str">
        <v/>
      </c>
      <c r="C1771" s="51" t="str">
        <v/>
      </c>
      <c r="D1771" s="51" t="str">
        <v/>
      </c>
      <c r="E1771" s="51" t="str">
        <v/>
      </c>
      <c r="F1771" s="52" t="str">
        <v/>
      </c>
      <c r="G1771" s="48" t="str">
        <v/>
      </c>
      <c r="H1771" s="49">
        <v>0</v>
      </c>
      <c r="I1771" s="49">
        <v>0</v>
      </c>
      <c r="J1771" s="50"/>
    </row>
    <row r="1772" outlineLevel="1" spans="1:10">
      <c r="A1772" s="50" t="str">
        <v/>
      </c>
      <c r="B1772" s="51" t="str">
        <v/>
      </c>
      <c r="C1772" s="51" t="str">
        <v/>
      </c>
      <c r="D1772" s="51" t="str">
        <v/>
      </c>
      <c r="E1772" s="51" t="str">
        <v/>
      </c>
      <c r="F1772" s="52" t="str">
        <v/>
      </c>
      <c r="G1772" s="48" t="str">
        <v/>
      </c>
      <c r="H1772" s="49">
        <v>0</v>
      </c>
      <c r="I1772" s="49">
        <v>0</v>
      </c>
      <c r="J1772" s="50"/>
    </row>
    <row r="1773" outlineLevel="1" spans="1:10">
      <c r="A1773" s="50" t="str">
        <v/>
      </c>
      <c r="B1773" s="51" t="str">
        <v/>
      </c>
      <c r="C1773" s="51" t="str">
        <v/>
      </c>
      <c r="D1773" s="51" t="str">
        <v/>
      </c>
      <c r="E1773" s="51" t="str">
        <v/>
      </c>
      <c r="F1773" s="52" t="str">
        <v/>
      </c>
      <c r="G1773" s="48" t="str">
        <v/>
      </c>
      <c r="H1773" s="49">
        <v>0</v>
      </c>
      <c r="I1773" s="49">
        <v>0</v>
      </c>
      <c r="J1773" s="50"/>
    </row>
    <row r="1774" outlineLevel="1" spans="1:10">
      <c r="A1774" s="50" t="str">
        <v/>
      </c>
      <c r="B1774" s="51" t="str">
        <v/>
      </c>
      <c r="C1774" s="51" t="str">
        <v/>
      </c>
      <c r="D1774" s="51" t="str">
        <v/>
      </c>
      <c r="E1774" s="51" t="str">
        <v/>
      </c>
      <c r="F1774" s="52" t="str">
        <v/>
      </c>
      <c r="G1774" s="48" t="str">
        <v/>
      </c>
      <c r="H1774" s="49">
        <v>0</v>
      </c>
      <c r="I1774" s="49">
        <v>0</v>
      </c>
      <c r="J1774" s="50"/>
    </row>
    <row r="1775" outlineLevel="1" spans="1:10">
      <c r="A1775" s="50" t="str">
        <v/>
      </c>
      <c r="B1775" s="51" t="str">
        <v/>
      </c>
      <c r="C1775" s="51" t="str">
        <v/>
      </c>
      <c r="D1775" s="51" t="str">
        <v/>
      </c>
      <c r="E1775" s="51" t="str">
        <v/>
      </c>
      <c r="F1775" s="52" t="str">
        <v/>
      </c>
      <c r="G1775" s="48" t="str">
        <v/>
      </c>
      <c r="H1775" s="49">
        <v>0</v>
      </c>
      <c r="I1775" s="49">
        <v>0</v>
      </c>
      <c r="J1775" s="50"/>
    </row>
    <row r="1776" outlineLevel="1" spans="1:10">
      <c r="A1776" s="50" t="str">
        <v/>
      </c>
      <c r="B1776" s="51" t="str">
        <v/>
      </c>
      <c r="C1776" s="51" t="str">
        <v/>
      </c>
      <c r="D1776" s="51" t="str">
        <v/>
      </c>
      <c r="E1776" s="51" t="str">
        <v/>
      </c>
      <c r="F1776" s="52" t="str">
        <v/>
      </c>
      <c r="G1776" s="48" t="str">
        <v/>
      </c>
      <c r="H1776" s="49">
        <v>0</v>
      </c>
      <c r="I1776" s="49">
        <v>0</v>
      </c>
      <c r="J1776" s="50"/>
    </row>
    <row r="1777" outlineLevel="1" spans="1:10">
      <c r="A1777" s="50" t="str">
        <v/>
      </c>
      <c r="B1777" s="51" t="str">
        <v/>
      </c>
      <c r="C1777" s="51" t="str">
        <v/>
      </c>
      <c r="D1777" s="51" t="str">
        <v/>
      </c>
      <c r="E1777" s="51" t="str">
        <v/>
      </c>
      <c r="F1777" s="52" t="str">
        <v/>
      </c>
      <c r="G1777" s="48" t="str">
        <v/>
      </c>
      <c r="H1777" s="49">
        <v>0</v>
      </c>
      <c r="I1777" s="49">
        <v>0</v>
      </c>
      <c r="J1777" s="50"/>
    </row>
    <row r="1778" outlineLevel="1" spans="1:10">
      <c r="A1778" s="50" t="str">
        <v/>
      </c>
      <c r="B1778" s="51" t="str">
        <v/>
      </c>
      <c r="C1778" s="51" t="str">
        <v/>
      </c>
      <c r="D1778" s="51" t="str">
        <v/>
      </c>
      <c r="E1778" s="51" t="str">
        <v/>
      </c>
      <c r="F1778" s="52" t="str">
        <v/>
      </c>
      <c r="G1778" s="48" t="str">
        <v/>
      </c>
      <c r="H1778" s="49">
        <v>0</v>
      </c>
      <c r="I1778" s="49">
        <v>0</v>
      </c>
      <c r="J1778" s="50"/>
    </row>
    <row r="1779" outlineLevel="1" spans="1:10">
      <c r="A1779" s="50" t="str">
        <v/>
      </c>
      <c r="B1779" s="51" t="str">
        <v/>
      </c>
      <c r="C1779" s="51" t="str">
        <v/>
      </c>
      <c r="D1779" s="51" t="str">
        <v/>
      </c>
      <c r="E1779" s="51" t="str">
        <v/>
      </c>
      <c r="F1779" s="52" t="str">
        <v/>
      </c>
      <c r="G1779" s="48" t="str">
        <v/>
      </c>
      <c r="H1779" s="49">
        <v>0</v>
      </c>
      <c r="I1779" s="49">
        <v>0</v>
      </c>
      <c r="J1779" s="50"/>
    </row>
    <row r="1780" outlineLevel="1" spans="1:10">
      <c r="A1780" s="50" t="str">
        <v/>
      </c>
      <c r="B1780" s="51" t="str">
        <v/>
      </c>
      <c r="C1780" s="51" t="str">
        <v/>
      </c>
      <c r="D1780" s="51" t="str">
        <v/>
      </c>
      <c r="E1780" s="51" t="str">
        <v/>
      </c>
      <c r="F1780" s="52" t="str">
        <v/>
      </c>
      <c r="G1780" s="48" t="str">
        <v/>
      </c>
      <c r="H1780" s="49">
        <v>0</v>
      </c>
      <c r="I1780" s="49">
        <v>0</v>
      </c>
      <c r="J1780" s="50"/>
    </row>
    <row r="1781" outlineLevel="1" spans="1:10">
      <c r="A1781" s="50" t="str">
        <v/>
      </c>
      <c r="B1781" s="51" t="str">
        <v/>
      </c>
      <c r="C1781" s="51" t="str">
        <v/>
      </c>
      <c r="D1781" s="51" t="str">
        <v/>
      </c>
      <c r="E1781" s="51" t="str">
        <v/>
      </c>
      <c r="F1781" s="52" t="str">
        <v/>
      </c>
      <c r="G1781" s="48" t="str">
        <v/>
      </c>
      <c r="H1781" s="49">
        <v>0</v>
      </c>
      <c r="I1781" s="49">
        <v>0</v>
      </c>
      <c r="J1781" s="50"/>
    </row>
    <row r="1782" outlineLevel="1" spans="1:10">
      <c r="A1782" s="50" t="str">
        <v/>
      </c>
      <c r="B1782" s="51" t="str">
        <v/>
      </c>
      <c r="C1782" s="51" t="str">
        <v/>
      </c>
      <c r="D1782" s="51" t="str">
        <v/>
      </c>
      <c r="E1782" s="51" t="str">
        <v/>
      </c>
      <c r="F1782" s="52" t="str">
        <v/>
      </c>
      <c r="G1782" s="48" t="str">
        <v/>
      </c>
      <c r="H1782" s="49">
        <v>0</v>
      </c>
      <c r="I1782" s="49">
        <v>0</v>
      </c>
      <c r="J1782" s="50"/>
    </row>
    <row r="1783" outlineLevel="1" spans="1:10">
      <c r="A1783" s="50" t="str">
        <v/>
      </c>
      <c r="B1783" s="51" t="str">
        <v/>
      </c>
      <c r="C1783" s="51" t="str">
        <v/>
      </c>
      <c r="D1783" s="51" t="str">
        <v/>
      </c>
      <c r="E1783" s="51" t="str">
        <v/>
      </c>
      <c r="F1783" s="52" t="str">
        <v/>
      </c>
      <c r="G1783" s="48" t="str">
        <v/>
      </c>
      <c r="H1783" s="49">
        <v>0</v>
      </c>
      <c r="I1783" s="49">
        <v>0</v>
      </c>
      <c r="J1783" s="50"/>
    </row>
    <row r="1784" outlineLevel="1" spans="1:10">
      <c r="A1784" s="50" t="str">
        <v/>
      </c>
      <c r="B1784" s="51" t="str">
        <v/>
      </c>
      <c r="C1784" s="51" t="str">
        <v/>
      </c>
      <c r="D1784" s="51" t="str">
        <v/>
      </c>
      <c r="E1784" s="51" t="str">
        <v/>
      </c>
      <c r="F1784" s="52" t="str">
        <v/>
      </c>
      <c r="G1784" s="48" t="str">
        <v/>
      </c>
      <c r="H1784" s="49">
        <v>0</v>
      </c>
      <c r="I1784" s="49">
        <v>0</v>
      </c>
      <c r="J1784" s="50"/>
    </row>
    <row r="1785" outlineLevel="1" spans="1:10">
      <c r="A1785" s="50" t="str">
        <v/>
      </c>
      <c r="B1785" s="51" t="str">
        <v/>
      </c>
      <c r="C1785" s="51" t="str">
        <v/>
      </c>
      <c r="D1785" s="51" t="str">
        <v/>
      </c>
      <c r="E1785" s="51" t="str">
        <v/>
      </c>
      <c r="F1785" s="52" t="str">
        <v/>
      </c>
      <c r="G1785" s="48" t="str">
        <v/>
      </c>
      <c r="H1785" s="49">
        <v>0</v>
      </c>
      <c r="I1785" s="49">
        <v>0</v>
      </c>
      <c r="J1785" s="50"/>
    </row>
    <row r="1786" outlineLevel="1" spans="1:10">
      <c r="A1786" s="50" t="str">
        <v/>
      </c>
      <c r="B1786" s="51" t="str">
        <v/>
      </c>
      <c r="C1786" s="51" t="str">
        <v/>
      </c>
      <c r="D1786" s="51" t="str">
        <v/>
      </c>
      <c r="E1786" s="51" t="str">
        <v/>
      </c>
      <c r="F1786" s="52" t="str">
        <v/>
      </c>
      <c r="G1786" s="48" t="str">
        <v/>
      </c>
      <c r="H1786" s="49">
        <v>0</v>
      </c>
      <c r="I1786" s="49">
        <v>0</v>
      </c>
      <c r="J1786" s="50"/>
    </row>
    <row r="1787" outlineLevel="1" spans="1:10">
      <c r="A1787" s="50" t="str">
        <v/>
      </c>
      <c r="B1787" s="51" t="str">
        <v/>
      </c>
      <c r="C1787" s="51" t="str">
        <v/>
      </c>
      <c r="D1787" s="51" t="str">
        <v/>
      </c>
      <c r="E1787" s="51" t="str">
        <v/>
      </c>
      <c r="F1787" s="52" t="str">
        <v/>
      </c>
      <c r="G1787" s="48" t="str">
        <v/>
      </c>
      <c r="H1787" s="49">
        <v>0</v>
      </c>
      <c r="I1787" s="49">
        <v>0</v>
      </c>
      <c r="J1787" s="50"/>
    </row>
    <row r="1788" outlineLevel="1" spans="1:10">
      <c r="A1788" s="50" t="str">
        <v/>
      </c>
      <c r="B1788" s="51" t="str">
        <v/>
      </c>
      <c r="C1788" s="51" t="str">
        <v/>
      </c>
      <c r="D1788" s="51" t="str">
        <v/>
      </c>
      <c r="E1788" s="51" t="str">
        <v/>
      </c>
      <c r="F1788" s="52" t="str">
        <v/>
      </c>
      <c r="G1788" s="48" t="str">
        <v/>
      </c>
      <c r="H1788" s="49">
        <v>0</v>
      </c>
      <c r="I1788" s="49">
        <v>0</v>
      </c>
      <c r="J1788" s="50"/>
    </row>
    <row r="1789" outlineLevel="1" spans="1:10">
      <c r="A1789" s="50" t="str">
        <v/>
      </c>
      <c r="B1789" s="51" t="str">
        <v/>
      </c>
      <c r="C1789" s="51" t="str">
        <v/>
      </c>
      <c r="D1789" s="51" t="str">
        <v/>
      </c>
      <c r="E1789" s="51" t="str">
        <v/>
      </c>
      <c r="F1789" s="52" t="str">
        <v/>
      </c>
      <c r="G1789" s="48" t="str">
        <v/>
      </c>
      <c r="H1789" s="49">
        <v>0</v>
      </c>
      <c r="I1789" s="49">
        <v>0</v>
      </c>
      <c r="J1789" s="50"/>
    </row>
    <row r="1790" outlineLevel="1" spans="1:10">
      <c r="A1790" s="50" t="str">
        <v/>
      </c>
      <c r="B1790" s="51" t="str">
        <v/>
      </c>
      <c r="C1790" s="51" t="str">
        <v/>
      </c>
      <c r="D1790" s="51" t="str">
        <v/>
      </c>
      <c r="E1790" s="51" t="str">
        <v/>
      </c>
      <c r="F1790" s="52" t="str">
        <v/>
      </c>
      <c r="G1790" s="48" t="str">
        <v/>
      </c>
      <c r="H1790" s="49">
        <v>0</v>
      </c>
      <c r="I1790" s="49">
        <v>0</v>
      </c>
      <c r="J1790" s="50"/>
    </row>
    <row r="1791" outlineLevel="1" spans="1:10">
      <c r="A1791" s="50" t="str">
        <v/>
      </c>
      <c r="B1791" s="51" t="str">
        <v/>
      </c>
      <c r="C1791" s="51" t="str">
        <v/>
      </c>
      <c r="D1791" s="51" t="str">
        <v/>
      </c>
      <c r="E1791" s="51" t="str">
        <v/>
      </c>
      <c r="F1791" s="52" t="str">
        <v/>
      </c>
      <c r="G1791" s="48" t="str">
        <v/>
      </c>
      <c r="H1791" s="49">
        <v>0</v>
      </c>
      <c r="I1791" s="49">
        <v>0</v>
      </c>
      <c r="J1791" s="50"/>
    </row>
    <row r="1792" outlineLevel="1" spans="1:10">
      <c r="A1792" s="50" t="str">
        <v/>
      </c>
      <c r="B1792" s="51" t="str">
        <v/>
      </c>
      <c r="C1792" s="51" t="str">
        <v/>
      </c>
      <c r="D1792" s="51" t="str">
        <v/>
      </c>
      <c r="E1792" s="51" t="str">
        <v/>
      </c>
      <c r="F1792" s="52" t="str">
        <v/>
      </c>
      <c r="G1792" s="48" t="str">
        <v/>
      </c>
      <c r="H1792" s="49">
        <v>0</v>
      </c>
      <c r="I1792" s="49">
        <v>0</v>
      </c>
      <c r="J1792" s="50"/>
    </row>
    <row r="1793" outlineLevel="1" spans="1:10">
      <c r="A1793" s="50" t="str">
        <v/>
      </c>
      <c r="B1793" s="51" t="str">
        <v/>
      </c>
      <c r="C1793" s="51" t="str">
        <v/>
      </c>
      <c r="D1793" s="51" t="str">
        <v/>
      </c>
      <c r="E1793" s="51" t="str">
        <v/>
      </c>
      <c r="F1793" s="52" t="str">
        <v/>
      </c>
      <c r="G1793" s="48" t="str">
        <v/>
      </c>
      <c r="H1793" s="49">
        <v>0</v>
      </c>
      <c r="I1793" s="49">
        <v>0</v>
      </c>
      <c r="J1793" s="50"/>
    </row>
    <row r="1794" outlineLevel="1" spans="1:10">
      <c r="A1794" s="50" t="str">
        <v/>
      </c>
      <c r="B1794" s="51" t="str">
        <v/>
      </c>
      <c r="C1794" s="51" t="str">
        <v/>
      </c>
      <c r="D1794" s="51" t="str">
        <v/>
      </c>
      <c r="E1794" s="51" t="str">
        <v/>
      </c>
      <c r="F1794" s="52" t="str">
        <v/>
      </c>
      <c r="G1794" s="48" t="str">
        <v/>
      </c>
      <c r="H1794" s="49">
        <v>0</v>
      </c>
      <c r="I1794" s="49">
        <v>0</v>
      </c>
      <c r="J1794" s="50"/>
    </row>
    <row r="1795" outlineLevel="1" spans="1:10">
      <c r="A1795" s="50" t="str">
        <v/>
      </c>
      <c r="B1795" s="51" t="str">
        <v/>
      </c>
      <c r="C1795" s="51" t="str">
        <v/>
      </c>
      <c r="D1795" s="51" t="str">
        <v/>
      </c>
      <c r="E1795" s="51" t="str">
        <v/>
      </c>
      <c r="F1795" s="52" t="str">
        <v/>
      </c>
      <c r="G1795" s="48" t="str">
        <v/>
      </c>
      <c r="H1795" s="49">
        <v>0</v>
      </c>
      <c r="I1795" s="49">
        <v>0</v>
      </c>
      <c r="J1795" s="50"/>
    </row>
    <row r="1796" outlineLevel="1" spans="1:10">
      <c r="A1796" s="50" t="str">
        <v/>
      </c>
      <c r="B1796" s="51" t="str">
        <v/>
      </c>
      <c r="C1796" s="51" t="str">
        <v/>
      </c>
      <c r="D1796" s="51" t="str">
        <v/>
      </c>
      <c r="E1796" s="51" t="str">
        <v/>
      </c>
      <c r="F1796" s="52" t="str">
        <v/>
      </c>
      <c r="G1796" s="48" t="str">
        <v/>
      </c>
      <c r="H1796" s="49">
        <v>0</v>
      </c>
      <c r="I1796" s="49">
        <v>0</v>
      </c>
      <c r="J1796" s="50"/>
    </row>
    <row r="1797" outlineLevel="1" spans="1:10">
      <c r="A1797" s="50" t="str">
        <v/>
      </c>
      <c r="B1797" s="51" t="str">
        <v/>
      </c>
      <c r="C1797" s="51" t="str">
        <v/>
      </c>
      <c r="D1797" s="51" t="str">
        <v/>
      </c>
      <c r="E1797" s="51" t="str">
        <v/>
      </c>
      <c r="F1797" s="52" t="str">
        <v/>
      </c>
      <c r="G1797" s="48" t="str">
        <v/>
      </c>
      <c r="H1797" s="49">
        <v>0</v>
      </c>
      <c r="I1797" s="49">
        <v>0</v>
      </c>
      <c r="J1797" s="50"/>
    </row>
    <row r="1798" outlineLevel="1" spans="1:10">
      <c r="A1798" s="50" t="str">
        <v/>
      </c>
      <c r="B1798" s="51" t="str">
        <v/>
      </c>
      <c r="C1798" s="51" t="str">
        <v/>
      </c>
      <c r="D1798" s="51" t="str">
        <v/>
      </c>
      <c r="E1798" s="51" t="str">
        <v/>
      </c>
      <c r="F1798" s="52" t="str">
        <v/>
      </c>
      <c r="G1798" s="48" t="str">
        <v/>
      </c>
      <c r="H1798" s="49">
        <v>0</v>
      </c>
      <c r="I1798" s="49">
        <v>0</v>
      </c>
      <c r="J1798" s="50"/>
    </row>
    <row r="1799" s="29" customFormat="1" spans="1:11">
      <c r="A1799" s="40"/>
      <c r="B1799" s="41" t="s">
        <v>2357</v>
      </c>
      <c r="C1799" s="41"/>
      <c r="D1799" s="41"/>
      <c r="E1799" s="41"/>
      <c r="F1799" s="42"/>
      <c r="G1799" s="43"/>
      <c r="H1799" s="44"/>
      <c r="I1799" s="44"/>
      <c r="J1799" s="40"/>
      <c r="K1799" s="54"/>
    </row>
    <row r="1800" outlineLevel="1" spans="1:10">
      <c r="A1800" s="50" t="str">
        <f ca="1" t="array" ref="A1800:G1916">IF(INDIRECT(K3&amp;"!A4:G120")=0,"",INDIRECT(K3&amp;"!A4:G120"))</f>
        <v/>
      </c>
      <c r="B1800" s="51" t="str">
        <v>E.01单价措施费</v>
      </c>
      <c r="C1800" s="51" t="str">
        <v/>
      </c>
      <c r="D1800" s="51" t="str">
        <v/>
      </c>
      <c r="E1800" s="51" t="str">
        <v/>
      </c>
      <c r="F1800" s="52" t="str">
        <v/>
      </c>
      <c r="G1800" s="48" t="str">
        <v/>
      </c>
      <c r="H1800" s="49">
        <f ca="1" t="array" ref="H1800:H1916">INDIRECT(K3&amp;"!L4:L120")</f>
        <v>0</v>
      </c>
      <c r="I1800" s="49" t="e">
        <f ca="1" t="array" ref="I1800:I1916">INDIRECT(K3&amp;"!V4:V120")</f>
        <v>#REF!</v>
      </c>
      <c r="J1800" s="50"/>
    </row>
    <row r="1801" outlineLevel="1" spans="1:10">
      <c r="A1801" s="50" t="str">
        <v>地下</v>
      </c>
      <c r="B1801" s="51" t="str">
        <v>主体结构</v>
      </c>
      <c r="C1801" s="51" t="str">
        <v/>
      </c>
      <c r="D1801" s="51" t="str">
        <v/>
      </c>
      <c r="E1801" s="51" t="str">
        <v/>
      </c>
      <c r="F1801" s="52" t="str">
        <v/>
      </c>
      <c r="G1801" s="48" t="str">
        <v/>
      </c>
      <c r="H1801" s="49">
        <v>0</v>
      </c>
      <c r="I1801" s="49" t="e">
        <v>#REF!</v>
      </c>
      <c r="J1801" s="50"/>
    </row>
    <row r="1802" outlineLevel="1" spans="1:10">
      <c r="A1802" s="50" t="str">
        <v>一</v>
      </c>
      <c r="B1802" s="51" t="str">
        <v>E.01.01模板工程</v>
      </c>
      <c r="C1802" s="51" t="str">
        <v/>
      </c>
      <c r="D1802" s="51" t="str">
        <v/>
      </c>
      <c r="E1802" s="51" t="str">
        <v/>
      </c>
      <c r="F1802" s="52" t="str">
        <v/>
      </c>
      <c r="G1802" s="48" t="str">
        <v/>
      </c>
      <c r="H1802" s="49">
        <v>2382.101</v>
      </c>
      <c r="I1802" s="49" t="e">
        <v>#REF!</v>
      </c>
      <c r="J1802" s="50"/>
    </row>
    <row r="1803" ht="28.8" outlineLevel="1" spans="1:10">
      <c r="A1803" s="50">
        <v>1</v>
      </c>
      <c r="B1803" s="51" t="str">
        <v>垫层模板</v>
      </c>
      <c r="C1803" s="51" t="e">
        <v>#REF!</v>
      </c>
      <c r="D1803" s="51" t="str">
        <v>地下模板</v>
      </c>
      <c r="E1803" s="51" t="str">
        <v>地下模板</v>
      </c>
      <c r="F1803" s="52" t="e">
        <v>#REF!</v>
      </c>
      <c r="G1803" s="48" t="e">
        <v>#REF!</v>
      </c>
      <c r="H1803" s="49">
        <v>11.45</v>
      </c>
      <c r="I1803" s="49" t="e">
        <v>#REF!</v>
      </c>
      <c r="J1803" s="50"/>
    </row>
    <row r="1804" ht="28.8" outlineLevel="1" spans="1:10">
      <c r="A1804" s="50">
        <v>2</v>
      </c>
      <c r="B1804" s="51" t="str">
        <v>满堂基础模板</v>
      </c>
      <c r="C1804" s="51" t="e">
        <v>#REF!</v>
      </c>
      <c r="D1804" s="51" t="str">
        <v>地下模板</v>
      </c>
      <c r="E1804" s="51" t="str">
        <v>地下模板</v>
      </c>
      <c r="F1804" s="52" t="e">
        <v>#REF!</v>
      </c>
      <c r="G1804" s="48" t="e">
        <v>#REF!</v>
      </c>
      <c r="H1804" s="49">
        <v>34.6107</v>
      </c>
      <c r="I1804" s="49" t="e">
        <v>#REF!</v>
      </c>
      <c r="J1804" s="50"/>
    </row>
    <row r="1805" ht="28.8" outlineLevel="1" spans="1:10">
      <c r="A1805" s="50">
        <v>3</v>
      </c>
      <c r="B1805" s="51" t="str">
        <v>独立基础模板</v>
      </c>
      <c r="C1805" s="51" t="e">
        <v>#REF!</v>
      </c>
      <c r="D1805" s="51" t="str">
        <v>地下模板</v>
      </c>
      <c r="E1805" s="51" t="str">
        <v>地下模板</v>
      </c>
      <c r="F1805" s="52" t="e">
        <v>#REF!</v>
      </c>
      <c r="G1805" s="48" t="e">
        <v>#REF!</v>
      </c>
      <c r="H1805" s="49">
        <v>158.7197</v>
      </c>
      <c r="I1805" s="49" t="e">
        <v>#REF!</v>
      </c>
      <c r="J1805" s="50"/>
    </row>
    <row r="1806" ht="28.8" outlineLevel="1" spans="1:10">
      <c r="A1806" s="50">
        <v>4</v>
      </c>
      <c r="B1806" s="51" t="str">
        <v>矩形柱模板</v>
      </c>
      <c r="C1806" s="51" t="e">
        <v>#REF!</v>
      </c>
      <c r="D1806" s="51" t="str">
        <v>地下模板</v>
      </c>
      <c r="E1806" s="51" t="str">
        <v>地下模板</v>
      </c>
      <c r="F1806" s="52" t="e">
        <v>#REF!</v>
      </c>
      <c r="G1806" s="48" t="e">
        <v>#REF!</v>
      </c>
      <c r="H1806" s="49">
        <v>1.76</v>
      </c>
      <c r="I1806" s="49" t="e">
        <v>#REF!</v>
      </c>
      <c r="J1806" s="50"/>
    </row>
    <row r="1807" ht="28.8" outlineLevel="1" spans="1:10">
      <c r="A1807" s="50">
        <v>5</v>
      </c>
      <c r="B1807" s="51" t="str">
        <v>矩形梁模板</v>
      </c>
      <c r="C1807" s="51" t="e">
        <v>#REF!</v>
      </c>
      <c r="D1807" s="51" t="str">
        <v>地下模板</v>
      </c>
      <c r="E1807" s="51" t="str">
        <v>地下模板</v>
      </c>
      <c r="F1807" s="52" t="e">
        <v>#REF!</v>
      </c>
      <c r="G1807" s="48" t="e">
        <v>#REF!</v>
      </c>
      <c r="H1807" s="49">
        <v>176.5747</v>
      </c>
      <c r="I1807" s="49" t="e">
        <v>#REF!</v>
      </c>
      <c r="J1807" s="50"/>
    </row>
    <row r="1808" ht="28.8" outlineLevel="1" spans="1:10">
      <c r="A1808" s="50">
        <v>6</v>
      </c>
      <c r="B1808" s="51" t="str">
        <v>预制梁模板</v>
      </c>
      <c r="C1808" s="51" t="e">
        <v>#REF!</v>
      </c>
      <c r="D1808" s="51" t="str">
        <v>地下模板</v>
      </c>
      <c r="E1808" s="51" t="str">
        <v>地下模板</v>
      </c>
      <c r="F1808" s="52" t="e">
        <v>#REF!</v>
      </c>
      <c r="G1808" s="48" t="e">
        <v>#REF!</v>
      </c>
      <c r="H1808" s="49">
        <v>0</v>
      </c>
      <c r="I1808" s="49" t="e">
        <v>#REF!</v>
      </c>
      <c r="J1808" s="50"/>
    </row>
    <row r="1809" ht="28.8" outlineLevel="1" spans="1:10">
      <c r="A1809" s="50">
        <v>7</v>
      </c>
      <c r="B1809" s="51" t="str">
        <v>斜梁模板</v>
      </c>
      <c r="C1809" s="51" t="e">
        <v>#REF!</v>
      </c>
      <c r="D1809" s="51" t="str">
        <v>地下模板</v>
      </c>
      <c r="E1809" s="51" t="str">
        <v>地下模板</v>
      </c>
      <c r="F1809" s="52" t="e">
        <v>#REF!</v>
      </c>
      <c r="G1809" s="48" t="e">
        <v>#REF!</v>
      </c>
      <c r="H1809" s="49">
        <v>0</v>
      </c>
      <c r="I1809" s="49" t="e">
        <v>#REF!</v>
      </c>
      <c r="J1809" s="50"/>
    </row>
    <row r="1810" ht="28.8" outlineLevel="1" spans="1:10">
      <c r="A1810" s="50">
        <v>8</v>
      </c>
      <c r="B1810" s="51" t="str">
        <v>剪力墙内墙模板</v>
      </c>
      <c r="C1810" s="51" t="e">
        <v>#REF!</v>
      </c>
      <c r="D1810" s="51" t="str">
        <v>地下模板</v>
      </c>
      <c r="E1810" s="51" t="str">
        <v>地下模板</v>
      </c>
      <c r="F1810" s="52" t="e">
        <v>#REF!</v>
      </c>
      <c r="G1810" s="48" t="e">
        <v>#REF!</v>
      </c>
      <c r="H1810" s="49">
        <v>1513.7535</v>
      </c>
      <c r="I1810" s="49" t="e">
        <v>#REF!</v>
      </c>
      <c r="J1810" s="50"/>
    </row>
    <row r="1811" ht="28.8" outlineLevel="1" spans="1:10">
      <c r="A1811" s="50">
        <v>9</v>
      </c>
      <c r="B1811" s="51" t="str">
        <v>地下剪力墙外墙模.板</v>
      </c>
      <c r="C1811" s="51" t="e">
        <v>#REF!</v>
      </c>
      <c r="D1811" s="51" t="str">
        <v>地下模板</v>
      </c>
      <c r="E1811" s="51" t="str">
        <v>地下模板</v>
      </c>
      <c r="F1811" s="52" t="e">
        <v>#REF!</v>
      </c>
      <c r="G1811" s="48" t="e">
        <v>#REF!</v>
      </c>
      <c r="H1811" s="49">
        <v>0</v>
      </c>
      <c r="I1811" s="49" t="e">
        <v>#REF!</v>
      </c>
      <c r="J1811" s="50"/>
    </row>
    <row r="1812" ht="28.8" outlineLevel="1" spans="1:10">
      <c r="A1812" s="50">
        <v>10</v>
      </c>
      <c r="B1812" s="51" t="str">
        <v>电梯井壁模板</v>
      </c>
      <c r="C1812" s="51" t="e">
        <v>#REF!</v>
      </c>
      <c r="D1812" s="51" t="str">
        <v>地下模板</v>
      </c>
      <c r="E1812" s="51" t="str">
        <v>地下模板</v>
      </c>
      <c r="F1812" s="52" t="e">
        <v>#REF!</v>
      </c>
      <c r="G1812" s="48" t="e">
        <v>#REF!</v>
      </c>
      <c r="H1812" s="49">
        <v>30.824</v>
      </c>
      <c r="I1812" s="49" t="e">
        <v>#REF!</v>
      </c>
      <c r="J1812" s="50"/>
    </row>
    <row r="1813" ht="28.8" outlineLevel="1" spans="1:10">
      <c r="A1813" s="50">
        <v>11</v>
      </c>
      <c r="B1813" s="51" t="str">
        <v>平板模板</v>
      </c>
      <c r="C1813" s="51" t="e">
        <v>#REF!</v>
      </c>
      <c r="D1813" s="51" t="str">
        <v>地下模板</v>
      </c>
      <c r="E1813" s="51" t="str">
        <v>地下模板</v>
      </c>
      <c r="F1813" s="52" t="e">
        <v>#REF!</v>
      </c>
      <c r="G1813" s="48" t="e">
        <v>#REF!</v>
      </c>
      <c r="H1813" s="49">
        <v>427.3763</v>
      </c>
      <c r="I1813" s="49" t="e">
        <v>#REF!</v>
      </c>
      <c r="J1813" s="50"/>
    </row>
    <row r="1814" ht="28.8" outlineLevel="1" spans="1:10">
      <c r="A1814" s="50">
        <v>12</v>
      </c>
      <c r="B1814" s="51" t="str">
        <v>无梁板模板</v>
      </c>
      <c r="C1814" s="51" t="e">
        <v>#REF!</v>
      </c>
      <c r="D1814" s="51" t="str">
        <v>地下模板</v>
      </c>
      <c r="E1814" s="51" t="str">
        <v>地下模板</v>
      </c>
      <c r="F1814" s="52" t="e">
        <v>#REF!</v>
      </c>
      <c r="G1814" s="48" t="e">
        <v>#REF!</v>
      </c>
      <c r="H1814" s="49">
        <v>0</v>
      </c>
      <c r="I1814" s="49" t="e">
        <v>#REF!</v>
      </c>
      <c r="J1814" s="50"/>
    </row>
    <row r="1815" ht="28.8" outlineLevel="1" spans="1:10">
      <c r="A1815" s="50">
        <v>13</v>
      </c>
      <c r="B1815" s="51" t="str">
        <v>斜板模板</v>
      </c>
      <c r="C1815" s="51" t="e">
        <v>#REF!</v>
      </c>
      <c r="D1815" s="51" t="str">
        <v>地下模板</v>
      </c>
      <c r="E1815" s="51" t="str">
        <v>地下模板</v>
      </c>
      <c r="F1815" s="52" t="e">
        <v>#REF!</v>
      </c>
      <c r="G1815" s="48" t="e">
        <v>#REF!</v>
      </c>
      <c r="H1815" s="49">
        <v>0</v>
      </c>
      <c r="I1815" s="49" t="e">
        <v>#REF!</v>
      </c>
      <c r="J1815" s="50"/>
    </row>
    <row r="1816" ht="28.8" outlineLevel="1" spans="1:10">
      <c r="A1816" s="50">
        <v>14</v>
      </c>
      <c r="B1816" s="51" t="str">
        <v>天沟、檐沟模板</v>
      </c>
      <c r="C1816" s="51" t="e">
        <v>#REF!</v>
      </c>
      <c r="D1816" s="51" t="str">
        <v>地下模板</v>
      </c>
      <c r="E1816" s="51" t="str">
        <v>地下模板</v>
      </c>
      <c r="F1816" s="52" t="e">
        <v>#REF!</v>
      </c>
      <c r="G1816" s="48" t="e">
        <v>#REF!</v>
      </c>
      <c r="H1816" s="49">
        <v>0</v>
      </c>
      <c r="I1816" s="49" t="e">
        <v>#REF!</v>
      </c>
      <c r="J1816" s="50"/>
    </row>
    <row r="1817" ht="28.8" outlineLevel="1" spans="1:10">
      <c r="A1817" s="50">
        <v>15</v>
      </c>
      <c r="B1817" s="51" t="str">
        <v>楼梯模.板</v>
      </c>
      <c r="C1817" s="51" t="e">
        <v>#REF!</v>
      </c>
      <c r="D1817" s="51" t="str">
        <v>地下模板</v>
      </c>
      <c r="E1817" s="51" t="str">
        <v>地下模板</v>
      </c>
      <c r="F1817" s="52" t="e">
        <v>#REF!</v>
      </c>
      <c r="G1817" s="48" t="e">
        <v>#REF!</v>
      </c>
      <c r="H1817" s="49">
        <v>27.0321</v>
      </c>
      <c r="I1817" s="49" t="e">
        <v>#REF!</v>
      </c>
      <c r="J1817" s="50"/>
    </row>
    <row r="1818" ht="28.8" outlineLevel="1" spans="1:10">
      <c r="A1818" s="50">
        <v>16</v>
      </c>
      <c r="B1818" s="51" t="str">
        <v>预制板模板</v>
      </c>
      <c r="C1818" s="51" t="e">
        <v>#REF!</v>
      </c>
      <c r="D1818" s="51" t="str">
        <v>地下模板</v>
      </c>
      <c r="E1818" s="51" t="str">
        <v>地下模板</v>
      </c>
      <c r="F1818" s="52" t="e">
        <v>#REF!</v>
      </c>
      <c r="G1818" s="48" t="e">
        <v>#REF!</v>
      </c>
      <c r="H1818" s="49">
        <v>0</v>
      </c>
      <c r="I1818" s="49" t="e">
        <v>#REF!</v>
      </c>
      <c r="J1818" s="50"/>
    </row>
    <row r="1819" ht="28.8" outlineLevel="1" spans="1:10">
      <c r="A1819" s="50">
        <v>17</v>
      </c>
      <c r="B1819" s="51" t="str">
        <v>梁后浇带模板</v>
      </c>
      <c r="C1819" s="51" t="e">
        <v>#REF!</v>
      </c>
      <c r="D1819" s="51" t="str">
        <v>地下模板</v>
      </c>
      <c r="E1819" s="51" t="str">
        <v>地下模板</v>
      </c>
      <c r="F1819" s="52" t="e">
        <v>#REF!</v>
      </c>
      <c r="G1819" s="48" t="e">
        <v>#REF!</v>
      </c>
      <c r="H1819" s="49">
        <v>0</v>
      </c>
      <c r="I1819" s="49" t="e">
        <v>#REF!</v>
      </c>
      <c r="J1819" s="50"/>
    </row>
    <row r="1820" ht="28.8" outlineLevel="1" spans="1:10">
      <c r="A1820" s="50">
        <v>18</v>
      </c>
      <c r="B1820" s="51" t="str">
        <v>板后浇带模板</v>
      </c>
      <c r="C1820" s="51" t="e">
        <v>#REF!</v>
      </c>
      <c r="D1820" s="51" t="str">
        <v>地下模板</v>
      </c>
      <c r="E1820" s="51" t="str">
        <v>地下模板</v>
      </c>
      <c r="F1820" s="52" t="e">
        <v>#REF!</v>
      </c>
      <c r="G1820" s="48" t="e">
        <v>#REF!</v>
      </c>
      <c r="H1820" s="49">
        <v>0</v>
      </c>
      <c r="I1820" s="49" t="e">
        <v>#REF!</v>
      </c>
      <c r="J1820" s="50"/>
    </row>
    <row r="1821" ht="28.8" outlineLevel="1" spans="1:10">
      <c r="A1821" s="50">
        <v>19</v>
      </c>
      <c r="B1821" s="51" t="str">
        <v>墙后浇带模板</v>
      </c>
      <c r="C1821" s="51" t="e">
        <v>#REF!</v>
      </c>
      <c r="D1821" s="51" t="str">
        <v>地下模板</v>
      </c>
      <c r="E1821" s="51" t="str">
        <v>地下模板</v>
      </c>
      <c r="F1821" s="52" t="e">
        <v>#REF!</v>
      </c>
      <c r="G1821" s="48" t="e">
        <v>#REF!</v>
      </c>
      <c r="H1821" s="49">
        <v>0</v>
      </c>
      <c r="I1821" s="49" t="e">
        <v>#REF!</v>
      </c>
      <c r="J1821" s="50"/>
    </row>
    <row r="1822" ht="28.8" outlineLevel="1" spans="1:10">
      <c r="A1822" s="50">
        <v>20</v>
      </c>
      <c r="B1822" s="51" t="str">
        <v>基础后浇带模板</v>
      </c>
      <c r="C1822" s="51" t="e">
        <v>#REF!</v>
      </c>
      <c r="D1822" s="51" t="str">
        <v>地下模板</v>
      </c>
      <c r="E1822" s="51" t="str">
        <v>地下模板</v>
      </c>
      <c r="F1822" s="52" t="e">
        <v>#REF!</v>
      </c>
      <c r="G1822" s="48" t="e">
        <v>#REF!</v>
      </c>
      <c r="H1822" s="49">
        <v>0</v>
      </c>
      <c r="I1822" s="49" t="e">
        <v>#REF!</v>
      </c>
      <c r="J1822" s="50"/>
    </row>
    <row r="1823" ht="28.8" outlineLevel="1" spans="1:10">
      <c r="A1823" s="50">
        <v>21</v>
      </c>
      <c r="B1823" s="51" t="str">
        <v>后浇带收口网</v>
      </c>
      <c r="C1823" s="51" t="e">
        <v>#REF!</v>
      </c>
      <c r="D1823" s="51" t="str">
        <v>地下模板</v>
      </c>
      <c r="E1823" s="51" t="str">
        <v>地下模板</v>
      </c>
      <c r="F1823" s="52" t="e">
        <v>#REF!</v>
      </c>
      <c r="G1823" s="48" t="e">
        <v>#REF!</v>
      </c>
      <c r="H1823" s="49">
        <v>0</v>
      </c>
      <c r="I1823" s="49" t="e">
        <v>#REF!</v>
      </c>
      <c r="J1823" s="50"/>
    </row>
    <row r="1824" ht="28.8" outlineLevel="1" spans="1:10">
      <c r="A1824" s="50">
        <v>22</v>
      </c>
      <c r="B1824" s="51" t="str">
        <v>排水沟模板</v>
      </c>
      <c r="C1824" s="51" t="e">
        <v>#REF!</v>
      </c>
      <c r="D1824" s="51" t="str">
        <v>地下模板</v>
      </c>
      <c r="E1824" s="51" t="str">
        <v>地下模板</v>
      </c>
      <c r="F1824" s="52" t="e">
        <v>#REF!</v>
      </c>
      <c r="G1824" s="48" t="e">
        <v>#REF!</v>
      </c>
      <c r="H1824" s="49">
        <v>0</v>
      </c>
      <c r="I1824" s="49" t="e">
        <v>#REF!</v>
      </c>
      <c r="J1824" s="50"/>
    </row>
    <row r="1825" ht="28.8" outlineLevel="1" spans="1:10">
      <c r="A1825" s="50">
        <v>23</v>
      </c>
      <c r="B1825" s="51" t="str">
        <v>消防水池池底模板</v>
      </c>
      <c r="C1825" s="51" t="e">
        <v>#REF!</v>
      </c>
      <c r="D1825" s="51" t="str">
        <v>地下模板</v>
      </c>
      <c r="E1825" s="51" t="str">
        <v>地下模板</v>
      </c>
      <c r="F1825" s="52" t="e">
        <v>#REF!</v>
      </c>
      <c r="G1825" s="48" t="e">
        <v>#REF!</v>
      </c>
      <c r="H1825" s="49">
        <v>0</v>
      </c>
      <c r="I1825" s="49" t="e">
        <v>#REF!</v>
      </c>
      <c r="J1825" s="50"/>
    </row>
    <row r="1826" ht="28.8" outlineLevel="1" spans="1:10">
      <c r="A1826" s="50">
        <v>24</v>
      </c>
      <c r="B1826" s="51" t="str">
        <v>消防水池池壁模板</v>
      </c>
      <c r="C1826" s="51" t="e">
        <v>#REF!</v>
      </c>
      <c r="D1826" s="51" t="str">
        <v>地下模板</v>
      </c>
      <c r="E1826" s="51" t="str">
        <v>地下模板</v>
      </c>
      <c r="F1826" s="52" t="e">
        <v>#REF!</v>
      </c>
      <c r="G1826" s="48" t="e">
        <v>#REF!</v>
      </c>
      <c r="H1826" s="49">
        <v>0</v>
      </c>
      <c r="I1826" s="49" t="e">
        <v>#REF!</v>
      </c>
      <c r="J1826" s="50"/>
    </row>
    <row r="1827" ht="28.8" outlineLevel="1" spans="1:10">
      <c r="A1827" s="50">
        <v>25</v>
      </c>
      <c r="B1827" s="51" t="str">
        <v>设备基础模板</v>
      </c>
      <c r="C1827" s="51" t="e">
        <v>#REF!</v>
      </c>
      <c r="D1827" s="51" t="str">
        <v>地下模板</v>
      </c>
      <c r="E1827" s="51" t="str">
        <v>地下模板</v>
      </c>
      <c r="F1827" s="52" t="e">
        <v>#REF!</v>
      </c>
      <c r="G1827" s="48" t="e">
        <v>#REF!</v>
      </c>
      <c r="H1827" s="49">
        <v>0</v>
      </c>
      <c r="I1827" s="49" t="e">
        <v>#REF!</v>
      </c>
      <c r="J1827" s="50"/>
    </row>
    <row r="1828" ht="28.8" outlineLevel="1" spans="1:10">
      <c r="A1828" s="50">
        <v>26</v>
      </c>
      <c r="B1828" s="51" t="str">
        <v>地下室顶板找坡模板</v>
      </c>
      <c r="C1828" s="51" t="e">
        <v>#REF!</v>
      </c>
      <c r="D1828" s="51" t="str">
        <v>地下模板</v>
      </c>
      <c r="E1828" s="51" t="str">
        <v>地下模板</v>
      </c>
      <c r="F1828" s="52" t="e">
        <v>#REF!</v>
      </c>
      <c r="G1828" s="48" t="e">
        <v>#REF!</v>
      </c>
      <c r="H1828" s="49">
        <v>0</v>
      </c>
      <c r="I1828" s="49" t="e">
        <v>#REF!</v>
      </c>
      <c r="J1828" s="50"/>
    </row>
    <row r="1829" ht="28.8" outlineLevel="1" spans="1:10">
      <c r="A1829" s="50">
        <v>27</v>
      </c>
      <c r="B1829" s="51" t="str">
        <v>散水及坡道模板</v>
      </c>
      <c r="C1829" s="51" t="e">
        <v>#REF!</v>
      </c>
      <c r="D1829" s="51" t="str">
        <v>地下模板</v>
      </c>
      <c r="E1829" s="51" t="str">
        <v>地下模板</v>
      </c>
      <c r="F1829" s="52" t="e">
        <v>#REF!</v>
      </c>
      <c r="G1829" s="48" t="e">
        <v>#REF!</v>
      </c>
      <c r="H1829" s="49">
        <v>0</v>
      </c>
      <c r="I1829" s="49" t="e">
        <v>#REF!</v>
      </c>
      <c r="J1829" s="50"/>
    </row>
    <row r="1830" ht="28.8" outlineLevel="1" spans="1:10">
      <c r="A1830" s="50">
        <v>28</v>
      </c>
      <c r="B1830" s="51" t="str">
        <v>栏板模板</v>
      </c>
      <c r="C1830" s="51" t="e">
        <v>#REF!</v>
      </c>
      <c r="D1830" s="51" t="str">
        <v>地下模板</v>
      </c>
      <c r="E1830" s="51" t="str">
        <v>地下模板</v>
      </c>
      <c r="F1830" s="52" t="e">
        <v>#REF!</v>
      </c>
      <c r="G1830" s="48" t="e">
        <v>#REF!</v>
      </c>
      <c r="H1830" s="49">
        <v>0</v>
      </c>
      <c r="I1830" s="49" t="e">
        <v>#REF!</v>
      </c>
      <c r="J1830" s="50"/>
    </row>
    <row r="1831" outlineLevel="1" spans="1:10">
      <c r="A1831" s="50" t="str">
        <v>二</v>
      </c>
      <c r="B1831" s="51" t="str">
        <v>E.01.02脚手架工程</v>
      </c>
      <c r="C1831" s="51" t="str">
        <v/>
      </c>
      <c r="D1831" s="51" t="str">
        <v/>
      </c>
      <c r="E1831" s="51" t="str">
        <v/>
      </c>
      <c r="F1831" s="52" t="str">
        <v/>
      </c>
      <c r="G1831" s="48" t="str">
        <v/>
      </c>
      <c r="H1831" s="49">
        <v>550</v>
      </c>
      <c r="I1831" s="49" t="e">
        <v>#REF!</v>
      </c>
      <c r="J1831" s="50"/>
    </row>
    <row r="1832" ht="43.2" outlineLevel="1" spans="1:10">
      <c r="A1832" s="50">
        <v>1</v>
      </c>
      <c r="B1832" s="51" t="str">
        <v>地下外墙双排脚手架</v>
      </c>
      <c r="C1832" s="51" t="e">
        <v>#REF!</v>
      </c>
      <c r="D1832" s="51" t="str">
        <v>地下综合脚手架</v>
      </c>
      <c r="E1832" s="51" t="str">
        <v>地下综合脚手架</v>
      </c>
      <c r="F1832" s="52" t="e">
        <v>#REF!</v>
      </c>
      <c r="G1832" s="48" t="e">
        <v>#REF!</v>
      </c>
      <c r="H1832" s="49">
        <v>150</v>
      </c>
      <c r="I1832" s="49" t="e">
        <v>#REF!</v>
      </c>
      <c r="J1832" s="50"/>
    </row>
    <row r="1833" ht="43.2" outlineLevel="1" spans="1:10">
      <c r="A1833" s="50">
        <v>2</v>
      </c>
      <c r="B1833" s="51" t="str">
        <v>主楼基础满堂脚手架</v>
      </c>
      <c r="C1833" s="51" t="e">
        <v>#REF!</v>
      </c>
      <c r="D1833" s="51" t="str">
        <v>地下综合脚手架</v>
      </c>
      <c r="E1833" s="51" t="str">
        <v>地下综合脚手架</v>
      </c>
      <c r="F1833" s="52" t="e">
        <v>#REF!</v>
      </c>
      <c r="G1833" s="48" t="e">
        <v>#REF!</v>
      </c>
      <c r="H1833" s="49">
        <v>400</v>
      </c>
      <c r="I1833" s="49" t="e">
        <v>#REF!</v>
      </c>
      <c r="J1833" s="50"/>
    </row>
    <row r="1834" ht="43.2" outlineLevel="1" spans="1:10">
      <c r="A1834" s="50" t="str">
        <v/>
      </c>
      <c r="B1834" s="51" t="str">
        <v>地库基础满堂脚手架</v>
      </c>
      <c r="C1834" s="51" t="e">
        <v>#REF!</v>
      </c>
      <c r="D1834" s="51" t="str">
        <v>地下综合脚手架</v>
      </c>
      <c r="E1834" s="51" t="str">
        <v>地下综合脚手架</v>
      </c>
      <c r="F1834" s="52" t="e">
        <v>#REF!</v>
      </c>
      <c r="G1834" s="48" t="e">
        <v>#REF!</v>
      </c>
      <c r="H1834" s="49">
        <v>0</v>
      </c>
      <c r="I1834" s="49" t="e">
        <v>#REF!</v>
      </c>
      <c r="J1834" s="50"/>
    </row>
    <row r="1835" outlineLevel="1" spans="1:10">
      <c r="A1835" s="50" t="str">
        <v>地下</v>
      </c>
      <c r="B1835" s="51" t="str">
        <v>二次结构</v>
      </c>
      <c r="C1835" s="51" t="str">
        <v/>
      </c>
      <c r="D1835" s="51" t="str">
        <v/>
      </c>
      <c r="E1835" s="51" t="str">
        <v/>
      </c>
      <c r="F1835" s="52" t="str">
        <v/>
      </c>
      <c r="G1835" s="48" t="str">
        <v/>
      </c>
      <c r="H1835" s="49">
        <v>0</v>
      </c>
      <c r="I1835" s="49" t="e">
        <v>#REF!</v>
      </c>
      <c r="J1835" s="50"/>
    </row>
    <row r="1836" outlineLevel="1" spans="1:10">
      <c r="A1836" s="50" t="str">
        <v>一</v>
      </c>
      <c r="B1836" s="51" t="str">
        <v>E.01.01模板工程</v>
      </c>
      <c r="C1836" s="51" t="str">
        <v/>
      </c>
      <c r="D1836" s="51" t="str">
        <v/>
      </c>
      <c r="E1836" s="51" t="str">
        <v/>
      </c>
      <c r="F1836" s="52" t="str">
        <v/>
      </c>
      <c r="G1836" s="48" t="str">
        <v/>
      </c>
      <c r="H1836" s="49">
        <v>40.4144</v>
      </c>
      <c r="I1836" s="49" t="e">
        <v>#REF!</v>
      </c>
      <c r="J1836" s="50"/>
    </row>
    <row r="1837" ht="28.8" outlineLevel="1" spans="1:10">
      <c r="A1837" s="50">
        <v>1</v>
      </c>
      <c r="B1837" s="51" t="str">
        <v>圈梁模板</v>
      </c>
      <c r="C1837" s="51" t="e">
        <v>#REF!</v>
      </c>
      <c r="D1837" s="51" t="str">
        <v>地下模板</v>
      </c>
      <c r="E1837" s="51" t="str">
        <v>地下模板</v>
      </c>
      <c r="F1837" s="52" t="e">
        <v>#REF!</v>
      </c>
      <c r="G1837" s="48" t="e">
        <v>#REF!</v>
      </c>
      <c r="H1837" s="49">
        <v>18.1576</v>
      </c>
      <c r="I1837" s="49" t="e">
        <v>#REF!</v>
      </c>
      <c r="J1837" s="50"/>
    </row>
    <row r="1838" ht="28.8" outlineLevel="1" spans="1:10">
      <c r="A1838" s="50">
        <v>2</v>
      </c>
      <c r="B1838" s="51" t="str">
        <v>构造柱模板</v>
      </c>
      <c r="C1838" s="51" t="e">
        <v>#REF!</v>
      </c>
      <c r="D1838" s="51" t="str">
        <v>地下模板</v>
      </c>
      <c r="E1838" s="51" t="str">
        <v>地下模板</v>
      </c>
      <c r="F1838" s="52" t="e">
        <v>#REF!</v>
      </c>
      <c r="G1838" s="48" t="e">
        <v>#REF!</v>
      </c>
      <c r="H1838" s="49">
        <v>15.7618</v>
      </c>
      <c r="I1838" s="49" t="e">
        <v>#REF!</v>
      </c>
      <c r="J1838" s="50"/>
    </row>
    <row r="1839" ht="28.8" outlineLevel="1" spans="1:10">
      <c r="A1839" s="50">
        <v>3</v>
      </c>
      <c r="B1839" s="51" t="str">
        <v>过梁模板</v>
      </c>
      <c r="C1839" s="51" t="e">
        <v>#REF!</v>
      </c>
      <c r="D1839" s="51" t="str">
        <v>地下模板</v>
      </c>
      <c r="E1839" s="51" t="str">
        <v>地下模板</v>
      </c>
      <c r="F1839" s="52" t="e">
        <v>#REF!</v>
      </c>
      <c r="G1839" s="48" t="e">
        <v>#REF!</v>
      </c>
      <c r="H1839" s="49">
        <v>6.495</v>
      </c>
      <c r="I1839" s="49" t="e">
        <v>#REF!</v>
      </c>
      <c r="J1839" s="50"/>
    </row>
    <row r="1840" ht="28.8" outlineLevel="1" spans="1:10">
      <c r="A1840" s="50">
        <v>4</v>
      </c>
      <c r="B1840" s="51" t="str">
        <v>压顶模板</v>
      </c>
      <c r="C1840" s="51" t="e">
        <v>#REF!</v>
      </c>
      <c r="D1840" s="51" t="str">
        <v>地下模板</v>
      </c>
      <c r="E1840" s="51" t="str">
        <v>地下模板</v>
      </c>
      <c r="F1840" s="52" t="e">
        <v>#REF!</v>
      </c>
      <c r="G1840" s="48" t="e">
        <v>#REF!</v>
      </c>
      <c r="H1840" s="49">
        <v>0</v>
      </c>
      <c r="I1840" s="49" t="e">
        <v>#REF!</v>
      </c>
      <c r="J1840" s="50"/>
    </row>
    <row r="1841" outlineLevel="1" spans="1:10">
      <c r="A1841" s="50" t="str">
        <v>二</v>
      </c>
      <c r="B1841" s="51" t="str">
        <v>E.01.02脚手架工程</v>
      </c>
      <c r="C1841" s="51" t="str">
        <v/>
      </c>
      <c r="D1841" s="51" t="str">
        <v/>
      </c>
      <c r="E1841" s="51" t="str">
        <v/>
      </c>
      <c r="F1841" s="52" t="str">
        <v/>
      </c>
      <c r="G1841" s="48" t="str">
        <v/>
      </c>
      <c r="H1841" s="49">
        <v>900.982</v>
      </c>
      <c r="I1841" s="49" t="e">
        <v>#REF!</v>
      </c>
      <c r="J1841" s="50"/>
    </row>
    <row r="1842" ht="43.2" outlineLevel="1" spans="1:10">
      <c r="A1842" s="50">
        <v>1</v>
      </c>
      <c r="B1842" s="51" t="str">
        <v>内墙砌筑脚手架</v>
      </c>
      <c r="C1842" s="51" t="e">
        <v>#REF!</v>
      </c>
      <c r="D1842" s="51" t="str">
        <v>地下综合脚手架</v>
      </c>
      <c r="E1842" s="51" t="str">
        <v>地下综合脚手架</v>
      </c>
      <c r="F1842" s="52" t="e">
        <v>#REF!</v>
      </c>
      <c r="G1842" s="48" t="e">
        <v>#REF!</v>
      </c>
      <c r="H1842" s="49">
        <v>413.6585</v>
      </c>
      <c r="I1842" s="49" t="e">
        <v>#REF!</v>
      </c>
      <c r="J1842" s="50"/>
    </row>
    <row r="1843" ht="43.2" outlineLevel="1" spans="1:10">
      <c r="A1843" s="50">
        <v>2</v>
      </c>
      <c r="B1843" s="51" t="str">
        <v>装饰满堂脚手架</v>
      </c>
      <c r="C1843" s="51" t="e">
        <v>#REF!</v>
      </c>
      <c r="D1843" s="51" t="str">
        <v>地下综合脚手架</v>
      </c>
      <c r="E1843" s="51" t="str">
        <v>地下综合脚手架</v>
      </c>
      <c r="F1843" s="52" t="e">
        <v>#REF!</v>
      </c>
      <c r="G1843" s="48" t="e">
        <v>#REF!</v>
      </c>
      <c r="H1843" s="49">
        <v>90.3218</v>
      </c>
      <c r="I1843" s="49" t="e">
        <v>#REF!</v>
      </c>
      <c r="J1843" s="50"/>
    </row>
    <row r="1844" ht="43.2" outlineLevel="1" spans="1:10">
      <c r="A1844" s="50">
        <v>3</v>
      </c>
      <c r="B1844" s="51" t="str">
        <v>简易墙面脚手架</v>
      </c>
      <c r="C1844" s="51" t="e">
        <v>#REF!</v>
      </c>
      <c r="D1844" s="51" t="str">
        <v>地下综合脚手架</v>
      </c>
      <c r="E1844" s="51" t="str">
        <v>地下综合脚手架</v>
      </c>
      <c r="F1844" s="52" t="e">
        <v>#REF!</v>
      </c>
      <c r="G1844" s="48" t="e">
        <v>#REF!</v>
      </c>
      <c r="H1844" s="49">
        <v>39.096</v>
      </c>
      <c r="I1844" s="49" t="e">
        <v>#REF!</v>
      </c>
      <c r="J1844" s="50"/>
    </row>
    <row r="1845" ht="43.2" outlineLevel="1" spans="1:10">
      <c r="A1845" s="50">
        <v>4</v>
      </c>
      <c r="B1845" s="51" t="str">
        <v>简易天棚脚手架</v>
      </c>
      <c r="C1845" s="51" t="e">
        <v>#REF!</v>
      </c>
      <c r="D1845" s="51" t="str">
        <v>地下综合脚手架</v>
      </c>
      <c r="E1845" s="51" t="str">
        <v>地下综合脚手架</v>
      </c>
      <c r="F1845" s="52" t="e">
        <v>#REF!</v>
      </c>
      <c r="G1845" s="48" t="e">
        <v>#REF!</v>
      </c>
      <c r="H1845" s="49">
        <v>357.9057</v>
      </c>
      <c r="I1845" s="49" t="e">
        <v>#REF!</v>
      </c>
      <c r="J1845" s="50"/>
    </row>
    <row r="1846" outlineLevel="1" spans="1:10">
      <c r="A1846" s="50" t="str">
        <v>地上</v>
      </c>
      <c r="B1846" s="51" t="str">
        <v>主体结构</v>
      </c>
      <c r="C1846" s="51" t="str">
        <v/>
      </c>
      <c r="D1846" s="51" t="str">
        <v/>
      </c>
      <c r="E1846" s="51" t="str">
        <v/>
      </c>
      <c r="F1846" s="52" t="str">
        <v/>
      </c>
      <c r="G1846" s="48" t="str">
        <v/>
      </c>
      <c r="H1846" s="49">
        <v>0</v>
      </c>
      <c r="I1846" s="49" t="e">
        <v>#REF!</v>
      </c>
      <c r="J1846" s="50"/>
    </row>
    <row r="1847" outlineLevel="1" spans="1:10">
      <c r="A1847" s="50" t="str">
        <v>一</v>
      </c>
      <c r="B1847" s="51" t="str">
        <v>E.01.01模板工程</v>
      </c>
      <c r="C1847" s="51" t="str">
        <v/>
      </c>
      <c r="D1847" s="51" t="str">
        <v/>
      </c>
      <c r="E1847" s="51" t="str">
        <v/>
      </c>
      <c r="F1847" s="52" t="str">
        <v/>
      </c>
      <c r="G1847" s="48" t="str">
        <v/>
      </c>
      <c r="H1847" s="49">
        <v>11938.4124</v>
      </c>
      <c r="I1847" s="49" t="e">
        <v>#REF!</v>
      </c>
      <c r="J1847" s="50"/>
    </row>
    <row r="1848" ht="28.8" outlineLevel="1" spans="1:10">
      <c r="A1848" s="50">
        <v>1</v>
      </c>
      <c r="B1848" s="51" t="str">
        <v>设备基础模板</v>
      </c>
      <c r="C1848" s="51" t="e">
        <v>#REF!</v>
      </c>
      <c r="D1848" s="51" t="str">
        <v>地上模板</v>
      </c>
      <c r="E1848" s="51" t="str">
        <v>地上模板</v>
      </c>
      <c r="F1848" s="52" t="e">
        <v>#REF!</v>
      </c>
      <c r="G1848" s="48" t="e">
        <v>#REF!</v>
      </c>
      <c r="H1848" s="49">
        <v>0</v>
      </c>
      <c r="I1848" s="49" t="e">
        <v>#REF!</v>
      </c>
      <c r="J1848" s="50"/>
    </row>
    <row r="1849" ht="28.8" outlineLevel="1" spans="1:10">
      <c r="A1849" s="50">
        <v>2</v>
      </c>
      <c r="B1849" s="51" t="str">
        <v>矩形柱模板</v>
      </c>
      <c r="C1849" s="51" t="e">
        <v>#REF!</v>
      </c>
      <c r="D1849" s="51" t="str">
        <v>地上模板</v>
      </c>
      <c r="E1849" s="51" t="str">
        <v>地上模板</v>
      </c>
      <c r="F1849" s="52" t="e">
        <v>#REF!</v>
      </c>
      <c r="G1849" s="48" t="e">
        <v>#REF!</v>
      </c>
      <c r="H1849" s="49">
        <v>108.9767</v>
      </c>
      <c r="I1849" s="49" t="e">
        <v>#REF!</v>
      </c>
      <c r="J1849" s="50"/>
    </row>
    <row r="1850" ht="28.8" outlineLevel="1" spans="1:10">
      <c r="A1850" s="50">
        <v>3</v>
      </c>
      <c r="B1850" s="51" t="str">
        <v>矩形梁模板</v>
      </c>
      <c r="C1850" s="51" t="e">
        <v>#REF!</v>
      </c>
      <c r="D1850" s="51" t="str">
        <v>地上模板</v>
      </c>
      <c r="E1850" s="51" t="str">
        <v>地上模板</v>
      </c>
      <c r="F1850" s="52" t="e">
        <v>#REF!</v>
      </c>
      <c r="G1850" s="48" t="e">
        <v>#REF!</v>
      </c>
      <c r="H1850" s="49">
        <v>1503.2945</v>
      </c>
      <c r="I1850" s="49" t="e">
        <v>#REF!</v>
      </c>
      <c r="J1850" s="50"/>
    </row>
    <row r="1851" ht="28.8" outlineLevel="1" spans="1:10">
      <c r="A1851" s="50">
        <v>4</v>
      </c>
      <c r="B1851" s="51" t="str">
        <v>弧形、拱形梁模板</v>
      </c>
      <c r="C1851" s="51" t="e">
        <v>#REF!</v>
      </c>
      <c r="D1851" s="51" t="str">
        <v>地上模板</v>
      </c>
      <c r="E1851" s="51" t="str">
        <v>地上模板</v>
      </c>
      <c r="F1851" s="52" t="e">
        <v>#REF!</v>
      </c>
      <c r="G1851" s="48" t="e">
        <v>#REF!</v>
      </c>
      <c r="H1851" s="49">
        <v>0</v>
      </c>
      <c r="I1851" s="49" t="e">
        <v>#REF!</v>
      </c>
      <c r="J1851" s="50"/>
    </row>
    <row r="1852" ht="28.8" outlineLevel="1" spans="1:10">
      <c r="A1852" s="50">
        <v>5</v>
      </c>
      <c r="B1852" s="51" t="str">
        <v>剪力墙内墙模板</v>
      </c>
      <c r="C1852" s="51" t="e">
        <v>#REF!</v>
      </c>
      <c r="D1852" s="51" t="str">
        <v>地上模板</v>
      </c>
      <c r="E1852" s="51" t="str">
        <v>地上模板</v>
      </c>
      <c r="F1852" s="52" t="e">
        <v>#REF!</v>
      </c>
      <c r="G1852" s="48" t="e">
        <v>#REF!</v>
      </c>
      <c r="H1852" s="49">
        <v>5638</v>
      </c>
      <c r="I1852" s="49" t="e">
        <v>#REF!</v>
      </c>
      <c r="J1852" s="50"/>
    </row>
    <row r="1853" ht="28.8" outlineLevel="1" spans="1:10">
      <c r="A1853" s="50" t="str">
        <v/>
      </c>
      <c r="B1853" s="51" t="str">
        <v>地上剪力墙外墙模.板</v>
      </c>
      <c r="C1853" s="51" t="e">
        <v>#REF!</v>
      </c>
      <c r="D1853" s="51" t="str">
        <v>地上模板</v>
      </c>
      <c r="E1853" s="51" t="str">
        <v>地上模板</v>
      </c>
      <c r="F1853" s="52" t="e">
        <v>#REF!</v>
      </c>
      <c r="G1853" s="48" t="e">
        <v>#REF!</v>
      </c>
      <c r="H1853" s="49">
        <v>0</v>
      </c>
      <c r="I1853" s="49" t="e">
        <v>#REF!</v>
      </c>
      <c r="J1853" s="50"/>
    </row>
    <row r="1854" ht="28.8" outlineLevel="1" spans="1:10">
      <c r="A1854" s="50">
        <v>6</v>
      </c>
      <c r="B1854" s="51" t="str">
        <v>电梯井壁模板</v>
      </c>
      <c r="C1854" s="51" t="e">
        <v>#REF!</v>
      </c>
      <c r="D1854" s="51" t="str">
        <v>地上模板</v>
      </c>
      <c r="E1854" s="51" t="str">
        <v>地上模板</v>
      </c>
      <c r="F1854" s="52" t="e">
        <v>#REF!</v>
      </c>
      <c r="G1854" s="48" t="e">
        <v>#REF!</v>
      </c>
      <c r="H1854" s="49">
        <v>206.5321</v>
      </c>
      <c r="I1854" s="49" t="e">
        <v>#REF!</v>
      </c>
      <c r="J1854" s="50"/>
    </row>
    <row r="1855" ht="28.8" outlineLevel="1" spans="1:10">
      <c r="A1855" s="50">
        <v>7</v>
      </c>
      <c r="B1855" s="51" t="str">
        <v>平板模板</v>
      </c>
      <c r="C1855" s="51" t="e">
        <v>#REF!</v>
      </c>
      <c r="D1855" s="51" t="str">
        <v>地上模板</v>
      </c>
      <c r="E1855" s="51" t="str">
        <v>地上模板</v>
      </c>
      <c r="F1855" s="52" t="e">
        <v>#REF!</v>
      </c>
      <c r="G1855" s="48" t="e">
        <v>#REF!</v>
      </c>
      <c r="H1855" s="49">
        <v>3327.0137</v>
      </c>
      <c r="I1855" s="49" t="e">
        <v>#REF!</v>
      </c>
      <c r="J1855" s="50"/>
    </row>
    <row r="1856" ht="28.8" outlineLevel="1" spans="1:10">
      <c r="A1856" s="50">
        <v>8</v>
      </c>
      <c r="B1856" s="51" t="str">
        <v>斜板模板</v>
      </c>
      <c r="C1856" s="51" t="e">
        <v>#REF!</v>
      </c>
      <c r="D1856" s="51" t="str">
        <v>地上模板</v>
      </c>
      <c r="E1856" s="51" t="str">
        <v>地上模板</v>
      </c>
      <c r="F1856" s="52" t="e">
        <v>#REF!</v>
      </c>
      <c r="G1856" s="48" t="e">
        <v>#REF!</v>
      </c>
      <c r="H1856" s="49">
        <v>0</v>
      </c>
      <c r="I1856" s="49" t="e">
        <v>#REF!</v>
      </c>
      <c r="J1856" s="50"/>
    </row>
    <row r="1857" ht="28.8" outlineLevel="1" spans="1:10">
      <c r="A1857" s="50">
        <v>9</v>
      </c>
      <c r="B1857" s="51" t="str">
        <v>拱板模板</v>
      </c>
      <c r="C1857" s="51" t="e">
        <v>#REF!</v>
      </c>
      <c r="D1857" s="51" t="str">
        <v>地上模板</v>
      </c>
      <c r="E1857" s="51" t="str">
        <v>地上模板</v>
      </c>
      <c r="F1857" s="52" t="e">
        <v>#REF!</v>
      </c>
      <c r="G1857" s="48" t="e">
        <v>#REF!</v>
      </c>
      <c r="H1857" s="49">
        <v>0</v>
      </c>
      <c r="I1857" s="49" t="e">
        <v>#REF!</v>
      </c>
      <c r="J1857" s="50"/>
    </row>
    <row r="1858" ht="28.8" outlineLevel="1" spans="1:10">
      <c r="A1858" s="50">
        <v>10</v>
      </c>
      <c r="B1858" s="51" t="str">
        <v>PC板补板缝模板</v>
      </c>
      <c r="C1858" s="51" t="e">
        <v>#REF!</v>
      </c>
      <c r="D1858" s="51" t="str">
        <v>地上模板</v>
      </c>
      <c r="E1858" s="51" t="str">
        <v>地上模板</v>
      </c>
      <c r="F1858" s="52" t="e">
        <v>#REF!</v>
      </c>
      <c r="G1858" s="48" t="e">
        <v>#REF!</v>
      </c>
      <c r="H1858" s="49">
        <v>208.06</v>
      </c>
      <c r="I1858" s="49" t="e">
        <v>#REF!</v>
      </c>
      <c r="J1858" s="50"/>
    </row>
    <row r="1859" ht="28.8" outlineLevel="1" spans="1:10">
      <c r="A1859" s="50">
        <v>11</v>
      </c>
      <c r="B1859" s="51" t="str">
        <v>天沟、檐沟模板</v>
      </c>
      <c r="C1859" s="51" t="e">
        <v>#REF!</v>
      </c>
      <c r="D1859" s="51" t="str">
        <v>地上模板</v>
      </c>
      <c r="E1859" s="51" t="str">
        <v>地上模板</v>
      </c>
      <c r="F1859" s="52" t="e">
        <v>#REF!</v>
      </c>
      <c r="G1859" s="48" t="e">
        <v>#REF!</v>
      </c>
      <c r="H1859" s="49">
        <v>703.9759</v>
      </c>
      <c r="I1859" s="49" t="e">
        <v>#REF!</v>
      </c>
      <c r="J1859" s="50"/>
    </row>
    <row r="1860" ht="28.8" outlineLevel="1" spans="1:10">
      <c r="A1860" s="50">
        <v>12</v>
      </c>
      <c r="B1860" s="51" t="str">
        <v>栏板模板</v>
      </c>
      <c r="C1860" s="51" t="e">
        <v>#REF!</v>
      </c>
      <c r="D1860" s="51" t="str">
        <v>地上模板</v>
      </c>
      <c r="E1860" s="51" t="str">
        <v>地上模板</v>
      </c>
      <c r="F1860" s="52" t="e">
        <v>#REF!</v>
      </c>
      <c r="G1860" s="48" t="e">
        <v>#REF!</v>
      </c>
      <c r="H1860" s="49">
        <v>115.947</v>
      </c>
      <c r="I1860" s="49" t="e">
        <v>#REF!</v>
      </c>
      <c r="J1860" s="50"/>
    </row>
    <row r="1861" ht="28.8" outlineLevel="1" spans="1:10">
      <c r="A1861" s="50">
        <v>13</v>
      </c>
      <c r="B1861" s="51" t="str">
        <v>雨篷模板</v>
      </c>
      <c r="C1861" s="51" t="e">
        <v>#REF!</v>
      </c>
      <c r="D1861" s="51" t="str">
        <v>地上模板</v>
      </c>
      <c r="E1861" s="51" t="str">
        <v>地上模板</v>
      </c>
      <c r="F1861" s="52" t="e">
        <v>#REF!</v>
      </c>
      <c r="G1861" s="48" t="e">
        <v>#REF!</v>
      </c>
      <c r="H1861" s="49">
        <v>13.0735</v>
      </c>
      <c r="I1861" s="49" t="e">
        <v>#REF!</v>
      </c>
      <c r="J1861" s="50"/>
    </row>
    <row r="1862" ht="28.8" outlineLevel="1" spans="1:10">
      <c r="A1862" s="50">
        <v>14</v>
      </c>
      <c r="B1862" s="51" t="str">
        <v>楼梯模.板</v>
      </c>
      <c r="C1862" s="51" t="e">
        <v>#REF!</v>
      </c>
      <c r="D1862" s="51" t="str">
        <v>地上模板</v>
      </c>
      <c r="E1862" s="51" t="str">
        <v>地上模板</v>
      </c>
      <c r="F1862" s="52" t="e">
        <v>#REF!</v>
      </c>
      <c r="G1862" s="48" t="e">
        <v>#REF!</v>
      </c>
      <c r="H1862" s="49">
        <v>113.539</v>
      </c>
      <c r="I1862" s="49" t="e">
        <v>#REF!</v>
      </c>
      <c r="J1862" s="50"/>
    </row>
    <row r="1863" outlineLevel="1" spans="1:10">
      <c r="A1863" s="50" t="str">
        <v>二</v>
      </c>
      <c r="B1863" s="51" t="str">
        <v>E.01.02脚手架工程</v>
      </c>
      <c r="C1863" s="51" t="str">
        <v/>
      </c>
      <c r="D1863" s="51" t="str">
        <v/>
      </c>
      <c r="E1863" s="51" t="str">
        <v/>
      </c>
      <c r="F1863" s="52" t="str">
        <v/>
      </c>
      <c r="G1863" s="48" t="str">
        <v/>
      </c>
      <c r="H1863" s="49">
        <v>3663.08</v>
      </c>
      <c r="I1863" s="49" t="e">
        <v>#REF!</v>
      </c>
      <c r="J1863" s="50"/>
    </row>
    <row r="1864" ht="43.2" outlineLevel="1" spans="1:10">
      <c r="A1864" s="50">
        <v>1</v>
      </c>
      <c r="B1864" s="51" t="str">
        <v>外墙双排脚手架</v>
      </c>
      <c r="C1864" s="51" t="e">
        <v>#REF!</v>
      </c>
      <c r="D1864" s="51" t="str">
        <v>地上综合脚手架</v>
      </c>
      <c r="E1864" s="51" t="str">
        <v>地上综合脚手架</v>
      </c>
      <c r="F1864" s="52" t="e">
        <v>#REF!</v>
      </c>
      <c r="G1864" s="48" t="e">
        <v>#REF!</v>
      </c>
      <c r="H1864" s="49">
        <v>1241.77</v>
      </c>
      <c r="I1864" s="49" t="e">
        <v>#REF!</v>
      </c>
      <c r="J1864" s="50"/>
    </row>
    <row r="1865" ht="43.2" outlineLevel="1" spans="1:10">
      <c r="A1865" s="50">
        <v>2</v>
      </c>
      <c r="B1865" s="51" t="str">
        <v>外墙悬挑脚手架</v>
      </c>
      <c r="C1865" s="51" t="e">
        <v>#REF!</v>
      </c>
      <c r="D1865" s="51" t="str">
        <v>地上综合脚手架</v>
      </c>
      <c r="E1865" s="51" t="str">
        <v>地上综合脚手架</v>
      </c>
      <c r="F1865" s="52" t="e">
        <v>#REF!</v>
      </c>
      <c r="G1865" s="48" t="e">
        <v>#REF!</v>
      </c>
      <c r="H1865" s="49">
        <v>2420.31</v>
      </c>
      <c r="I1865" s="49" t="e">
        <v>#REF!</v>
      </c>
      <c r="J1865" s="50"/>
    </row>
    <row r="1866" ht="43.2" outlineLevel="1" spans="1:10">
      <c r="A1866" s="50">
        <v>3</v>
      </c>
      <c r="B1866" s="51" t="str">
        <v>电梯井字脚手架-70m以内</v>
      </c>
      <c r="C1866" s="51" t="e">
        <v>#REF!</v>
      </c>
      <c r="D1866" s="51" t="str">
        <v>地上综合脚手架</v>
      </c>
      <c r="E1866" s="51" t="str">
        <v>地上综合脚手架</v>
      </c>
      <c r="F1866" s="52" t="e">
        <v>#REF!</v>
      </c>
      <c r="G1866" s="48" t="e">
        <v>#REF!</v>
      </c>
      <c r="H1866" s="49">
        <v>0</v>
      </c>
      <c r="I1866" s="49" t="e">
        <v>#REF!</v>
      </c>
      <c r="J1866" s="50"/>
    </row>
    <row r="1867" outlineLevel="1" spans="1:10">
      <c r="A1867" s="50">
        <v>4</v>
      </c>
      <c r="B1867" s="51" t="str">
        <v>电梯井字脚手架-50m以内</v>
      </c>
      <c r="C1867" s="51" t="e">
        <v>#REF!</v>
      </c>
      <c r="D1867" s="51" t="str">
        <v/>
      </c>
      <c r="E1867" s="51" t="str">
        <v/>
      </c>
      <c r="F1867" s="52" t="e">
        <v>#REF!</v>
      </c>
      <c r="G1867" s="48" t="e">
        <v>#REF!</v>
      </c>
      <c r="H1867" s="49">
        <v>1</v>
      </c>
      <c r="I1867" s="49" t="e">
        <v>#REF!</v>
      </c>
      <c r="J1867" s="50"/>
    </row>
    <row r="1868" outlineLevel="1" spans="1:10">
      <c r="A1868" s="50" t="str">
        <v>地上</v>
      </c>
      <c r="B1868" s="51" t="str">
        <v>二次结构</v>
      </c>
      <c r="C1868" s="51" t="str">
        <v/>
      </c>
      <c r="D1868" s="51" t="str">
        <v/>
      </c>
      <c r="E1868" s="51" t="str">
        <v/>
      </c>
      <c r="F1868" s="52" t="str">
        <v/>
      </c>
      <c r="G1868" s="48" t="str">
        <v/>
      </c>
      <c r="H1868" s="49">
        <v>0</v>
      </c>
      <c r="I1868" s="49" t="e">
        <v>#REF!</v>
      </c>
      <c r="J1868" s="50"/>
    </row>
    <row r="1869" outlineLevel="1" spans="1:10">
      <c r="A1869" s="50" t="str">
        <v>一</v>
      </c>
      <c r="B1869" s="51" t="str">
        <v>E.01.01模板工程</v>
      </c>
      <c r="C1869" s="51" t="str">
        <v/>
      </c>
      <c r="D1869" s="51" t="str">
        <v/>
      </c>
      <c r="E1869" s="51" t="str">
        <v/>
      </c>
      <c r="F1869" s="52" t="str">
        <v/>
      </c>
      <c r="G1869" s="48" t="str">
        <v/>
      </c>
      <c r="H1869" s="49">
        <v>482.6276</v>
      </c>
      <c r="I1869" s="49" t="e">
        <v>#REF!</v>
      </c>
      <c r="J1869" s="50"/>
    </row>
    <row r="1870" ht="28.8" outlineLevel="1" spans="1:10">
      <c r="A1870" s="50">
        <v>1</v>
      </c>
      <c r="B1870" s="51" t="str">
        <v>构造柱模板</v>
      </c>
      <c r="C1870" s="51" t="e">
        <v>#REF!</v>
      </c>
      <c r="D1870" s="51" t="str">
        <v>地上模板</v>
      </c>
      <c r="E1870" s="51" t="str">
        <v>地上模板</v>
      </c>
      <c r="F1870" s="52" t="e">
        <v>#REF!</v>
      </c>
      <c r="G1870" s="48" t="e">
        <v>#REF!</v>
      </c>
      <c r="H1870" s="49">
        <v>137.0844</v>
      </c>
      <c r="I1870" s="49" t="e">
        <v>#REF!</v>
      </c>
      <c r="J1870" s="50"/>
    </row>
    <row r="1871" ht="28.8" outlineLevel="1" spans="1:10">
      <c r="A1871" s="50">
        <v>2</v>
      </c>
      <c r="B1871" s="51" t="str">
        <v>圈梁模板</v>
      </c>
      <c r="C1871" s="51" t="e">
        <v>#REF!</v>
      </c>
      <c r="D1871" s="51" t="str">
        <v>地上模板</v>
      </c>
      <c r="E1871" s="51" t="str">
        <v>地上模板</v>
      </c>
      <c r="F1871" s="52" t="e">
        <v>#REF!</v>
      </c>
      <c r="G1871" s="48" t="e">
        <v>#REF!</v>
      </c>
      <c r="H1871" s="49">
        <v>18.0948</v>
      </c>
      <c r="I1871" s="49" t="e">
        <v>#REF!</v>
      </c>
      <c r="J1871" s="50"/>
    </row>
    <row r="1872" ht="28.8" outlineLevel="1" spans="1:10">
      <c r="A1872" s="50">
        <v>3</v>
      </c>
      <c r="B1872" s="51" t="str">
        <v>门槛模板</v>
      </c>
      <c r="C1872" s="51" t="e">
        <v>#REF!</v>
      </c>
      <c r="D1872" s="51" t="str">
        <v>地上模板</v>
      </c>
      <c r="E1872" s="51" t="str">
        <v>地上模板</v>
      </c>
      <c r="F1872" s="52" t="e">
        <v>#REF!</v>
      </c>
      <c r="G1872" s="48" t="e">
        <v>#REF!</v>
      </c>
      <c r="H1872" s="49">
        <v>13.274</v>
      </c>
      <c r="I1872" s="49" t="e">
        <v>#REF!</v>
      </c>
      <c r="J1872" s="50"/>
    </row>
    <row r="1873" ht="28.8" outlineLevel="1" spans="1:10">
      <c r="A1873" s="50">
        <v>4</v>
      </c>
      <c r="B1873" s="51" t="str">
        <v>卫生间、厨房、分户墙、电井翻沿模板</v>
      </c>
      <c r="C1873" s="51" t="e">
        <v>#REF!</v>
      </c>
      <c r="D1873" s="51" t="str">
        <v>地上模板</v>
      </c>
      <c r="E1873" s="51" t="str">
        <v>地上模板</v>
      </c>
      <c r="F1873" s="52" t="e">
        <v>#REF!</v>
      </c>
      <c r="G1873" s="48" t="e">
        <v>#REF!</v>
      </c>
      <c r="H1873" s="49">
        <v>163.9962</v>
      </c>
      <c r="I1873" s="49" t="e">
        <v>#REF!</v>
      </c>
      <c r="J1873" s="50"/>
    </row>
    <row r="1874" ht="28.8" outlineLevel="1" spans="1:10">
      <c r="A1874" s="50">
        <v>5</v>
      </c>
      <c r="B1874" s="51" t="str">
        <v>过梁模板</v>
      </c>
      <c r="C1874" s="51" t="e">
        <v>#REF!</v>
      </c>
      <c r="D1874" s="51" t="str">
        <v>地上模板</v>
      </c>
      <c r="E1874" s="51" t="str">
        <v>地上模板</v>
      </c>
      <c r="F1874" s="52" t="e">
        <v>#REF!</v>
      </c>
      <c r="G1874" s="48" t="e">
        <v>#REF!</v>
      </c>
      <c r="H1874" s="49">
        <v>55.2728</v>
      </c>
      <c r="I1874" s="49" t="e">
        <v>#REF!</v>
      </c>
      <c r="J1874" s="50"/>
    </row>
    <row r="1875" ht="28.8" outlineLevel="1" spans="1:10">
      <c r="A1875" s="50">
        <v>6</v>
      </c>
      <c r="B1875" s="51" t="str">
        <v>压顶模板</v>
      </c>
      <c r="C1875" s="51" t="e">
        <v>#REF!</v>
      </c>
      <c r="D1875" s="51" t="str">
        <v>地上模板</v>
      </c>
      <c r="E1875" s="51" t="str">
        <v>地上模板</v>
      </c>
      <c r="F1875" s="52" t="e">
        <v>#REF!</v>
      </c>
      <c r="G1875" s="48" t="e">
        <v>#REF!</v>
      </c>
      <c r="H1875" s="49">
        <v>61.045</v>
      </c>
      <c r="I1875" s="49" t="e">
        <v>#REF!</v>
      </c>
      <c r="J1875" s="50"/>
    </row>
    <row r="1876" ht="28.8" outlineLevel="1" spans="1:10">
      <c r="A1876" s="50">
        <v>7</v>
      </c>
      <c r="B1876" s="51" t="str">
        <v>散水模板</v>
      </c>
      <c r="C1876" s="51" t="e">
        <v>#REF!</v>
      </c>
      <c r="D1876" s="51" t="str">
        <v>地上模板</v>
      </c>
      <c r="E1876" s="51" t="str">
        <v>地上模板</v>
      </c>
      <c r="F1876" s="52" t="e">
        <v>#REF!</v>
      </c>
      <c r="G1876" s="48" t="e">
        <v>#REF!</v>
      </c>
      <c r="H1876" s="49">
        <v>15.5019</v>
      </c>
      <c r="I1876" s="49" t="e">
        <v>#REF!</v>
      </c>
      <c r="J1876" s="50"/>
    </row>
    <row r="1877" ht="28.8" outlineLevel="1" spans="1:10">
      <c r="A1877" s="50">
        <v>8</v>
      </c>
      <c r="B1877" s="51" t="str">
        <v>坡道模板</v>
      </c>
      <c r="C1877" s="51" t="e">
        <v>#REF!</v>
      </c>
      <c r="D1877" s="51" t="str">
        <v>地上模板</v>
      </c>
      <c r="E1877" s="51" t="str">
        <v>地上模板</v>
      </c>
      <c r="F1877" s="52" t="e">
        <v>#REF!</v>
      </c>
      <c r="G1877" s="48" t="e">
        <v>#REF!</v>
      </c>
      <c r="H1877" s="49">
        <v>0</v>
      </c>
      <c r="I1877" s="49" t="e">
        <v>#REF!</v>
      </c>
      <c r="J1877" s="50"/>
    </row>
    <row r="1878" ht="28.8" outlineLevel="1" spans="1:10">
      <c r="A1878" s="50">
        <v>9</v>
      </c>
      <c r="B1878" s="51" t="str">
        <v>台阶模板</v>
      </c>
      <c r="C1878" s="51" t="e">
        <v>#REF!</v>
      </c>
      <c r="D1878" s="51" t="str">
        <v>地上模板</v>
      </c>
      <c r="E1878" s="51" t="str">
        <v>地上模板</v>
      </c>
      <c r="F1878" s="52" t="e">
        <v>#REF!</v>
      </c>
      <c r="G1878" s="48" t="e">
        <v>#REF!</v>
      </c>
      <c r="H1878" s="49">
        <v>18.3585</v>
      </c>
      <c r="I1878" s="49" t="e">
        <v>#REF!</v>
      </c>
      <c r="J1878" s="50"/>
    </row>
    <row r="1879" ht="28.8" outlineLevel="1" spans="1:10">
      <c r="A1879" s="50">
        <v>10</v>
      </c>
      <c r="B1879" s="51" t="str">
        <v>水簸箕模板</v>
      </c>
      <c r="C1879" s="51" t="e">
        <v>#REF!</v>
      </c>
      <c r="D1879" s="51" t="str">
        <v>地上模板</v>
      </c>
      <c r="E1879" s="51" t="str">
        <v>地上模板</v>
      </c>
      <c r="F1879" s="52" t="e">
        <v>#REF!</v>
      </c>
      <c r="G1879" s="48" t="e">
        <v>#REF!</v>
      </c>
      <c r="H1879" s="49">
        <v>0</v>
      </c>
      <c r="I1879" s="49" t="e">
        <v>#REF!</v>
      </c>
      <c r="J1879" s="50"/>
    </row>
    <row r="1880" outlineLevel="1" spans="1:10">
      <c r="A1880" s="50" t="str">
        <v>二</v>
      </c>
      <c r="B1880" s="51" t="str">
        <v>E.01.02脚手架工程</v>
      </c>
      <c r="C1880" s="51" t="str">
        <v/>
      </c>
      <c r="D1880" s="51" t="str">
        <v/>
      </c>
      <c r="E1880" s="51" t="str">
        <v/>
      </c>
      <c r="F1880" s="52" t="str">
        <v/>
      </c>
      <c r="G1880" s="48" t="str">
        <v/>
      </c>
      <c r="H1880" s="49">
        <v>22350.7823</v>
      </c>
      <c r="I1880" s="49" t="e">
        <v>#REF!</v>
      </c>
      <c r="J1880" s="50"/>
    </row>
    <row r="1881" ht="43.2" outlineLevel="1" spans="1:10">
      <c r="A1881" s="50">
        <v>1</v>
      </c>
      <c r="B1881" s="51" t="str">
        <v>内墙砌筑脚手架</v>
      </c>
      <c r="C1881" s="51" t="e">
        <v>#REF!</v>
      </c>
      <c r="D1881" s="51" t="str">
        <v>地上综合脚手架</v>
      </c>
      <c r="E1881" s="51" t="str">
        <v>地上综合脚手架</v>
      </c>
      <c r="F1881" s="52" t="e">
        <v>#REF!</v>
      </c>
      <c r="G1881" s="48" t="e">
        <v>#REF!</v>
      </c>
      <c r="H1881" s="49">
        <v>3874.43</v>
      </c>
      <c r="I1881" s="49" t="e">
        <v>#REF!</v>
      </c>
      <c r="J1881" s="50"/>
    </row>
    <row r="1882" ht="43.2" outlineLevel="1" spans="1:10">
      <c r="A1882" s="50">
        <v>2</v>
      </c>
      <c r="B1882" s="51" t="str">
        <v>简易墙面脚手架</v>
      </c>
      <c r="C1882" s="51" t="e">
        <v>#REF!</v>
      </c>
      <c r="D1882" s="51" t="str">
        <v>地上综合脚手架</v>
      </c>
      <c r="E1882" s="51" t="str">
        <v>地上综合脚手架</v>
      </c>
      <c r="F1882" s="52" t="e">
        <v>#REF!</v>
      </c>
      <c r="G1882" s="48" t="e">
        <v>#REF!</v>
      </c>
      <c r="H1882" s="49">
        <v>14386.303</v>
      </c>
      <c r="I1882" s="49" t="e">
        <v>#REF!</v>
      </c>
      <c r="J1882" s="50"/>
    </row>
    <row r="1883" ht="43.2" outlineLevel="1" spans="1:10">
      <c r="A1883" s="50">
        <v>3</v>
      </c>
      <c r="B1883" s="51" t="str">
        <v>简易天棚脚手架</v>
      </c>
      <c r="C1883" s="51" t="e">
        <v>#REF!</v>
      </c>
      <c r="D1883" s="51" t="str">
        <v>地上综合脚手架</v>
      </c>
      <c r="E1883" s="51" t="str">
        <v>地上综合脚手架</v>
      </c>
      <c r="F1883" s="52" t="e">
        <v>#REF!</v>
      </c>
      <c r="G1883" s="48" t="e">
        <v>#REF!</v>
      </c>
      <c r="H1883" s="49">
        <v>4090.0493</v>
      </c>
      <c r="I1883" s="49" t="e">
        <v>#REF!</v>
      </c>
      <c r="J1883" s="50"/>
    </row>
    <row r="1884" ht="28.8" outlineLevel="1" spans="1:10">
      <c r="A1884" s="50" t="str">
        <v/>
      </c>
      <c r="B1884" s="51" t="str">
        <v>E.02总价措施费（整体措施费）</v>
      </c>
      <c r="C1884" s="51" t="e">
        <v>#REF!</v>
      </c>
      <c r="D1884" s="51" t="str">
        <v/>
      </c>
      <c r="E1884" s="51" t="str">
        <v/>
      </c>
      <c r="F1884" s="52" t="e">
        <v>#REF!</v>
      </c>
      <c r="G1884" s="48" t="e">
        <v>#REF!</v>
      </c>
      <c r="H1884" s="49" t="e">
        <v>#REF!</v>
      </c>
      <c r="I1884" s="49" t="e">
        <v>#REF!</v>
      </c>
      <c r="J1884" s="50"/>
    </row>
    <row r="1885" ht="43.2" outlineLevel="1" spans="1:10">
      <c r="A1885" s="50" t="str">
        <v>地上</v>
      </c>
      <c r="B1885" s="51" t="str">
        <v>E.02总价措施费（整体措施费）</v>
      </c>
      <c r="C1885" s="51" t="e">
        <v>#REF!</v>
      </c>
      <c r="D1885" s="51" t="str">
        <v>地上总价措施费</v>
      </c>
      <c r="E1885" s="51" t="str">
        <v>地上总价措施费</v>
      </c>
      <c r="F1885" s="52" t="e">
        <v>#REF!</v>
      </c>
      <c r="G1885" s="48" t="e">
        <v>#REF!</v>
      </c>
      <c r="H1885" s="49" t="e">
        <v>#REF!</v>
      </c>
      <c r="I1885" s="49" t="e">
        <v>#REF!</v>
      </c>
      <c r="J1885" s="50"/>
    </row>
    <row r="1886" ht="43.2" outlineLevel="1" spans="1:10">
      <c r="A1886" s="50" t="str">
        <v>地下</v>
      </c>
      <c r="B1886" s="51" t="str">
        <v>E.02总价措施费（整体措施费）</v>
      </c>
      <c r="C1886" s="51" t="e">
        <v>#REF!</v>
      </c>
      <c r="D1886" s="51" t="str">
        <v>地下总价措施费</v>
      </c>
      <c r="E1886" s="51" t="str">
        <v>地下总价措施费</v>
      </c>
      <c r="F1886" s="52" t="e">
        <v>#REF!</v>
      </c>
      <c r="G1886" s="48" t="e">
        <v>#REF!</v>
      </c>
      <c r="H1886" s="49" t="e">
        <v>#REF!</v>
      </c>
      <c r="I1886" s="49" t="e">
        <v>#REF!</v>
      </c>
      <c r="J1886" s="50"/>
    </row>
    <row r="1887" outlineLevel="1" spans="1:10">
      <c r="A1887" s="50" t="str">
        <v/>
      </c>
      <c r="B1887" s="51" t="str">
        <v>E.03垂直运输</v>
      </c>
      <c r="C1887" s="51" t="str">
        <v/>
      </c>
      <c r="D1887" s="51" t="str">
        <v/>
      </c>
      <c r="E1887" s="51" t="str">
        <v/>
      </c>
      <c r="F1887" s="52" t="str">
        <v/>
      </c>
      <c r="G1887" s="48" t="str">
        <v/>
      </c>
      <c r="H1887" s="49">
        <v>0</v>
      </c>
      <c r="I1887" s="49" t="e">
        <v>#REF!</v>
      </c>
      <c r="J1887" s="50"/>
    </row>
    <row r="1888" outlineLevel="1" spans="1:10">
      <c r="A1888" s="50" t="str">
        <v>地上</v>
      </c>
      <c r="B1888" s="51" t="str">
        <v>E.03垂直运输</v>
      </c>
      <c r="C1888" s="51" t="e">
        <v>#REF!</v>
      </c>
      <c r="D1888" s="51" t="str">
        <v/>
      </c>
      <c r="E1888" s="51" t="str">
        <v/>
      </c>
      <c r="F1888" s="52" t="str">
        <v/>
      </c>
      <c r="G1888" s="48" t="str">
        <v/>
      </c>
      <c r="H1888" s="49" t="e">
        <v>#REF!</v>
      </c>
      <c r="I1888" s="49" t="e">
        <v>#REF!</v>
      </c>
      <c r="J1888" s="50"/>
    </row>
    <row r="1889" ht="43.2" outlineLevel="1" spans="1:10">
      <c r="A1889" s="50" t="str">
        <v/>
      </c>
      <c r="B1889" s="51" t="str">
        <v>垂运-装配式</v>
      </c>
      <c r="C1889" s="51" t="e">
        <v>#REF!</v>
      </c>
      <c r="D1889" s="51" t="str">
        <v>地上总价措施费</v>
      </c>
      <c r="E1889" s="51" t="str">
        <v>地上总价措施费</v>
      </c>
      <c r="F1889" s="52" t="e">
        <v>#REF!</v>
      </c>
      <c r="G1889" s="48" t="e">
        <v>#REF!</v>
      </c>
      <c r="H1889" s="49">
        <v>0</v>
      </c>
      <c r="I1889" s="49" t="e">
        <v>#REF!</v>
      </c>
      <c r="J1889" s="50"/>
    </row>
    <row r="1890" ht="43.2" outlineLevel="1" spans="1:10">
      <c r="A1890" s="50" t="str">
        <v/>
      </c>
      <c r="B1890" s="51" t="str">
        <v>垂运-非装配式</v>
      </c>
      <c r="C1890" s="51" t="e">
        <v>#REF!</v>
      </c>
      <c r="D1890" s="51" t="str">
        <v>地上总价措施费</v>
      </c>
      <c r="E1890" s="51" t="str">
        <v>地上总价措施费</v>
      </c>
      <c r="F1890" s="52" t="e">
        <v>#REF!</v>
      </c>
      <c r="G1890" s="48" t="e">
        <v>#REF!</v>
      </c>
      <c r="H1890" s="49" t="e">
        <v>#REF!</v>
      </c>
      <c r="I1890" s="49" t="e">
        <v>#REF!</v>
      </c>
      <c r="J1890" s="50"/>
    </row>
    <row r="1891" ht="43.2" outlineLevel="1" spans="1:10">
      <c r="A1891" s="50" t="str">
        <v/>
      </c>
      <c r="B1891" s="51" t="str">
        <v>垂运-配套</v>
      </c>
      <c r="C1891" s="51" t="e">
        <v>#REF!</v>
      </c>
      <c r="D1891" s="51" t="str">
        <v>地上总价措施费</v>
      </c>
      <c r="E1891" s="51" t="str">
        <v>地上总价措施费</v>
      </c>
      <c r="F1891" s="52" t="e">
        <v>#REF!</v>
      </c>
      <c r="G1891" s="48" t="e">
        <v>#REF!</v>
      </c>
      <c r="H1891" s="49">
        <v>0</v>
      </c>
      <c r="I1891" s="49" t="e">
        <v>#REF!</v>
      </c>
      <c r="J1891" s="50"/>
    </row>
    <row r="1892" ht="43.2" outlineLevel="1" spans="1:10">
      <c r="A1892" s="50" t="str">
        <v/>
      </c>
      <c r="B1892" s="51" t="str">
        <v>垂运-地下车库</v>
      </c>
      <c r="C1892" s="51" t="e">
        <v>#REF!</v>
      </c>
      <c r="D1892" s="51" t="str">
        <v>地上总价措施费</v>
      </c>
      <c r="E1892" s="51" t="str">
        <v>地上总价措施费</v>
      </c>
      <c r="F1892" s="52" t="e">
        <v>#REF!</v>
      </c>
      <c r="G1892" s="48" t="e">
        <v>#REF!</v>
      </c>
      <c r="H1892" s="49">
        <v>0</v>
      </c>
      <c r="I1892" s="49" t="e">
        <v>#REF!</v>
      </c>
      <c r="J1892" s="50"/>
    </row>
    <row r="1893" outlineLevel="1" spans="1:10">
      <c r="A1893" s="50" t="str">
        <v>地下</v>
      </c>
      <c r="B1893" s="51" t="str">
        <v>E.03垂直运输</v>
      </c>
      <c r="C1893" s="51" t="e">
        <v>#REF!</v>
      </c>
      <c r="D1893" s="51" t="str">
        <v/>
      </c>
      <c r="E1893" s="51" t="str">
        <v/>
      </c>
      <c r="F1893" s="52" t="str">
        <v/>
      </c>
      <c r="G1893" s="48" t="str">
        <v/>
      </c>
      <c r="H1893" s="49" t="e">
        <v>#REF!</v>
      </c>
      <c r="I1893" s="49" t="e">
        <v>#REF!</v>
      </c>
      <c r="J1893" s="50"/>
    </row>
    <row r="1894" ht="43.2" outlineLevel="1" spans="1:10">
      <c r="A1894" s="50" t="str">
        <v/>
      </c>
      <c r="B1894" s="51" t="str">
        <v>垂运-装配式</v>
      </c>
      <c r="C1894" s="51" t="e">
        <v>#REF!</v>
      </c>
      <c r="D1894" s="51" t="str">
        <v>地下总价措施费</v>
      </c>
      <c r="E1894" s="51" t="str">
        <v>地下总价措施费</v>
      </c>
      <c r="F1894" s="52" t="e">
        <v>#REF!</v>
      </c>
      <c r="G1894" s="48" t="e">
        <v>#REF!</v>
      </c>
      <c r="H1894" s="49">
        <v>0</v>
      </c>
      <c r="I1894" s="49" t="e">
        <v>#REF!</v>
      </c>
      <c r="J1894" s="50"/>
    </row>
    <row r="1895" ht="43.2" outlineLevel="1" spans="1:10">
      <c r="A1895" s="50" t="str">
        <v/>
      </c>
      <c r="B1895" s="51" t="str">
        <v>垂运-非装配式</v>
      </c>
      <c r="C1895" s="51" t="e">
        <v>#REF!</v>
      </c>
      <c r="D1895" s="51" t="str">
        <v>地下总价措施费</v>
      </c>
      <c r="E1895" s="51" t="str">
        <v>地下总价措施费</v>
      </c>
      <c r="F1895" s="52" t="e">
        <v>#REF!</v>
      </c>
      <c r="G1895" s="48" t="e">
        <v>#REF!</v>
      </c>
      <c r="H1895" s="49" t="e">
        <v>#REF!</v>
      </c>
      <c r="I1895" s="49" t="e">
        <v>#REF!</v>
      </c>
      <c r="J1895" s="50"/>
    </row>
    <row r="1896" ht="43.2" outlineLevel="1" spans="1:10">
      <c r="A1896" s="50" t="str">
        <v/>
      </c>
      <c r="B1896" s="51" t="str">
        <v>垂运-配套</v>
      </c>
      <c r="C1896" s="51" t="e">
        <v>#REF!</v>
      </c>
      <c r="D1896" s="51" t="str">
        <v>地下总价措施费</v>
      </c>
      <c r="E1896" s="51" t="str">
        <v>地下总价措施费</v>
      </c>
      <c r="F1896" s="52" t="e">
        <v>#REF!</v>
      </c>
      <c r="G1896" s="48" t="e">
        <v>#REF!</v>
      </c>
      <c r="H1896" s="49">
        <v>0</v>
      </c>
      <c r="I1896" s="49" t="e">
        <v>#REF!</v>
      </c>
      <c r="J1896" s="50"/>
    </row>
    <row r="1897" ht="43.2" outlineLevel="1" spans="1:10">
      <c r="A1897" s="50" t="str">
        <v/>
      </c>
      <c r="B1897" s="51" t="str">
        <v>垂运-地下车库</v>
      </c>
      <c r="C1897" s="51" t="e">
        <v>#REF!</v>
      </c>
      <c r="D1897" s="51" t="str">
        <v>地下总价措施费</v>
      </c>
      <c r="E1897" s="51" t="str">
        <v>地下总价措施费</v>
      </c>
      <c r="F1897" s="52" t="e">
        <v>#REF!</v>
      </c>
      <c r="G1897" s="48" t="e">
        <v>#REF!</v>
      </c>
      <c r="H1897" s="49">
        <v>0</v>
      </c>
      <c r="I1897" s="49" t="e">
        <v>#REF!</v>
      </c>
      <c r="J1897" s="50"/>
    </row>
    <row r="1898" outlineLevel="1" spans="1:10">
      <c r="A1898" s="50" t="str">
        <v/>
      </c>
      <c r="B1898" s="51" t="str">
        <v>合计</v>
      </c>
      <c r="C1898" s="51" t="str">
        <v/>
      </c>
      <c r="D1898" s="51" t="str">
        <v/>
      </c>
      <c r="E1898" s="51" t="str">
        <v/>
      </c>
      <c r="F1898" s="52" t="str">
        <v/>
      </c>
      <c r="G1898" s="48" t="str">
        <v/>
      </c>
      <c r="H1898" s="49">
        <v>0</v>
      </c>
      <c r="I1898" s="49" t="e">
        <v>#REF!</v>
      </c>
      <c r="J1898" s="50"/>
    </row>
    <row r="1899" outlineLevel="1" spans="1:10">
      <c r="A1899" s="50" t="str">
        <v/>
      </c>
      <c r="B1899" s="51" t="str">
        <v/>
      </c>
      <c r="C1899" s="51" t="str">
        <v/>
      </c>
      <c r="D1899" s="51" t="str">
        <v/>
      </c>
      <c r="E1899" s="51" t="str">
        <v/>
      </c>
      <c r="F1899" s="52" t="str">
        <v/>
      </c>
      <c r="G1899" s="48" t="str">
        <v/>
      </c>
      <c r="H1899" s="49">
        <v>0</v>
      </c>
      <c r="I1899" s="49">
        <v>0</v>
      </c>
      <c r="J1899" s="50"/>
    </row>
    <row r="1900" outlineLevel="1" spans="1:10">
      <c r="A1900" s="50" t="str">
        <v/>
      </c>
      <c r="B1900" s="51" t="str">
        <v/>
      </c>
      <c r="C1900" s="51" t="str">
        <v/>
      </c>
      <c r="D1900" s="51" t="str">
        <v/>
      </c>
      <c r="E1900" s="51" t="str">
        <v/>
      </c>
      <c r="F1900" s="52" t="str">
        <v/>
      </c>
      <c r="G1900" s="48" t="str">
        <v/>
      </c>
      <c r="H1900" s="49">
        <v>0</v>
      </c>
      <c r="I1900" s="49">
        <v>0</v>
      </c>
      <c r="J1900" s="50"/>
    </row>
    <row r="1901" outlineLevel="1" spans="1:10">
      <c r="A1901" s="50" t="str">
        <v/>
      </c>
      <c r="B1901" s="51" t="str">
        <v/>
      </c>
      <c r="C1901" s="51" t="str">
        <v/>
      </c>
      <c r="D1901" s="51" t="str">
        <v/>
      </c>
      <c r="E1901" s="51" t="str">
        <v/>
      </c>
      <c r="F1901" s="52" t="str">
        <v/>
      </c>
      <c r="G1901" s="48" t="str">
        <v/>
      </c>
      <c r="H1901" s="49">
        <v>0</v>
      </c>
      <c r="I1901" s="49">
        <v>0</v>
      </c>
      <c r="J1901" s="50"/>
    </row>
    <row r="1902" outlineLevel="1" spans="1:10">
      <c r="A1902" s="50" t="str">
        <v/>
      </c>
      <c r="B1902" s="51" t="str">
        <v/>
      </c>
      <c r="C1902" s="51" t="str">
        <v/>
      </c>
      <c r="D1902" s="51" t="str">
        <v/>
      </c>
      <c r="E1902" s="51" t="str">
        <v/>
      </c>
      <c r="F1902" s="52" t="str">
        <v/>
      </c>
      <c r="G1902" s="48" t="str">
        <v/>
      </c>
      <c r="H1902" s="49">
        <v>0</v>
      </c>
      <c r="I1902" s="49">
        <v>0</v>
      </c>
      <c r="J1902" s="50"/>
    </row>
    <row r="1903" outlineLevel="1" spans="1:10">
      <c r="A1903" s="50" t="str">
        <v/>
      </c>
      <c r="B1903" s="51" t="str">
        <v/>
      </c>
      <c r="C1903" s="51" t="str">
        <v/>
      </c>
      <c r="D1903" s="51" t="str">
        <v/>
      </c>
      <c r="E1903" s="51" t="str">
        <v/>
      </c>
      <c r="F1903" s="52" t="str">
        <v/>
      </c>
      <c r="G1903" s="48" t="str">
        <v/>
      </c>
      <c r="H1903" s="49">
        <v>0</v>
      </c>
      <c r="I1903" s="49">
        <v>0</v>
      </c>
      <c r="J1903" s="50"/>
    </row>
    <row r="1904" outlineLevel="1" spans="1:10">
      <c r="A1904" s="50" t="str">
        <v/>
      </c>
      <c r="B1904" s="51" t="str">
        <v/>
      </c>
      <c r="C1904" s="51" t="str">
        <v/>
      </c>
      <c r="D1904" s="51" t="str">
        <v/>
      </c>
      <c r="E1904" s="51" t="str">
        <v/>
      </c>
      <c r="F1904" s="52" t="str">
        <v/>
      </c>
      <c r="G1904" s="48" t="str">
        <v/>
      </c>
      <c r="H1904" s="49">
        <v>0</v>
      </c>
      <c r="I1904" s="49">
        <v>0</v>
      </c>
      <c r="J1904" s="50"/>
    </row>
    <row r="1905" outlineLevel="1" spans="1:10">
      <c r="A1905" s="50" t="str">
        <v/>
      </c>
      <c r="B1905" s="51" t="str">
        <v/>
      </c>
      <c r="C1905" s="51" t="str">
        <v/>
      </c>
      <c r="D1905" s="51" t="str">
        <v/>
      </c>
      <c r="E1905" s="51" t="str">
        <v/>
      </c>
      <c r="F1905" s="52" t="str">
        <v/>
      </c>
      <c r="G1905" s="48" t="str">
        <v/>
      </c>
      <c r="H1905" s="49">
        <v>0</v>
      </c>
      <c r="I1905" s="49">
        <v>0</v>
      </c>
      <c r="J1905" s="50"/>
    </row>
    <row r="1906" outlineLevel="1" spans="1:10">
      <c r="A1906" s="50" t="str">
        <v/>
      </c>
      <c r="B1906" s="51" t="str">
        <v/>
      </c>
      <c r="C1906" s="51" t="str">
        <v/>
      </c>
      <c r="D1906" s="51" t="str">
        <v/>
      </c>
      <c r="E1906" s="51" t="str">
        <v/>
      </c>
      <c r="F1906" s="52" t="str">
        <v/>
      </c>
      <c r="G1906" s="48" t="str">
        <v/>
      </c>
      <c r="H1906" s="49">
        <v>0</v>
      </c>
      <c r="I1906" s="49">
        <v>0</v>
      </c>
      <c r="J1906" s="50"/>
    </row>
    <row r="1907" outlineLevel="1" spans="1:10">
      <c r="A1907" s="50" t="str">
        <v/>
      </c>
      <c r="B1907" s="51" t="str">
        <v/>
      </c>
      <c r="C1907" s="51" t="str">
        <v/>
      </c>
      <c r="D1907" s="51" t="str">
        <v/>
      </c>
      <c r="E1907" s="51" t="str">
        <v/>
      </c>
      <c r="F1907" s="52" t="str">
        <v/>
      </c>
      <c r="G1907" s="48" t="str">
        <v/>
      </c>
      <c r="H1907" s="49">
        <v>0</v>
      </c>
      <c r="I1907" s="49">
        <v>0</v>
      </c>
      <c r="J1907" s="50"/>
    </row>
    <row r="1908" outlineLevel="1" spans="1:10">
      <c r="A1908" s="50" t="str">
        <v/>
      </c>
      <c r="B1908" s="51" t="str">
        <v/>
      </c>
      <c r="C1908" s="51" t="str">
        <v/>
      </c>
      <c r="D1908" s="51" t="str">
        <v/>
      </c>
      <c r="E1908" s="51" t="str">
        <v/>
      </c>
      <c r="F1908" s="52" t="str">
        <v/>
      </c>
      <c r="G1908" s="48" t="str">
        <v/>
      </c>
      <c r="H1908" s="49">
        <v>0</v>
      </c>
      <c r="I1908" s="49">
        <v>0</v>
      </c>
      <c r="J1908" s="50"/>
    </row>
    <row r="1909" outlineLevel="1" spans="1:10">
      <c r="A1909" s="50" t="str">
        <v/>
      </c>
      <c r="B1909" s="51" t="str">
        <v/>
      </c>
      <c r="C1909" s="51" t="str">
        <v/>
      </c>
      <c r="D1909" s="51" t="str">
        <v/>
      </c>
      <c r="E1909" s="51" t="str">
        <v/>
      </c>
      <c r="F1909" s="52" t="str">
        <v/>
      </c>
      <c r="G1909" s="48" t="str">
        <v/>
      </c>
      <c r="H1909" s="49">
        <v>0</v>
      </c>
      <c r="I1909" s="49">
        <v>0</v>
      </c>
      <c r="J1909" s="50"/>
    </row>
    <row r="1910" outlineLevel="1" spans="1:10">
      <c r="A1910" s="50" t="str">
        <v/>
      </c>
      <c r="B1910" s="51" t="str">
        <v/>
      </c>
      <c r="C1910" s="51" t="str">
        <v/>
      </c>
      <c r="D1910" s="51" t="str">
        <v/>
      </c>
      <c r="E1910" s="51" t="str">
        <v/>
      </c>
      <c r="F1910" s="52" t="str">
        <v/>
      </c>
      <c r="G1910" s="48" t="str">
        <v/>
      </c>
      <c r="H1910" s="49">
        <v>0</v>
      </c>
      <c r="I1910" s="49">
        <v>0</v>
      </c>
      <c r="J1910" s="50"/>
    </row>
    <row r="1911" outlineLevel="1" spans="1:10">
      <c r="A1911" s="50" t="str">
        <v/>
      </c>
      <c r="B1911" s="51" t="str">
        <v/>
      </c>
      <c r="C1911" s="51" t="str">
        <v/>
      </c>
      <c r="D1911" s="51" t="str">
        <v/>
      </c>
      <c r="E1911" s="51" t="str">
        <v/>
      </c>
      <c r="F1911" s="52" t="str">
        <v/>
      </c>
      <c r="G1911" s="48" t="str">
        <v/>
      </c>
      <c r="H1911" s="49">
        <v>0</v>
      </c>
      <c r="I1911" s="49">
        <v>0</v>
      </c>
      <c r="J1911" s="50"/>
    </row>
    <row r="1912" outlineLevel="1" spans="1:10">
      <c r="A1912" s="50" t="str">
        <v/>
      </c>
      <c r="B1912" s="51" t="str">
        <v/>
      </c>
      <c r="C1912" s="51" t="str">
        <v/>
      </c>
      <c r="D1912" s="51" t="str">
        <v/>
      </c>
      <c r="E1912" s="51" t="str">
        <v/>
      </c>
      <c r="F1912" s="52" t="str">
        <v/>
      </c>
      <c r="G1912" s="48" t="str">
        <v/>
      </c>
      <c r="H1912" s="49">
        <v>0</v>
      </c>
      <c r="I1912" s="49">
        <v>0</v>
      </c>
      <c r="J1912" s="50"/>
    </row>
    <row r="1913" outlineLevel="1" spans="1:10">
      <c r="A1913" s="50" t="str">
        <v/>
      </c>
      <c r="B1913" s="51" t="str">
        <v/>
      </c>
      <c r="C1913" s="51" t="str">
        <v/>
      </c>
      <c r="D1913" s="51" t="str">
        <v/>
      </c>
      <c r="E1913" s="51" t="str">
        <v/>
      </c>
      <c r="F1913" s="52" t="str">
        <v/>
      </c>
      <c r="G1913" s="48" t="str">
        <v/>
      </c>
      <c r="H1913" s="49">
        <v>0</v>
      </c>
      <c r="I1913" s="49">
        <v>0</v>
      </c>
      <c r="J1913" s="50"/>
    </row>
    <row r="1914" outlineLevel="1" spans="1:10">
      <c r="A1914" s="50" t="str">
        <v/>
      </c>
      <c r="B1914" s="51" t="str">
        <v/>
      </c>
      <c r="C1914" s="51" t="str">
        <v/>
      </c>
      <c r="D1914" s="51" t="str">
        <v/>
      </c>
      <c r="E1914" s="51" t="str">
        <v/>
      </c>
      <c r="F1914" s="52" t="str">
        <v/>
      </c>
      <c r="G1914" s="48" t="str">
        <v/>
      </c>
      <c r="H1914" s="49">
        <v>0</v>
      </c>
      <c r="I1914" s="49">
        <v>0</v>
      </c>
      <c r="J1914" s="50"/>
    </row>
    <row r="1915" outlineLevel="1" spans="1:10">
      <c r="A1915" s="50" t="str">
        <v/>
      </c>
      <c r="B1915" s="51" t="str">
        <v/>
      </c>
      <c r="C1915" s="51" t="str">
        <v/>
      </c>
      <c r="D1915" s="51" t="str">
        <v/>
      </c>
      <c r="E1915" s="51" t="str">
        <v/>
      </c>
      <c r="F1915" s="52" t="str">
        <v/>
      </c>
      <c r="G1915" s="48" t="str">
        <v/>
      </c>
      <c r="H1915" s="49">
        <v>0</v>
      </c>
      <c r="I1915" s="49">
        <v>0</v>
      </c>
      <c r="J1915" s="50"/>
    </row>
    <row r="1916" outlineLevel="1" spans="1:10">
      <c r="A1916" s="50" t="str">
        <v/>
      </c>
      <c r="B1916" s="51" t="str">
        <v/>
      </c>
      <c r="C1916" s="51" t="str">
        <v/>
      </c>
      <c r="D1916" s="51" t="str">
        <v/>
      </c>
      <c r="E1916" s="51" t="str">
        <v/>
      </c>
      <c r="F1916" s="52" t="str">
        <v/>
      </c>
      <c r="G1916" s="48" t="str">
        <v/>
      </c>
      <c r="H1916" s="49">
        <v>0</v>
      </c>
      <c r="I1916" s="49">
        <v>0</v>
      </c>
      <c r="J1916" s="50"/>
    </row>
  </sheetData>
  <mergeCells count="10">
    <mergeCell ref="A1:J1"/>
    <mergeCell ref="D2:E2"/>
    <mergeCell ref="A2:A3"/>
    <mergeCell ref="B2:B3"/>
    <mergeCell ref="C2:C3"/>
    <mergeCell ref="F2:F3"/>
    <mergeCell ref="G2:G3"/>
    <mergeCell ref="H2:H3"/>
    <mergeCell ref="I2:I3"/>
    <mergeCell ref="J2:J3"/>
  </mergeCells>
  <pageMargins left="0.75" right="0.75" top="1" bottom="1" header="0.5" footer="0.5"/>
  <pageSetup paperSize="9" scale="72"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目录</vt:lpstr>
      <vt:lpstr>指标分析</vt:lpstr>
      <vt:lpstr>工程量清单A建筑工程</vt:lpstr>
      <vt:lpstr>调价基础</vt:lpstr>
      <vt:lpstr>工程量清单B安装工程</vt:lpstr>
      <vt:lpstr>工程量清单D措施费用</vt:lpstr>
      <vt:lpstr>工程量清单-18F装配式</vt:lpstr>
      <vt:lpstr>工程量清单-11F被动式</vt:lpstr>
      <vt:lpstr>工程量清单-11F装配式</vt:lpstr>
      <vt:lpstr>工程量清单-配套被动</vt:lpstr>
      <vt:lpstr>工程量清单-配套装配式</vt:lpstr>
      <vt:lpstr>工程量清单C其他工程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棱台</cp:lastModifiedBy>
  <dcterms:created xsi:type="dcterms:W3CDTF">2023-02-20T05:41:00Z</dcterms:created>
  <dcterms:modified xsi:type="dcterms:W3CDTF">2024-04-16T05:51:09Z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D55BF6BD025F46EB964254217047F1AA_13</vt:lpwstr>
  </property>
  <property fmtid="{D5CDD505-2E9C-101B-9397-08002B2CF9AE}" pid="3" name="KSOProductBuildVer">
    <vt:lpwstr>2052-12.1.0.16729</vt:lpwstr>
  </property>
  <property fmtid="{D5CDD505-2E9C-101B-9397-08002B2CF9AE}" pid="4" name="KSOReadingLayout">
    <vt:bool>true</vt:bool>
  </property>
</Properties>
</file>